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0490" windowHeight="61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Div 3 (2)...b7db256a_40ITCB" sheetId="17" state="hidden" r:id="rId13"/>
    <sheet name="OSR_300 &amp; 317_1C00ID4" sheetId="19" state="hidden" r:id="rId14"/>
    <sheet name="OSR_300 (2)_c...79cd3046_1TJM0H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0...c51cc666_QIOT67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...09141158_1BG9FGV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6" sheetId="63" r:id="rId52"/>
    <sheet name="330" sheetId="24" r:id="rId53"/>
    <sheet name="307" sheetId="64" r:id="rId54"/>
    <sheet name="314" sheetId="68" r:id="rId55"/>
    <sheet name="308" sheetId="27" r:id="rId56"/>
    <sheet name="311" sheetId="66" r:id="rId57"/>
    <sheet name="324" sheetId="75" r:id="rId58"/>
    <sheet name="331" sheetId="30" r:id="rId59"/>
    <sheet name="315" sheetId="69" r:id="rId60"/>
    <sheet name="326" sheetId="77" r:id="rId61"/>
    <sheet name="332" sheetId="33" r:id="rId62"/>
    <sheet name="316" sheetId="70" r:id="rId63"/>
    <sheet name="320" sheetId="72" r:id="rId64"/>
    <sheet name="Div 6" sheetId="51" r:id="rId65"/>
    <sheet name="317" sheetId="71" r:id="rId66"/>
    <sheet name="310" sheetId="21" r:id="rId67"/>
    <sheet name="309" sheetId="65" r:id="rId68"/>
    <sheet name="313" sheetId="67" r:id="rId69"/>
    <sheet name="321" sheetId="73" r:id="rId70"/>
    <sheet name="322" sheetId="74" r:id="rId71"/>
    <sheet name="325" sheetId="76" r:id="rId72"/>
    <sheet name="327" sheetId="78" r:id="rId73"/>
    <sheet name="Div 4" sheetId="36" r:id="rId74"/>
    <sheet name="310 &amp; 491" sheetId="39" r:id="rId75"/>
    <sheet name="491" sheetId="42" r:id="rId76"/>
    <sheet name="405" sheetId="79" r:id="rId77"/>
    <sheet name="406" sheetId="80" r:id="rId78"/>
    <sheet name="411" sheetId="81" r:id="rId79"/>
    <sheet name="412" sheetId="82" r:id="rId80"/>
    <sheet name="413" sheetId="83" r:id="rId81"/>
    <sheet name="414" sheetId="84" r:id="rId82"/>
    <sheet name="415" sheetId="85" r:id="rId83"/>
    <sheet name="418" sheetId="86" r:id="rId84"/>
    <sheet name="420" sheetId="87" r:id="rId85"/>
    <sheet name="423" sheetId="88" r:id="rId86"/>
    <sheet name="424" sheetId="89" r:id="rId87"/>
    <sheet name="425" sheetId="90" r:id="rId88"/>
    <sheet name="455" sheetId="96" r:id="rId89"/>
    <sheet name="492" sheetId="45" r:id="rId90"/>
    <sheet name="430" sheetId="91" r:id="rId91"/>
    <sheet name="433" sheetId="92" r:id="rId92"/>
    <sheet name="435" sheetId="93" r:id="rId93"/>
    <sheet name="444" sheetId="94" r:id="rId94"/>
    <sheet name="450" sheetId="95" r:id="rId95"/>
    <sheet name="Div 5" sheetId="48" r:id="rId96"/>
    <sheet name="501" sheetId="97" r:id="rId97"/>
    <sheet name="Dept" sheetId="98" state="hidden" r:id="rId98"/>
    <sheet name="OSR_Dept_Y0WUKY" sheetId="99" state="hidden" r:id="rId99"/>
    <sheet name="OSR_Summary (...56e5d78f_5JEYZH" sheetId="100" state="hidden" r:id="rId100"/>
  </sheets>
  <definedNames>
    <definedName name="OSRRefD13x_0" localSheetId="48">'300'!$D$13:$D$109</definedName>
    <definedName name="OSRRefD13x_0" localSheetId="49">'300 &amp; 317'!$D$13:$D$127</definedName>
    <definedName name="OSRRefD13x_0" localSheetId="53">'307'!$D$13:$D$49</definedName>
    <definedName name="OSRRefD13x_0" localSheetId="55">'308'!$D$13:$D$42</definedName>
    <definedName name="OSRRefD13x_0" localSheetId="67">'309'!$D$13:$D$14</definedName>
    <definedName name="OSRRefD13x_0" localSheetId="66">'310'!$D$13:$D$21</definedName>
    <definedName name="OSRRefD13x_0" localSheetId="74">'310 &amp; 491'!$D$13:$D$28</definedName>
    <definedName name="OSRRefD13x_0" localSheetId="56">'311'!$D$13:$D$41</definedName>
    <definedName name="OSRRefD13x_0" localSheetId="68">'313'!$D$13:$D$18</definedName>
    <definedName name="OSRRefD13x_0" localSheetId="54">'314'!$D$13:$D$33</definedName>
    <definedName name="OSRRefD13x_0" localSheetId="59">'315'!$D$13:$D$50</definedName>
    <definedName name="OSRRefD13x_0" localSheetId="62">'316'!$D$13:$D$29</definedName>
    <definedName name="OSRRefD13x_0" localSheetId="65">'317'!$D$13:$D$37</definedName>
    <definedName name="OSRRefD13x_0" localSheetId="63">'320'!$D$13:$D$15</definedName>
    <definedName name="OSRRefD13x_0" localSheetId="69">'321'!$D$13:$D$14</definedName>
    <definedName name="OSRRefD13x_0" localSheetId="70">'322'!$D$13:$D$14</definedName>
    <definedName name="OSRRefD13x_0" localSheetId="57">'324'!$D$13:$D$15</definedName>
    <definedName name="OSRRefD13x_0" localSheetId="71">'325'!$D$13:$D$14</definedName>
    <definedName name="OSRRefD13x_0" localSheetId="60">'326'!$D$13:$D$38</definedName>
    <definedName name="OSRRefD13x_0" localSheetId="72">'327'!$D$13</definedName>
    <definedName name="OSRRefD13x_0" localSheetId="52">'330'!$D$13:$D$53</definedName>
    <definedName name="OSRRefD13x_0" localSheetId="58">'331'!$D$13:$D$54</definedName>
    <definedName name="OSRRefD13x_0" localSheetId="61">'332'!$D$13:$D$31</definedName>
    <definedName name="OSRRefD13x_0" localSheetId="76">'405'!$D$13:$D$14</definedName>
    <definedName name="OSRRefD13x_0" localSheetId="77">'406'!$D$13:$D$14</definedName>
    <definedName name="OSRRefD13x_0" localSheetId="79">'412'!$D$13:$D$14</definedName>
    <definedName name="OSRRefD13x_0" localSheetId="80">'413'!$D$13:$D$14</definedName>
    <definedName name="OSRRefD13x_0" localSheetId="81">'414'!$D$13:$D$14</definedName>
    <definedName name="OSRRefD13x_0" localSheetId="82">'415'!$D$13:$D$14</definedName>
    <definedName name="OSRRefD13x_0" localSheetId="83">'418'!$D$13:$D$14</definedName>
    <definedName name="OSRRefD13x_0" localSheetId="84">'420'!$D$13:$D$14</definedName>
    <definedName name="OSRRefD13x_0" localSheetId="86">'424'!$D$13:$D$14</definedName>
    <definedName name="OSRRefD13x_0" localSheetId="87">'425'!$D$13:$D$17</definedName>
    <definedName name="OSRRefD13x_0" localSheetId="91">'433'!$D$13:$D$15</definedName>
    <definedName name="OSRRefD13x_0" localSheetId="92">'435'!$D$13:$D$15</definedName>
    <definedName name="OSRRefD13x_0" localSheetId="93">'444'!$D$13:$D$15</definedName>
    <definedName name="OSRRefD13x_0" localSheetId="94">'450'!$D$13:$D$15</definedName>
    <definedName name="OSRRefD13x_0" localSheetId="75">'491'!$D$13:$D$22</definedName>
    <definedName name="OSRRefD13x_0" localSheetId="89">'492'!$D$13:$D$17</definedName>
    <definedName name="OSRRefD13x_0" localSheetId="96">'501'!$D$13</definedName>
    <definedName name="OSRRefD13x_0" localSheetId="47">'Div 3'!$D$13:$D$112</definedName>
    <definedName name="OSRRefD13x_0" localSheetId="73">'Div 4'!$D$13:$D$22</definedName>
    <definedName name="OSRRefD13x_0" localSheetId="95">'Div 5'!$D$13</definedName>
    <definedName name="OSRRefD13x_0" localSheetId="64">'Div 6'!$D$13:$D$37</definedName>
    <definedName name="OSRRefD13x_0" localSheetId="2">Summary!$D$13:$D$137</definedName>
    <definedName name="OSRRefD16x_0" localSheetId="48">'300'!$D$112:$D$162</definedName>
    <definedName name="OSRRefD16x_0" localSheetId="49">'300 &amp; 317'!$D$130:$D$188</definedName>
    <definedName name="OSRRefD16x_0" localSheetId="50">'301'!$D$15</definedName>
    <definedName name="OSRRefD16x_0" localSheetId="53">'307'!$D$52:$D$72</definedName>
    <definedName name="OSRRefD16x_0" localSheetId="55">'308'!$D$45:$D$61</definedName>
    <definedName name="OSRRefD16x_0" localSheetId="67">'309'!$D$17:$D$18</definedName>
    <definedName name="OSRRefD16x_0" localSheetId="66">'310'!$D$24:$D$25</definedName>
    <definedName name="OSRRefD16x_0" localSheetId="74">'310 &amp; 491'!$D$31:$D$32</definedName>
    <definedName name="OSRRefD16x_0" localSheetId="56">'311'!$D$44:$D$60</definedName>
    <definedName name="OSRRefD16x_0" localSheetId="68">'313'!$D$21:$D$22</definedName>
    <definedName name="OSRRefD16x_0" localSheetId="54">'314'!$D$36:$D$50</definedName>
    <definedName name="OSRRefD16x_0" localSheetId="59">'315'!$D$53:$D$77</definedName>
    <definedName name="OSRRefD16x_0" localSheetId="65">'317'!$D$40:$D$55</definedName>
    <definedName name="OSRRefD16x_0" localSheetId="63">'320'!$D$18:$D$22</definedName>
    <definedName name="OSRRefD16x_0" localSheetId="69">'321'!$D$17:$D$18</definedName>
    <definedName name="OSRRefD16x_0" localSheetId="70">'322'!$D$17:$D$18</definedName>
    <definedName name="OSRRefD16x_0" localSheetId="57">'324'!$D$18:$D$19</definedName>
    <definedName name="OSRRefD16x_0" localSheetId="71">'325'!$D$17:$D$18</definedName>
    <definedName name="OSRRefD16x_0" localSheetId="60">'326'!$D$41:$D$57</definedName>
    <definedName name="OSRRefD16x_0" localSheetId="72">'327'!$D$16</definedName>
    <definedName name="OSRRefD16x_0" localSheetId="52">'330'!$D$56:$D$79</definedName>
    <definedName name="OSRRefD16x_0" localSheetId="58">'331'!$D$57:$D$86</definedName>
    <definedName name="OSRRefD16x_0" localSheetId="61">'332'!$D$34:$D$38</definedName>
    <definedName name="OSRRefD16x_0" localSheetId="76">'405'!$D$17:$D$18</definedName>
    <definedName name="OSRRefD16x_0" localSheetId="77">'406'!$D$17:$D$18</definedName>
    <definedName name="OSRRefD16x_0" localSheetId="79">'412'!$D$17:$D$18</definedName>
    <definedName name="OSRRefD16x_0" localSheetId="80">'413'!$D$17:$D$18</definedName>
    <definedName name="OSRRefD16x_0" localSheetId="81">'414'!$D$17:$D$18</definedName>
    <definedName name="OSRRefD16x_0" localSheetId="82">'415'!$D$17:$D$18</definedName>
    <definedName name="OSRRefD16x_0" localSheetId="83">'418'!$D$17:$D$18</definedName>
    <definedName name="OSRRefD16x_0" localSheetId="84">'420'!$D$17:$D$18</definedName>
    <definedName name="OSRRefD16x_0" localSheetId="85">'423'!$D$15</definedName>
    <definedName name="OSRRefD16x_0" localSheetId="86">'424'!$D$17:$D$18</definedName>
    <definedName name="OSRRefD16x_0" localSheetId="87">'425'!$D$20:$D$21</definedName>
    <definedName name="OSRRefD16x_0" localSheetId="91">'433'!$D$18:$D$19</definedName>
    <definedName name="OSRRefD16x_0" localSheetId="92">'435'!$D$18:$D$19</definedName>
    <definedName name="OSRRefD16x_0" localSheetId="93">'444'!$D$18:$D$19</definedName>
    <definedName name="OSRRefD16x_0" localSheetId="94">'450'!$D$18:$D$19</definedName>
    <definedName name="OSRRefD16x_0" localSheetId="75">'491'!$D$25:$D$26</definedName>
    <definedName name="OSRRefD16x_0" localSheetId="89">'492'!$D$20:$D$21</definedName>
    <definedName name="OSRRefD16x_0" localSheetId="47">'Div 3'!$D$115:$D$167</definedName>
    <definedName name="OSRRefD16x_0" localSheetId="73">'Div 4'!$D$25:$D$26</definedName>
    <definedName name="OSRRefD16x_0" localSheetId="64">'Div 6'!$D$40:$D$55</definedName>
    <definedName name="OSRRefD16x_0" localSheetId="2">Summary!$D$140:$D$200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'203'!$D$20:$D$29</definedName>
    <definedName name="OSRRefD22_0x_0" localSheetId="44">'204'!$D$20:$D$29</definedName>
    <definedName name="OSRRefD22_0x_0" localSheetId="45">'205'!$D$20:$D$27</definedName>
    <definedName name="OSRRefD22_0x_0" localSheetId="46">'206'!$D$20:$D$27</definedName>
    <definedName name="OSRRefD22_0x_0" localSheetId="48">'300'!$D$168:$D$177</definedName>
    <definedName name="OSRRefD22_0x_0" localSheetId="49">'300 &amp; 317'!$D$194:$D$203</definedName>
    <definedName name="OSRRefD22_0x_0" localSheetId="50">'301'!$D$21:$D$30</definedName>
    <definedName name="OSRRefD22_0x_0" localSheetId="51">'306'!$D$20:$D$28</definedName>
    <definedName name="OSRRefD22_0x_0" localSheetId="53">'307'!$D$78:$D$85</definedName>
    <definedName name="OSRRefD22_0x_0" localSheetId="55">'308'!$D$67:$D$75</definedName>
    <definedName name="OSRRefD22_0x_0" localSheetId="67">'309'!$D$24:$D$31</definedName>
    <definedName name="OSRRefD22_0x_0" localSheetId="66">'310'!$D$31:$D$38</definedName>
    <definedName name="OSRRefD22_0x_0" localSheetId="74">'310 &amp; 491'!$D$38:$D$46</definedName>
    <definedName name="OSRRefD22_0x_0" localSheetId="56">'311'!$D$66:$D$74</definedName>
    <definedName name="OSRRefD22_0x_0" localSheetId="68">'313'!$D$28:$D$35</definedName>
    <definedName name="OSRRefD22_0x_0" localSheetId="54">'314'!$D$56:$D$64</definedName>
    <definedName name="OSRRefD22_0x_0" localSheetId="59">'315'!$D$83:$D$90</definedName>
    <definedName name="OSRRefD22_0x_0" localSheetId="62">'316'!$D$37:$D$44</definedName>
    <definedName name="OSRRefD22_0x_0" localSheetId="65">'317'!$D$61:$D$69</definedName>
    <definedName name="OSRRefD22_0x_0" localSheetId="63">'320'!$D$28:$D$34</definedName>
    <definedName name="OSRRefD22_0x_0" localSheetId="69">'321'!$D$24:$D$31</definedName>
    <definedName name="OSRRefD22_0x_0" localSheetId="70">'322'!$D$24:$D$31</definedName>
    <definedName name="OSRRefD22_0x_0" localSheetId="71">'325'!$D$24:$D$31</definedName>
    <definedName name="OSRRefD22_0x_0" localSheetId="60">'326'!$D$63:$D$70</definedName>
    <definedName name="OSRRefD22_0x_0" localSheetId="72">'327'!$D$22</definedName>
    <definedName name="OSRRefD22_0x_0" localSheetId="52">'330'!$D$85:$D$93</definedName>
    <definedName name="OSRRefD22_0x_0" localSheetId="58">'331'!$D$92:$D$99</definedName>
    <definedName name="OSRRefD22_0x_0" localSheetId="61">'332'!$D$44:$D$51</definedName>
    <definedName name="OSRRefD22_0x_0" localSheetId="76">'405'!$D$24:$D$31</definedName>
    <definedName name="OSRRefD22_0x_0" localSheetId="77">'406'!$D$24:$D$31</definedName>
    <definedName name="OSRRefD22_0x_0" localSheetId="78">'411'!$D$20:$D$28</definedName>
    <definedName name="OSRRefD22_0x_0" localSheetId="79">'412'!$D$24:$D$31</definedName>
    <definedName name="OSRRefD22_0x_0" localSheetId="80">'413'!$D$24:$D$31</definedName>
    <definedName name="OSRRefD22_0x_0" localSheetId="81">'414'!$D$24:$D$31</definedName>
    <definedName name="OSRRefD22_0x_0" localSheetId="82">'415'!$D$24:$D$31</definedName>
    <definedName name="OSRRefD22_0x_0" localSheetId="83">'418'!$D$24:$D$31</definedName>
    <definedName name="OSRRefD22_0x_0" localSheetId="84">'420'!$D$24:$D$31</definedName>
    <definedName name="OSRRefD22_0x_0" localSheetId="85">'423'!$D$21:$D$28</definedName>
    <definedName name="OSRRefD22_0x_0" localSheetId="86">'424'!$D$24:$D$25</definedName>
    <definedName name="OSRRefD22_0x_0" localSheetId="87">'425'!$D$27:$D$35</definedName>
    <definedName name="OSRRefD22_0x_0" localSheetId="90">'430'!$D$20:$D$27</definedName>
    <definedName name="OSRRefD22_0x_0" localSheetId="91">'433'!$D$25:$D$33</definedName>
    <definedName name="OSRRefD22_0x_0" localSheetId="92">'435'!$D$25:$D$27</definedName>
    <definedName name="OSRRefD22_0x_0" localSheetId="93">'444'!$D$25:$D$33</definedName>
    <definedName name="OSRRefD22_0x_0" localSheetId="94">'450'!$D$25:$D$33</definedName>
    <definedName name="OSRRefD22_0x_0" localSheetId="88">'455'!$D$20:$D$26</definedName>
    <definedName name="OSRRefD22_0x_0" localSheetId="75">'491'!$D$32:$D$40</definedName>
    <definedName name="OSRRefD22_0x_0" localSheetId="89">'492'!$D$27:$D$35</definedName>
    <definedName name="OSRRefD22_0x_0" localSheetId="96">'501'!$D$21:$D$29</definedName>
    <definedName name="OSRRefD22_0x_0" localSheetId="39">'Div 2'!$D$20:$D$30</definedName>
    <definedName name="OSRRefD22_0x_0" localSheetId="47">'Div 3'!$D$173:$D$182</definedName>
    <definedName name="OSRRefD22_0x_0" localSheetId="73">'Div 4'!$D$32:$D$40</definedName>
    <definedName name="OSRRefD22_0x_0" localSheetId="95">'Div 5'!$D$21:$D$29</definedName>
    <definedName name="OSRRefD22_0x_0" localSheetId="64">'Div 6'!$D$61:$D$69</definedName>
    <definedName name="OSRRefD22_0x_0" localSheetId="2">Summary!$D$206:$D$215</definedName>
    <definedName name="OSRRefD22_10x_0" localSheetId="41">'201'!$D$51:$D$53</definedName>
    <definedName name="OSRRefD22_10x_0" localSheetId="42">'202'!$D$54</definedName>
    <definedName name="OSRRefD22_10x_0" localSheetId="43">'203'!$D$55:$D$56</definedName>
    <definedName name="OSRRefD22_10x_0" localSheetId="44">'204'!$D$56:$D$57</definedName>
    <definedName name="OSRRefD22_10x_0" localSheetId="48">'300'!$D$207:$D$208</definedName>
    <definedName name="OSRRefD22_10x_0" localSheetId="49">'300 &amp; 317'!$D$233:$D$234</definedName>
    <definedName name="OSRRefD22_10x_0" localSheetId="50">'301'!$D$60</definedName>
    <definedName name="OSRRefD22_10x_0" localSheetId="53">'307'!$D$114</definedName>
    <definedName name="OSRRefD22_10x_0" localSheetId="55">'308'!$D$105:$D$106</definedName>
    <definedName name="OSRRefD22_10x_0" localSheetId="67">'309'!$D$56:$D$58</definedName>
    <definedName name="OSRRefD22_10x_0" localSheetId="66">'310'!$D$64</definedName>
    <definedName name="OSRRefD22_10x_0" localSheetId="74">'310 &amp; 491'!$D$74:$D$75</definedName>
    <definedName name="OSRRefD22_10x_0" localSheetId="56">'311'!$D$104:$D$105</definedName>
    <definedName name="OSRRefD22_10x_0" localSheetId="68">'313'!$D$62:$D$67</definedName>
    <definedName name="OSRRefD22_10x_0" localSheetId="59">'315'!$D$119:$D$120</definedName>
    <definedName name="OSRRefD22_10x_0" localSheetId="62">'316'!$D$70:$D$75</definedName>
    <definedName name="OSRRefD22_10x_0" localSheetId="65">'317'!$D$96:$D$100</definedName>
    <definedName name="OSRRefD22_10x_0" localSheetId="69">'321'!$D$59:$D$63</definedName>
    <definedName name="OSRRefD22_10x_0" localSheetId="70">'322'!$D$58:$D$64</definedName>
    <definedName name="OSRRefD22_10x_0" localSheetId="71">'325'!$D$56</definedName>
    <definedName name="OSRRefD22_10x_0" localSheetId="60">'326'!$D$96</definedName>
    <definedName name="OSRRefD22_10x_0" localSheetId="52">'330'!$D$120</definedName>
    <definedName name="OSRRefD22_10x_0" localSheetId="58">'331'!$D$126:$D$127</definedName>
    <definedName name="OSRRefD22_10x_0" localSheetId="61">'332'!$D$78</definedName>
    <definedName name="OSRRefD22_10x_0" localSheetId="76">'405'!$D$55:$D$56</definedName>
    <definedName name="OSRRefD22_10x_0" localSheetId="77">'406'!$D$58:$D$59</definedName>
    <definedName name="OSRRefD22_10x_0" localSheetId="78">'411'!$D$55</definedName>
    <definedName name="OSRRefD22_10x_0" localSheetId="79">'412'!$D$58:$D$60</definedName>
    <definedName name="OSRRefD22_10x_0" localSheetId="80">'413'!$D$64</definedName>
    <definedName name="OSRRefD22_10x_0" localSheetId="81">'414'!$D$57</definedName>
    <definedName name="OSRRefD22_10x_0" localSheetId="82">'415'!$D$57</definedName>
    <definedName name="OSRRefD22_10x_0" localSheetId="83">'418'!$D$57:$D$58</definedName>
    <definedName name="OSRRefD22_10x_0" localSheetId="86">'424'!$D$50</definedName>
    <definedName name="OSRRefD22_10x_0" localSheetId="87">'425'!$D$62</definedName>
    <definedName name="OSRRefD22_10x_0" localSheetId="91">'433'!$D$58</definedName>
    <definedName name="OSRRefD22_10x_0" localSheetId="93">'444'!$D$58</definedName>
    <definedName name="OSRRefD22_10x_0" localSheetId="94">'450'!$D$58</definedName>
    <definedName name="OSRRefD22_10x_0" localSheetId="75">'491'!$D$68</definedName>
    <definedName name="OSRRefD22_10x_0" localSheetId="89">'492'!$D$61</definedName>
    <definedName name="OSRRefD22_10x_0" localSheetId="96">'501'!$D$56</definedName>
    <definedName name="OSRRefD22_10x_0" localSheetId="39">'Div 2'!$D$57</definedName>
    <definedName name="OSRRefD22_10x_0" localSheetId="47">'Div 3'!$D$212:$D$213</definedName>
    <definedName name="OSRRefD22_10x_0" localSheetId="73">'Div 4'!$D$68</definedName>
    <definedName name="OSRRefD22_10x_0" localSheetId="95">'Div 5'!$D$56</definedName>
    <definedName name="OSRRefD22_10x_0" localSheetId="64">'Div 6'!$D$96:$D$100</definedName>
    <definedName name="OSRRefD22_10x_0" localSheetId="2">Summary!$D$246:$D$247</definedName>
    <definedName name="OSRRefD22_11x_0" localSheetId="41">'201'!$D$55</definedName>
    <definedName name="OSRRefD22_11x_0" localSheetId="42">'202'!$D$56</definedName>
    <definedName name="OSRRefD22_11x_0" localSheetId="43">'203'!$D$58</definedName>
    <definedName name="OSRRefD22_11x_0" localSheetId="48">'300'!$D$210</definedName>
    <definedName name="OSRRefD22_11x_0" localSheetId="49">'300 &amp; 317'!$D$236</definedName>
    <definedName name="OSRRefD22_11x_0" localSheetId="50">'301'!$D$62</definedName>
    <definedName name="OSRRefD22_11x_0" localSheetId="53">'307'!$D$116</definedName>
    <definedName name="OSRRefD22_11x_0" localSheetId="55">'308'!$D$108:$D$110</definedName>
    <definedName name="OSRRefD22_11x_0" localSheetId="67">'309'!$D$60:$D$62</definedName>
    <definedName name="OSRRefD22_11x_0" localSheetId="66">'310'!$D$66</definedName>
    <definedName name="OSRRefD22_11x_0" localSheetId="74">'310 &amp; 491'!$D$77:$D$78</definedName>
    <definedName name="OSRRefD22_11x_0" localSheetId="56">'311'!$D$107:$D$109</definedName>
    <definedName name="OSRRefD22_11x_0" localSheetId="68">'313'!$D$69</definedName>
    <definedName name="OSRRefD22_11x_0" localSheetId="59">'315'!$D$122:$D$126</definedName>
    <definedName name="OSRRefD22_11x_0" localSheetId="62">'316'!$D$77</definedName>
    <definedName name="OSRRefD22_11x_0" localSheetId="65">'317'!$D$102</definedName>
    <definedName name="OSRRefD22_11x_0" localSheetId="69">'321'!$D$65</definedName>
    <definedName name="OSRRefD22_11x_0" localSheetId="70">'322'!$D$66</definedName>
    <definedName name="OSRRefD22_11x_0" localSheetId="71">'325'!$D$58:$D$60</definedName>
    <definedName name="OSRRefD22_11x_0" localSheetId="60">'326'!$D$98</definedName>
    <definedName name="OSRRefD22_11x_0" localSheetId="52">'330'!$D$122:$D$125</definedName>
    <definedName name="OSRRefD22_11x_0" localSheetId="58">'331'!$D$129</definedName>
    <definedName name="OSRRefD22_11x_0" localSheetId="61">'332'!$D$80:$D$85</definedName>
    <definedName name="OSRRefD22_11x_0" localSheetId="76">'405'!$D$58</definedName>
    <definedName name="OSRRefD22_11x_0" localSheetId="77">'406'!$D$61:$D$66</definedName>
    <definedName name="OSRRefD22_11x_0" localSheetId="78">'411'!$D$57</definedName>
    <definedName name="OSRRefD22_11x_0" localSheetId="79">'412'!$D$62:$D$67</definedName>
    <definedName name="OSRRefD22_11x_0" localSheetId="80">'413'!$D$66</definedName>
    <definedName name="OSRRefD22_11x_0" localSheetId="81">'414'!$D$59</definedName>
    <definedName name="OSRRefD22_11x_0" localSheetId="82">'415'!$D$59:$D$62</definedName>
    <definedName name="OSRRefD22_11x_0" localSheetId="83">'418'!$D$60:$D$62</definedName>
    <definedName name="OSRRefD22_11x_0" localSheetId="86">'424'!$D$52:$D$56</definedName>
    <definedName name="OSRRefD22_11x_0" localSheetId="87">'425'!$D$64:$D$66</definedName>
    <definedName name="OSRRefD22_11x_0" localSheetId="91">'433'!$D$60:$D$62</definedName>
    <definedName name="OSRRefD22_11x_0" localSheetId="93">'444'!$D$60:$D$62</definedName>
    <definedName name="OSRRefD22_11x_0" localSheetId="94">'450'!$D$60</definedName>
    <definedName name="OSRRefD22_11x_0" localSheetId="75">'491'!$D$70:$D$71</definedName>
    <definedName name="OSRRefD22_11x_0" localSheetId="89">'492'!$D$63</definedName>
    <definedName name="OSRRefD22_11x_0" localSheetId="96">'501'!$D$58:$D$60</definedName>
    <definedName name="OSRRefD22_11x_0" localSheetId="39">'Div 2'!$D$59</definedName>
    <definedName name="OSRRefD22_11x_0" localSheetId="47">'Div 3'!$D$215</definedName>
    <definedName name="OSRRefD22_11x_0" localSheetId="73">'Div 4'!$D$70:$D$71</definedName>
    <definedName name="OSRRefD22_11x_0" localSheetId="95">'Div 5'!$D$58:$D$60</definedName>
    <definedName name="OSRRefD22_11x_0" localSheetId="64">'Div 6'!$D$102</definedName>
    <definedName name="OSRRefD22_11x_0" localSheetId="2">Summary!$D$249:$D$250</definedName>
    <definedName name="OSRRefD22_12x_0" localSheetId="41">'201'!$D$57:$D$60</definedName>
    <definedName name="OSRRefD22_12x_0" localSheetId="42">'202'!$D$58:$D$60</definedName>
    <definedName name="OSRRefD22_12x_0" localSheetId="43">'203'!$D$60:$D$63</definedName>
    <definedName name="OSRRefD22_12x_0" localSheetId="48">'300'!$D$212</definedName>
    <definedName name="OSRRefD22_12x_0" localSheetId="49">'300 &amp; 317'!$D$238</definedName>
    <definedName name="OSRRefD22_12x_0" localSheetId="50">'301'!$D$64</definedName>
    <definedName name="OSRRefD22_12x_0" localSheetId="55">'308'!$D$112:$D$113</definedName>
    <definedName name="OSRRefD22_12x_0" localSheetId="67">'309'!$D$64</definedName>
    <definedName name="OSRRefD22_12x_0" localSheetId="66">'310'!$D$68</definedName>
    <definedName name="OSRRefD22_12x_0" localSheetId="74">'310 &amp; 491'!$D$80</definedName>
    <definedName name="OSRRefD22_12x_0" localSheetId="56">'311'!$D$111:$D$112</definedName>
    <definedName name="OSRRefD22_12x_0" localSheetId="68">'313'!$D$71</definedName>
    <definedName name="OSRRefD22_12x_0" localSheetId="59">'315'!$D$128</definedName>
    <definedName name="OSRRefD22_12x_0" localSheetId="62">'316'!$D$79</definedName>
    <definedName name="OSRRefD22_12x_0" localSheetId="65">'317'!$D$104</definedName>
    <definedName name="OSRRefD22_12x_0" localSheetId="69">'321'!$D$67</definedName>
    <definedName name="OSRRefD22_12x_0" localSheetId="70">'322'!$D$68</definedName>
    <definedName name="OSRRefD22_12x_0" localSheetId="71">'325'!$D$62:$D$64</definedName>
    <definedName name="OSRRefD22_12x_0" localSheetId="60">'326'!$D$100:$D$102</definedName>
    <definedName name="OSRRefD22_12x_0" localSheetId="52">'330'!$D$127</definedName>
    <definedName name="OSRRefD22_12x_0" localSheetId="58">'331'!$D$131</definedName>
    <definedName name="OSRRefD22_12x_0" localSheetId="61">'332'!$D$87</definedName>
    <definedName name="OSRRefD22_12x_0" localSheetId="76">'405'!$D$60:$D$62</definedName>
    <definedName name="OSRRefD22_12x_0" localSheetId="77">'406'!$D$68</definedName>
    <definedName name="OSRRefD22_12x_0" localSheetId="78">'411'!$D$59:$D$62</definedName>
    <definedName name="OSRRefD22_12x_0" localSheetId="79">'412'!$D$69</definedName>
    <definedName name="OSRRefD22_12x_0" localSheetId="81">'414'!$D$61</definedName>
    <definedName name="OSRRefD22_12x_0" localSheetId="82">'415'!$D$64:$D$68</definedName>
    <definedName name="OSRRefD22_12x_0" localSheetId="83">'418'!$D$64:$D$66</definedName>
    <definedName name="OSRRefD22_12x_0" localSheetId="86">'424'!$D$58</definedName>
    <definedName name="OSRRefD22_12x_0" localSheetId="87">'425'!$D$68:$D$74</definedName>
    <definedName name="OSRRefD22_12x_0" localSheetId="91">'433'!$D$64:$D$66</definedName>
    <definedName name="OSRRefD22_12x_0" localSheetId="93">'444'!$D$64:$D$67</definedName>
    <definedName name="OSRRefD22_12x_0" localSheetId="94">'450'!$D$62:$D$63</definedName>
    <definedName name="OSRRefD22_12x_0" localSheetId="75">'491'!$D$73</definedName>
    <definedName name="OSRRefD22_12x_0" localSheetId="89">'492'!$D$65:$D$67</definedName>
    <definedName name="OSRRefD22_12x_0" localSheetId="96">'501'!$D$62</definedName>
    <definedName name="OSRRefD22_12x_0" localSheetId="39">'Div 2'!$D$61:$D$64</definedName>
    <definedName name="OSRRefD22_12x_0" localSheetId="47">'Div 3'!$D$217</definedName>
    <definedName name="OSRRefD22_12x_0" localSheetId="73">'Div 4'!$D$73</definedName>
    <definedName name="OSRRefD22_12x_0" localSheetId="95">'Div 5'!$D$62</definedName>
    <definedName name="OSRRefD22_12x_0" localSheetId="64">'Div 6'!$D$104</definedName>
    <definedName name="OSRRefD22_12x_0" localSheetId="2">Summary!$D$252</definedName>
    <definedName name="OSRRefD22_13x_0" localSheetId="41">'201'!$D$62</definedName>
    <definedName name="OSRRefD22_13x_0" localSheetId="42">'202'!$D$62</definedName>
    <definedName name="OSRRefD22_13x_0" localSheetId="43">'203'!$D$65</definedName>
    <definedName name="OSRRefD22_13x_0" localSheetId="48">'300'!$D$214:$D$216</definedName>
    <definedName name="OSRRefD22_13x_0" localSheetId="49">'300 &amp; 317'!$D$240:$D$242</definedName>
    <definedName name="OSRRefD22_13x_0" localSheetId="50">'301'!$D$66</definedName>
    <definedName name="OSRRefD22_13x_0" localSheetId="55">'308'!$D$115</definedName>
    <definedName name="OSRRefD22_13x_0" localSheetId="66">'310'!$D$70</definedName>
    <definedName name="OSRRefD22_13x_0" localSheetId="74">'310 &amp; 491'!$D$82</definedName>
    <definedName name="OSRRefD22_13x_0" localSheetId="56">'311'!$D$114</definedName>
    <definedName name="OSRRefD22_13x_0" localSheetId="59">'315'!$D$130</definedName>
    <definedName name="OSRRefD22_13x_0" localSheetId="62">'316'!$D$81</definedName>
    <definedName name="OSRRefD22_13x_0" localSheetId="65">'317'!$D$106</definedName>
    <definedName name="OSRRefD22_13x_0" localSheetId="70">'322'!$D$70</definedName>
    <definedName name="OSRRefD22_13x_0" localSheetId="71">'325'!$D$66</definedName>
    <definedName name="OSRRefD22_13x_0" localSheetId="60">'326'!$D$104:$D$106</definedName>
    <definedName name="OSRRefD22_13x_0" localSheetId="52">'330'!$D$129</definedName>
    <definedName name="OSRRefD22_13x_0" localSheetId="58">'331'!$D$133:$D$135</definedName>
    <definedName name="OSRRefD22_13x_0" localSheetId="61">'332'!$D$89</definedName>
    <definedName name="OSRRefD22_13x_0" localSheetId="76">'405'!$D$64:$D$65</definedName>
    <definedName name="OSRRefD22_13x_0" localSheetId="77">'406'!$D$70</definedName>
    <definedName name="OSRRefD22_13x_0" localSheetId="78">'411'!$D$64:$D$68</definedName>
    <definedName name="OSRRefD22_13x_0" localSheetId="79">'412'!$D$71</definedName>
    <definedName name="OSRRefD22_13x_0" localSheetId="81">'414'!$D$63:$D$69</definedName>
    <definedName name="OSRRefD22_13x_0" localSheetId="82">'415'!$D$70:$D$71</definedName>
    <definedName name="OSRRefD22_13x_0" localSheetId="83">'418'!$D$68:$D$69</definedName>
    <definedName name="OSRRefD22_13x_0" localSheetId="87">'425'!$D$76</definedName>
    <definedName name="OSRRefD22_13x_0" localSheetId="91">'433'!$D$68:$D$75</definedName>
    <definedName name="OSRRefD22_13x_0" localSheetId="93">'444'!$D$69</definedName>
    <definedName name="OSRRefD22_13x_0" localSheetId="94">'450'!$D$65:$D$67</definedName>
    <definedName name="OSRRefD22_13x_0" localSheetId="75">'491'!$D$75</definedName>
    <definedName name="OSRRefD22_13x_0" localSheetId="89">'492'!$D$69:$D$72</definedName>
    <definedName name="OSRRefD22_13x_0" localSheetId="96">'501'!$D$64</definedName>
    <definedName name="OSRRefD22_13x_0" localSheetId="39">'Div 2'!$D$66:$D$68</definedName>
    <definedName name="OSRRefD22_13x_0" localSheetId="47">'Div 3'!$D$219</definedName>
    <definedName name="OSRRefD22_13x_0" localSheetId="73">'Div 4'!$D$75</definedName>
    <definedName name="OSRRefD22_13x_0" localSheetId="95">'Div 5'!$D$64</definedName>
    <definedName name="OSRRefD22_13x_0" localSheetId="64">'Div 6'!$D$106</definedName>
    <definedName name="OSRRefD22_13x_0" localSheetId="2">Summary!$D$254</definedName>
    <definedName name="OSRRefD22_14x_0" localSheetId="41">'201'!$D$64</definedName>
    <definedName name="OSRRefD22_14x_0" localSheetId="42">'202'!$D$64</definedName>
    <definedName name="OSRRefD22_14x_0" localSheetId="43">'203'!$D$67</definedName>
    <definedName name="OSRRefD22_14x_0" localSheetId="48">'300'!$D$218</definedName>
    <definedName name="OSRRefD22_14x_0" localSheetId="49">'300 &amp; 317'!$D$244</definedName>
    <definedName name="OSRRefD22_14x_0" localSheetId="50">'301'!$D$68</definedName>
    <definedName name="OSRRefD22_14x_0" localSheetId="55">'308'!$D$117</definedName>
    <definedName name="OSRRefD22_14x_0" localSheetId="66">'310'!$D$72:$D$74</definedName>
    <definedName name="OSRRefD22_14x_0" localSheetId="74">'310 &amp; 491'!$D$84</definedName>
    <definedName name="OSRRefD22_14x_0" localSheetId="56">'311'!$D$116</definedName>
    <definedName name="OSRRefD22_14x_0" localSheetId="59">'315'!$D$132:$D$133</definedName>
    <definedName name="OSRRefD22_14x_0" localSheetId="71">'325'!$D$68:$D$72</definedName>
    <definedName name="OSRRefD22_14x_0" localSheetId="60">'326'!$D$108:$D$109</definedName>
    <definedName name="OSRRefD22_14x_0" localSheetId="52">'330'!$D$131</definedName>
    <definedName name="OSRRefD22_14x_0" localSheetId="58">'331'!$D$137:$D$138</definedName>
    <definedName name="OSRRefD22_14x_0" localSheetId="61">'332'!$D$91</definedName>
    <definedName name="OSRRefD22_14x_0" localSheetId="76">'405'!$D$67:$D$73</definedName>
    <definedName name="OSRRefD22_14x_0" localSheetId="77">'406'!$D$72</definedName>
    <definedName name="OSRRefD22_14x_0" localSheetId="78">'411'!$D$70:$D$71</definedName>
    <definedName name="OSRRefD22_14x_0" localSheetId="81">'414'!$D$71</definedName>
    <definedName name="OSRRefD22_14x_0" localSheetId="82">'415'!$D$73:$D$81</definedName>
    <definedName name="OSRRefD22_14x_0" localSheetId="83">'418'!$D$71:$D$78</definedName>
    <definedName name="OSRRefD22_14x_0" localSheetId="87">'425'!$D$78</definedName>
    <definedName name="OSRRefD22_14x_0" localSheetId="91">'433'!$D$77</definedName>
    <definedName name="OSRRefD22_14x_0" localSheetId="93">'444'!$D$71:$D$79</definedName>
    <definedName name="OSRRefD22_14x_0" localSheetId="94">'450'!$D$69:$D$74</definedName>
    <definedName name="OSRRefD22_14x_0" localSheetId="75">'491'!$D$77</definedName>
    <definedName name="OSRRefD22_14x_0" localSheetId="89">'492'!$D$74</definedName>
    <definedName name="OSRRefD22_14x_0" localSheetId="39">'Div 2'!$D$70:$D$71</definedName>
    <definedName name="OSRRefD22_14x_0" localSheetId="47">'Div 3'!$D$221:$D$223</definedName>
    <definedName name="OSRRefD22_14x_0" localSheetId="73">'Div 4'!$D$77</definedName>
    <definedName name="OSRRefD22_14x_0" localSheetId="2">Summary!$D$256:$D$258</definedName>
    <definedName name="OSRRefD22_15x_0" localSheetId="41">'201'!$D$66</definedName>
    <definedName name="OSRRefD22_15x_0" localSheetId="42">'202'!$D$66</definedName>
    <definedName name="OSRRefD22_15x_0" localSheetId="43">'203'!$D$69</definedName>
    <definedName name="OSRRefD22_15x_0" localSheetId="48">'300'!$D$220</definedName>
    <definedName name="OSRRefD22_15x_0" localSheetId="49">'300 &amp; 317'!$D$246</definedName>
    <definedName name="OSRRefD22_15x_0" localSheetId="50">'301'!$D$70:$D$73</definedName>
    <definedName name="OSRRefD22_15x_0" localSheetId="66">'310'!$D$76</definedName>
    <definedName name="OSRRefD22_15x_0" localSheetId="74">'310 &amp; 491'!$D$86</definedName>
    <definedName name="OSRRefD22_15x_0" localSheetId="71">'325'!$D$74</definedName>
    <definedName name="OSRRefD22_15x_0" localSheetId="60">'326'!$D$111:$D$116</definedName>
    <definedName name="OSRRefD22_15x_0" localSheetId="58">'331'!$D$140:$D$142</definedName>
    <definedName name="OSRRefD22_15x_0" localSheetId="76">'405'!$D$75</definedName>
    <definedName name="OSRRefD22_15x_0" localSheetId="78">'411'!$D$73:$D$81</definedName>
    <definedName name="OSRRefD22_15x_0" localSheetId="81">'414'!$D$73</definedName>
    <definedName name="OSRRefD22_15x_0" localSheetId="82">'415'!$D$83</definedName>
    <definedName name="OSRRefD22_15x_0" localSheetId="83">'418'!$D$80</definedName>
    <definedName name="OSRRefD22_15x_0" localSheetId="91">'433'!$D$79</definedName>
    <definedName name="OSRRefD22_15x_0" localSheetId="93">'444'!$D$81</definedName>
    <definedName name="OSRRefD22_15x_0" localSheetId="94">'450'!$D$76</definedName>
    <definedName name="OSRRefD22_15x_0" localSheetId="75">'491'!$D$79</definedName>
    <definedName name="OSRRefD22_15x_0" localSheetId="89">'492'!$D$76:$D$84</definedName>
    <definedName name="OSRRefD22_15x_0" localSheetId="39">'Div 2'!$D$73</definedName>
    <definedName name="OSRRefD22_15x_0" localSheetId="47">'Div 3'!$D$225</definedName>
    <definedName name="OSRRefD22_15x_0" localSheetId="73">'Div 4'!$D$79</definedName>
    <definedName name="OSRRefD22_15x_0" localSheetId="2">Summary!$D$260</definedName>
    <definedName name="OSRRefD22_16x_0" localSheetId="48">'300'!$D$222:$D$225</definedName>
    <definedName name="OSRRefD22_16x_0" localSheetId="49">'300 &amp; 317'!$D$248:$D$251</definedName>
    <definedName name="OSRRefD22_16x_0" localSheetId="50">'301'!$D$75:$D$77</definedName>
    <definedName name="OSRRefD22_16x_0" localSheetId="66">'310'!$D$78:$D$81</definedName>
    <definedName name="OSRRefD22_16x_0" localSheetId="74">'310 &amp; 491'!$D$88:$D$91</definedName>
    <definedName name="OSRRefD22_16x_0" localSheetId="71">'325'!$D$76</definedName>
    <definedName name="OSRRefD22_16x_0" localSheetId="60">'326'!$D$118</definedName>
    <definedName name="OSRRefD22_16x_0" localSheetId="58">'331'!$D$144:$D$145</definedName>
    <definedName name="OSRRefD22_16x_0" localSheetId="76">'405'!$D$77</definedName>
    <definedName name="OSRRefD22_16x_0" localSheetId="78">'411'!$D$83</definedName>
    <definedName name="OSRRefD22_16x_0" localSheetId="82">'415'!$D$85</definedName>
    <definedName name="OSRRefD22_16x_0" localSheetId="83">'418'!$D$82</definedName>
    <definedName name="OSRRefD22_16x_0" localSheetId="91">'433'!$D$81</definedName>
    <definedName name="OSRRefD22_16x_0" localSheetId="93">'444'!$D$83</definedName>
    <definedName name="OSRRefD22_16x_0" localSheetId="94">'450'!$D$78</definedName>
    <definedName name="OSRRefD22_16x_0" localSheetId="75">'491'!$D$81:$D$84</definedName>
    <definedName name="OSRRefD22_16x_0" localSheetId="89">'492'!$D$86</definedName>
    <definedName name="OSRRefD22_16x_0" localSheetId="39">'Div 2'!$D$75:$D$79</definedName>
    <definedName name="OSRRefD22_16x_0" localSheetId="47">'Div 3'!$D$227</definedName>
    <definedName name="OSRRefD22_16x_0" localSheetId="73">'Div 4'!$D$81</definedName>
    <definedName name="OSRRefD22_16x_0" localSheetId="2">Summary!$D$262</definedName>
    <definedName name="OSRRefD22_17x_0" localSheetId="48">'300'!$D$227:$D$229</definedName>
    <definedName name="OSRRefD22_17x_0" localSheetId="49">'300 &amp; 317'!$D$253:$D$255</definedName>
    <definedName name="OSRRefD22_17x_0" localSheetId="50">'301'!$D$79:$D$80</definedName>
    <definedName name="OSRRefD22_17x_0" localSheetId="66">'310'!$D$83</definedName>
    <definedName name="OSRRefD22_17x_0" localSheetId="74">'310 &amp; 491'!$D$93:$D$94</definedName>
    <definedName name="OSRRefD22_17x_0" localSheetId="71">'325'!$D$78</definedName>
    <definedName name="OSRRefD22_17x_0" localSheetId="60">'326'!$D$120</definedName>
    <definedName name="OSRRefD22_17x_0" localSheetId="58">'331'!$D$147:$D$152</definedName>
    <definedName name="OSRRefD22_17x_0" localSheetId="76">'405'!$D$79</definedName>
    <definedName name="OSRRefD22_17x_0" localSheetId="78">'411'!$D$85</definedName>
    <definedName name="OSRRefD22_17x_0" localSheetId="82">'415'!$D$87</definedName>
    <definedName name="OSRRefD22_17x_0" localSheetId="93">'444'!$D$85:$D$86</definedName>
    <definedName name="OSRRefD22_17x_0" localSheetId="94">'450'!$D$80</definedName>
    <definedName name="OSRRefD22_17x_0" localSheetId="75">'491'!$D$86:$D$87</definedName>
    <definedName name="OSRRefD22_17x_0" localSheetId="89">'492'!$D$88</definedName>
    <definedName name="OSRRefD22_17x_0" localSheetId="39">'Div 2'!$D$81:$D$82</definedName>
    <definedName name="OSRRefD22_17x_0" localSheetId="47">'Div 3'!$D$229:$D$232</definedName>
    <definedName name="OSRRefD22_17x_0" localSheetId="73">'Div 4'!$D$83:$D$86</definedName>
    <definedName name="OSRRefD22_17x_0" localSheetId="2">Summary!$D$264</definedName>
    <definedName name="OSRRefD22_18x_0" localSheetId="48">'300'!$D$231:$D$234</definedName>
    <definedName name="OSRRefD22_18x_0" localSheetId="49">'300 &amp; 317'!$D$257:$D$260</definedName>
    <definedName name="OSRRefD22_18x_0" localSheetId="50">'301'!$D$82:$D$88</definedName>
    <definedName name="OSRRefD22_18x_0" localSheetId="66">'310'!$D$85:$D$93</definedName>
    <definedName name="OSRRefD22_18x_0" localSheetId="74">'310 &amp; 491'!$D$96:$D$100</definedName>
    <definedName name="OSRRefD22_18x_0" localSheetId="60">'326'!$D$122</definedName>
    <definedName name="OSRRefD22_18x_0" localSheetId="58">'331'!$D$154</definedName>
    <definedName name="OSRRefD22_18x_0" localSheetId="78">'411'!$D$87:$D$89</definedName>
    <definedName name="OSRRefD22_18x_0" localSheetId="75">'491'!$D$89:$D$93</definedName>
    <definedName name="OSRRefD22_18x_0" localSheetId="89">'492'!$D$90:$D$91</definedName>
    <definedName name="OSRRefD22_18x_0" localSheetId="39">'Div 2'!$D$84</definedName>
    <definedName name="OSRRefD22_18x_0" localSheetId="47">'Div 3'!$D$234:$D$236</definedName>
    <definedName name="OSRRefD22_18x_0" localSheetId="73">'Div 4'!$D$88:$D$89</definedName>
    <definedName name="OSRRefD22_18x_0" localSheetId="2">Summary!$D$266:$D$269</definedName>
    <definedName name="OSRRefD22_19x_0" localSheetId="48">'300'!$D$236:$D$237</definedName>
    <definedName name="OSRRefD22_19x_0" localSheetId="49">'300 &amp; 317'!$D$262:$D$263</definedName>
    <definedName name="OSRRefD22_19x_0" localSheetId="50">'301'!$D$90</definedName>
    <definedName name="OSRRefD22_19x_0" localSheetId="66">'310'!$D$95</definedName>
    <definedName name="OSRRefD22_19x_0" localSheetId="74">'310 &amp; 491'!$D$102:$D$103</definedName>
    <definedName name="OSRRefD22_19x_0" localSheetId="60">'326'!$D$124</definedName>
    <definedName name="OSRRefD22_19x_0" localSheetId="58">'331'!$D$156</definedName>
    <definedName name="OSRRefD22_19x_0" localSheetId="78">'411'!$D$91</definedName>
    <definedName name="OSRRefD22_19x_0" localSheetId="75">'491'!$D$95:$D$96</definedName>
    <definedName name="OSRRefD22_19x_0" localSheetId="39">'Div 2'!$D$86:$D$87</definedName>
    <definedName name="OSRRefD22_19x_0" localSheetId="47">'Div 3'!$D$238:$D$242</definedName>
    <definedName name="OSRRefD22_19x_0" localSheetId="73">'Div 4'!$D$91:$D$95</definedName>
    <definedName name="OSRRefD22_19x_0" localSheetId="2">Summary!$D$271:$D$273</definedName>
    <definedName name="OSRRefD22_1x_0" localSheetId="40">'200'!$D$22</definedName>
    <definedName name="OSRRefD22_1x_0" localSheetId="41">'201'!$D$29:$D$31</definedName>
    <definedName name="OSRRefD22_1x_0" localSheetId="42">'202'!$D$29:$D$33</definedName>
    <definedName name="OSRRefD22_1x_0" localSheetId="43">'203'!$D$31:$D$35</definedName>
    <definedName name="OSRRefD22_1x_0" localSheetId="44">'204'!$D$31:$D$35</definedName>
    <definedName name="OSRRefD22_1x_0" localSheetId="45">'205'!$D$29</definedName>
    <definedName name="OSRRefD22_1x_0" localSheetId="46">'206'!$D$29:$D$32</definedName>
    <definedName name="OSRRefD22_1x_0" localSheetId="48">'300'!$D$179:$D$185</definedName>
    <definedName name="OSRRefD22_1x_0" localSheetId="49">'300 &amp; 317'!$D$205:$D$211</definedName>
    <definedName name="OSRRefD22_1x_0" localSheetId="50">'301'!$D$32:$D$38</definedName>
    <definedName name="OSRRefD22_1x_0" localSheetId="51">'306'!$D$30:$D$35</definedName>
    <definedName name="OSRRefD22_1x_0" localSheetId="53">'307'!$D$87:$D$90</definedName>
    <definedName name="OSRRefD22_1x_0" localSheetId="55">'308'!$D$77:$D$83</definedName>
    <definedName name="OSRRefD22_1x_0" localSheetId="67">'309'!$D$33:$D$37</definedName>
    <definedName name="OSRRefD22_1x_0" localSheetId="66">'310'!$D$40:$D$45</definedName>
    <definedName name="OSRRefD22_1x_0" localSheetId="74">'310 &amp; 491'!$D$48:$D$54</definedName>
    <definedName name="OSRRefD22_1x_0" localSheetId="56">'311'!$D$76:$D$82</definedName>
    <definedName name="OSRRefD22_1x_0" localSheetId="68">'313'!$D$37:$D$42</definedName>
    <definedName name="OSRRefD22_1x_0" localSheetId="54">'314'!$D$66:$D$68</definedName>
    <definedName name="OSRRefD22_1x_0" localSheetId="59">'315'!$D$92:$D$97</definedName>
    <definedName name="OSRRefD22_1x_0" localSheetId="62">'316'!$D$46:$D$49</definedName>
    <definedName name="OSRRefD22_1x_0" localSheetId="65">'317'!$D$71:$D$75</definedName>
    <definedName name="OSRRefD22_1x_0" localSheetId="63">'320'!$D$36:$D$40</definedName>
    <definedName name="OSRRefD22_1x_0" localSheetId="69">'321'!$D$33:$D$37</definedName>
    <definedName name="OSRRefD22_1x_0" localSheetId="70">'322'!$D$33:$D$37</definedName>
    <definedName name="OSRRefD22_1x_0" localSheetId="71">'325'!$D$33:$D$37</definedName>
    <definedName name="OSRRefD22_1x_0" localSheetId="60">'326'!$D$72:$D$77</definedName>
    <definedName name="OSRRefD22_1x_0" localSheetId="72">'327'!$D$24</definedName>
    <definedName name="OSRRefD22_1x_0" localSheetId="52">'330'!$D$95:$D$99</definedName>
    <definedName name="OSRRefD22_1x_0" localSheetId="58">'331'!$D$101:$D$106</definedName>
    <definedName name="OSRRefD22_1x_0" localSheetId="61">'332'!$D$53:$D$57</definedName>
    <definedName name="OSRRefD22_1x_0" localSheetId="76">'405'!$D$33:$D$36</definedName>
    <definedName name="OSRRefD22_1x_0" localSheetId="77">'406'!$D$33:$D$38</definedName>
    <definedName name="OSRRefD22_1x_0" localSheetId="78">'411'!$D$30:$D$35</definedName>
    <definedName name="OSRRefD22_1x_0" localSheetId="79">'412'!$D$33:$D$38</definedName>
    <definedName name="OSRRefD22_1x_0" localSheetId="80">'413'!$D$33:$D$37</definedName>
    <definedName name="OSRRefD22_1x_0" localSheetId="81">'414'!$D$33:$D$38</definedName>
    <definedName name="OSRRefD22_1x_0" localSheetId="82">'415'!$D$33:$D$38</definedName>
    <definedName name="OSRRefD22_1x_0" localSheetId="83">'418'!$D$33:$D$38</definedName>
    <definedName name="OSRRefD22_1x_0" localSheetId="84">'420'!$D$33:$D$36</definedName>
    <definedName name="OSRRefD22_1x_0" localSheetId="85">'423'!$D$30:$D$31</definedName>
    <definedName name="OSRRefD22_1x_0" localSheetId="86">'424'!$D$27:$D$31</definedName>
    <definedName name="OSRRefD22_1x_0" localSheetId="87">'425'!$D$37:$D$42</definedName>
    <definedName name="OSRRefD22_1x_0" localSheetId="90">'430'!$D$29</definedName>
    <definedName name="OSRRefD22_1x_0" localSheetId="91">'433'!$D$35:$D$40</definedName>
    <definedName name="OSRRefD22_1x_0" localSheetId="92">'435'!$D$29:$D$31</definedName>
    <definedName name="OSRRefD22_1x_0" localSheetId="93">'444'!$D$35:$D$40</definedName>
    <definedName name="OSRRefD22_1x_0" localSheetId="94">'450'!$D$35:$D$40</definedName>
    <definedName name="OSRRefD22_1x_0" localSheetId="88">'455'!$D$28:$D$29</definedName>
    <definedName name="OSRRefD22_1x_0" localSheetId="75">'491'!$D$42:$D$48</definedName>
    <definedName name="OSRRefD22_1x_0" localSheetId="89">'492'!$D$37:$D$43</definedName>
    <definedName name="OSRRefD22_1x_0" localSheetId="96">'501'!$D$31:$D$35</definedName>
    <definedName name="OSRRefD22_1x_0" localSheetId="39">'Div 2'!$D$32:$D$38</definedName>
    <definedName name="OSRRefD22_1x_0" localSheetId="47">'Div 3'!$D$184:$D$190</definedName>
    <definedName name="OSRRefD22_1x_0" localSheetId="73">'Div 4'!$D$42:$D$48</definedName>
    <definedName name="OSRRefD22_1x_0" localSheetId="95">'Div 5'!$D$31:$D$35</definedName>
    <definedName name="OSRRefD22_1x_0" localSheetId="64">'Div 6'!$D$71:$D$75</definedName>
    <definedName name="OSRRefD22_1x_0" localSheetId="2">Summary!$D$217:$D$223</definedName>
    <definedName name="OSRRefD22_20x_0" localSheetId="48">'300'!$D$239:$D$246</definedName>
    <definedName name="OSRRefD22_20x_0" localSheetId="49">'300 &amp; 317'!$D$265:$D$272</definedName>
    <definedName name="OSRRefD22_20x_0" localSheetId="50">'301'!$D$92</definedName>
    <definedName name="OSRRefD22_20x_0" localSheetId="66">'310'!$D$97</definedName>
    <definedName name="OSRRefD22_20x_0" localSheetId="74">'310 &amp; 491'!$D$105:$D$114</definedName>
    <definedName name="OSRRefD22_20x_0" localSheetId="58">'331'!$D$158:$D$159</definedName>
    <definedName name="OSRRefD22_20x_0" localSheetId="75">'491'!$D$98:$D$107</definedName>
    <definedName name="OSRRefD22_20x_0" localSheetId="47">'Div 3'!$D$244:$D$245</definedName>
    <definedName name="OSRRefD22_20x_0" localSheetId="73">'Div 4'!$D$97:$D$98</definedName>
    <definedName name="OSRRefD22_20x_0" localSheetId="2">Summary!$D$275:$D$279</definedName>
    <definedName name="OSRRefD22_21x_0" localSheetId="48">'300'!$D$248:$D$249</definedName>
    <definedName name="OSRRefD22_21x_0" localSheetId="49">'300 &amp; 317'!$D$274:$D$275</definedName>
    <definedName name="OSRRefD22_21x_0" localSheetId="50">'301'!$D$94:$D$96</definedName>
    <definedName name="OSRRefD22_21x_0" localSheetId="66">'310'!$D$99</definedName>
    <definedName name="OSRRefD22_21x_0" localSheetId="74">'310 &amp; 491'!$D$116</definedName>
    <definedName name="OSRRefD22_21x_0" localSheetId="58">'331'!$D$161</definedName>
    <definedName name="OSRRefD22_21x_0" localSheetId="75">'491'!$D$109</definedName>
    <definedName name="OSRRefD22_21x_0" localSheetId="47">'Div 3'!$D$247:$D$255</definedName>
    <definedName name="OSRRefD22_21x_0" localSheetId="73">'Div 4'!$D$100:$D$109</definedName>
    <definedName name="OSRRefD22_21x_0" localSheetId="2">Summary!$D$281:$D$282</definedName>
    <definedName name="OSRRefD22_22x_0" localSheetId="48">'300'!$D$251</definedName>
    <definedName name="OSRRefD22_22x_0" localSheetId="49">'300 &amp; 317'!$D$277</definedName>
    <definedName name="OSRRefD22_22x_0" localSheetId="50">'301'!$D$98</definedName>
    <definedName name="OSRRefD22_22x_0" localSheetId="66">'310'!$D$101</definedName>
    <definedName name="OSRRefD22_22x_0" localSheetId="74">'310 &amp; 491'!$D$118</definedName>
    <definedName name="OSRRefD22_22x_0" localSheetId="75">'491'!$D$111</definedName>
    <definedName name="OSRRefD22_22x_0" localSheetId="47">'Div 3'!$D$257:$D$258</definedName>
    <definedName name="OSRRefD22_22x_0" localSheetId="73">'Div 4'!$D$111</definedName>
    <definedName name="OSRRefD22_22x_0" localSheetId="2">Summary!$D$284:$D$293</definedName>
    <definedName name="OSRRefD22_23x_0" localSheetId="48">'300'!$D$253:$D$255</definedName>
    <definedName name="OSRRefD22_23x_0" localSheetId="49">'300 &amp; 317'!$D$279:$D$281</definedName>
    <definedName name="OSRRefD22_23x_0" localSheetId="74">'310 &amp; 491'!$D$120:$D$122</definedName>
    <definedName name="OSRRefD22_23x_0" localSheetId="75">'491'!$D$113:$D$115</definedName>
    <definedName name="OSRRefD22_23x_0" localSheetId="47">'Div 3'!$D$260</definedName>
    <definedName name="OSRRefD22_23x_0" localSheetId="73">'Div 4'!$D$113</definedName>
    <definedName name="OSRRefD22_23x_0" localSheetId="2">Summary!$D$295:$D$296</definedName>
    <definedName name="OSRRefD22_24x_0" localSheetId="48">'300'!$D$257</definedName>
    <definedName name="OSRRefD22_24x_0" localSheetId="49">'300 &amp; 317'!$D$283</definedName>
    <definedName name="OSRRefD22_24x_0" localSheetId="74">'310 &amp; 491'!$D$124</definedName>
    <definedName name="OSRRefD22_24x_0" localSheetId="75">'491'!$D$117</definedName>
    <definedName name="OSRRefD22_24x_0" localSheetId="47">'Div 3'!$D$262:$D$264</definedName>
    <definedName name="OSRRefD22_24x_0" localSheetId="73">'Div 4'!$D$115:$D$117</definedName>
    <definedName name="OSRRefD22_24x_0" localSheetId="2">Summary!$D$298</definedName>
    <definedName name="OSRRefD22_25x_0" localSheetId="47">'Div 3'!$D$266</definedName>
    <definedName name="OSRRefD22_25x_0" localSheetId="73">'Div 4'!$D$119</definedName>
    <definedName name="OSRRefD22_25x_0" localSheetId="2">Summary!$D$300:$D$302</definedName>
    <definedName name="OSRRefD22_26x_0" localSheetId="2">Summary!$D$304</definedName>
    <definedName name="OSRRefD22_2x_0" localSheetId="40">'200'!$D$24</definedName>
    <definedName name="OSRRefD22_2x_0" localSheetId="41">'201'!$D$33</definedName>
    <definedName name="OSRRefD22_2x_0" localSheetId="42">'202'!$D$35</definedName>
    <definedName name="OSRRefD22_2x_0" localSheetId="43">'203'!$D$37</definedName>
    <definedName name="OSRRefD22_2x_0" localSheetId="44">'204'!$D$37</definedName>
    <definedName name="OSRRefD22_2x_0" localSheetId="45">'205'!$D$31</definedName>
    <definedName name="OSRRefD22_2x_0" localSheetId="46">'206'!$D$34</definedName>
    <definedName name="OSRRefD22_2x_0" localSheetId="48">'300'!$D$187</definedName>
    <definedName name="OSRRefD22_2x_0" localSheetId="49">'300 &amp; 317'!$D$213</definedName>
    <definedName name="OSRRefD22_2x_0" localSheetId="50">'301'!$D$40</definedName>
    <definedName name="OSRRefD22_2x_0" localSheetId="51">'306'!$D$37</definedName>
    <definedName name="OSRRefD22_2x_0" localSheetId="53">'307'!$D$92</definedName>
    <definedName name="OSRRefD22_2x_0" localSheetId="55">'308'!$D$85</definedName>
    <definedName name="OSRRefD22_2x_0" localSheetId="67">'309'!$D$39</definedName>
    <definedName name="OSRRefD22_2x_0" localSheetId="66">'310'!$D$47</definedName>
    <definedName name="OSRRefD22_2x_0" localSheetId="74">'310 &amp; 491'!$D$56</definedName>
    <definedName name="OSRRefD22_2x_0" localSheetId="56">'311'!$D$84</definedName>
    <definedName name="OSRRefD22_2x_0" localSheetId="68">'313'!$D$44</definedName>
    <definedName name="OSRRefD22_2x_0" localSheetId="54">'314'!$D$70</definedName>
    <definedName name="OSRRefD22_2x_0" localSheetId="59">'315'!$D$99</definedName>
    <definedName name="OSRRefD22_2x_0" localSheetId="62">'316'!$D$51</definedName>
    <definedName name="OSRRefD22_2x_0" localSheetId="65">'317'!$D$77</definedName>
    <definedName name="OSRRefD22_2x_0" localSheetId="63">'320'!$D$42</definedName>
    <definedName name="OSRRefD22_2x_0" localSheetId="69">'321'!$D$39</definedName>
    <definedName name="OSRRefD22_2x_0" localSheetId="70">'322'!$D$39</definedName>
    <definedName name="OSRRefD22_2x_0" localSheetId="71">'325'!$D$39</definedName>
    <definedName name="OSRRefD22_2x_0" localSheetId="60">'326'!$D$79</definedName>
    <definedName name="OSRRefD22_2x_0" localSheetId="72">'327'!$D$26</definedName>
    <definedName name="OSRRefD22_2x_0" localSheetId="52">'330'!$D$101</definedName>
    <definedName name="OSRRefD22_2x_0" localSheetId="58">'331'!$D$108</definedName>
    <definedName name="OSRRefD22_2x_0" localSheetId="61">'332'!$D$59</definedName>
    <definedName name="OSRRefD22_2x_0" localSheetId="76">'405'!$D$38</definedName>
    <definedName name="OSRRefD22_2x_0" localSheetId="77">'406'!$D$40</definedName>
    <definedName name="OSRRefD22_2x_0" localSheetId="78">'411'!$D$37</definedName>
    <definedName name="OSRRefD22_2x_0" localSheetId="79">'412'!$D$40</definedName>
    <definedName name="OSRRefD22_2x_0" localSheetId="80">'413'!$D$39</definedName>
    <definedName name="OSRRefD22_2x_0" localSheetId="81">'414'!$D$40</definedName>
    <definedName name="OSRRefD22_2x_0" localSheetId="82">'415'!$D$40</definedName>
    <definedName name="OSRRefD22_2x_0" localSheetId="83">'418'!$D$40</definedName>
    <definedName name="OSRRefD22_2x_0" localSheetId="84">'420'!$D$38</definedName>
    <definedName name="OSRRefD22_2x_0" localSheetId="85">'423'!$D$33</definedName>
    <definedName name="OSRRefD22_2x_0" localSheetId="86">'424'!$D$33</definedName>
    <definedName name="OSRRefD22_2x_0" localSheetId="87">'425'!$D$44</definedName>
    <definedName name="OSRRefD22_2x_0" localSheetId="90">'430'!$D$31</definedName>
    <definedName name="OSRRefD22_2x_0" localSheetId="91">'433'!$D$42</definedName>
    <definedName name="OSRRefD22_2x_0" localSheetId="92">'435'!$D$33</definedName>
    <definedName name="OSRRefD22_2x_0" localSheetId="93">'444'!$D$42</definedName>
    <definedName name="OSRRefD22_2x_0" localSheetId="94">'450'!$D$42</definedName>
    <definedName name="OSRRefD22_2x_0" localSheetId="75">'491'!$D$50</definedName>
    <definedName name="OSRRefD22_2x_0" localSheetId="89">'492'!$D$45</definedName>
    <definedName name="OSRRefD22_2x_0" localSheetId="96">'501'!$D$37</definedName>
    <definedName name="OSRRefD22_2x_0" localSheetId="39">'Div 2'!$D$40</definedName>
    <definedName name="OSRRefD22_2x_0" localSheetId="47">'Div 3'!$D$192</definedName>
    <definedName name="OSRRefD22_2x_0" localSheetId="73">'Div 4'!$D$50</definedName>
    <definedName name="OSRRefD22_2x_0" localSheetId="95">'Div 5'!$D$37</definedName>
    <definedName name="OSRRefD22_2x_0" localSheetId="64">'Div 6'!$D$77</definedName>
    <definedName name="OSRRefD22_2x_0" localSheetId="2">Summary!$D$225</definedName>
    <definedName name="OSRRefD22_3x_0" localSheetId="40">'200'!$D$26</definedName>
    <definedName name="OSRRefD22_3x_0" localSheetId="41">'201'!$D$35</definedName>
    <definedName name="OSRRefD22_3x_0" localSheetId="42">'202'!$D$37</definedName>
    <definedName name="OSRRefD22_3x_0" localSheetId="43">'203'!$D$39</definedName>
    <definedName name="OSRRefD22_3x_0" localSheetId="44">'204'!$D$39</definedName>
    <definedName name="OSRRefD22_3x_0" localSheetId="45">'205'!$D$33</definedName>
    <definedName name="OSRRefD22_3x_0" localSheetId="46">'206'!$D$36</definedName>
    <definedName name="OSRRefD22_3x_0" localSheetId="48">'300'!$D$189:$D$190</definedName>
    <definedName name="OSRRefD22_3x_0" localSheetId="49">'300 &amp; 317'!$D$215:$D$216</definedName>
    <definedName name="OSRRefD22_3x_0" localSheetId="50">'301'!$D$42:$D$43</definedName>
    <definedName name="OSRRefD22_3x_0" localSheetId="51">'306'!$D$39</definedName>
    <definedName name="OSRRefD22_3x_0" localSheetId="53">'307'!$D$94</definedName>
    <definedName name="OSRRefD22_3x_0" localSheetId="55">'308'!$D$87:$D$88</definedName>
    <definedName name="OSRRefD22_3x_0" localSheetId="67">'309'!$D$41</definedName>
    <definedName name="OSRRefD22_3x_0" localSheetId="66">'310'!$D$49</definedName>
    <definedName name="OSRRefD22_3x_0" localSheetId="74">'310 &amp; 491'!$D$58</definedName>
    <definedName name="OSRRefD22_3x_0" localSheetId="56">'311'!$D$86:$D$87</definedName>
    <definedName name="OSRRefD22_3x_0" localSheetId="68">'313'!$D$46</definedName>
    <definedName name="OSRRefD22_3x_0" localSheetId="54">'314'!$D$72:$D$73</definedName>
    <definedName name="OSRRefD22_3x_0" localSheetId="59">'315'!$D$101:$D$102</definedName>
    <definedName name="OSRRefD22_3x_0" localSheetId="62">'316'!$D$53</definedName>
    <definedName name="OSRRefD22_3x_0" localSheetId="65">'317'!$D$79</definedName>
    <definedName name="OSRRefD22_3x_0" localSheetId="63">'320'!$D$44</definedName>
    <definedName name="OSRRefD22_3x_0" localSheetId="69">'321'!$D$41</definedName>
    <definedName name="OSRRefD22_3x_0" localSheetId="70">'322'!$D$41</definedName>
    <definedName name="OSRRefD22_3x_0" localSheetId="71">'325'!$D$41</definedName>
    <definedName name="OSRRefD22_3x_0" localSheetId="60">'326'!$D$81</definedName>
    <definedName name="OSRRefD22_3x_0" localSheetId="52">'330'!$D$103</definedName>
    <definedName name="OSRRefD22_3x_0" localSheetId="58">'331'!$D$110</definedName>
    <definedName name="OSRRefD22_3x_0" localSheetId="61">'332'!$D$61</definedName>
    <definedName name="OSRRefD22_3x_0" localSheetId="76">'405'!$D$40</definedName>
    <definedName name="OSRRefD22_3x_0" localSheetId="77">'406'!$D$42</definedName>
    <definedName name="OSRRefD22_3x_0" localSheetId="78">'411'!$D$39</definedName>
    <definedName name="OSRRefD22_3x_0" localSheetId="79">'412'!$D$42</definedName>
    <definedName name="OSRRefD22_3x_0" localSheetId="80">'413'!$D$41</definedName>
    <definedName name="OSRRefD22_3x_0" localSheetId="81">'414'!$D$42</definedName>
    <definedName name="OSRRefD22_3x_0" localSheetId="82">'415'!$D$42</definedName>
    <definedName name="OSRRefD22_3x_0" localSheetId="83">'418'!$D$42</definedName>
    <definedName name="OSRRefD22_3x_0" localSheetId="84">'420'!$D$40</definedName>
    <definedName name="OSRRefD22_3x_0" localSheetId="85">'423'!$D$35</definedName>
    <definedName name="OSRRefD22_3x_0" localSheetId="86">'424'!$D$35</definedName>
    <definedName name="OSRRefD22_3x_0" localSheetId="87">'425'!$D$46</definedName>
    <definedName name="OSRRefD22_3x_0" localSheetId="90">'430'!$D$33</definedName>
    <definedName name="OSRRefD22_3x_0" localSheetId="91">'433'!$D$44</definedName>
    <definedName name="OSRRefD22_3x_0" localSheetId="92">'435'!$D$35</definedName>
    <definedName name="OSRRefD22_3x_0" localSheetId="93">'444'!$D$44</definedName>
    <definedName name="OSRRefD22_3x_0" localSheetId="94">'450'!$D$44</definedName>
    <definedName name="OSRRefD22_3x_0" localSheetId="75">'491'!$D$52</definedName>
    <definedName name="OSRRefD22_3x_0" localSheetId="89">'492'!$D$47</definedName>
    <definedName name="OSRRefD22_3x_0" localSheetId="96">'501'!$D$39</definedName>
    <definedName name="OSRRefD22_3x_0" localSheetId="39">'Div 2'!$D$42</definedName>
    <definedName name="OSRRefD22_3x_0" localSheetId="47">'Div 3'!$D$194:$D$195</definedName>
    <definedName name="OSRRefD22_3x_0" localSheetId="73">'Div 4'!$D$52</definedName>
    <definedName name="OSRRefD22_3x_0" localSheetId="95">'Div 5'!$D$39</definedName>
    <definedName name="OSRRefD22_3x_0" localSheetId="64">'Div 6'!$D$79</definedName>
    <definedName name="OSRRefD22_3x_0" localSheetId="2">Summary!$D$227:$D$228</definedName>
    <definedName name="OSRRefD22_4x_0" localSheetId="40">'200'!$D$28:$D$29</definedName>
    <definedName name="OSRRefD22_4x_0" localSheetId="41">'201'!$D$37</definedName>
    <definedName name="OSRRefD22_4x_0" localSheetId="42">'202'!$D$39</definedName>
    <definedName name="OSRRefD22_4x_0" localSheetId="43">'203'!$D$41</definedName>
    <definedName name="OSRRefD22_4x_0" localSheetId="44">'204'!$D$41</definedName>
    <definedName name="OSRRefD22_4x_0" localSheetId="45">'205'!$D$35:$D$37</definedName>
    <definedName name="OSRRefD22_4x_0" localSheetId="46">'206'!$D$38</definedName>
    <definedName name="OSRRefD22_4x_0" localSheetId="48">'300'!$D$192</definedName>
    <definedName name="OSRRefD22_4x_0" localSheetId="49">'300 &amp; 317'!$D$218</definedName>
    <definedName name="OSRRefD22_4x_0" localSheetId="50">'301'!$D$45</definedName>
    <definedName name="OSRRefD22_4x_0" localSheetId="51">'306'!$D$41</definedName>
    <definedName name="OSRRefD22_4x_0" localSheetId="53">'307'!$D$96:$D$97</definedName>
    <definedName name="OSRRefD22_4x_0" localSheetId="55">'308'!$D$90</definedName>
    <definedName name="OSRRefD22_4x_0" localSheetId="67">'309'!$D$43</definedName>
    <definedName name="OSRRefD22_4x_0" localSheetId="66">'310'!$D$51</definedName>
    <definedName name="OSRRefD22_4x_0" localSheetId="74">'310 &amp; 491'!$D$60</definedName>
    <definedName name="OSRRefD22_4x_0" localSheetId="56">'311'!$D$89</definedName>
    <definedName name="OSRRefD22_4x_0" localSheetId="68">'313'!$D$48</definedName>
    <definedName name="OSRRefD22_4x_0" localSheetId="54">'314'!$D$75</definedName>
    <definedName name="OSRRefD22_4x_0" localSheetId="59">'315'!$D$104</definedName>
    <definedName name="OSRRefD22_4x_0" localSheetId="62">'316'!$D$55</definedName>
    <definedName name="OSRRefD22_4x_0" localSheetId="65">'317'!$D$81</definedName>
    <definedName name="OSRRefD22_4x_0" localSheetId="63">'320'!$D$46:$D$47</definedName>
    <definedName name="OSRRefD22_4x_0" localSheetId="69">'321'!$D$43</definedName>
    <definedName name="OSRRefD22_4x_0" localSheetId="70">'322'!$D$43</definedName>
    <definedName name="OSRRefD22_4x_0" localSheetId="71">'325'!$D$43</definedName>
    <definedName name="OSRRefD22_4x_0" localSheetId="60">'326'!$D$83</definedName>
    <definedName name="OSRRefD22_4x_0" localSheetId="52">'330'!$D$105:$D$106</definedName>
    <definedName name="OSRRefD22_4x_0" localSheetId="58">'331'!$D$112</definedName>
    <definedName name="OSRRefD22_4x_0" localSheetId="61">'332'!$D$63</definedName>
    <definedName name="OSRRefD22_4x_0" localSheetId="76">'405'!$D$42</definedName>
    <definedName name="OSRRefD22_4x_0" localSheetId="77">'406'!$D$44</definedName>
    <definedName name="OSRRefD22_4x_0" localSheetId="78">'411'!$D$41:$D$43</definedName>
    <definedName name="OSRRefD22_4x_0" localSheetId="79">'412'!$D$44</definedName>
    <definedName name="OSRRefD22_4x_0" localSheetId="80">'413'!$D$43</definedName>
    <definedName name="OSRRefD22_4x_0" localSheetId="81">'414'!$D$44</definedName>
    <definedName name="OSRRefD22_4x_0" localSheetId="82">'415'!$D$44</definedName>
    <definedName name="OSRRefD22_4x_0" localSheetId="83">'418'!$D$44</definedName>
    <definedName name="OSRRefD22_4x_0" localSheetId="84">'420'!$D$42</definedName>
    <definedName name="OSRRefD22_4x_0" localSheetId="85">'423'!$D$37</definedName>
    <definedName name="OSRRefD22_4x_0" localSheetId="86">'424'!$D$37</definedName>
    <definedName name="OSRRefD22_4x_0" localSheetId="87">'425'!$D$48</definedName>
    <definedName name="OSRRefD22_4x_0" localSheetId="90">'430'!$D$35:$D$36</definedName>
    <definedName name="OSRRefD22_4x_0" localSheetId="91">'433'!$D$46</definedName>
    <definedName name="OSRRefD22_4x_0" localSheetId="92">'435'!$D$37</definedName>
    <definedName name="OSRRefD22_4x_0" localSheetId="93">'444'!$D$46</definedName>
    <definedName name="OSRRefD22_4x_0" localSheetId="94">'450'!$D$46</definedName>
    <definedName name="OSRRefD22_4x_0" localSheetId="75">'491'!$D$54</definedName>
    <definedName name="OSRRefD22_4x_0" localSheetId="89">'492'!$D$49</definedName>
    <definedName name="OSRRefD22_4x_0" localSheetId="96">'501'!$D$41</definedName>
    <definedName name="OSRRefD22_4x_0" localSheetId="39">'Div 2'!$D$44</definedName>
    <definedName name="OSRRefD22_4x_0" localSheetId="47">'Div 3'!$D$197</definedName>
    <definedName name="OSRRefD22_4x_0" localSheetId="73">'Div 4'!$D$54</definedName>
    <definedName name="OSRRefD22_4x_0" localSheetId="95">'Div 5'!$D$41</definedName>
    <definedName name="OSRRefD22_4x_0" localSheetId="64">'Div 6'!$D$81</definedName>
    <definedName name="OSRRefD22_4x_0" localSheetId="2">Summary!$D$230</definedName>
    <definedName name="OSRRefD22_5x_0" localSheetId="41">'201'!$D$39</definedName>
    <definedName name="OSRRefD22_5x_0" localSheetId="42">'202'!$D$41</definedName>
    <definedName name="OSRRefD22_5x_0" localSheetId="43">'203'!$D$43</definedName>
    <definedName name="OSRRefD22_5x_0" localSheetId="44">'204'!$D$43</definedName>
    <definedName name="OSRRefD22_5x_0" localSheetId="45">'205'!$D$39</definedName>
    <definedName name="OSRRefD22_5x_0" localSheetId="46">'206'!$D$40</definedName>
    <definedName name="OSRRefD22_5x_0" localSheetId="48">'300'!$D$194:$D$196</definedName>
    <definedName name="OSRRefD22_5x_0" localSheetId="49">'300 &amp; 317'!$D$220:$D$222</definedName>
    <definedName name="OSRRefD22_5x_0" localSheetId="50">'301'!$D$47:$D$49</definedName>
    <definedName name="OSRRefD22_5x_0" localSheetId="51">'306'!$D$43</definedName>
    <definedName name="OSRRefD22_5x_0" localSheetId="53">'307'!$D$99</definedName>
    <definedName name="OSRRefD22_5x_0" localSheetId="55">'308'!$D$92</definedName>
    <definedName name="OSRRefD22_5x_0" localSheetId="67">'309'!$D$45</definedName>
    <definedName name="OSRRefD22_5x_0" localSheetId="66">'310'!$D$53:$D$54</definedName>
    <definedName name="OSRRefD22_5x_0" localSheetId="74">'310 &amp; 491'!$D$62:$D$64</definedName>
    <definedName name="OSRRefD22_5x_0" localSheetId="56">'311'!$D$91</definedName>
    <definedName name="OSRRefD22_5x_0" localSheetId="68">'313'!$D$50</definedName>
    <definedName name="OSRRefD22_5x_0" localSheetId="54">'314'!$D$77</definedName>
    <definedName name="OSRRefD22_5x_0" localSheetId="59">'315'!$D$106:$D$107</definedName>
    <definedName name="OSRRefD22_5x_0" localSheetId="62">'316'!$D$57</definedName>
    <definedName name="OSRRefD22_5x_0" localSheetId="65">'317'!$D$83:$D$84</definedName>
    <definedName name="OSRRefD22_5x_0" localSheetId="63">'320'!$D$49</definedName>
    <definedName name="OSRRefD22_5x_0" localSheetId="69">'321'!$D$45</definedName>
    <definedName name="OSRRefD22_5x_0" localSheetId="70">'322'!$D$45</definedName>
    <definedName name="OSRRefD22_5x_0" localSheetId="71">'325'!$D$45:$D$46</definedName>
    <definedName name="OSRRefD22_5x_0" localSheetId="60">'326'!$D$85:$D$86</definedName>
    <definedName name="OSRRefD22_5x_0" localSheetId="52">'330'!$D$108</definedName>
    <definedName name="OSRRefD22_5x_0" localSheetId="58">'331'!$D$114:$D$115</definedName>
    <definedName name="OSRRefD22_5x_0" localSheetId="61">'332'!$D$65</definedName>
    <definedName name="OSRRefD22_5x_0" localSheetId="76">'405'!$D$44:$D$45</definedName>
    <definedName name="OSRRefD22_5x_0" localSheetId="77">'406'!$D$46</definedName>
    <definedName name="OSRRefD22_5x_0" localSheetId="78">'411'!$D$45</definedName>
    <definedName name="OSRRefD22_5x_0" localSheetId="79">'412'!$D$46</definedName>
    <definedName name="OSRRefD22_5x_0" localSheetId="80">'413'!$D$45</definedName>
    <definedName name="OSRRefD22_5x_0" localSheetId="81">'414'!$D$46</definedName>
    <definedName name="OSRRefD22_5x_0" localSheetId="82">'415'!$D$46:$D$47</definedName>
    <definedName name="OSRRefD22_5x_0" localSheetId="83">'418'!$D$46:$D$47</definedName>
    <definedName name="OSRRefD22_5x_0" localSheetId="84">'420'!$D$44</definedName>
    <definedName name="OSRRefD22_5x_0" localSheetId="85">'423'!$D$39</definedName>
    <definedName name="OSRRefD22_5x_0" localSheetId="86">'424'!$D$39</definedName>
    <definedName name="OSRRefD22_5x_0" localSheetId="87">'425'!$D$50</definedName>
    <definedName name="OSRRefD22_5x_0" localSheetId="90">'430'!$D$38</definedName>
    <definedName name="OSRRefD22_5x_0" localSheetId="91">'433'!$D$48</definedName>
    <definedName name="OSRRefD22_5x_0" localSheetId="92">'435'!$D$39</definedName>
    <definedName name="OSRRefD22_5x_0" localSheetId="93">'444'!$D$48</definedName>
    <definedName name="OSRRefD22_5x_0" localSheetId="94">'450'!$D$48</definedName>
    <definedName name="OSRRefD22_5x_0" localSheetId="75">'491'!$D$56:$D$58</definedName>
    <definedName name="OSRRefD22_5x_0" localSheetId="89">'492'!$D$51</definedName>
    <definedName name="OSRRefD22_5x_0" localSheetId="96">'501'!$D$43:$D$44</definedName>
    <definedName name="OSRRefD22_5x_0" localSheetId="39">'Div 2'!$D$46</definedName>
    <definedName name="OSRRefD22_5x_0" localSheetId="47">'Div 3'!$D$199:$D$201</definedName>
    <definedName name="OSRRefD22_5x_0" localSheetId="73">'Div 4'!$D$56:$D$58</definedName>
    <definedName name="OSRRefD22_5x_0" localSheetId="95">'Div 5'!$D$43:$D$44</definedName>
    <definedName name="OSRRefD22_5x_0" localSheetId="64">'Div 6'!$D$83:$D$84</definedName>
    <definedName name="OSRRefD22_5x_0" localSheetId="2">Summary!$D$232:$D$235</definedName>
    <definedName name="OSRRefD22_6x_0" localSheetId="41">'201'!$D$41</definedName>
    <definedName name="OSRRefD22_6x_0" localSheetId="42">'202'!$D$43:$D$44</definedName>
    <definedName name="OSRRefD22_6x_0" localSheetId="43">'203'!$D$45</definedName>
    <definedName name="OSRRefD22_6x_0" localSheetId="44">'204'!$D$45:$D$47</definedName>
    <definedName name="OSRRefD22_6x_0" localSheetId="45">'205'!$D$41:$D$43</definedName>
    <definedName name="OSRRefD22_6x_0" localSheetId="46">'206'!$D$42:$D$43</definedName>
    <definedName name="OSRRefD22_6x_0" localSheetId="48">'300'!$D$198:$D$199</definedName>
    <definedName name="OSRRefD22_6x_0" localSheetId="49">'300 &amp; 317'!$D$224:$D$225</definedName>
    <definedName name="OSRRefD22_6x_0" localSheetId="50">'301'!$D$51:$D$52</definedName>
    <definedName name="OSRRefD22_6x_0" localSheetId="51">'306'!$D$45:$D$46</definedName>
    <definedName name="OSRRefD22_6x_0" localSheetId="53">'307'!$D$101</definedName>
    <definedName name="OSRRefD22_6x_0" localSheetId="55">'308'!$D$94:$D$95</definedName>
    <definedName name="OSRRefD22_6x_0" localSheetId="67">'309'!$D$47</definedName>
    <definedName name="OSRRefD22_6x_0" localSheetId="66">'310'!$D$56</definedName>
    <definedName name="OSRRefD22_6x_0" localSheetId="74">'310 &amp; 491'!$D$66</definedName>
    <definedName name="OSRRefD22_6x_0" localSheetId="56">'311'!$D$93:$D$94</definedName>
    <definedName name="OSRRefD22_6x_0" localSheetId="68">'313'!$D$52</definedName>
    <definedName name="OSRRefD22_6x_0" localSheetId="54">'314'!$D$79:$D$80</definedName>
    <definedName name="OSRRefD22_6x_0" localSheetId="59">'315'!$D$109:$D$110</definedName>
    <definedName name="OSRRefD22_6x_0" localSheetId="62">'316'!$D$59:$D$60</definedName>
    <definedName name="OSRRefD22_6x_0" localSheetId="65">'317'!$D$86</definedName>
    <definedName name="OSRRefD22_6x_0" localSheetId="63">'320'!$D$51</definedName>
    <definedName name="OSRRefD22_6x_0" localSheetId="69">'321'!$D$47</definedName>
    <definedName name="OSRRefD22_6x_0" localSheetId="70">'322'!$D$47</definedName>
    <definedName name="OSRRefD22_6x_0" localSheetId="71">'325'!$D$48</definedName>
    <definedName name="OSRRefD22_6x_0" localSheetId="60">'326'!$D$88</definedName>
    <definedName name="OSRRefD22_6x_0" localSheetId="52">'330'!$D$110</definedName>
    <definedName name="OSRRefD22_6x_0" localSheetId="58">'331'!$D$117</definedName>
    <definedName name="OSRRefD22_6x_0" localSheetId="61">'332'!$D$67:$D$68</definedName>
    <definedName name="OSRRefD22_6x_0" localSheetId="76">'405'!$D$47</definedName>
    <definedName name="OSRRefD22_6x_0" localSheetId="77">'406'!$D$48</definedName>
    <definedName name="OSRRefD22_6x_0" localSheetId="78">'411'!$D$47</definedName>
    <definedName name="OSRRefD22_6x_0" localSheetId="79">'412'!$D$48</definedName>
    <definedName name="OSRRefD22_6x_0" localSheetId="80">'413'!$D$47</definedName>
    <definedName name="OSRRefD22_6x_0" localSheetId="81">'414'!$D$48</definedName>
    <definedName name="OSRRefD22_6x_0" localSheetId="82">'415'!$D$49</definedName>
    <definedName name="OSRRefD22_6x_0" localSheetId="83">'418'!$D$49</definedName>
    <definedName name="OSRRefD22_6x_0" localSheetId="84">'420'!$D$46:$D$47</definedName>
    <definedName name="OSRRefD22_6x_0" localSheetId="85">'423'!$D$41</definedName>
    <definedName name="OSRRefD22_6x_0" localSheetId="86">'424'!$D$41</definedName>
    <definedName name="OSRRefD22_6x_0" localSheetId="87">'425'!$D$52</definedName>
    <definedName name="OSRRefD22_6x_0" localSheetId="90">'430'!$D$40</definedName>
    <definedName name="OSRRefD22_6x_0" localSheetId="91">'433'!$D$50</definedName>
    <definedName name="OSRRefD22_6x_0" localSheetId="92">'435'!$D$41</definedName>
    <definedName name="OSRRefD22_6x_0" localSheetId="93">'444'!$D$50</definedName>
    <definedName name="OSRRefD22_6x_0" localSheetId="94">'450'!$D$50</definedName>
    <definedName name="OSRRefD22_6x_0" localSheetId="75">'491'!$D$60</definedName>
    <definedName name="OSRRefD22_6x_0" localSheetId="89">'492'!$D$53</definedName>
    <definedName name="OSRRefD22_6x_0" localSheetId="96">'501'!$D$46</definedName>
    <definedName name="OSRRefD22_6x_0" localSheetId="39">'Div 2'!$D$48</definedName>
    <definedName name="OSRRefD22_6x_0" localSheetId="47">'Div 3'!$D$203:$D$204</definedName>
    <definedName name="OSRRefD22_6x_0" localSheetId="73">'Div 4'!$D$60</definedName>
    <definedName name="OSRRefD22_6x_0" localSheetId="95">'Div 5'!$D$46</definedName>
    <definedName name="OSRRefD22_6x_0" localSheetId="64">'Div 6'!$D$86</definedName>
    <definedName name="OSRRefD22_6x_0" localSheetId="2">Summary!$D$237:$D$238</definedName>
    <definedName name="OSRRefD22_7x_0" localSheetId="41">'201'!$D$43</definedName>
    <definedName name="OSRRefD22_7x_0" localSheetId="42">'202'!$D$46</definedName>
    <definedName name="OSRRefD22_7x_0" localSheetId="43">'203'!$D$47</definedName>
    <definedName name="OSRRefD22_7x_0" localSheetId="44">'204'!$D$49</definedName>
    <definedName name="OSRRefD22_7x_0" localSheetId="45">'205'!$D$45</definedName>
    <definedName name="OSRRefD22_7x_0" localSheetId="46">'206'!$D$45</definedName>
    <definedName name="OSRRefD22_7x_0" localSheetId="48">'300'!$D$201</definedName>
    <definedName name="OSRRefD22_7x_0" localSheetId="49">'300 &amp; 317'!$D$227</definedName>
    <definedName name="OSRRefD22_7x_0" localSheetId="50">'301'!$D$54</definedName>
    <definedName name="OSRRefD22_7x_0" localSheetId="51">'306'!$D$48:$D$50</definedName>
    <definedName name="OSRRefD22_7x_0" localSheetId="53">'307'!$D$103:$D$104</definedName>
    <definedName name="OSRRefD22_7x_0" localSheetId="55">'308'!$D$97</definedName>
    <definedName name="OSRRefD22_7x_0" localSheetId="67">'309'!$D$49</definedName>
    <definedName name="OSRRefD22_7x_0" localSheetId="66">'310'!$D$58</definedName>
    <definedName name="OSRRefD22_7x_0" localSheetId="74">'310 &amp; 491'!$D$68</definedName>
    <definedName name="OSRRefD22_7x_0" localSheetId="56">'311'!$D$96</definedName>
    <definedName name="OSRRefD22_7x_0" localSheetId="68">'313'!$D$54</definedName>
    <definedName name="OSRRefD22_7x_0" localSheetId="54">'314'!$D$82</definedName>
    <definedName name="OSRRefD22_7x_0" localSheetId="59">'315'!$D$112</definedName>
    <definedName name="OSRRefD22_7x_0" localSheetId="62">'316'!$D$62</definedName>
    <definedName name="OSRRefD22_7x_0" localSheetId="65">'317'!$D$88</definedName>
    <definedName name="OSRRefD22_7x_0" localSheetId="63">'320'!$D$53:$D$54</definedName>
    <definedName name="OSRRefD22_7x_0" localSheetId="69">'321'!$D$49:$D$51</definedName>
    <definedName name="OSRRefD22_7x_0" localSheetId="70">'322'!$D$49</definedName>
    <definedName name="OSRRefD22_7x_0" localSheetId="71">'325'!$D$50</definedName>
    <definedName name="OSRRefD22_7x_0" localSheetId="60">'326'!$D$90</definedName>
    <definedName name="OSRRefD22_7x_0" localSheetId="52">'330'!$D$112</definedName>
    <definedName name="OSRRefD22_7x_0" localSheetId="58">'331'!$D$119:$D$120</definedName>
    <definedName name="OSRRefD22_7x_0" localSheetId="61">'332'!$D$70</definedName>
    <definedName name="OSRRefD22_7x_0" localSheetId="76">'405'!$D$49</definedName>
    <definedName name="OSRRefD22_7x_0" localSheetId="77">'406'!$D$50</definedName>
    <definedName name="OSRRefD22_7x_0" localSheetId="78">'411'!$D$49</definedName>
    <definedName name="OSRRefD22_7x_0" localSheetId="79">'412'!$D$50</definedName>
    <definedName name="OSRRefD22_7x_0" localSheetId="80">'413'!$D$49:$D$51</definedName>
    <definedName name="OSRRefD22_7x_0" localSheetId="81">'414'!$D$50</definedName>
    <definedName name="OSRRefD22_7x_0" localSheetId="82">'415'!$D$51</definedName>
    <definedName name="OSRRefD22_7x_0" localSheetId="83">'418'!$D$51</definedName>
    <definedName name="OSRRefD22_7x_0" localSheetId="84">'420'!$D$49</definedName>
    <definedName name="OSRRefD22_7x_0" localSheetId="86">'424'!$D$43</definedName>
    <definedName name="OSRRefD22_7x_0" localSheetId="87">'425'!$D$54</definedName>
    <definedName name="OSRRefD22_7x_0" localSheetId="90">'430'!$D$42</definedName>
    <definedName name="OSRRefD22_7x_0" localSheetId="91">'433'!$D$52</definedName>
    <definedName name="OSRRefD22_7x_0" localSheetId="92">'435'!$D$43:$D$45</definedName>
    <definedName name="OSRRefD22_7x_0" localSheetId="93">'444'!$D$52</definedName>
    <definedName name="OSRRefD22_7x_0" localSheetId="94">'450'!$D$52</definedName>
    <definedName name="OSRRefD22_7x_0" localSheetId="75">'491'!$D$62</definedName>
    <definedName name="OSRRefD22_7x_0" localSheetId="89">'492'!$D$55</definedName>
    <definedName name="OSRRefD22_7x_0" localSheetId="96">'501'!$D$48</definedName>
    <definedName name="OSRRefD22_7x_0" localSheetId="39">'Div 2'!$D$50</definedName>
    <definedName name="OSRRefD22_7x_0" localSheetId="47">'Div 3'!$D$206</definedName>
    <definedName name="OSRRefD22_7x_0" localSheetId="73">'Div 4'!$D$62</definedName>
    <definedName name="OSRRefD22_7x_0" localSheetId="95">'Div 5'!$D$48</definedName>
    <definedName name="OSRRefD22_7x_0" localSheetId="64">'Div 6'!$D$88</definedName>
    <definedName name="OSRRefD22_7x_0" localSheetId="2">Summary!$D$240</definedName>
    <definedName name="OSRRefD22_8x_0" localSheetId="41">'201'!$D$45</definedName>
    <definedName name="OSRRefD22_8x_0" localSheetId="42">'202'!$D$48</definedName>
    <definedName name="OSRRefD22_8x_0" localSheetId="43">'203'!$D$49</definedName>
    <definedName name="OSRRefD22_8x_0" localSheetId="44">'204'!$D$51:$D$52</definedName>
    <definedName name="OSRRefD22_8x_0" localSheetId="45">'205'!$D$47</definedName>
    <definedName name="OSRRefD22_8x_0" localSheetId="46">'206'!$D$47</definedName>
    <definedName name="OSRRefD22_8x_0" localSheetId="48">'300'!$D$203</definedName>
    <definedName name="OSRRefD22_8x_0" localSheetId="49">'300 &amp; 317'!$D$229</definedName>
    <definedName name="OSRRefD22_8x_0" localSheetId="50">'301'!$D$56</definedName>
    <definedName name="OSRRefD22_8x_0" localSheetId="51">'306'!$D$52</definedName>
    <definedName name="OSRRefD22_8x_0" localSheetId="53">'307'!$D$106:$D$107</definedName>
    <definedName name="OSRRefD22_8x_0" localSheetId="55">'308'!$D$99:$D$100</definedName>
    <definedName name="OSRRefD22_8x_0" localSheetId="67">'309'!$D$51</definedName>
    <definedName name="OSRRefD22_8x_0" localSheetId="66">'310'!$D$60</definedName>
    <definedName name="OSRRefD22_8x_0" localSheetId="74">'310 &amp; 491'!$D$70</definedName>
    <definedName name="OSRRefD22_8x_0" localSheetId="56">'311'!$D$98:$D$99</definedName>
    <definedName name="OSRRefD22_8x_0" localSheetId="68">'313'!$D$56:$D$58</definedName>
    <definedName name="OSRRefD22_8x_0" localSheetId="54">'314'!$D$84</definedName>
    <definedName name="OSRRefD22_8x_0" localSheetId="59">'315'!$D$114</definedName>
    <definedName name="OSRRefD22_8x_0" localSheetId="62">'316'!$D$64:$D$66</definedName>
    <definedName name="OSRRefD22_8x_0" localSheetId="65">'317'!$D$90:$D$91</definedName>
    <definedName name="OSRRefD22_8x_0" localSheetId="63">'320'!$D$56</definedName>
    <definedName name="OSRRefD22_8x_0" localSheetId="69">'321'!$D$53</definedName>
    <definedName name="OSRRefD22_8x_0" localSheetId="70">'322'!$D$51:$D$52</definedName>
    <definedName name="OSRRefD22_8x_0" localSheetId="71">'325'!$D$52</definedName>
    <definedName name="OSRRefD22_8x_0" localSheetId="60">'326'!$D$92</definedName>
    <definedName name="OSRRefD22_8x_0" localSheetId="52">'330'!$D$114:$D$115</definedName>
    <definedName name="OSRRefD22_8x_0" localSheetId="58">'331'!$D$122</definedName>
    <definedName name="OSRRefD22_8x_0" localSheetId="61">'332'!$D$72</definedName>
    <definedName name="OSRRefD22_8x_0" localSheetId="76">'405'!$D$51</definedName>
    <definedName name="OSRRefD22_8x_0" localSheetId="77">'406'!$D$52</definedName>
    <definedName name="OSRRefD22_8x_0" localSheetId="78">'411'!$D$51</definedName>
    <definedName name="OSRRefD22_8x_0" localSheetId="79">'412'!$D$52</definedName>
    <definedName name="OSRRefD22_8x_0" localSheetId="80">'413'!$D$53:$D$55</definedName>
    <definedName name="OSRRefD22_8x_0" localSheetId="81">'414'!$D$52</definedName>
    <definedName name="OSRRefD22_8x_0" localSheetId="82">'415'!$D$53</definedName>
    <definedName name="OSRRefD22_8x_0" localSheetId="83">'418'!$D$53</definedName>
    <definedName name="OSRRefD22_8x_0" localSheetId="86">'424'!$D$45:$D$46</definedName>
    <definedName name="OSRRefD22_8x_0" localSheetId="87">'425'!$D$56</definedName>
    <definedName name="OSRRefD22_8x_0" localSheetId="91">'433'!$D$54</definedName>
    <definedName name="OSRRefD22_8x_0" localSheetId="92">'435'!$D$47</definedName>
    <definedName name="OSRRefD22_8x_0" localSheetId="93">'444'!$D$54</definedName>
    <definedName name="OSRRefD22_8x_0" localSheetId="94">'450'!$D$54</definedName>
    <definedName name="OSRRefD22_8x_0" localSheetId="75">'491'!$D$64</definedName>
    <definedName name="OSRRefD22_8x_0" localSheetId="89">'492'!$D$57</definedName>
    <definedName name="OSRRefD22_8x_0" localSheetId="96">'501'!$D$50</definedName>
    <definedName name="OSRRefD22_8x_0" localSheetId="39">'Div 2'!$D$52</definedName>
    <definedName name="OSRRefD22_8x_0" localSheetId="47">'Div 3'!$D$208</definedName>
    <definedName name="OSRRefD22_8x_0" localSheetId="73">'Div 4'!$D$64</definedName>
    <definedName name="OSRRefD22_8x_0" localSheetId="95">'Div 5'!$D$50</definedName>
    <definedName name="OSRRefD22_8x_0" localSheetId="64">'Div 6'!$D$90:$D$91</definedName>
    <definedName name="OSRRefD22_8x_0" localSheetId="2">Summary!$D$242</definedName>
    <definedName name="OSRRefD22_9x_0" localSheetId="41">'201'!$D$47:$D$49</definedName>
    <definedName name="OSRRefD22_9x_0" localSheetId="42">'202'!$D$50:$D$52</definedName>
    <definedName name="OSRRefD22_9x_0" localSheetId="43">'203'!$D$51:$D$53</definedName>
    <definedName name="OSRRefD22_9x_0" localSheetId="44">'204'!$D$54</definedName>
    <definedName name="OSRRefD22_9x_0" localSheetId="48">'300'!$D$205</definedName>
    <definedName name="OSRRefD22_9x_0" localSheetId="49">'300 &amp; 317'!$D$231</definedName>
    <definedName name="OSRRefD22_9x_0" localSheetId="50">'301'!$D$58</definedName>
    <definedName name="OSRRefD22_9x_0" localSheetId="51">'306'!$D$54</definedName>
    <definedName name="OSRRefD22_9x_0" localSheetId="53">'307'!$D$109:$D$112</definedName>
    <definedName name="OSRRefD22_9x_0" localSheetId="55">'308'!$D$102:$D$103</definedName>
    <definedName name="OSRRefD22_9x_0" localSheetId="67">'309'!$D$53:$D$54</definedName>
    <definedName name="OSRRefD22_9x_0" localSheetId="66">'310'!$D$62</definedName>
    <definedName name="OSRRefD22_9x_0" localSheetId="74">'310 &amp; 491'!$D$72</definedName>
    <definedName name="OSRRefD22_9x_0" localSheetId="56">'311'!$D$101:$D$102</definedName>
    <definedName name="OSRRefD22_9x_0" localSheetId="68">'313'!$D$60</definedName>
    <definedName name="OSRRefD22_9x_0" localSheetId="59">'315'!$D$116:$D$117</definedName>
    <definedName name="OSRRefD22_9x_0" localSheetId="62">'316'!$D$68</definedName>
    <definedName name="OSRRefD22_9x_0" localSheetId="65">'317'!$D$93:$D$94</definedName>
    <definedName name="OSRRefD22_9x_0" localSheetId="69">'321'!$D$55:$D$57</definedName>
    <definedName name="OSRRefD22_9x_0" localSheetId="70">'322'!$D$54:$D$56</definedName>
    <definedName name="OSRRefD22_9x_0" localSheetId="71">'325'!$D$54</definedName>
    <definedName name="OSRRefD22_9x_0" localSheetId="60">'326'!$D$94</definedName>
    <definedName name="OSRRefD22_9x_0" localSheetId="52">'330'!$D$117:$D$118</definedName>
    <definedName name="OSRRefD22_9x_0" localSheetId="58">'331'!$D$124</definedName>
    <definedName name="OSRRefD22_9x_0" localSheetId="61">'332'!$D$74:$D$76</definedName>
    <definedName name="OSRRefD22_9x_0" localSheetId="76">'405'!$D$53</definedName>
    <definedName name="OSRRefD22_9x_0" localSheetId="77">'406'!$D$54:$D$56</definedName>
    <definedName name="OSRRefD22_9x_0" localSheetId="78">'411'!$D$53</definedName>
    <definedName name="OSRRefD22_9x_0" localSheetId="79">'412'!$D$54:$D$56</definedName>
    <definedName name="OSRRefD22_9x_0" localSheetId="80">'413'!$D$57:$D$62</definedName>
    <definedName name="OSRRefD22_9x_0" localSheetId="81">'414'!$D$54:$D$55</definedName>
    <definedName name="OSRRefD22_9x_0" localSheetId="82">'415'!$D$55</definedName>
    <definedName name="OSRRefD22_9x_0" localSheetId="83">'418'!$D$55</definedName>
    <definedName name="OSRRefD22_9x_0" localSheetId="86">'424'!$D$48</definedName>
    <definedName name="OSRRefD22_9x_0" localSheetId="87">'425'!$D$58:$D$60</definedName>
    <definedName name="OSRRefD22_9x_0" localSheetId="91">'433'!$D$56</definedName>
    <definedName name="OSRRefD22_9x_0" localSheetId="93">'444'!$D$56</definedName>
    <definedName name="OSRRefD22_9x_0" localSheetId="94">'450'!$D$56</definedName>
    <definedName name="OSRRefD22_9x_0" localSheetId="75">'491'!$D$66</definedName>
    <definedName name="OSRRefD22_9x_0" localSheetId="89">'492'!$D$59</definedName>
    <definedName name="OSRRefD22_9x_0" localSheetId="96">'501'!$D$52:$D$54</definedName>
    <definedName name="OSRRefD22_9x_0" localSheetId="39">'Div 2'!$D$54:$D$55</definedName>
    <definedName name="OSRRefD22_9x_0" localSheetId="47">'Div 3'!$D$210</definedName>
    <definedName name="OSRRefD22_9x_0" localSheetId="73">'Div 4'!$D$66</definedName>
    <definedName name="OSRRefD22_9x_0" localSheetId="95">'Div 5'!$D$52:$D$54</definedName>
    <definedName name="OSRRefD22_9x_0" localSheetId="64">'Div 6'!$D$93:$D$94</definedName>
    <definedName name="OSRRefD22_9x_0" localSheetId="2">Summary!$D$244</definedName>
    <definedName name="OSRRefD22x_0" localSheetId="40">'200'!$D$20,'200'!$D$22,'200'!$D$24,'200'!$D$26,'200'!$D$28:$D$29</definedName>
    <definedName name="OSRRefD22x_0" localSheetId="41">'201'!$D$20:$D$27,'201'!$D$29:$D$31,'201'!$D$33,'201'!$D$35,'201'!$D$37,'201'!$D$39,'201'!$D$41,'201'!$D$43,'201'!$D$45,'201'!$D$47:$D$49,'201'!$D$51:$D$53,'201'!$D$55,'201'!$D$57:$D$60,'201'!$D$62,'201'!$D$64,'201'!$D$66</definedName>
    <definedName name="OSRRefD22x_0" localSheetId="42">'202'!$D$20:$D$27,'202'!$D$29:$D$33,'202'!$D$35,'202'!$D$37,'202'!$D$39,'202'!$D$41,'202'!$D$43:$D$44,'202'!$D$46,'202'!$D$48,'202'!$D$50:$D$52,'202'!$D$54,'202'!$D$56,'202'!$D$58:$D$60,'202'!$D$62,'202'!$D$64,'202'!$D$66</definedName>
    <definedName name="OSRRefD22x_0" localSheetId="43">'203'!$D$20:$D$29,'203'!$D$31:$D$35,'203'!$D$37,'203'!$D$39,'203'!$D$41,'203'!$D$43,'203'!$D$45,'203'!$D$47,'203'!$D$49,'203'!$D$51:$D$53,'203'!$D$55:$D$56,'203'!$D$58,'203'!$D$60:$D$63,'203'!$D$65,'203'!$D$67,'203'!$D$69</definedName>
    <definedName name="OSRRefD22x_0" localSheetId="44">'204'!$D$20:$D$29,'204'!$D$31:$D$35,'204'!$D$37,'204'!$D$39,'204'!$D$41,'204'!$D$43,'204'!$D$45:$D$47,'204'!$D$49,'204'!$D$51:$D$52,'204'!$D$54,'204'!$D$56:$D$57</definedName>
    <definedName name="OSRRefD22x_0" localSheetId="45">'205'!$D$20:$D$27,'205'!$D$29,'205'!$D$31,'205'!$D$33,'205'!$D$35:$D$37,'205'!$D$39,'205'!$D$41:$D$43,'205'!$D$45,'205'!$D$47</definedName>
    <definedName name="OSRRefD22x_0" localSheetId="46">'206'!$D$20:$D$27,'206'!$D$29:$D$32,'206'!$D$34,'206'!$D$36,'206'!$D$38,'206'!$D$40,'206'!$D$42:$D$43,'206'!$D$45,'206'!$D$47</definedName>
    <definedName name="OSRRefD22x_0" localSheetId="48">'300'!$D$168:$D$177,'300'!$D$179:$D$185,'300'!$D$187,'300'!$D$189:$D$190,'300'!$D$192,'300'!$D$194:$D$196,'300'!$D$198:$D$199,'300'!$D$201,'300'!$D$203,'300'!$D$205,'300'!$D$207:$D$208,'300'!$D$210,'300'!$D$212,'300'!$D$214:$D$216,'300'!$D$218,'300'!$D$220,'300'!$D$222:$D$225,'300'!$D$227:$D$229,'300'!$D$231:$D$234,'300'!$D$236:$D$237,'300'!$D$239:$D$246,'300'!$D$248:$D$249,'300'!$D$251,'300'!$D$253:$D$255,'300'!$D$257</definedName>
    <definedName name="OSRRefD22x_0" localSheetId="49">'300 &amp; 317'!$D$194:$D$203,'300 &amp; 317'!$D$205:$D$211,'300 &amp; 317'!$D$213,'300 &amp; 317'!$D$215:$D$216,'300 &amp; 317'!$D$218,'300 &amp; 317'!$D$220:$D$222,'300 &amp; 317'!$D$224:$D$225,'300 &amp; 317'!$D$227,'300 &amp; 317'!$D$229,'300 &amp; 317'!$D$231,'300 &amp; 317'!$D$233:$D$234,'300 &amp; 317'!$D$236,'300 &amp; 317'!$D$238,'300 &amp; 317'!$D$240:$D$242,'300 &amp; 317'!$D$244,'300 &amp; 317'!$D$246,'300 &amp; 317'!$D$248:$D$251,'300 &amp; 317'!$D$253:$D$255,'300 &amp; 317'!$D$257:$D$260,'300 &amp; 317'!$D$262:$D$263,'300 &amp; 317'!$D$265:$D$272,'300 &amp; 317'!$D$274:$D$275,'300 &amp; 317'!$D$277,'300 &amp; 317'!$D$279:$D$281,'300 &amp; 317'!$D$283</definedName>
    <definedName name="OSRRefD22x_0" localSheetId="50">'301'!$D$21:$D$30,'301'!$D$32:$D$38,'301'!$D$40,'301'!$D$42:$D$43,'301'!$D$45,'301'!$D$47:$D$49,'301'!$D$51:$D$52,'301'!$D$54,'301'!$D$56,'301'!$D$58,'301'!$D$60,'301'!$D$62,'301'!$D$64,'301'!$D$66,'301'!$D$68,'301'!$D$70:$D$73,'301'!$D$75:$D$77,'301'!$D$79:$D$80,'301'!$D$82:$D$88,'301'!$D$90,'301'!$D$92,'301'!$D$94:$D$96,'301'!$D$98</definedName>
    <definedName name="OSRRefD22x_0" localSheetId="51">'306'!$D$20:$D$28,'306'!$D$30:$D$35,'306'!$D$37,'306'!$D$39,'306'!$D$41,'306'!$D$43,'306'!$D$45:$D$46,'306'!$D$48:$D$50,'306'!$D$52,'306'!$D$54</definedName>
    <definedName name="OSRRefD22x_0" localSheetId="53">'307'!$D$78:$D$85,'307'!$D$87:$D$90,'307'!$D$92,'307'!$D$94,'307'!$D$96:$D$97,'307'!$D$99,'307'!$D$101,'307'!$D$103:$D$104,'307'!$D$106:$D$107,'307'!$D$109:$D$112,'307'!$D$114,'307'!$D$116</definedName>
    <definedName name="OSRRefD22x_0" localSheetId="55">'308'!$D$67:$D$75,'308'!$D$77:$D$83,'308'!$D$85,'308'!$D$87:$D$88,'308'!$D$90,'308'!$D$92,'308'!$D$94:$D$95,'308'!$D$97,'308'!$D$99:$D$100,'308'!$D$102:$D$103,'308'!$D$105:$D$106,'308'!$D$108:$D$110,'308'!$D$112:$D$113,'308'!$D$115,'308'!$D$117</definedName>
    <definedName name="OSRRefD22x_0" localSheetId="67">'309'!$D$24:$D$31,'309'!$D$33:$D$37,'309'!$D$39,'309'!$D$41,'309'!$D$43,'309'!$D$45,'309'!$D$47,'309'!$D$49,'309'!$D$51,'309'!$D$53:$D$54,'309'!$D$56:$D$58,'309'!$D$60:$D$62,'309'!$D$64</definedName>
    <definedName name="OSRRefD22x_0" localSheetId="66">'310'!$D$31:$D$38,'310'!$D$40:$D$45,'310'!$D$47,'310'!$D$49,'310'!$D$51,'310'!$D$53:$D$54,'310'!$D$56,'310'!$D$58,'310'!$D$60,'310'!$D$62,'310'!$D$64,'310'!$D$66,'310'!$D$68,'310'!$D$70,'310'!$D$72:$D$74,'310'!$D$76,'310'!$D$78:$D$81,'310'!$D$83,'310'!$D$85:$D$93,'310'!$D$95,'310'!$D$97,'310'!$D$99,'310'!$D$101</definedName>
    <definedName name="OSRRefD22x_0" localSheetId="74">'310 &amp; 491'!$D$38:$D$46,'310 &amp; 491'!$D$48:$D$54,'310 &amp; 491'!$D$56,'310 &amp; 491'!$D$58,'310 &amp; 491'!$D$60,'310 &amp; 491'!$D$62:$D$64,'310 &amp; 491'!$D$66,'310 &amp; 491'!$D$68,'310 &amp; 491'!$D$70,'310 &amp; 491'!$D$72,'310 &amp; 491'!$D$74:$D$75,'310 &amp; 491'!$D$77:$D$78,'310 &amp; 491'!$D$80,'310 &amp; 491'!$D$82,'310 &amp; 491'!$D$84,'310 &amp; 491'!$D$86,'310 &amp; 491'!$D$88:$D$91,'310 &amp; 491'!$D$93:$D$94,'310 &amp; 491'!$D$96:$D$100,'310 &amp; 491'!$D$102:$D$103,'310 &amp; 491'!$D$105:$D$114,'310 &amp; 491'!$D$116,'310 &amp; 491'!$D$118,'310 &amp; 491'!$D$120:$D$122,'310 &amp; 491'!$D$124</definedName>
    <definedName name="OSRRefD22x_0" localSheetId="56">'311'!$D$66:$D$74,'311'!$D$76:$D$82,'311'!$D$84,'311'!$D$86:$D$87,'311'!$D$89,'311'!$D$91,'311'!$D$93:$D$94,'311'!$D$96,'311'!$D$98:$D$99,'311'!$D$101:$D$102,'311'!$D$104:$D$105,'311'!$D$107:$D$109,'311'!$D$111:$D$112,'311'!$D$114,'311'!$D$116</definedName>
    <definedName name="OSRRefD22x_0" localSheetId="68">'313'!$D$28:$D$35,'313'!$D$37:$D$42,'313'!$D$44,'313'!$D$46,'313'!$D$48,'313'!$D$50,'313'!$D$52,'313'!$D$54,'313'!$D$56:$D$58,'313'!$D$60,'313'!$D$62:$D$67,'313'!$D$69,'313'!$D$71</definedName>
    <definedName name="OSRRefD22x_0" localSheetId="54">'314'!$D$56:$D$64,'314'!$D$66:$D$68,'314'!$D$70,'314'!$D$72:$D$73,'314'!$D$75,'314'!$D$77,'314'!$D$79:$D$80,'314'!$D$82,'314'!$D$84</definedName>
    <definedName name="OSRRefD22x_0" localSheetId="59">'315'!$D$83:$D$90,'315'!$D$92:$D$97,'315'!$D$99,'315'!$D$101:$D$102,'315'!$D$104,'315'!$D$106:$D$107,'315'!$D$109:$D$110,'315'!$D$112,'315'!$D$114,'315'!$D$116:$D$117,'315'!$D$119:$D$120,'315'!$D$122:$D$126,'315'!$D$128,'315'!$D$130,'315'!$D$132:$D$133</definedName>
    <definedName name="OSRRefD22x_0" localSheetId="62">'316'!$D$37:$D$44,'316'!$D$46:$D$49,'316'!$D$51,'316'!$D$53,'316'!$D$55,'316'!$D$57,'316'!$D$59:$D$60,'316'!$D$62,'316'!$D$64:$D$66,'316'!$D$68,'316'!$D$70:$D$75,'316'!$D$77,'316'!$D$79,'316'!$D$81</definedName>
    <definedName name="OSRRefD22x_0" localSheetId="65">'317'!$D$61:$D$69,'317'!$D$71:$D$75,'317'!$D$77,'317'!$D$79,'317'!$D$81,'317'!$D$83:$D$84,'317'!$D$86,'317'!$D$88,'317'!$D$90:$D$91,'317'!$D$93:$D$94,'317'!$D$96:$D$100,'317'!$D$102,'317'!$D$104,'317'!$D$106</definedName>
    <definedName name="OSRRefD22x_0" localSheetId="63">'320'!$D$28:$D$34,'320'!$D$36:$D$40,'320'!$D$42,'320'!$D$44,'320'!$D$46:$D$47,'320'!$D$49,'320'!$D$51,'320'!$D$53:$D$54,'320'!$D$56</definedName>
    <definedName name="OSRRefD22x_0" localSheetId="69">'321'!$D$24:$D$31,'321'!$D$33:$D$37,'321'!$D$39,'321'!$D$41,'321'!$D$43,'321'!$D$45,'321'!$D$47,'321'!$D$49:$D$51,'321'!$D$53,'321'!$D$55:$D$57,'321'!$D$59:$D$63,'321'!$D$65,'321'!$D$67</definedName>
    <definedName name="OSRRefD22x_0" localSheetId="70">'322'!$D$24:$D$31,'322'!$D$33:$D$37,'322'!$D$39,'322'!$D$41,'322'!$D$43,'322'!$D$45,'322'!$D$47,'322'!$D$49,'322'!$D$51:$D$52,'322'!$D$54:$D$56,'322'!$D$58:$D$64,'322'!$D$66,'322'!$D$68,'322'!$D$70</definedName>
    <definedName name="OSRRefD22x_0" localSheetId="71">'325'!$D$24:$D$31,'325'!$D$33:$D$37,'325'!$D$39,'325'!$D$41,'325'!$D$43,'325'!$D$45:$D$46,'325'!$D$48,'325'!$D$50,'325'!$D$52,'325'!$D$54,'325'!$D$56,'325'!$D$58:$D$60,'325'!$D$62:$D$64,'325'!$D$66,'325'!$D$68:$D$72,'325'!$D$74,'325'!$D$76,'325'!$D$78</definedName>
    <definedName name="OSRRefD22x_0" localSheetId="60">'326'!$D$63:$D$70,'326'!$D$72:$D$77,'326'!$D$79,'326'!$D$81,'326'!$D$83,'326'!$D$85:$D$86,'326'!$D$88,'326'!$D$90,'326'!$D$92,'326'!$D$94,'326'!$D$96,'326'!$D$98,'326'!$D$100:$D$102,'326'!$D$104:$D$106,'326'!$D$108:$D$109,'326'!$D$111:$D$116,'326'!$D$118,'326'!$D$120,'326'!$D$122,'326'!$D$124</definedName>
    <definedName name="OSRRefD22x_0" localSheetId="72">'327'!$D$22,'327'!$D$24,'327'!$D$26</definedName>
    <definedName name="OSRRefD22x_0" localSheetId="52">'330'!$D$85:$D$93,'330'!$D$95:$D$99,'330'!$D$101,'330'!$D$103,'330'!$D$105:$D$106,'330'!$D$108,'330'!$D$110,'330'!$D$112,'330'!$D$114:$D$115,'330'!$D$117:$D$118,'330'!$D$120,'330'!$D$122:$D$125,'330'!$D$127,'330'!$D$129,'330'!$D$131</definedName>
    <definedName name="OSRRefD22x_0" localSheetId="58">'331'!$D$92:$D$99,'331'!$D$101:$D$106,'331'!$D$108,'331'!$D$110,'331'!$D$112,'331'!$D$114:$D$115,'331'!$D$117,'331'!$D$119:$D$120,'331'!$D$122,'331'!$D$124,'331'!$D$126:$D$127,'331'!$D$129,'331'!$D$131,'331'!$D$133:$D$135,'331'!$D$137:$D$138,'331'!$D$140:$D$142,'331'!$D$144:$D$145,'331'!$D$147:$D$152,'331'!$D$154,'331'!$D$156,'331'!$D$158:$D$159,'331'!$D$161</definedName>
    <definedName name="OSRRefD22x_0" localSheetId="61">'332'!$D$44:$D$51,'332'!$D$53:$D$57,'332'!$D$59,'332'!$D$61,'332'!$D$63,'332'!$D$65,'332'!$D$67:$D$68,'332'!$D$70,'332'!$D$72,'332'!$D$74:$D$76,'332'!$D$78,'332'!$D$80:$D$85,'332'!$D$87,'332'!$D$89,'332'!$D$91</definedName>
    <definedName name="OSRRefD22x_0" localSheetId="76">'405'!$D$24:$D$31,'405'!$D$33:$D$36,'405'!$D$38,'405'!$D$40,'405'!$D$42,'405'!$D$44:$D$45,'405'!$D$47,'405'!$D$49,'405'!$D$51,'405'!$D$53,'405'!$D$55:$D$56,'405'!$D$58,'405'!$D$60:$D$62,'405'!$D$64:$D$65,'405'!$D$67:$D$73,'405'!$D$75,'405'!$D$77,'405'!$D$79</definedName>
    <definedName name="OSRRefD22x_0" localSheetId="77">'406'!$D$24:$D$31,'406'!$D$33:$D$38,'406'!$D$40,'406'!$D$42,'406'!$D$44,'406'!$D$46,'406'!$D$48,'406'!$D$50,'406'!$D$52,'406'!$D$54:$D$56,'406'!$D$58:$D$59,'406'!$D$61:$D$66,'406'!$D$68,'406'!$D$70,'406'!$D$72</definedName>
    <definedName name="OSRRefD22x_0" localSheetId="78">'411'!$D$20:$D$28,'411'!$D$30:$D$35,'411'!$D$37,'411'!$D$39,'411'!$D$41:$D$43,'411'!$D$45,'411'!$D$47,'411'!$D$49,'411'!$D$51,'411'!$D$53,'411'!$D$55,'411'!$D$57,'411'!$D$59:$D$62,'411'!$D$64:$D$68,'411'!$D$70:$D$71,'411'!$D$73:$D$81,'411'!$D$83,'411'!$D$85,'411'!$D$87:$D$89,'411'!$D$91</definedName>
    <definedName name="OSRRefD22x_0" localSheetId="79">'412'!$D$24:$D$31,'412'!$D$33:$D$38,'412'!$D$40,'412'!$D$42,'412'!$D$44,'412'!$D$46,'412'!$D$48,'412'!$D$50,'412'!$D$52,'412'!$D$54:$D$56,'412'!$D$58:$D$60,'412'!$D$62:$D$67,'412'!$D$69,'412'!$D$71</definedName>
    <definedName name="OSRRefD22x_0" localSheetId="80">'413'!$D$24:$D$31,'413'!$D$33:$D$37,'413'!$D$39,'413'!$D$41,'413'!$D$43,'413'!$D$45,'413'!$D$47,'413'!$D$49:$D$51,'413'!$D$53:$D$55,'413'!$D$57:$D$62,'413'!$D$64,'413'!$D$66</definedName>
    <definedName name="OSRRefD22x_0" localSheetId="81">'414'!$D$24:$D$31,'414'!$D$33:$D$38,'414'!$D$40,'414'!$D$42,'414'!$D$44,'414'!$D$46,'414'!$D$48,'414'!$D$50,'414'!$D$52,'414'!$D$54:$D$55,'414'!$D$57,'414'!$D$59,'414'!$D$61,'414'!$D$63:$D$69,'414'!$D$71,'414'!$D$73</definedName>
    <definedName name="OSRRefD22x_0" localSheetId="82">'415'!$D$24:$D$31,'415'!$D$33:$D$38,'415'!$D$40,'415'!$D$42,'415'!$D$44,'415'!$D$46:$D$47,'415'!$D$49,'415'!$D$51,'415'!$D$53,'415'!$D$55,'415'!$D$57,'415'!$D$59:$D$62,'415'!$D$64:$D$68,'415'!$D$70:$D$71,'415'!$D$73:$D$81,'415'!$D$83,'415'!$D$85,'415'!$D$87</definedName>
    <definedName name="OSRRefD22x_0" localSheetId="83">'418'!$D$24:$D$31,'418'!$D$33:$D$38,'418'!$D$40,'418'!$D$42,'418'!$D$44,'418'!$D$46:$D$47,'418'!$D$49,'418'!$D$51,'418'!$D$53,'418'!$D$55,'418'!$D$57:$D$58,'418'!$D$60:$D$62,'418'!$D$64:$D$66,'418'!$D$68:$D$69,'418'!$D$71:$D$78,'418'!$D$80,'418'!$D$82</definedName>
    <definedName name="OSRRefD22x_0" localSheetId="84">'420'!$D$24:$D$31,'420'!$D$33:$D$36,'420'!$D$38,'420'!$D$40,'420'!$D$42,'420'!$D$44,'420'!$D$46:$D$47,'420'!$D$49</definedName>
    <definedName name="OSRRefD22x_0" localSheetId="85">'423'!$D$21:$D$28,'423'!$D$30:$D$31,'423'!$D$33,'423'!$D$35,'423'!$D$37,'423'!$D$39,'423'!$D$41</definedName>
    <definedName name="OSRRefD22x_0" localSheetId="86">'424'!$D$24:$D$25,'424'!$D$27:$D$31,'424'!$D$33,'424'!$D$35,'424'!$D$37,'424'!$D$39,'424'!$D$41,'424'!$D$43,'424'!$D$45:$D$46,'424'!$D$48,'424'!$D$50,'424'!$D$52:$D$56,'424'!$D$58</definedName>
    <definedName name="OSRRefD22x_0" localSheetId="87">'425'!$D$27:$D$35,'425'!$D$37:$D$42,'425'!$D$44,'425'!$D$46,'425'!$D$48,'425'!$D$50,'425'!$D$52,'425'!$D$54,'425'!$D$56,'425'!$D$58:$D$60,'425'!$D$62,'425'!$D$64:$D$66,'425'!$D$68:$D$74,'425'!$D$76,'425'!$D$78</definedName>
    <definedName name="OSRRefD22x_0" localSheetId="90">'430'!$D$20:$D$27,'430'!$D$29,'430'!$D$31,'430'!$D$33,'430'!$D$35:$D$36,'430'!$D$38,'430'!$D$40,'430'!$D$42</definedName>
    <definedName name="OSRRefD22x_0" localSheetId="91">'433'!$D$25:$D$33,'433'!$D$35:$D$40,'433'!$D$42,'433'!$D$44,'433'!$D$46,'433'!$D$48,'433'!$D$50,'433'!$D$52,'433'!$D$54,'433'!$D$56,'433'!$D$58,'433'!$D$60:$D$62,'433'!$D$64:$D$66,'433'!$D$68:$D$75,'433'!$D$77,'433'!$D$79,'433'!$D$81</definedName>
    <definedName name="OSRRefD22x_0" localSheetId="92">'435'!$D$25:$D$27,'435'!$D$29:$D$31,'435'!$D$33,'435'!$D$35,'435'!$D$37,'435'!$D$39,'435'!$D$41,'435'!$D$43:$D$45,'435'!$D$47</definedName>
    <definedName name="OSRRefD22x_0" localSheetId="93">'444'!$D$25:$D$33,'444'!$D$35:$D$40,'444'!$D$42,'444'!$D$44,'444'!$D$46,'444'!$D$48,'444'!$D$50,'444'!$D$52,'444'!$D$54,'444'!$D$56,'444'!$D$58,'444'!$D$60:$D$62,'444'!$D$64:$D$67,'444'!$D$69,'444'!$D$71:$D$79,'444'!$D$81,'444'!$D$83,'444'!$D$85:$D$86</definedName>
    <definedName name="OSRRefD22x_0" localSheetId="94">'450'!$D$25:$D$33,'450'!$D$35:$D$40,'450'!$D$42,'450'!$D$44,'450'!$D$46,'450'!$D$48,'450'!$D$50,'450'!$D$52,'450'!$D$54,'450'!$D$56,'450'!$D$58,'450'!$D$60,'450'!$D$62:$D$63,'450'!$D$65:$D$67,'450'!$D$69:$D$74,'450'!$D$76,'450'!$D$78,'450'!$D$80</definedName>
    <definedName name="OSRRefD22x_0" localSheetId="88">'455'!$D$20:$D$26,'455'!$D$28:$D$29</definedName>
    <definedName name="OSRRefD22x_0" localSheetId="75">'491'!$D$32:$D$40,'491'!$D$42:$D$48,'491'!$D$50,'491'!$D$52,'491'!$D$54,'491'!$D$56:$D$58,'491'!$D$60,'491'!$D$62,'491'!$D$64,'491'!$D$66,'491'!$D$68,'491'!$D$70:$D$71,'491'!$D$73,'491'!$D$75,'491'!$D$77,'491'!$D$79,'491'!$D$81:$D$84,'491'!$D$86:$D$87,'491'!$D$89:$D$93,'491'!$D$95:$D$96,'491'!$D$98:$D$107,'491'!$D$109,'491'!$D$111,'491'!$D$113:$D$115,'491'!$D$117</definedName>
    <definedName name="OSRRefD22x_0" localSheetId="89">'492'!$D$27:$D$35,'492'!$D$37:$D$43,'492'!$D$45,'492'!$D$47,'492'!$D$49,'492'!$D$51,'492'!$D$53,'492'!$D$55,'492'!$D$57,'492'!$D$59,'492'!$D$61,'492'!$D$63,'492'!$D$65:$D$67,'492'!$D$69:$D$72,'492'!$D$74,'492'!$D$76:$D$84,'492'!$D$86,'492'!$D$88,'492'!$D$90:$D$91</definedName>
    <definedName name="OSRRefD22x_0" localSheetId="96">'501'!$D$21:$D$29,'501'!$D$31:$D$35,'501'!$D$37,'501'!$D$39,'501'!$D$41,'501'!$D$43:$D$44,'501'!$D$46,'501'!$D$48,'501'!$D$50,'501'!$D$52:$D$54,'501'!$D$56,'501'!$D$58:$D$60,'501'!$D$62,'501'!$D$64</definedName>
    <definedName name="OSRRefD22x_0" localSheetId="39">'Div 2'!$D$20:$D$30,'Div 2'!$D$32:$D$38,'Div 2'!$D$40,'Div 2'!$D$42,'Div 2'!$D$44,'Div 2'!$D$46,'Div 2'!$D$48,'Div 2'!$D$50,'Div 2'!$D$52,'Div 2'!$D$54:$D$55,'Div 2'!$D$57,'Div 2'!$D$59,'Div 2'!$D$61:$D$64,'Div 2'!$D$66:$D$68,'Div 2'!$D$70:$D$71,'Div 2'!$D$73,'Div 2'!$D$75:$D$79,'Div 2'!$D$81:$D$82,'Div 2'!$D$84,'Div 2'!$D$86:$D$87</definedName>
    <definedName name="OSRRefD22x_0" localSheetId="47">'Div 3'!$D$173:$D$182,'Div 3'!$D$184:$D$190,'Div 3'!$D$192,'Div 3'!$D$194:$D$195,'Div 3'!$D$197,'Div 3'!$D$199:$D$201,'Div 3'!$D$203:$D$204,'Div 3'!$D$206,'Div 3'!$D$208,'Div 3'!$D$210,'Div 3'!$D$212:$D$213,'Div 3'!$D$215,'Div 3'!$D$217,'Div 3'!$D$219,'Div 3'!$D$221:$D$223,'Div 3'!$D$225,'Div 3'!$D$227,'Div 3'!$D$229:$D$232,'Div 3'!$D$234:$D$236,'Div 3'!$D$238:$D$242,'Div 3'!$D$244:$D$245,'Div 3'!$D$247:$D$255,'Div 3'!$D$257:$D$258,'Div 3'!$D$260,'Div 3'!$D$262:$D$264,'Div 3'!$D$266</definedName>
    <definedName name="OSRRefD22x_0" localSheetId="73">'Div 4'!$D$32:$D$40,'Div 4'!$D$42:$D$48,'Div 4'!$D$50,'Div 4'!$D$52,'Div 4'!$D$54,'Div 4'!$D$56:$D$58,'Div 4'!$D$60,'Div 4'!$D$62,'Div 4'!$D$64,'Div 4'!$D$66,'Div 4'!$D$68,'Div 4'!$D$70:$D$71,'Div 4'!$D$73,'Div 4'!$D$75,'Div 4'!$D$77,'Div 4'!$D$79,'Div 4'!$D$81,'Div 4'!$D$83:$D$86,'Div 4'!$D$88:$D$89,'Div 4'!$D$91:$D$95,'Div 4'!$D$97:$D$98,'Div 4'!$D$100:$D$109,'Div 4'!$D$111,'Div 4'!$D$113,'Div 4'!$D$115:$D$117,'Div 4'!$D$119</definedName>
    <definedName name="OSRRefD22x_0" localSheetId="95">'Div 5'!$D$21:$D$29,'Div 5'!$D$31:$D$35,'Div 5'!$D$37,'Div 5'!$D$39,'Div 5'!$D$41,'Div 5'!$D$43:$D$44,'Div 5'!$D$46,'Div 5'!$D$48,'Div 5'!$D$50,'Div 5'!$D$52:$D$54,'Div 5'!$D$56,'Div 5'!$D$58:$D$60,'Div 5'!$D$62,'Div 5'!$D$64</definedName>
    <definedName name="OSRRefD22x_0" localSheetId="64">'Div 6'!$D$61:$D$69,'Div 6'!$D$71:$D$75,'Div 6'!$D$77,'Div 6'!$D$79,'Div 6'!$D$81,'Div 6'!$D$83:$D$84,'Div 6'!$D$86,'Div 6'!$D$88,'Div 6'!$D$90:$D$91,'Div 6'!$D$93:$D$94,'Div 6'!$D$96:$D$100,'Div 6'!$D$102,'Div 6'!$D$104,'Div 6'!$D$106</definedName>
    <definedName name="OSRRefD22x_0" localSheetId="2">Summary!$D$206:$D$215,Summary!$D$217:$D$223,Summary!$D$225,Summary!$D$227:$D$228,Summary!$D$230,Summary!$D$232:$D$235,Summary!$D$237:$D$238,Summary!$D$240,Summary!$D$242,Summary!$D$244,Summary!$D$246:$D$247,Summary!$D$249:$D$250,Summary!$D$252,Summary!$D$254,Summary!$D$256:$D$258,Summary!$D$260,Summary!$D$262,Summary!$D$264,Summary!$D$266:$D$269,Summary!$D$271:$D$273,Summary!$D$275:$D$279,Summary!$D$281:$D$282,Summary!$D$284:$D$293,Summary!$D$295:$D$296,Summary!$D$298,Summary!$D$300:$D$302,Summary!$D$304</definedName>
    <definedName name="OSRRefD25x_0" localSheetId="48">'300'!$D$260:$D$268</definedName>
    <definedName name="OSRRefD25x_0" localSheetId="49">'300 &amp; 317'!$D$286:$D$297</definedName>
    <definedName name="OSRRefD25x_0" localSheetId="50">'301'!$D$101:$D$103</definedName>
    <definedName name="OSRRefD25x_0" localSheetId="53">'307'!$D$119</definedName>
    <definedName name="OSRRefD25x_0" localSheetId="55">'308'!$D$120:$D$122</definedName>
    <definedName name="OSRRefD25x_0" localSheetId="74">'310 &amp; 491'!$D$127:$D$129</definedName>
    <definedName name="OSRRefD25x_0" localSheetId="56">'311'!$D$119:$D$121</definedName>
    <definedName name="OSRRefD25x_0" localSheetId="59">'315'!$D$136:$D$138</definedName>
    <definedName name="OSRRefD25x_0" localSheetId="62">'316'!$D$84</definedName>
    <definedName name="OSRRefD25x_0" localSheetId="65">'317'!$D$109:$D$112</definedName>
    <definedName name="OSRRefD25x_0" localSheetId="63">'320'!$D$59:$D$63</definedName>
    <definedName name="OSRRefD25x_0" localSheetId="52">'330'!$D$134</definedName>
    <definedName name="OSRRefD25x_0" localSheetId="58">'331'!$D$164:$D$166</definedName>
    <definedName name="OSRRefD25x_0" localSheetId="61">'332'!$D$94:$D$99</definedName>
    <definedName name="OSRRefD25x_0" localSheetId="78">'411'!$D$94:$D$95</definedName>
    <definedName name="OSRRefD25x_0" localSheetId="80">'413'!$D$69</definedName>
    <definedName name="OSRRefD25x_0" localSheetId="82">'415'!$D$90</definedName>
    <definedName name="OSRRefD25x_0" localSheetId="83">'418'!$D$85</definedName>
    <definedName name="OSRRefD25x_0" localSheetId="85">'423'!$D$44</definedName>
    <definedName name="OSRRefD25x_0" localSheetId="86">'424'!$D$61</definedName>
    <definedName name="OSRRefD25x_0" localSheetId="87">'425'!$D$81</definedName>
    <definedName name="OSRRefD25x_0" localSheetId="88">'455'!$D$32:$D$34</definedName>
    <definedName name="OSRRefD25x_0" localSheetId="75">'491'!$D$120:$D$122</definedName>
    <definedName name="OSRRefD25x_0" localSheetId="96">'501'!$D$67</definedName>
    <definedName name="OSRRefD25x_0" localSheetId="47">'Div 3'!$D$269:$D$277</definedName>
    <definedName name="OSRRefD25x_0" localSheetId="73">'Div 4'!$D$122:$D$124</definedName>
    <definedName name="OSRRefD25x_0" localSheetId="95">'Div 5'!$D$67</definedName>
    <definedName name="OSRRefD25x_0" localSheetId="64">'Div 6'!$D$109:$D$112</definedName>
    <definedName name="OSRRefD25x_0" localSheetId="2">Summary!$D$307:$D$319</definedName>
    <definedName name="OSRRefH13x_0" localSheetId="48">'300'!$H$13:$H$109</definedName>
    <definedName name="OSRRefH13x_0" localSheetId="49">'300 &amp; 317'!$H$13:$H$127</definedName>
    <definedName name="OSRRefH13x_0" localSheetId="53">'307'!$H$13:$H$49</definedName>
    <definedName name="OSRRefH13x_0" localSheetId="55">'308'!$H$13:$H$42</definedName>
    <definedName name="OSRRefH13x_0" localSheetId="67">'309'!$H$13:$H$14</definedName>
    <definedName name="OSRRefH13x_0" localSheetId="66">'310'!$H$13:$H$21</definedName>
    <definedName name="OSRRefH13x_0" localSheetId="74">'310 &amp; 491'!$H$13:$H$28</definedName>
    <definedName name="OSRRefH13x_0" localSheetId="56">'311'!$H$13:$H$41</definedName>
    <definedName name="OSRRefH13x_0" localSheetId="68">'313'!$H$13:$H$18</definedName>
    <definedName name="OSRRefH13x_0" localSheetId="54">'314'!$H$13:$H$33</definedName>
    <definedName name="OSRRefH13x_0" localSheetId="59">'315'!$H$13:$H$50</definedName>
    <definedName name="OSRRefH13x_0" localSheetId="62">'316'!$H$13:$H$29</definedName>
    <definedName name="OSRRefH13x_0" localSheetId="65">'317'!$H$13:$H$37</definedName>
    <definedName name="OSRRefH13x_0" localSheetId="63">'320'!$H$13:$H$15</definedName>
    <definedName name="OSRRefH13x_0" localSheetId="69">'321'!$H$13:$H$14</definedName>
    <definedName name="OSRRefH13x_0" localSheetId="70">'322'!$H$13:$H$14</definedName>
    <definedName name="OSRRefH13x_0" localSheetId="57">'324'!$H$13:$H$15</definedName>
    <definedName name="OSRRefH13x_0" localSheetId="71">'325'!$H$13:$H$14</definedName>
    <definedName name="OSRRefH13x_0" localSheetId="60">'326'!$H$13:$H$38</definedName>
    <definedName name="OSRRefH13x_0" localSheetId="72">'327'!$H$13</definedName>
    <definedName name="OSRRefH13x_0" localSheetId="52">'330'!$H$13:$H$53</definedName>
    <definedName name="OSRRefH13x_0" localSheetId="58">'331'!$H$13:$H$54</definedName>
    <definedName name="OSRRefH13x_0" localSheetId="61">'332'!$H$13:$H$31</definedName>
    <definedName name="OSRRefH13x_0" localSheetId="76">'405'!$H$13:$H$14</definedName>
    <definedName name="OSRRefH13x_0" localSheetId="77">'406'!$H$13:$H$14</definedName>
    <definedName name="OSRRefH13x_0" localSheetId="79">'412'!$H$13:$H$14</definedName>
    <definedName name="OSRRefH13x_0" localSheetId="80">'413'!$H$13:$H$14</definedName>
    <definedName name="OSRRefH13x_0" localSheetId="81">'414'!$H$13:$H$14</definedName>
    <definedName name="OSRRefH13x_0" localSheetId="82">'415'!$H$13:$H$14</definedName>
    <definedName name="OSRRefH13x_0" localSheetId="83">'418'!$H$13:$H$14</definedName>
    <definedName name="OSRRefH13x_0" localSheetId="84">'420'!$H$13:$H$14</definedName>
    <definedName name="OSRRefH13x_0" localSheetId="86">'424'!$H$13:$H$14</definedName>
    <definedName name="OSRRefH13x_0" localSheetId="87">'425'!$H$13:$H$17</definedName>
    <definedName name="OSRRefH13x_0" localSheetId="91">'433'!$H$13:$H$15</definedName>
    <definedName name="OSRRefH13x_0" localSheetId="92">'435'!$H$13:$H$15</definedName>
    <definedName name="OSRRefH13x_0" localSheetId="93">'444'!$H$13:$H$15</definedName>
    <definedName name="OSRRefH13x_0" localSheetId="94">'450'!$H$13:$H$15</definedName>
    <definedName name="OSRRefH13x_0" localSheetId="75">'491'!$H$13:$H$22</definedName>
    <definedName name="OSRRefH13x_0" localSheetId="89">'492'!$H$13:$H$17</definedName>
    <definedName name="OSRRefH13x_0" localSheetId="96">'501'!$H$13</definedName>
    <definedName name="OSRRefH13x_0" localSheetId="47">'Div 3'!$H$13:$H$112</definedName>
    <definedName name="OSRRefH13x_0" localSheetId="73">'Div 4'!$H$13:$H$22</definedName>
    <definedName name="OSRRefH13x_0" localSheetId="95">'Div 5'!$H$13</definedName>
    <definedName name="OSRRefH13x_0" localSheetId="64">'Div 6'!$H$13:$H$37</definedName>
    <definedName name="OSRRefH13x_0" localSheetId="2">Summary!$H$13:$H$137</definedName>
    <definedName name="OSRRefH16x_0" localSheetId="48">'300'!$H$112:$H$162</definedName>
    <definedName name="OSRRefH16x_0" localSheetId="49">'300 &amp; 317'!$H$130:$H$188</definedName>
    <definedName name="OSRRefH16x_0" localSheetId="50">'301'!$H$15</definedName>
    <definedName name="OSRRefH16x_0" localSheetId="53">'307'!$H$52:$H$72</definedName>
    <definedName name="OSRRefH16x_0" localSheetId="55">'308'!$H$45:$H$61</definedName>
    <definedName name="OSRRefH16x_0" localSheetId="67">'309'!$H$17:$H$18</definedName>
    <definedName name="OSRRefH16x_0" localSheetId="66">'310'!$H$24:$H$25</definedName>
    <definedName name="OSRRefH16x_0" localSheetId="74">'310 &amp; 491'!$H$31:$H$32</definedName>
    <definedName name="OSRRefH16x_0" localSheetId="56">'311'!$H$44:$H$60</definedName>
    <definedName name="OSRRefH16x_0" localSheetId="68">'313'!$H$21:$H$22</definedName>
    <definedName name="OSRRefH16x_0" localSheetId="54">'314'!$H$36:$H$50</definedName>
    <definedName name="OSRRefH16x_0" localSheetId="59">'315'!$H$53:$H$77</definedName>
    <definedName name="OSRRefH16x_0" localSheetId="65">'317'!$H$40:$H$55</definedName>
    <definedName name="OSRRefH16x_0" localSheetId="63">'320'!$H$18:$H$22</definedName>
    <definedName name="OSRRefH16x_0" localSheetId="69">'321'!$H$17:$H$18</definedName>
    <definedName name="OSRRefH16x_0" localSheetId="70">'322'!$H$17:$H$18</definedName>
    <definedName name="OSRRefH16x_0" localSheetId="57">'324'!$H$18:$H$19</definedName>
    <definedName name="OSRRefH16x_0" localSheetId="71">'325'!$H$17:$H$18</definedName>
    <definedName name="OSRRefH16x_0" localSheetId="60">'326'!$H$41:$H$57</definedName>
    <definedName name="OSRRefH16x_0" localSheetId="72">'327'!$H$16</definedName>
    <definedName name="OSRRefH16x_0" localSheetId="52">'330'!$H$56:$H$79</definedName>
    <definedName name="OSRRefH16x_0" localSheetId="58">'331'!$H$57:$H$86</definedName>
    <definedName name="OSRRefH16x_0" localSheetId="61">'332'!$H$34:$H$38</definedName>
    <definedName name="OSRRefH16x_0" localSheetId="76">'405'!$H$17:$H$18</definedName>
    <definedName name="OSRRefH16x_0" localSheetId="77">'406'!$H$17:$H$18</definedName>
    <definedName name="OSRRefH16x_0" localSheetId="79">'412'!$H$17:$H$18</definedName>
    <definedName name="OSRRefH16x_0" localSheetId="80">'413'!$H$17:$H$18</definedName>
    <definedName name="OSRRefH16x_0" localSheetId="81">'414'!$H$17:$H$18</definedName>
    <definedName name="OSRRefH16x_0" localSheetId="82">'415'!$H$17:$H$18</definedName>
    <definedName name="OSRRefH16x_0" localSheetId="83">'418'!$H$17:$H$18</definedName>
    <definedName name="OSRRefH16x_0" localSheetId="84">'420'!$H$17:$H$18</definedName>
    <definedName name="OSRRefH16x_0" localSheetId="85">'423'!$H$15</definedName>
    <definedName name="OSRRefH16x_0" localSheetId="86">'424'!$H$17:$H$18</definedName>
    <definedName name="OSRRefH16x_0" localSheetId="87">'425'!$H$20:$H$21</definedName>
    <definedName name="OSRRefH16x_0" localSheetId="91">'433'!$H$18:$H$19</definedName>
    <definedName name="OSRRefH16x_0" localSheetId="92">'435'!$H$18:$H$19</definedName>
    <definedName name="OSRRefH16x_0" localSheetId="93">'444'!$H$18:$H$19</definedName>
    <definedName name="OSRRefH16x_0" localSheetId="94">'450'!$H$18:$H$19</definedName>
    <definedName name="OSRRefH16x_0" localSheetId="75">'491'!$H$25:$H$26</definedName>
    <definedName name="OSRRefH16x_0" localSheetId="89">'492'!$H$20:$H$21</definedName>
    <definedName name="OSRRefH16x_0" localSheetId="47">'Div 3'!$H$115:$H$167</definedName>
    <definedName name="OSRRefH16x_0" localSheetId="73">'Div 4'!$H$25:$H$26</definedName>
    <definedName name="OSRRefH16x_0" localSheetId="64">'Div 6'!$H$40:$H$55</definedName>
    <definedName name="OSRRefH16x_0" localSheetId="2">Summary!$H$140:$H$200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'203'!$H$20:$H$29</definedName>
    <definedName name="OSRRefH22_0x_0" localSheetId="44">'204'!$H$20:$H$29</definedName>
    <definedName name="OSRRefH22_0x_0" localSheetId="45">'205'!$H$20:$H$27</definedName>
    <definedName name="OSRRefH22_0x_0" localSheetId="46">'206'!$H$20:$H$27</definedName>
    <definedName name="OSRRefH22_0x_0" localSheetId="48">'300'!$H$168:$H$177</definedName>
    <definedName name="OSRRefH22_0x_0" localSheetId="49">'300 &amp; 317'!$H$194:$H$203</definedName>
    <definedName name="OSRRefH22_0x_0" localSheetId="50">'301'!$H$21:$H$30</definedName>
    <definedName name="OSRRefH22_0x_0" localSheetId="51">'306'!$H$20:$H$28</definedName>
    <definedName name="OSRRefH22_0x_0" localSheetId="53">'307'!$H$78:$H$85</definedName>
    <definedName name="OSRRefH22_0x_0" localSheetId="55">'308'!$H$67:$H$75</definedName>
    <definedName name="OSRRefH22_0x_0" localSheetId="67">'309'!$H$24:$H$31</definedName>
    <definedName name="OSRRefH22_0x_0" localSheetId="66">'310'!$H$31:$H$38</definedName>
    <definedName name="OSRRefH22_0x_0" localSheetId="74">'310 &amp; 491'!$H$38:$H$46</definedName>
    <definedName name="OSRRefH22_0x_0" localSheetId="56">'311'!$H$66:$H$74</definedName>
    <definedName name="OSRRefH22_0x_0" localSheetId="68">'313'!$H$28:$H$35</definedName>
    <definedName name="OSRRefH22_0x_0" localSheetId="54">'314'!$H$56:$H$64</definedName>
    <definedName name="OSRRefH22_0x_0" localSheetId="59">'315'!$H$83:$H$90</definedName>
    <definedName name="OSRRefH22_0x_0" localSheetId="62">'316'!$H$37:$H$44</definedName>
    <definedName name="OSRRefH22_0x_0" localSheetId="65">'317'!$H$61:$H$69</definedName>
    <definedName name="OSRRefH22_0x_0" localSheetId="63">'320'!$H$28:$H$34</definedName>
    <definedName name="OSRRefH22_0x_0" localSheetId="69">'321'!$H$24:$H$31</definedName>
    <definedName name="OSRRefH22_0x_0" localSheetId="70">'322'!$H$24:$H$31</definedName>
    <definedName name="OSRRefH22_0x_0" localSheetId="71">'325'!$H$24:$H$31</definedName>
    <definedName name="OSRRefH22_0x_0" localSheetId="60">'326'!$H$63:$H$70</definedName>
    <definedName name="OSRRefH22_0x_0" localSheetId="72">'327'!$H$22</definedName>
    <definedName name="OSRRefH22_0x_0" localSheetId="52">'330'!$H$85:$H$93</definedName>
    <definedName name="OSRRefH22_0x_0" localSheetId="58">'331'!$H$92:$H$99</definedName>
    <definedName name="OSRRefH22_0x_0" localSheetId="61">'332'!$H$44:$H$51</definedName>
    <definedName name="OSRRefH22_0x_0" localSheetId="76">'405'!$H$24:$H$31</definedName>
    <definedName name="OSRRefH22_0x_0" localSheetId="77">'406'!$H$24:$H$31</definedName>
    <definedName name="OSRRefH22_0x_0" localSheetId="78">'411'!$H$20:$H$28</definedName>
    <definedName name="OSRRefH22_0x_0" localSheetId="79">'412'!$H$24:$H$31</definedName>
    <definedName name="OSRRefH22_0x_0" localSheetId="80">'413'!$H$24:$H$31</definedName>
    <definedName name="OSRRefH22_0x_0" localSheetId="81">'414'!$H$24:$H$31</definedName>
    <definedName name="OSRRefH22_0x_0" localSheetId="82">'415'!$H$24:$H$31</definedName>
    <definedName name="OSRRefH22_0x_0" localSheetId="83">'418'!$H$24:$H$31</definedName>
    <definedName name="OSRRefH22_0x_0" localSheetId="84">'420'!$H$24:$H$31</definedName>
    <definedName name="OSRRefH22_0x_0" localSheetId="85">'423'!$H$21:$H$28</definedName>
    <definedName name="OSRRefH22_0x_0" localSheetId="86">'424'!$H$24:$H$25</definedName>
    <definedName name="OSRRefH22_0x_0" localSheetId="87">'425'!$H$27:$H$35</definedName>
    <definedName name="OSRRefH22_0x_0" localSheetId="90">'430'!$H$20:$H$27</definedName>
    <definedName name="OSRRefH22_0x_0" localSheetId="91">'433'!$H$25:$H$33</definedName>
    <definedName name="OSRRefH22_0x_0" localSheetId="92">'435'!$H$25:$H$27</definedName>
    <definedName name="OSRRefH22_0x_0" localSheetId="93">'444'!$H$25:$H$33</definedName>
    <definedName name="OSRRefH22_0x_0" localSheetId="94">'450'!$H$25:$H$33</definedName>
    <definedName name="OSRRefH22_0x_0" localSheetId="88">'455'!$H$20:$H$26</definedName>
    <definedName name="OSRRefH22_0x_0" localSheetId="75">'491'!$H$32:$H$40</definedName>
    <definedName name="OSRRefH22_0x_0" localSheetId="89">'492'!$H$27:$H$35</definedName>
    <definedName name="OSRRefH22_0x_0" localSheetId="96">'501'!$H$21:$H$29</definedName>
    <definedName name="OSRRefH22_0x_0" localSheetId="39">'Div 2'!$H$20:$H$30</definedName>
    <definedName name="OSRRefH22_0x_0" localSheetId="47">'Div 3'!$H$173:$H$182</definedName>
    <definedName name="OSRRefH22_0x_0" localSheetId="73">'Div 4'!$H$32:$H$40</definedName>
    <definedName name="OSRRefH22_0x_0" localSheetId="95">'Div 5'!$H$21:$H$29</definedName>
    <definedName name="OSRRefH22_0x_0" localSheetId="64">'Div 6'!$H$61:$H$69</definedName>
    <definedName name="OSRRefH22_0x_0" localSheetId="2">Summary!$H$206:$H$215</definedName>
    <definedName name="OSRRefH22_10x_0" localSheetId="41">'201'!$H$51:$H$53</definedName>
    <definedName name="OSRRefH22_10x_0" localSheetId="42">'202'!$H$54</definedName>
    <definedName name="OSRRefH22_10x_0" localSheetId="43">'203'!$H$55:$H$56</definedName>
    <definedName name="OSRRefH22_10x_0" localSheetId="44">'204'!$H$56:$H$57</definedName>
    <definedName name="OSRRefH22_10x_0" localSheetId="48">'300'!$H$207:$H$208</definedName>
    <definedName name="OSRRefH22_10x_0" localSheetId="49">'300 &amp; 317'!$H$233:$H$234</definedName>
    <definedName name="OSRRefH22_10x_0" localSheetId="50">'301'!$H$60</definedName>
    <definedName name="OSRRefH22_10x_0" localSheetId="53">'307'!$H$114</definedName>
    <definedName name="OSRRefH22_10x_0" localSheetId="55">'308'!$H$105:$H$106</definedName>
    <definedName name="OSRRefH22_10x_0" localSheetId="67">'309'!$H$56:$H$58</definedName>
    <definedName name="OSRRefH22_10x_0" localSheetId="66">'310'!$H$64</definedName>
    <definedName name="OSRRefH22_10x_0" localSheetId="74">'310 &amp; 491'!$H$74:$H$75</definedName>
    <definedName name="OSRRefH22_10x_0" localSheetId="56">'311'!$H$104:$H$105</definedName>
    <definedName name="OSRRefH22_10x_0" localSheetId="68">'313'!$H$62:$H$67</definedName>
    <definedName name="OSRRefH22_10x_0" localSheetId="59">'315'!$H$119:$H$120</definedName>
    <definedName name="OSRRefH22_10x_0" localSheetId="62">'316'!$H$70:$H$75</definedName>
    <definedName name="OSRRefH22_10x_0" localSheetId="65">'317'!$H$96:$H$100</definedName>
    <definedName name="OSRRefH22_10x_0" localSheetId="69">'321'!$H$59:$H$63</definedName>
    <definedName name="OSRRefH22_10x_0" localSheetId="70">'322'!$H$58:$H$64</definedName>
    <definedName name="OSRRefH22_10x_0" localSheetId="71">'325'!$H$56</definedName>
    <definedName name="OSRRefH22_10x_0" localSheetId="60">'326'!$H$96</definedName>
    <definedName name="OSRRefH22_10x_0" localSheetId="52">'330'!$H$120</definedName>
    <definedName name="OSRRefH22_10x_0" localSheetId="58">'331'!$H$126:$H$127</definedName>
    <definedName name="OSRRefH22_10x_0" localSheetId="61">'332'!$H$78</definedName>
    <definedName name="OSRRefH22_10x_0" localSheetId="76">'405'!$H$55:$H$56</definedName>
    <definedName name="OSRRefH22_10x_0" localSheetId="77">'406'!$H$58:$H$59</definedName>
    <definedName name="OSRRefH22_10x_0" localSheetId="78">'411'!$H$55</definedName>
    <definedName name="OSRRefH22_10x_0" localSheetId="79">'412'!$H$58:$H$60</definedName>
    <definedName name="OSRRefH22_10x_0" localSheetId="80">'413'!$H$64</definedName>
    <definedName name="OSRRefH22_10x_0" localSheetId="81">'414'!$H$57</definedName>
    <definedName name="OSRRefH22_10x_0" localSheetId="82">'415'!$H$57</definedName>
    <definedName name="OSRRefH22_10x_0" localSheetId="83">'418'!$H$57:$H$58</definedName>
    <definedName name="OSRRefH22_10x_0" localSheetId="86">'424'!$H$50</definedName>
    <definedName name="OSRRefH22_10x_0" localSheetId="87">'425'!$H$62</definedName>
    <definedName name="OSRRefH22_10x_0" localSheetId="91">'433'!$H$58</definedName>
    <definedName name="OSRRefH22_10x_0" localSheetId="93">'444'!$H$58</definedName>
    <definedName name="OSRRefH22_10x_0" localSheetId="94">'450'!$H$58</definedName>
    <definedName name="OSRRefH22_10x_0" localSheetId="75">'491'!$H$68</definedName>
    <definedName name="OSRRefH22_10x_0" localSheetId="89">'492'!$H$61</definedName>
    <definedName name="OSRRefH22_10x_0" localSheetId="96">'501'!$H$56</definedName>
    <definedName name="OSRRefH22_10x_0" localSheetId="39">'Div 2'!$H$57</definedName>
    <definedName name="OSRRefH22_10x_0" localSheetId="47">'Div 3'!$H$212:$H$213</definedName>
    <definedName name="OSRRefH22_10x_0" localSheetId="73">'Div 4'!$H$68</definedName>
    <definedName name="OSRRefH22_10x_0" localSheetId="95">'Div 5'!$H$56</definedName>
    <definedName name="OSRRefH22_10x_0" localSheetId="64">'Div 6'!$H$96:$H$100</definedName>
    <definedName name="OSRRefH22_10x_0" localSheetId="2">Summary!$H$246:$H$247</definedName>
    <definedName name="OSRRefH22_11x_0" localSheetId="41">'201'!$H$55</definedName>
    <definedName name="OSRRefH22_11x_0" localSheetId="42">'202'!$H$56</definedName>
    <definedName name="OSRRefH22_11x_0" localSheetId="43">'203'!$H$58</definedName>
    <definedName name="OSRRefH22_11x_0" localSheetId="48">'300'!$H$210</definedName>
    <definedName name="OSRRefH22_11x_0" localSheetId="49">'300 &amp; 317'!$H$236</definedName>
    <definedName name="OSRRefH22_11x_0" localSheetId="50">'301'!$H$62</definedName>
    <definedName name="OSRRefH22_11x_0" localSheetId="53">'307'!$H$116</definedName>
    <definedName name="OSRRefH22_11x_0" localSheetId="55">'308'!$H$108:$H$110</definedName>
    <definedName name="OSRRefH22_11x_0" localSheetId="67">'309'!$H$60:$H$62</definedName>
    <definedName name="OSRRefH22_11x_0" localSheetId="66">'310'!$H$66</definedName>
    <definedName name="OSRRefH22_11x_0" localSheetId="74">'310 &amp; 491'!$H$77:$H$78</definedName>
    <definedName name="OSRRefH22_11x_0" localSheetId="56">'311'!$H$107:$H$109</definedName>
    <definedName name="OSRRefH22_11x_0" localSheetId="68">'313'!$H$69</definedName>
    <definedName name="OSRRefH22_11x_0" localSheetId="59">'315'!$H$122:$H$126</definedName>
    <definedName name="OSRRefH22_11x_0" localSheetId="62">'316'!$H$77</definedName>
    <definedName name="OSRRefH22_11x_0" localSheetId="65">'317'!$H$102</definedName>
    <definedName name="OSRRefH22_11x_0" localSheetId="69">'321'!$H$65</definedName>
    <definedName name="OSRRefH22_11x_0" localSheetId="70">'322'!$H$66</definedName>
    <definedName name="OSRRefH22_11x_0" localSheetId="71">'325'!$H$58:$H$60</definedName>
    <definedName name="OSRRefH22_11x_0" localSheetId="60">'326'!$H$98</definedName>
    <definedName name="OSRRefH22_11x_0" localSheetId="52">'330'!$H$122:$H$125</definedName>
    <definedName name="OSRRefH22_11x_0" localSheetId="58">'331'!$H$129</definedName>
    <definedName name="OSRRefH22_11x_0" localSheetId="61">'332'!$H$80:$H$85</definedName>
    <definedName name="OSRRefH22_11x_0" localSheetId="76">'405'!$H$58</definedName>
    <definedName name="OSRRefH22_11x_0" localSheetId="77">'406'!$H$61:$H$66</definedName>
    <definedName name="OSRRefH22_11x_0" localSheetId="78">'411'!$H$57</definedName>
    <definedName name="OSRRefH22_11x_0" localSheetId="79">'412'!$H$62:$H$67</definedName>
    <definedName name="OSRRefH22_11x_0" localSheetId="80">'413'!$H$66</definedName>
    <definedName name="OSRRefH22_11x_0" localSheetId="81">'414'!$H$59</definedName>
    <definedName name="OSRRefH22_11x_0" localSheetId="82">'415'!$H$59:$H$62</definedName>
    <definedName name="OSRRefH22_11x_0" localSheetId="83">'418'!$H$60:$H$62</definedName>
    <definedName name="OSRRefH22_11x_0" localSheetId="86">'424'!$H$52:$H$56</definedName>
    <definedName name="OSRRefH22_11x_0" localSheetId="87">'425'!$H$64:$H$66</definedName>
    <definedName name="OSRRefH22_11x_0" localSheetId="91">'433'!$H$60:$H$62</definedName>
    <definedName name="OSRRefH22_11x_0" localSheetId="93">'444'!$H$60:$H$62</definedName>
    <definedName name="OSRRefH22_11x_0" localSheetId="94">'450'!$H$60</definedName>
    <definedName name="OSRRefH22_11x_0" localSheetId="75">'491'!$H$70:$H$71</definedName>
    <definedName name="OSRRefH22_11x_0" localSheetId="89">'492'!$H$63</definedName>
    <definedName name="OSRRefH22_11x_0" localSheetId="96">'501'!$H$58:$H$60</definedName>
    <definedName name="OSRRefH22_11x_0" localSheetId="39">'Div 2'!$H$59</definedName>
    <definedName name="OSRRefH22_11x_0" localSheetId="47">'Div 3'!$H$215</definedName>
    <definedName name="OSRRefH22_11x_0" localSheetId="73">'Div 4'!$H$70:$H$71</definedName>
    <definedName name="OSRRefH22_11x_0" localSheetId="95">'Div 5'!$H$58:$H$60</definedName>
    <definedName name="OSRRefH22_11x_0" localSheetId="64">'Div 6'!$H$102</definedName>
    <definedName name="OSRRefH22_11x_0" localSheetId="2">Summary!$H$249:$H$250</definedName>
    <definedName name="OSRRefH22_12x_0" localSheetId="41">'201'!$H$57:$H$60</definedName>
    <definedName name="OSRRefH22_12x_0" localSheetId="42">'202'!$H$58:$H$60</definedName>
    <definedName name="OSRRefH22_12x_0" localSheetId="43">'203'!$H$60:$H$63</definedName>
    <definedName name="OSRRefH22_12x_0" localSheetId="48">'300'!$H$212</definedName>
    <definedName name="OSRRefH22_12x_0" localSheetId="49">'300 &amp; 317'!$H$238</definedName>
    <definedName name="OSRRefH22_12x_0" localSheetId="50">'301'!$H$64</definedName>
    <definedName name="OSRRefH22_12x_0" localSheetId="55">'308'!$H$112:$H$113</definedName>
    <definedName name="OSRRefH22_12x_0" localSheetId="67">'309'!$H$64</definedName>
    <definedName name="OSRRefH22_12x_0" localSheetId="66">'310'!$H$68</definedName>
    <definedName name="OSRRefH22_12x_0" localSheetId="74">'310 &amp; 491'!$H$80</definedName>
    <definedName name="OSRRefH22_12x_0" localSheetId="56">'311'!$H$111:$H$112</definedName>
    <definedName name="OSRRefH22_12x_0" localSheetId="68">'313'!$H$71</definedName>
    <definedName name="OSRRefH22_12x_0" localSheetId="59">'315'!$H$128</definedName>
    <definedName name="OSRRefH22_12x_0" localSheetId="62">'316'!$H$79</definedName>
    <definedName name="OSRRefH22_12x_0" localSheetId="65">'317'!$H$104</definedName>
    <definedName name="OSRRefH22_12x_0" localSheetId="69">'321'!$H$67</definedName>
    <definedName name="OSRRefH22_12x_0" localSheetId="70">'322'!$H$68</definedName>
    <definedName name="OSRRefH22_12x_0" localSheetId="71">'325'!$H$62:$H$64</definedName>
    <definedName name="OSRRefH22_12x_0" localSheetId="60">'326'!$H$100:$H$102</definedName>
    <definedName name="OSRRefH22_12x_0" localSheetId="52">'330'!$H$127</definedName>
    <definedName name="OSRRefH22_12x_0" localSheetId="58">'331'!$H$131</definedName>
    <definedName name="OSRRefH22_12x_0" localSheetId="61">'332'!$H$87</definedName>
    <definedName name="OSRRefH22_12x_0" localSheetId="76">'405'!$H$60:$H$62</definedName>
    <definedName name="OSRRefH22_12x_0" localSheetId="77">'406'!$H$68</definedName>
    <definedName name="OSRRefH22_12x_0" localSheetId="78">'411'!$H$59:$H$62</definedName>
    <definedName name="OSRRefH22_12x_0" localSheetId="79">'412'!$H$69</definedName>
    <definedName name="OSRRefH22_12x_0" localSheetId="81">'414'!$H$61</definedName>
    <definedName name="OSRRefH22_12x_0" localSheetId="82">'415'!$H$64:$H$68</definedName>
    <definedName name="OSRRefH22_12x_0" localSheetId="83">'418'!$H$64:$H$66</definedName>
    <definedName name="OSRRefH22_12x_0" localSheetId="86">'424'!$H$58</definedName>
    <definedName name="OSRRefH22_12x_0" localSheetId="87">'425'!$H$68:$H$74</definedName>
    <definedName name="OSRRefH22_12x_0" localSheetId="91">'433'!$H$64:$H$66</definedName>
    <definedName name="OSRRefH22_12x_0" localSheetId="93">'444'!$H$64:$H$67</definedName>
    <definedName name="OSRRefH22_12x_0" localSheetId="94">'450'!$H$62:$H$63</definedName>
    <definedName name="OSRRefH22_12x_0" localSheetId="75">'491'!$H$73</definedName>
    <definedName name="OSRRefH22_12x_0" localSheetId="89">'492'!$H$65:$H$67</definedName>
    <definedName name="OSRRefH22_12x_0" localSheetId="96">'501'!$H$62</definedName>
    <definedName name="OSRRefH22_12x_0" localSheetId="39">'Div 2'!$H$61:$H$64</definedName>
    <definedName name="OSRRefH22_12x_0" localSheetId="47">'Div 3'!$H$217</definedName>
    <definedName name="OSRRefH22_12x_0" localSheetId="73">'Div 4'!$H$73</definedName>
    <definedName name="OSRRefH22_12x_0" localSheetId="95">'Div 5'!$H$62</definedName>
    <definedName name="OSRRefH22_12x_0" localSheetId="64">'Div 6'!$H$104</definedName>
    <definedName name="OSRRefH22_12x_0" localSheetId="2">Summary!$H$252</definedName>
    <definedName name="OSRRefH22_13x_0" localSheetId="41">'201'!$H$62</definedName>
    <definedName name="OSRRefH22_13x_0" localSheetId="42">'202'!$H$62</definedName>
    <definedName name="OSRRefH22_13x_0" localSheetId="43">'203'!$H$65</definedName>
    <definedName name="OSRRefH22_13x_0" localSheetId="48">'300'!$H$214:$H$216</definedName>
    <definedName name="OSRRefH22_13x_0" localSheetId="49">'300 &amp; 317'!$H$240:$H$242</definedName>
    <definedName name="OSRRefH22_13x_0" localSheetId="50">'301'!$H$66</definedName>
    <definedName name="OSRRefH22_13x_0" localSheetId="55">'308'!$H$115</definedName>
    <definedName name="OSRRefH22_13x_0" localSheetId="66">'310'!$H$70</definedName>
    <definedName name="OSRRefH22_13x_0" localSheetId="74">'310 &amp; 491'!$H$82</definedName>
    <definedName name="OSRRefH22_13x_0" localSheetId="56">'311'!$H$114</definedName>
    <definedName name="OSRRefH22_13x_0" localSheetId="59">'315'!$H$130</definedName>
    <definedName name="OSRRefH22_13x_0" localSheetId="62">'316'!$H$81</definedName>
    <definedName name="OSRRefH22_13x_0" localSheetId="65">'317'!$H$106</definedName>
    <definedName name="OSRRefH22_13x_0" localSheetId="70">'322'!$H$70</definedName>
    <definedName name="OSRRefH22_13x_0" localSheetId="71">'325'!$H$66</definedName>
    <definedName name="OSRRefH22_13x_0" localSheetId="60">'326'!$H$104:$H$106</definedName>
    <definedName name="OSRRefH22_13x_0" localSheetId="52">'330'!$H$129</definedName>
    <definedName name="OSRRefH22_13x_0" localSheetId="58">'331'!$H$133:$H$135</definedName>
    <definedName name="OSRRefH22_13x_0" localSheetId="61">'332'!$H$89</definedName>
    <definedName name="OSRRefH22_13x_0" localSheetId="76">'405'!$H$64:$H$65</definedName>
    <definedName name="OSRRefH22_13x_0" localSheetId="77">'406'!$H$70</definedName>
    <definedName name="OSRRefH22_13x_0" localSheetId="78">'411'!$H$64:$H$68</definedName>
    <definedName name="OSRRefH22_13x_0" localSheetId="79">'412'!$H$71</definedName>
    <definedName name="OSRRefH22_13x_0" localSheetId="81">'414'!$H$63:$H$69</definedName>
    <definedName name="OSRRefH22_13x_0" localSheetId="82">'415'!$H$70:$H$71</definedName>
    <definedName name="OSRRefH22_13x_0" localSheetId="83">'418'!$H$68:$H$69</definedName>
    <definedName name="OSRRefH22_13x_0" localSheetId="87">'425'!$H$76</definedName>
    <definedName name="OSRRefH22_13x_0" localSheetId="91">'433'!$H$68:$H$75</definedName>
    <definedName name="OSRRefH22_13x_0" localSheetId="93">'444'!$H$69</definedName>
    <definedName name="OSRRefH22_13x_0" localSheetId="94">'450'!$H$65:$H$67</definedName>
    <definedName name="OSRRefH22_13x_0" localSheetId="75">'491'!$H$75</definedName>
    <definedName name="OSRRefH22_13x_0" localSheetId="89">'492'!$H$69:$H$72</definedName>
    <definedName name="OSRRefH22_13x_0" localSheetId="96">'501'!$H$64</definedName>
    <definedName name="OSRRefH22_13x_0" localSheetId="39">'Div 2'!$H$66:$H$68</definedName>
    <definedName name="OSRRefH22_13x_0" localSheetId="47">'Div 3'!$H$219</definedName>
    <definedName name="OSRRefH22_13x_0" localSheetId="73">'Div 4'!$H$75</definedName>
    <definedName name="OSRRefH22_13x_0" localSheetId="95">'Div 5'!$H$64</definedName>
    <definedName name="OSRRefH22_13x_0" localSheetId="64">'Div 6'!$H$106</definedName>
    <definedName name="OSRRefH22_13x_0" localSheetId="2">Summary!$H$254</definedName>
    <definedName name="OSRRefH22_14x_0" localSheetId="41">'201'!$H$64</definedName>
    <definedName name="OSRRefH22_14x_0" localSheetId="42">'202'!$H$64</definedName>
    <definedName name="OSRRefH22_14x_0" localSheetId="43">'203'!$H$67</definedName>
    <definedName name="OSRRefH22_14x_0" localSheetId="48">'300'!$H$218</definedName>
    <definedName name="OSRRefH22_14x_0" localSheetId="49">'300 &amp; 317'!$H$244</definedName>
    <definedName name="OSRRefH22_14x_0" localSheetId="50">'301'!$H$68</definedName>
    <definedName name="OSRRefH22_14x_0" localSheetId="55">'308'!$H$117</definedName>
    <definedName name="OSRRefH22_14x_0" localSheetId="66">'310'!$H$72:$H$74</definedName>
    <definedName name="OSRRefH22_14x_0" localSheetId="74">'310 &amp; 491'!$H$84</definedName>
    <definedName name="OSRRefH22_14x_0" localSheetId="56">'311'!$H$116</definedName>
    <definedName name="OSRRefH22_14x_0" localSheetId="59">'315'!$H$132:$H$133</definedName>
    <definedName name="OSRRefH22_14x_0" localSheetId="71">'325'!$H$68:$H$72</definedName>
    <definedName name="OSRRefH22_14x_0" localSheetId="60">'326'!$H$108:$H$109</definedName>
    <definedName name="OSRRefH22_14x_0" localSheetId="52">'330'!$H$131</definedName>
    <definedName name="OSRRefH22_14x_0" localSheetId="58">'331'!$H$137:$H$138</definedName>
    <definedName name="OSRRefH22_14x_0" localSheetId="61">'332'!$H$91</definedName>
    <definedName name="OSRRefH22_14x_0" localSheetId="76">'405'!$H$67:$H$73</definedName>
    <definedName name="OSRRefH22_14x_0" localSheetId="77">'406'!$H$72</definedName>
    <definedName name="OSRRefH22_14x_0" localSheetId="78">'411'!$H$70:$H$71</definedName>
    <definedName name="OSRRefH22_14x_0" localSheetId="81">'414'!$H$71</definedName>
    <definedName name="OSRRefH22_14x_0" localSheetId="82">'415'!$H$73:$H$81</definedName>
    <definedName name="OSRRefH22_14x_0" localSheetId="83">'418'!$H$71:$H$78</definedName>
    <definedName name="OSRRefH22_14x_0" localSheetId="87">'425'!$H$78</definedName>
    <definedName name="OSRRefH22_14x_0" localSheetId="91">'433'!$H$77</definedName>
    <definedName name="OSRRefH22_14x_0" localSheetId="93">'444'!$H$71:$H$79</definedName>
    <definedName name="OSRRefH22_14x_0" localSheetId="94">'450'!$H$69:$H$74</definedName>
    <definedName name="OSRRefH22_14x_0" localSheetId="75">'491'!$H$77</definedName>
    <definedName name="OSRRefH22_14x_0" localSheetId="89">'492'!$H$74</definedName>
    <definedName name="OSRRefH22_14x_0" localSheetId="39">'Div 2'!$H$70:$H$71</definedName>
    <definedName name="OSRRefH22_14x_0" localSheetId="47">'Div 3'!$H$221:$H$223</definedName>
    <definedName name="OSRRefH22_14x_0" localSheetId="73">'Div 4'!$H$77</definedName>
    <definedName name="OSRRefH22_14x_0" localSheetId="2">Summary!$H$256:$H$258</definedName>
    <definedName name="OSRRefH22_15x_0" localSheetId="41">'201'!$H$66</definedName>
    <definedName name="OSRRefH22_15x_0" localSheetId="42">'202'!$H$66</definedName>
    <definedName name="OSRRefH22_15x_0" localSheetId="43">'203'!$H$69</definedName>
    <definedName name="OSRRefH22_15x_0" localSheetId="48">'300'!$H$220</definedName>
    <definedName name="OSRRefH22_15x_0" localSheetId="49">'300 &amp; 317'!$H$246</definedName>
    <definedName name="OSRRefH22_15x_0" localSheetId="50">'301'!$H$70:$H$73</definedName>
    <definedName name="OSRRefH22_15x_0" localSheetId="66">'310'!$H$76</definedName>
    <definedName name="OSRRefH22_15x_0" localSheetId="74">'310 &amp; 491'!$H$86</definedName>
    <definedName name="OSRRefH22_15x_0" localSheetId="71">'325'!$H$74</definedName>
    <definedName name="OSRRefH22_15x_0" localSheetId="60">'326'!$H$111:$H$116</definedName>
    <definedName name="OSRRefH22_15x_0" localSheetId="58">'331'!$H$140:$H$142</definedName>
    <definedName name="OSRRefH22_15x_0" localSheetId="76">'405'!$H$75</definedName>
    <definedName name="OSRRefH22_15x_0" localSheetId="78">'411'!$H$73:$H$81</definedName>
    <definedName name="OSRRefH22_15x_0" localSheetId="81">'414'!$H$73</definedName>
    <definedName name="OSRRefH22_15x_0" localSheetId="82">'415'!$H$83</definedName>
    <definedName name="OSRRefH22_15x_0" localSheetId="83">'418'!$H$80</definedName>
    <definedName name="OSRRefH22_15x_0" localSheetId="91">'433'!$H$79</definedName>
    <definedName name="OSRRefH22_15x_0" localSheetId="93">'444'!$H$81</definedName>
    <definedName name="OSRRefH22_15x_0" localSheetId="94">'450'!$H$76</definedName>
    <definedName name="OSRRefH22_15x_0" localSheetId="75">'491'!$H$79</definedName>
    <definedName name="OSRRefH22_15x_0" localSheetId="89">'492'!$H$76:$H$84</definedName>
    <definedName name="OSRRefH22_15x_0" localSheetId="39">'Div 2'!$H$73</definedName>
    <definedName name="OSRRefH22_15x_0" localSheetId="47">'Div 3'!$H$225</definedName>
    <definedName name="OSRRefH22_15x_0" localSheetId="73">'Div 4'!$H$79</definedName>
    <definedName name="OSRRefH22_15x_0" localSheetId="2">Summary!$H$260</definedName>
    <definedName name="OSRRefH22_16x_0" localSheetId="48">'300'!$H$222:$H$225</definedName>
    <definedName name="OSRRefH22_16x_0" localSheetId="49">'300 &amp; 317'!$H$248:$H$251</definedName>
    <definedName name="OSRRefH22_16x_0" localSheetId="50">'301'!$H$75:$H$77</definedName>
    <definedName name="OSRRefH22_16x_0" localSheetId="66">'310'!$H$78:$H$81</definedName>
    <definedName name="OSRRefH22_16x_0" localSheetId="74">'310 &amp; 491'!$H$88:$H$91</definedName>
    <definedName name="OSRRefH22_16x_0" localSheetId="71">'325'!$H$76</definedName>
    <definedName name="OSRRefH22_16x_0" localSheetId="60">'326'!$H$118</definedName>
    <definedName name="OSRRefH22_16x_0" localSheetId="58">'331'!$H$144:$H$145</definedName>
    <definedName name="OSRRefH22_16x_0" localSheetId="76">'405'!$H$77</definedName>
    <definedName name="OSRRefH22_16x_0" localSheetId="78">'411'!$H$83</definedName>
    <definedName name="OSRRefH22_16x_0" localSheetId="82">'415'!$H$85</definedName>
    <definedName name="OSRRefH22_16x_0" localSheetId="83">'418'!$H$82</definedName>
    <definedName name="OSRRefH22_16x_0" localSheetId="91">'433'!$H$81</definedName>
    <definedName name="OSRRefH22_16x_0" localSheetId="93">'444'!$H$83</definedName>
    <definedName name="OSRRefH22_16x_0" localSheetId="94">'450'!$H$78</definedName>
    <definedName name="OSRRefH22_16x_0" localSheetId="75">'491'!$H$81:$H$84</definedName>
    <definedName name="OSRRefH22_16x_0" localSheetId="89">'492'!$H$86</definedName>
    <definedName name="OSRRefH22_16x_0" localSheetId="39">'Div 2'!$H$75:$H$79</definedName>
    <definedName name="OSRRefH22_16x_0" localSheetId="47">'Div 3'!$H$227</definedName>
    <definedName name="OSRRefH22_16x_0" localSheetId="73">'Div 4'!$H$81</definedName>
    <definedName name="OSRRefH22_16x_0" localSheetId="2">Summary!$H$262</definedName>
    <definedName name="OSRRefH22_17x_0" localSheetId="48">'300'!$H$227:$H$229</definedName>
    <definedName name="OSRRefH22_17x_0" localSheetId="49">'300 &amp; 317'!$H$253:$H$255</definedName>
    <definedName name="OSRRefH22_17x_0" localSheetId="50">'301'!$H$79:$H$80</definedName>
    <definedName name="OSRRefH22_17x_0" localSheetId="66">'310'!$H$83</definedName>
    <definedName name="OSRRefH22_17x_0" localSheetId="74">'310 &amp; 491'!$H$93:$H$94</definedName>
    <definedName name="OSRRefH22_17x_0" localSheetId="71">'325'!$H$78</definedName>
    <definedName name="OSRRefH22_17x_0" localSheetId="60">'326'!$H$120</definedName>
    <definedName name="OSRRefH22_17x_0" localSheetId="58">'331'!$H$147:$H$152</definedName>
    <definedName name="OSRRefH22_17x_0" localSheetId="76">'405'!$H$79</definedName>
    <definedName name="OSRRefH22_17x_0" localSheetId="78">'411'!$H$85</definedName>
    <definedName name="OSRRefH22_17x_0" localSheetId="82">'415'!$H$87</definedName>
    <definedName name="OSRRefH22_17x_0" localSheetId="93">'444'!$H$85:$H$86</definedName>
    <definedName name="OSRRefH22_17x_0" localSheetId="94">'450'!$H$80</definedName>
    <definedName name="OSRRefH22_17x_0" localSheetId="75">'491'!$H$86:$H$87</definedName>
    <definedName name="OSRRefH22_17x_0" localSheetId="89">'492'!$H$88</definedName>
    <definedName name="OSRRefH22_17x_0" localSheetId="39">'Div 2'!$H$81:$H$82</definedName>
    <definedName name="OSRRefH22_17x_0" localSheetId="47">'Div 3'!$H$229:$H$232</definedName>
    <definedName name="OSRRefH22_17x_0" localSheetId="73">'Div 4'!$H$83:$H$86</definedName>
    <definedName name="OSRRefH22_17x_0" localSheetId="2">Summary!$H$264</definedName>
    <definedName name="OSRRefH22_18x_0" localSheetId="48">'300'!$H$231:$H$234</definedName>
    <definedName name="OSRRefH22_18x_0" localSheetId="49">'300 &amp; 317'!$H$257:$H$260</definedName>
    <definedName name="OSRRefH22_18x_0" localSheetId="50">'301'!$H$82:$H$88</definedName>
    <definedName name="OSRRefH22_18x_0" localSheetId="66">'310'!$H$85:$H$93</definedName>
    <definedName name="OSRRefH22_18x_0" localSheetId="74">'310 &amp; 491'!$H$96:$H$100</definedName>
    <definedName name="OSRRefH22_18x_0" localSheetId="60">'326'!$H$122</definedName>
    <definedName name="OSRRefH22_18x_0" localSheetId="58">'331'!$H$154</definedName>
    <definedName name="OSRRefH22_18x_0" localSheetId="78">'411'!$H$87:$H$89</definedName>
    <definedName name="OSRRefH22_18x_0" localSheetId="75">'491'!$H$89:$H$93</definedName>
    <definedName name="OSRRefH22_18x_0" localSheetId="89">'492'!$H$90:$H$91</definedName>
    <definedName name="OSRRefH22_18x_0" localSheetId="39">'Div 2'!$H$84</definedName>
    <definedName name="OSRRefH22_18x_0" localSheetId="47">'Div 3'!$H$234:$H$236</definedName>
    <definedName name="OSRRefH22_18x_0" localSheetId="73">'Div 4'!$H$88:$H$89</definedName>
    <definedName name="OSRRefH22_18x_0" localSheetId="2">Summary!$H$266:$H$269</definedName>
    <definedName name="OSRRefH22_19x_0" localSheetId="48">'300'!$H$236:$H$237</definedName>
    <definedName name="OSRRefH22_19x_0" localSheetId="49">'300 &amp; 317'!$H$262:$H$263</definedName>
    <definedName name="OSRRefH22_19x_0" localSheetId="50">'301'!$H$90</definedName>
    <definedName name="OSRRefH22_19x_0" localSheetId="66">'310'!$H$95</definedName>
    <definedName name="OSRRefH22_19x_0" localSheetId="74">'310 &amp; 491'!$H$102:$H$103</definedName>
    <definedName name="OSRRefH22_19x_0" localSheetId="60">'326'!$H$124</definedName>
    <definedName name="OSRRefH22_19x_0" localSheetId="58">'331'!$H$156</definedName>
    <definedName name="OSRRefH22_19x_0" localSheetId="78">'411'!$H$91</definedName>
    <definedName name="OSRRefH22_19x_0" localSheetId="75">'491'!$H$95:$H$96</definedName>
    <definedName name="OSRRefH22_19x_0" localSheetId="39">'Div 2'!$H$86:$H$87</definedName>
    <definedName name="OSRRefH22_19x_0" localSheetId="47">'Div 3'!$H$238:$H$242</definedName>
    <definedName name="OSRRefH22_19x_0" localSheetId="73">'Div 4'!$H$91:$H$95</definedName>
    <definedName name="OSRRefH22_19x_0" localSheetId="2">Summary!$H$271:$H$273</definedName>
    <definedName name="OSRRefH22_1x_0" localSheetId="40">'200'!$H$22</definedName>
    <definedName name="OSRRefH22_1x_0" localSheetId="41">'201'!$H$29:$H$31</definedName>
    <definedName name="OSRRefH22_1x_0" localSheetId="42">'202'!$H$29:$H$33</definedName>
    <definedName name="OSRRefH22_1x_0" localSheetId="43">'203'!$H$31:$H$35</definedName>
    <definedName name="OSRRefH22_1x_0" localSheetId="44">'204'!$H$31:$H$35</definedName>
    <definedName name="OSRRefH22_1x_0" localSheetId="45">'205'!$H$29</definedName>
    <definedName name="OSRRefH22_1x_0" localSheetId="46">'206'!$H$29:$H$32</definedName>
    <definedName name="OSRRefH22_1x_0" localSheetId="48">'300'!$H$179:$H$185</definedName>
    <definedName name="OSRRefH22_1x_0" localSheetId="49">'300 &amp; 317'!$H$205:$H$211</definedName>
    <definedName name="OSRRefH22_1x_0" localSheetId="50">'301'!$H$32:$H$38</definedName>
    <definedName name="OSRRefH22_1x_0" localSheetId="51">'306'!$H$30:$H$35</definedName>
    <definedName name="OSRRefH22_1x_0" localSheetId="53">'307'!$H$87:$H$90</definedName>
    <definedName name="OSRRefH22_1x_0" localSheetId="55">'308'!$H$77:$H$83</definedName>
    <definedName name="OSRRefH22_1x_0" localSheetId="67">'309'!$H$33:$H$37</definedName>
    <definedName name="OSRRefH22_1x_0" localSheetId="66">'310'!$H$40:$H$45</definedName>
    <definedName name="OSRRefH22_1x_0" localSheetId="74">'310 &amp; 491'!$H$48:$H$54</definedName>
    <definedName name="OSRRefH22_1x_0" localSheetId="56">'311'!$H$76:$H$82</definedName>
    <definedName name="OSRRefH22_1x_0" localSheetId="68">'313'!$H$37:$H$42</definedName>
    <definedName name="OSRRefH22_1x_0" localSheetId="54">'314'!$H$66:$H$68</definedName>
    <definedName name="OSRRefH22_1x_0" localSheetId="59">'315'!$H$92:$H$97</definedName>
    <definedName name="OSRRefH22_1x_0" localSheetId="62">'316'!$H$46:$H$49</definedName>
    <definedName name="OSRRefH22_1x_0" localSheetId="65">'317'!$H$71:$H$75</definedName>
    <definedName name="OSRRefH22_1x_0" localSheetId="63">'320'!$H$36:$H$40</definedName>
    <definedName name="OSRRefH22_1x_0" localSheetId="69">'321'!$H$33:$H$37</definedName>
    <definedName name="OSRRefH22_1x_0" localSheetId="70">'322'!$H$33:$H$37</definedName>
    <definedName name="OSRRefH22_1x_0" localSheetId="71">'325'!$H$33:$H$37</definedName>
    <definedName name="OSRRefH22_1x_0" localSheetId="60">'326'!$H$72:$H$77</definedName>
    <definedName name="OSRRefH22_1x_0" localSheetId="72">'327'!$H$24</definedName>
    <definedName name="OSRRefH22_1x_0" localSheetId="52">'330'!$H$95:$H$99</definedName>
    <definedName name="OSRRefH22_1x_0" localSheetId="58">'331'!$H$101:$H$106</definedName>
    <definedName name="OSRRefH22_1x_0" localSheetId="61">'332'!$H$53:$H$57</definedName>
    <definedName name="OSRRefH22_1x_0" localSheetId="76">'405'!$H$33:$H$36</definedName>
    <definedName name="OSRRefH22_1x_0" localSheetId="77">'406'!$H$33:$H$38</definedName>
    <definedName name="OSRRefH22_1x_0" localSheetId="78">'411'!$H$30:$H$35</definedName>
    <definedName name="OSRRefH22_1x_0" localSheetId="79">'412'!$H$33:$H$38</definedName>
    <definedName name="OSRRefH22_1x_0" localSheetId="80">'413'!$H$33:$H$37</definedName>
    <definedName name="OSRRefH22_1x_0" localSheetId="81">'414'!$H$33:$H$38</definedName>
    <definedName name="OSRRefH22_1x_0" localSheetId="82">'415'!$H$33:$H$38</definedName>
    <definedName name="OSRRefH22_1x_0" localSheetId="83">'418'!$H$33:$H$38</definedName>
    <definedName name="OSRRefH22_1x_0" localSheetId="84">'420'!$H$33:$H$36</definedName>
    <definedName name="OSRRefH22_1x_0" localSheetId="85">'423'!$H$30:$H$31</definedName>
    <definedName name="OSRRefH22_1x_0" localSheetId="86">'424'!$H$27:$H$31</definedName>
    <definedName name="OSRRefH22_1x_0" localSheetId="87">'425'!$H$37:$H$42</definedName>
    <definedName name="OSRRefH22_1x_0" localSheetId="90">'430'!$H$29</definedName>
    <definedName name="OSRRefH22_1x_0" localSheetId="91">'433'!$H$35:$H$40</definedName>
    <definedName name="OSRRefH22_1x_0" localSheetId="92">'435'!$H$29:$H$31</definedName>
    <definedName name="OSRRefH22_1x_0" localSheetId="93">'444'!$H$35:$H$40</definedName>
    <definedName name="OSRRefH22_1x_0" localSheetId="94">'450'!$H$35:$H$40</definedName>
    <definedName name="OSRRefH22_1x_0" localSheetId="88">'455'!$H$28:$H$29</definedName>
    <definedName name="OSRRefH22_1x_0" localSheetId="75">'491'!$H$42:$H$48</definedName>
    <definedName name="OSRRefH22_1x_0" localSheetId="89">'492'!$H$37:$H$43</definedName>
    <definedName name="OSRRefH22_1x_0" localSheetId="96">'501'!$H$31:$H$35</definedName>
    <definedName name="OSRRefH22_1x_0" localSheetId="39">'Div 2'!$H$32:$H$38</definedName>
    <definedName name="OSRRefH22_1x_0" localSheetId="47">'Div 3'!$H$184:$H$190</definedName>
    <definedName name="OSRRefH22_1x_0" localSheetId="73">'Div 4'!$H$42:$H$48</definedName>
    <definedName name="OSRRefH22_1x_0" localSheetId="95">'Div 5'!$H$31:$H$35</definedName>
    <definedName name="OSRRefH22_1x_0" localSheetId="64">'Div 6'!$H$71:$H$75</definedName>
    <definedName name="OSRRefH22_1x_0" localSheetId="2">Summary!$H$217:$H$223</definedName>
    <definedName name="OSRRefH22_20x_0" localSheetId="48">'300'!$H$239:$H$246</definedName>
    <definedName name="OSRRefH22_20x_0" localSheetId="49">'300 &amp; 317'!$H$265:$H$272</definedName>
    <definedName name="OSRRefH22_20x_0" localSheetId="50">'301'!$H$92</definedName>
    <definedName name="OSRRefH22_20x_0" localSheetId="66">'310'!$H$97</definedName>
    <definedName name="OSRRefH22_20x_0" localSheetId="74">'310 &amp; 491'!$H$105:$H$114</definedName>
    <definedName name="OSRRefH22_20x_0" localSheetId="58">'331'!$H$158:$H$159</definedName>
    <definedName name="OSRRefH22_20x_0" localSheetId="75">'491'!$H$98:$H$107</definedName>
    <definedName name="OSRRefH22_20x_0" localSheetId="47">'Div 3'!$H$244:$H$245</definedName>
    <definedName name="OSRRefH22_20x_0" localSheetId="73">'Div 4'!$H$97:$H$98</definedName>
    <definedName name="OSRRefH22_20x_0" localSheetId="2">Summary!$H$275:$H$279</definedName>
    <definedName name="OSRRefH22_21x_0" localSheetId="48">'300'!$H$248:$H$249</definedName>
    <definedName name="OSRRefH22_21x_0" localSheetId="49">'300 &amp; 317'!$H$274:$H$275</definedName>
    <definedName name="OSRRefH22_21x_0" localSheetId="50">'301'!$H$94:$H$96</definedName>
    <definedName name="OSRRefH22_21x_0" localSheetId="66">'310'!$H$99</definedName>
    <definedName name="OSRRefH22_21x_0" localSheetId="74">'310 &amp; 491'!$H$116</definedName>
    <definedName name="OSRRefH22_21x_0" localSheetId="58">'331'!$H$161</definedName>
    <definedName name="OSRRefH22_21x_0" localSheetId="75">'491'!$H$109</definedName>
    <definedName name="OSRRefH22_21x_0" localSheetId="47">'Div 3'!$H$247:$H$255</definedName>
    <definedName name="OSRRefH22_21x_0" localSheetId="73">'Div 4'!$H$100:$H$109</definedName>
    <definedName name="OSRRefH22_21x_0" localSheetId="2">Summary!$H$281:$H$282</definedName>
    <definedName name="OSRRefH22_22x_0" localSheetId="48">'300'!$H$251</definedName>
    <definedName name="OSRRefH22_22x_0" localSheetId="49">'300 &amp; 317'!$H$277</definedName>
    <definedName name="OSRRefH22_22x_0" localSheetId="50">'301'!$H$98</definedName>
    <definedName name="OSRRefH22_22x_0" localSheetId="66">'310'!$H$101</definedName>
    <definedName name="OSRRefH22_22x_0" localSheetId="74">'310 &amp; 491'!$H$118</definedName>
    <definedName name="OSRRefH22_22x_0" localSheetId="75">'491'!$H$111</definedName>
    <definedName name="OSRRefH22_22x_0" localSheetId="47">'Div 3'!$H$257:$H$258</definedName>
    <definedName name="OSRRefH22_22x_0" localSheetId="73">'Div 4'!$H$111</definedName>
    <definedName name="OSRRefH22_22x_0" localSheetId="2">Summary!$H$284:$H$293</definedName>
    <definedName name="OSRRefH22_23x_0" localSheetId="48">'300'!$H$253:$H$255</definedName>
    <definedName name="OSRRefH22_23x_0" localSheetId="49">'300 &amp; 317'!$H$279:$H$281</definedName>
    <definedName name="OSRRefH22_23x_0" localSheetId="74">'310 &amp; 491'!$H$120:$H$122</definedName>
    <definedName name="OSRRefH22_23x_0" localSheetId="75">'491'!$H$113:$H$115</definedName>
    <definedName name="OSRRefH22_23x_0" localSheetId="47">'Div 3'!$H$260</definedName>
    <definedName name="OSRRefH22_23x_0" localSheetId="73">'Div 4'!$H$113</definedName>
    <definedName name="OSRRefH22_23x_0" localSheetId="2">Summary!$H$295:$H$296</definedName>
    <definedName name="OSRRefH22_24x_0" localSheetId="48">'300'!$H$257</definedName>
    <definedName name="OSRRefH22_24x_0" localSheetId="49">'300 &amp; 317'!$H$283</definedName>
    <definedName name="OSRRefH22_24x_0" localSheetId="74">'310 &amp; 491'!$H$124</definedName>
    <definedName name="OSRRefH22_24x_0" localSheetId="75">'491'!$H$117</definedName>
    <definedName name="OSRRefH22_24x_0" localSheetId="47">'Div 3'!$H$262:$H$264</definedName>
    <definedName name="OSRRefH22_24x_0" localSheetId="73">'Div 4'!$H$115:$H$117</definedName>
    <definedName name="OSRRefH22_24x_0" localSheetId="2">Summary!$H$298</definedName>
    <definedName name="OSRRefH22_25x_0" localSheetId="47">'Div 3'!$H$266</definedName>
    <definedName name="OSRRefH22_25x_0" localSheetId="73">'Div 4'!$H$119</definedName>
    <definedName name="OSRRefH22_25x_0" localSheetId="2">Summary!$H$300:$H$302</definedName>
    <definedName name="OSRRefH22_26x_0" localSheetId="2">Summary!$H$304</definedName>
    <definedName name="OSRRefH22_2x_0" localSheetId="40">'200'!$H$24</definedName>
    <definedName name="OSRRefH22_2x_0" localSheetId="41">'201'!$H$33</definedName>
    <definedName name="OSRRefH22_2x_0" localSheetId="42">'202'!$H$35</definedName>
    <definedName name="OSRRefH22_2x_0" localSheetId="43">'203'!$H$37</definedName>
    <definedName name="OSRRefH22_2x_0" localSheetId="44">'204'!$H$37</definedName>
    <definedName name="OSRRefH22_2x_0" localSheetId="45">'205'!$H$31</definedName>
    <definedName name="OSRRefH22_2x_0" localSheetId="46">'206'!$H$34</definedName>
    <definedName name="OSRRefH22_2x_0" localSheetId="48">'300'!$H$187</definedName>
    <definedName name="OSRRefH22_2x_0" localSheetId="49">'300 &amp; 317'!$H$213</definedName>
    <definedName name="OSRRefH22_2x_0" localSheetId="50">'301'!$H$40</definedName>
    <definedName name="OSRRefH22_2x_0" localSheetId="51">'306'!$H$37</definedName>
    <definedName name="OSRRefH22_2x_0" localSheetId="53">'307'!$H$92</definedName>
    <definedName name="OSRRefH22_2x_0" localSheetId="55">'308'!$H$85</definedName>
    <definedName name="OSRRefH22_2x_0" localSheetId="67">'309'!$H$39</definedName>
    <definedName name="OSRRefH22_2x_0" localSheetId="66">'310'!$H$47</definedName>
    <definedName name="OSRRefH22_2x_0" localSheetId="74">'310 &amp; 491'!$H$56</definedName>
    <definedName name="OSRRefH22_2x_0" localSheetId="56">'311'!$H$84</definedName>
    <definedName name="OSRRefH22_2x_0" localSheetId="68">'313'!$H$44</definedName>
    <definedName name="OSRRefH22_2x_0" localSheetId="54">'314'!$H$70</definedName>
    <definedName name="OSRRefH22_2x_0" localSheetId="59">'315'!$H$99</definedName>
    <definedName name="OSRRefH22_2x_0" localSheetId="62">'316'!$H$51</definedName>
    <definedName name="OSRRefH22_2x_0" localSheetId="65">'317'!$H$77</definedName>
    <definedName name="OSRRefH22_2x_0" localSheetId="63">'320'!$H$42</definedName>
    <definedName name="OSRRefH22_2x_0" localSheetId="69">'321'!$H$39</definedName>
    <definedName name="OSRRefH22_2x_0" localSheetId="70">'322'!$H$39</definedName>
    <definedName name="OSRRefH22_2x_0" localSheetId="71">'325'!$H$39</definedName>
    <definedName name="OSRRefH22_2x_0" localSheetId="60">'326'!$H$79</definedName>
    <definedName name="OSRRefH22_2x_0" localSheetId="72">'327'!$H$26</definedName>
    <definedName name="OSRRefH22_2x_0" localSheetId="52">'330'!$H$101</definedName>
    <definedName name="OSRRefH22_2x_0" localSheetId="58">'331'!$H$108</definedName>
    <definedName name="OSRRefH22_2x_0" localSheetId="61">'332'!$H$59</definedName>
    <definedName name="OSRRefH22_2x_0" localSheetId="76">'405'!$H$38</definedName>
    <definedName name="OSRRefH22_2x_0" localSheetId="77">'406'!$H$40</definedName>
    <definedName name="OSRRefH22_2x_0" localSheetId="78">'411'!$H$37</definedName>
    <definedName name="OSRRefH22_2x_0" localSheetId="79">'412'!$H$40</definedName>
    <definedName name="OSRRefH22_2x_0" localSheetId="80">'413'!$H$39</definedName>
    <definedName name="OSRRefH22_2x_0" localSheetId="81">'414'!$H$40</definedName>
    <definedName name="OSRRefH22_2x_0" localSheetId="82">'415'!$H$40</definedName>
    <definedName name="OSRRefH22_2x_0" localSheetId="83">'418'!$H$40</definedName>
    <definedName name="OSRRefH22_2x_0" localSheetId="84">'420'!$H$38</definedName>
    <definedName name="OSRRefH22_2x_0" localSheetId="85">'423'!$H$33</definedName>
    <definedName name="OSRRefH22_2x_0" localSheetId="86">'424'!$H$33</definedName>
    <definedName name="OSRRefH22_2x_0" localSheetId="87">'425'!$H$44</definedName>
    <definedName name="OSRRefH22_2x_0" localSheetId="90">'430'!$H$31</definedName>
    <definedName name="OSRRefH22_2x_0" localSheetId="91">'433'!$H$42</definedName>
    <definedName name="OSRRefH22_2x_0" localSheetId="92">'435'!$H$33</definedName>
    <definedName name="OSRRefH22_2x_0" localSheetId="93">'444'!$H$42</definedName>
    <definedName name="OSRRefH22_2x_0" localSheetId="94">'450'!$H$42</definedName>
    <definedName name="OSRRefH22_2x_0" localSheetId="75">'491'!$H$50</definedName>
    <definedName name="OSRRefH22_2x_0" localSheetId="89">'492'!$H$45</definedName>
    <definedName name="OSRRefH22_2x_0" localSheetId="96">'501'!$H$37</definedName>
    <definedName name="OSRRefH22_2x_0" localSheetId="39">'Div 2'!$H$40</definedName>
    <definedName name="OSRRefH22_2x_0" localSheetId="47">'Div 3'!$H$192</definedName>
    <definedName name="OSRRefH22_2x_0" localSheetId="73">'Div 4'!$H$50</definedName>
    <definedName name="OSRRefH22_2x_0" localSheetId="95">'Div 5'!$H$37</definedName>
    <definedName name="OSRRefH22_2x_0" localSheetId="64">'Div 6'!$H$77</definedName>
    <definedName name="OSRRefH22_2x_0" localSheetId="2">Summary!$H$225</definedName>
    <definedName name="OSRRefH22_3x_0" localSheetId="40">'200'!$H$26</definedName>
    <definedName name="OSRRefH22_3x_0" localSheetId="41">'201'!$H$35</definedName>
    <definedName name="OSRRefH22_3x_0" localSheetId="42">'202'!$H$37</definedName>
    <definedName name="OSRRefH22_3x_0" localSheetId="43">'203'!$H$39</definedName>
    <definedName name="OSRRefH22_3x_0" localSheetId="44">'204'!$H$39</definedName>
    <definedName name="OSRRefH22_3x_0" localSheetId="45">'205'!$H$33</definedName>
    <definedName name="OSRRefH22_3x_0" localSheetId="46">'206'!$H$36</definedName>
    <definedName name="OSRRefH22_3x_0" localSheetId="48">'300'!$H$189:$H$190</definedName>
    <definedName name="OSRRefH22_3x_0" localSheetId="49">'300 &amp; 317'!$H$215:$H$216</definedName>
    <definedName name="OSRRefH22_3x_0" localSheetId="50">'301'!$H$42:$H$43</definedName>
    <definedName name="OSRRefH22_3x_0" localSheetId="51">'306'!$H$39</definedName>
    <definedName name="OSRRefH22_3x_0" localSheetId="53">'307'!$H$94</definedName>
    <definedName name="OSRRefH22_3x_0" localSheetId="55">'308'!$H$87:$H$88</definedName>
    <definedName name="OSRRefH22_3x_0" localSheetId="67">'309'!$H$41</definedName>
    <definedName name="OSRRefH22_3x_0" localSheetId="66">'310'!$H$49</definedName>
    <definedName name="OSRRefH22_3x_0" localSheetId="74">'310 &amp; 491'!$H$58</definedName>
    <definedName name="OSRRefH22_3x_0" localSheetId="56">'311'!$H$86:$H$87</definedName>
    <definedName name="OSRRefH22_3x_0" localSheetId="68">'313'!$H$46</definedName>
    <definedName name="OSRRefH22_3x_0" localSheetId="54">'314'!$H$72:$H$73</definedName>
    <definedName name="OSRRefH22_3x_0" localSheetId="59">'315'!$H$101:$H$102</definedName>
    <definedName name="OSRRefH22_3x_0" localSheetId="62">'316'!$H$53</definedName>
    <definedName name="OSRRefH22_3x_0" localSheetId="65">'317'!$H$79</definedName>
    <definedName name="OSRRefH22_3x_0" localSheetId="63">'320'!$H$44</definedName>
    <definedName name="OSRRefH22_3x_0" localSheetId="69">'321'!$H$41</definedName>
    <definedName name="OSRRefH22_3x_0" localSheetId="70">'322'!$H$41</definedName>
    <definedName name="OSRRefH22_3x_0" localSheetId="71">'325'!$H$41</definedName>
    <definedName name="OSRRefH22_3x_0" localSheetId="60">'326'!$H$81</definedName>
    <definedName name="OSRRefH22_3x_0" localSheetId="52">'330'!$H$103</definedName>
    <definedName name="OSRRefH22_3x_0" localSheetId="58">'331'!$H$110</definedName>
    <definedName name="OSRRefH22_3x_0" localSheetId="61">'332'!$H$61</definedName>
    <definedName name="OSRRefH22_3x_0" localSheetId="76">'405'!$H$40</definedName>
    <definedName name="OSRRefH22_3x_0" localSheetId="77">'406'!$H$42</definedName>
    <definedName name="OSRRefH22_3x_0" localSheetId="78">'411'!$H$39</definedName>
    <definedName name="OSRRefH22_3x_0" localSheetId="79">'412'!$H$42</definedName>
    <definedName name="OSRRefH22_3x_0" localSheetId="80">'413'!$H$41</definedName>
    <definedName name="OSRRefH22_3x_0" localSheetId="81">'414'!$H$42</definedName>
    <definedName name="OSRRefH22_3x_0" localSheetId="82">'415'!$H$42</definedName>
    <definedName name="OSRRefH22_3x_0" localSheetId="83">'418'!$H$42</definedName>
    <definedName name="OSRRefH22_3x_0" localSheetId="84">'420'!$H$40</definedName>
    <definedName name="OSRRefH22_3x_0" localSheetId="85">'423'!$H$35</definedName>
    <definedName name="OSRRefH22_3x_0" localSheetId="86">'424'!$H$35</definedName>
    <definedName name="OSRRefH22_3x_0" localSheetId="87">'425'!$H$46</definedName>
    <definedName name="OSRRefH22_3x_0" localSheetId="90">'430'!$H$33</definedName>
    <definedName name="OSRRefH22_3x_0" localSheetId="91">'433'!$H$44</definedName>
    <definedName name="OSRRefH22_3x_0" localSheetId="92">'435'!$H$35</definedName>
    <definedName name="OSRRefH22_3x_0" localSheetId="93">'444'!$H$44</definedName>
    <definedName name="OSRRefH22_3x_0" localSheetId="94">'450'!$H$44</definedName>
    <definedName name="OSRRefH22_3x_0" localSheetId="75">'491'!$H$52</definedName>
    <definedName name="OSRRefH22_3x_0" localSheetId="89">'492'!$H$47</definedName>
    <definedName name="OSRRefH22_3x_0" localSheetId="96">'501'!$H$39</definedName>
    <definedName name="OSRRefH22_3x_0" localSheetId="39">'Div 2'!$H$42</definedName>
    <definedName name="OSRRefH22_3x_0" localSheetId="47">'Div 3'!$H$194:$H$195</definedName>
    <definedName name="OSRRefH22_3x_0" localSheetId="73">'Div 4'!$H$52</definedName>
    <definedName name="OSRRefH22_3x_0" localSheetId="95">'Div 5'!$H$39</definedName>
    <definedName name="OSRRefH22_3x_0" localSheetId="64">'Div 6'!$H$79</definedName>
    <definedName name="OSRRefH22_3x_0" localSheetId="2">Summary!$H$227:$H$228</definedName>
    <definedName name="OSRRefH22_4x_0" localSheetId="40">'200'!$H$28:$H$29</definedName>
    <definedName name="OSRRefH22_4x_0" localSheetId="41">'201'!$H$37</definedName>
    <definedName name="OSRRefH22_4x_0" localSheetId="42">'202'!$H$39</definedName>
    <definedName name="OSRRefH22_4x_0" localSheetId="43">'203'!$H$41</definedName>
    <definedName name="OSRRefH22_4x_0" localSheetId="44">'204'!$H$41</definedName>
    <definedName name="OSRRefH22_4x_0" localSheetId="45">'205'!$H$35:$H$37</definedName>
    <definedName name="OSRRefH22_4x_0" localSheetId="46">'206'!$H$38</definedName>
    <definedName name="OSRRefH22_4x_0" localSheetId="48">'300'!$H$192</definedName>
    <definedName name="OSRRefH22_4x_0" localSheetId="49">'300 &amp; 317'!$H$218</definedName>
    <definedName name="OSRRefH22_4x_0" localSheetId="50">'301'!$H$45</definedName>
    <definedName name="OSRRefH22_4x_0" localSheetId="51">'306'!$H$41</definedName>
    <definedName name="OSRRefH22_4x_0" localSheetId="53">'307'!$H$96:$H$97</definedName>
    <definedName name="OSRRefH22_4x_0" localSheetId="55">'308'!$H$90</definedName>
    <definedName name="OSRRefH22_4x_0" localSheetId="67">'309'!$H$43</definedName>
    <definedName name="OSRRefH22_4x_0" localSheetId="66">'310'!$H$51</definedName>
    <definedName name="OSRRefH22_4x_0" localSheetId="74">'310 &amp; 491'!$H$60</definedName>
    <definedName name="OSRRefH22_4x_0" localSheetId="56">'311'!$H$89</definedName>
    <definedName name="OSRRefH22_4x_0" localSheetId="68">'313'!$H$48</definedName>
    <definedName name="OSRRefH22_4x_0" localSheetId="54">'314'!$H$75</definedName>
    <definedName name="OSRRefH22_4x_0" localSheetId="59">'315'!$H$104</definedName>
    <definedName name="OSRRefH22_4x_0" localSheetId="62">'316'!$H$55</definedName>
    <definedName name="OSRRefH22_4x_0" localSheetId="65">'317'!$H$81</definedName>
    <definedName name="OSRRefH22_4x_0" localSheetId="63">'320'!$H$46:$H$47</definedName>
    <definedName name="OSRRefH22_4x_0" localSheetId="69">'321'!$H$43</definedName>
    <definedName name="OSRRefH22_4x_0" localSheetId="70">'322'!$H$43</definedName>
    <definedName name="OSRRefH22_4x_0" localSheetId="71">'325'!$H$43</definedName>
    <definedName name="OSRRefH22_4x_0" localSheetId="60">'326'!$H$83</definedName>
    <definedName name="OSRRefH22_4x_0" localSheetId="52">'330'!$H$105:$H$106</definedName>
    <definedName name="OSRRefH22_4x_0" localSheetId="58">'331'!$H$112</definedName>
    <definedName name="OSRRefH22_4x_0" localSheetId="61">'332'!$H$63</definedName>
    <definedName name="OSRRefH22_4x_0" localSheetId="76">'405'!$H$42</definedName>
    <definedName name="OSRRefH22_4x_0" localSheetId="77">'406'!$H$44</definedName>
    <definedName name="OSRRefH22_4x_0" localSheetId="78">'411'!$H$41:$H$43</definedName>
    <definedName name="OSRRefH22_4x_0" localSheetId="79">'412'!$H$44</definedName>
    <definedName name="OSRRefH22_4x_0" localSheetId="80">'413'!$H$43</definedName>
    <definedName name="OSRRefH22_4x_0" localSheetId="81">'414'!$H$44</definedName>
    <definedName name="OSRRefH22_4x_0" localSheetId="82">'415'!$H$44</definedName>
    <definedName name="OSRRefH22_4x_0" localSheetId="83">'418'!$H$44</definedName>
    <definedName name="OSRRefH22_4x_0" localSheetId="84">'420'!$H$42</definedName>
    <definedName name="OSRRefH22_4x_0" localSheetId="85">'423'!$H$37</definedName>
    <definedName name="OSRRefH22_4x_0" localSheetId="86">'424'!$H$37</definedName>
    <definedName name="OSRRefH22_4x_0" localSheetId="87">'425'!$H$48</definedName>
    <definedName name="OSRRefH22_4x_0" localSheetId="90">'430'!$H$35:$H$36</definedName>
    <definedName name="OSRRefH22_4x_0" localSheetId="91">'433'!$H$46</definedName>
    <definedName name="OSRRefH22_4x_0" localSheetId="92">'435'!$H$37</definedName>
    <definedName name="OSRRefH22_4x_0" localSheetId="93">'444'!$H$46</definedName>
    <definedName name="OSRRefH22_4x_0" localSheetId="94">'450'!$H$46</definedName>
    <definedName name="OSRRefH22_4x_0" localSheetId="75">'491'!$H$54</definedName>
    <definedName name="OSRRefH22_4x_0" localSheetId="89">'492'!$H$49</definedName>
    <definedName name="OSRRefH22_4x_0" localSheetId="96">'501'!$H$41</definedName>
    <definedName name="OSRRefH22_4x_0" localSheetId="39">'Div 2'!$H$44</definedName>
    <definedName name="OSRRefH22_4x_0" localSheetId="47">'Div 3'!$H$197</definedName>
    <definedName name="OSRRefH22_4x_0" localSheetId="73">'Div 4'!$H$54</definedName>
    <definedName name="OSRRefH22_4x_0" localSheetId="95">'Div 5'!$H$41</definedName>
    <definedName name="OSRRefH22_4x_0" localSheetId="64">'Div 6'!$H$81</definedName>
    <definedName name="OSRRefH22_4x_0" localSheetId="2">Summary!$H$230</definedName>
    <definedName name="OSRRefH22_5x_0" localSheetId="41">'201'!$H$39</definedName>
    <definedName name="OSRRefH22_5x_0" localSheetId="42">'202'!$H$41</definedName>
    <definedName name="OSRRefH22_5x_0" localSheetId="43">'203'!$H$43</definedName>
    <definedName name="OSRRefH22_5x_0" localSheetId="44">'204'!$H$43</definedName>
    <definedName name="OSRRefH22_5x_0" localSheetId="45">'205'!$H$39</definedName>
    <definedName name="OSRRefH22_5x_0" localSheetId="46">'206'!$H$40</definedName>
    <definedName name="OSRRefH22_5x_0" localSheetId="48">'300'!$H$194:$H$196</definedName>
    <definedName name="OSRRefH22_5x_0" localSheetId="49">'300 &amp; 317'!$H$220:$H$222</definedName>
    <definedName name="OSRRefH22_5x_0" localSheetId="50">'301'!$H$47:$H$49</definedName>
    <definedName name="OSRRefH22_5x_0" localSheetId="51">'306'!$H$43</definedName>
    <definedName name="OSRRefH22_5x_0" localSheetId="53">'307'!$H$99</definedName>
    <definedName name="OSRRefH22_5x_0" localSheetId="55">'308'!$H$92</definedName>
    <definedName name="OSRRefH22_5x_0" localSheetId="67">'309'!$H$45</definedName>
    <definedName name="OSRRefH22_5x_0" localSheetId="66">'310'!$H$53:$H$54</definedName>
    <definedName name="OSRRefH22_5x_0" localSheetId="74">'310 &amp; 491'!$H$62:$H$64</definedName>
    <definedName name="OSRRefH22_5x_0" localSheetId="56">'311'!$H$91</definedName>
    <definedName name="OSRRefH22_5x_0" localSheetId="68">'313'!$H$50</definedName>
    <definedName name="OSRRefH22_5x_0" localSheetId="54">'314'!$H$77</definedName>
    <definedName name="OSRRefH22_5x_0" localSheetId="59">'315'!$H$106:$H$107</definedName>
    <definedName name="OSRRefH22_5x_0" localSheetId="62">'316'!$H$57</definedName>
    <definedName name="OSRRefH22_5x_0" localSheetId="65">'317'!$H$83:$H$84</definedName>
    <definedName name="OSRRefH22_5x_0" localSheetId="63">'320'!$H$49</definedName>
    <definedName name="OSRRefH22_5x_0" localSheetId="69">'321'!$H$45</definedName>
    <definedName name="OSRRefH22_5x_0" localSheetId="70">'322'!$H$45</definedName>
    <definedName name="OSRRefH22_5x_0" localSheetId="71">'325'!$H$45:$H$46</definedName>
    <definedName name="OSRRefH22_5x_0" localSheetId="60">'326'!$H$85:$H$86</definedName>
    <definedName name="OSRRefH22_5x_0" localSheetId="52">'330'!$H$108</definedName>
    <definedName name="OSRRefH22_5x_0" localSheetId="58">'331'!$H$114:$H$115</definedName>
    <definedName name="OSRRefH22_5x_0" localSheetId="61">'332'!$H$65</definedName>
    <definedName name="OSRRefH22_5x_0" localSheetId="76">'405'!$H$44:$H$45</definedName>
    <definedName name="OSRRefH22_5x_0" localSheetId="77">'406'!$H$46</definedName>
    <definedName name="OSRRefH22_5x_0" localSheetId="78">'411'!$H$45</definedName>
    <definedName name="OSRRefH22_5x_0" localSheetId="79">'412'!$H$46</definedName>
    <definedName name="OSRRefH22_5x_0" localSheetId="80">'413'!$H$45</definedName>
    <definedName name="OSRRefH22_5x_0" localSheetId="81">'414'!$H$46</definedName>
    <definedName name="OSRRefH22_5x_0" localSheetId="82">'415'!$H$46:$H$47</definedName>
    <definedName name="OSRRefH22_5x_0" localSheetId="83">'418'!$H$46:$H$47</definedName>
    <definedName name="OSRRefH22_5x_0" localSheetId="84">'420'!$H$44</definedName>
    <definedName name="OSRRefH22_5x_0" localSheetId="85">'423'!$H$39</definedName>
    <definedName name="OSRRefH22_5x_0" localSheetId="86">'424'!$H$39</definedName>
    <definedName name="OSRRefH22_5x_0" localSheetId="87">'425'!$H$50</definedName>
    <definedName name="OSRRefH22_5x_0" localSheetId="90">'430'!$H$38</definedName>
    <definedName name="OSRRefH22_5x_0" localSheetId="91">'433'!$H$48</definedName>
    <definedName name="OSRRefH22_5x_0" localSheetId="92">'435'!$H$39</definedName>
    <definedName name="OSRRefH22_5x_0" localSheetId="93">'444'!$H$48</definedName>
    <definedName name="OSRRefH22_5x_0" localSheetId="94">'450'!$H$48</definedName>
    <definedName name="OSRRefH22_5x_0" localSheetId="75">'491'!$H$56:$H$58</definedName>
    <definedName name="OSRRefH22_5x_0" localSheetId="89">'492'!$H$51</definedName>
    <definedName name="OSRRefH22_5x_0" localSheetId="96">'501'!$H$43:$H$44</definedName>
    <definedName name="OSRRefH22_5x_0" localSheetId="39">'Div 2'!$H$46</definedName>
    <definedName name="OSRRefH22_5x_0" localSheetId="47">'Div 3'!$H$199:$H$201</definedName>
    <definedName name="OSRRefH22_5x_0" localSheetId="73">'Div 4'!$H$56:$H$58</definedName>
    <definedName name="OSRRefH22_5x_0" localSheetId="95">'Div 5'!$H$43:$H$44</definedName>
    <definedName name="OSRRefH22_5x_0" localSheetId="64">'Div 6'!$H$83:$H$84</definedName>
    <definedName name="OSRRefH22_5x_0" localSheetId="2">Summary!$H$232:$H$235</definedName>
    <definedName name="OSRRefH22_6x_0" localSheetId="41">'201'!$H$41</definedName>
    <definedName name="OSRRefH22_6x_0" localSheetId="42">'202'!$H$43:$H$44</definedName>
    <definedName name="OSRRefH22_6x_0" localSheetId="43">'203'!$H$45</definedName>
    <definedName name="OSRRefH22_6x_0" localSheetId="44">'204'!$H$45:$H$47</definedName>
    <definedName name="OSRRefH22_6x_0" localSheetId="45">'205'!$H$41:$H$43</definedName>
    <definedName name="OSRRefH22_6x_0" localSheetId="46">'206'!$H$42:$H$43</definedName>
    <definedName name="OSRRefH22_6x_0" localSheetId="48">'300'!$H$198:$H$199</definedName>
    <definedName name="OSRRefH22_6x_0" localSheetId="49">'300 &amp; 317'!$H$224:$H$225</definedName>
    <definedName name="OSRRefH22_6x_0" localSheetId="50">'301'!$H$51:$H$52</definedName>
    <definedName name="OSRRefH22_6x_0" localSheetId="51">'306'!$H$45:$H$46</definedName>
    <definedName name="OSRRefH22_6x_0" localSheetId="53">'307'!$H$101</definedName>
    <definedName name="OSRRefH22_6x_0" localSheetId="55">'308'!$H$94:$H$95</definedName>
    <definedName name="OSRRefH22_6x_0" localSheetId="67">'309'!$H$47</definedName>
    <definedName name="OSRRefH22_6x_0" localSheetId="66">'310'!$H$56</definedName>
    <definedName name="OSRRefH22_6x_0" localSheetId="74">'310 &amp; 491'!$H$66</definedName>
    <definedName name="OSRRefH22_6x_0" localSheetId="56">'311'!$H$93:$H$94</definedName>
    <definedName name="OSRRefH22_6x_0" localSheetId="68">'313'!$H$52</definedName>
    <definedName name="OSRRefH22_6x_0" localSheetId="54">'314'!$H$79:$H$80</definedName>
    <definedName name="OSRRefH22_6x_0" localSheetId="59">'315'!$H$109:$H$110</definedName>
    <definedName name="OSRRefH22_6x_0" localSheetId="62">'316'!$H$59:$H$60</definedName>
    <definedName name="OSRRefH22_6x_0" localSheetId="65">'317'!$H$86</definedName>
    <definedName name="OSRRefH22_6x_0" localSheetId="63">'320'!$H$51</definedName>
    <definedName name="OSRRefH22_6x_0" localSheetId="69">'321'!$H$47</definedName>
    <definedName name="OSRRefH22_6x_0" localSheetId="70">'322'!$H$47</definedName>
    <definedName name="OSRRefH22_6x_0" localSheetId="71">'325'!$H$48</definedName>
    <definedName name="OSRRefH22_6x_0" localSheetId="60">'326'!$H$88</definedName>
    <definedName name="OSRRefH22_6x_0" localSheetId="52">'330'!$H$110</definedName>
    <definedName name="OSRRefH22_6x_0" localSheetId="58">'331'!$H$117</definedName>
    <definedName name="OSRRefH22_6x_0" localSheetId="61">'332'!$H$67:$H$68</definedName>
    <definedName name="OSRRefH22_6x_0" localSheetId="76">'405'!$H$47</definedName>
    <definedName name="OSRRefH22_6x_0" localSheetId="77">'406'!$H$48</definedName>
    <definedName name="OSRRefH22_6x_0" localSheetId="78">'411'!$H$47</definedName>
    <definedName name="OSRRefH22_6x_0" localSheetId="79">'412'!$H$48</definedName>
    <definedName name="OSRRefH22_6x_0" localSheetId="80">'413'!$H$47</definedName>
    <definedName name="OSRRefH22_6x_0" localSheetId="81">'414'!$H$48</definedName>
    <definedName name="OSRRefH22_6x_0" localSheetId="82">'415'!$H$49</definedName>
    <definedName name="OSRRefH22_6x_0" localSheetId="83">'418'!$H$49</definedName>
    <definedName name="OSRRefH22_6x_0" localSheetId="84">'420'!$H$46:$H$47</definedName>
    <definedName name="OSRRefH22_6x_0" localSheetId="85">'423'!$H$41</definedName>
    <definedName name="OSRRefH22_6x_0" localSheetId="86">'424'!$H$41</definedName>
    <definedName name="OSRRefH22_6x_0" localSheetId="87">'425'!$H$52</definedName>
    <definedName name="OSRRefH22_6x_0" localSheetId="90">'430'!$H$40</definedName>
    <definedName name="OSRRefH22_6x_0" localSheetId="91">'433'!$H$50</definedName>
    <definedName name="OSRRefH22_6x_0" localSheetId="92">'435'!$H$41</definedName>
    <definedName name="OSRRefH22_6x_0" localSheetId="93">'444'!$H$50</definedName>
    <definedName name="OSRRefH22_6x_0" localSheetId="94">'450'!$H$50</definedName>
    <definedName name="OSRRefH22_6x_0" localSheetId="75">'491'!$H$60</definedName>
    <definedName name="OSRRefH22_6x_0" localSheetId="89">'492'!$H$53</definedName>
    <definedName name="OSRRefH22_6x_0" localSheetId="96">'501'!$H$46</definedName>
    <definedName name="OSRRefH22_6x_0" localSheetId="39">'Div 2'!$H$48</definedName>
    <definedName name="OSRRefH22_6x_0" localSheetId="47">'Div 3'!$H$203:$H$204</definedName>
    <definedName name="OSRRefH22_6x_0" localSheetId="73">'Div 4'!$H$60</definedName>
    <definedName name="OSRRefH22_6x_0" localSheetId="95">'Div 5'!$H$46</definedName>
    <definedName name="OSRRefH22_6x_0" localSheetId="64">'Div 6'!$H$86</definedName>
    <definedName name="OSRRefH22_6x_0" localSheetId="2">Summary!$H$237:$H$238</definedName>
    <definedName name="OSRRefH22_7x_0" localSheetId="41">'201'!$H$43</definedName>
    <definedName name="OSRRefH22_7x_0" localSheetId="42">'202'!$H$46</definedName>
    <definedName name="OSRRefH22_7x_0" localSheetId="43">'203'!$H$47</definedName>
    <definedName name="OSRRefH22_7x_0" localSheetId="44">'204'!$H$49</definedName>
    <definedName name="OSRRefH22_7x_0" localSheetId="45">'205'!$H$45</definedName>
    <definedName name="OSRRefH22_7x_0" localSheetId="46">'206'!$H$45</definedName>
    <definedName name="OSRRefH22_7x_0" localSheetId="48">'300'!$H$201</definedName>
    <definedName name="OSRRefH22_7x_0" localSheetId="49">'300 &amp; 317'!$H$227</definedName>
    <definedName name="OSRRefH22_7x_0" localSheetId="50">'301'!$H$54</definedName>
    <definedName name="OSRRefH22_7x_0" localSheetId="51">'306'!$H$48:$H$50</definedName>
    <definedName name="OSRRefH22_7x_0" localSheetId="53">'307'!$H$103:$H$104</definedName>
    <definedName name="OSRRefH22_7x_0" localSheetId="55">'308'!$H$97</definedName>
    <definedName name="OSRRefH22_7x_0" localSheetId="67">'309'!$H$49</definedName>
    <definedName name="OSRRefH22_7x_0" localSheetId="66">'310'!$H$58</definedName>
    <definedName name="OSRRefH22_7x_0" localSheetId="74">'310 &amp; 491'!$H$68</definedName>
    <definedName name="OSRRefH22_7x_0" localSheetId="56">'311'!$H$96</definedName>
    <definedName name="OSRRefH22_7x_0" localSheetId="68">'313'!$H$54</definedName>
    <definedName name="OSRRefH22_7x_0" localSheetId="54">'314'!$H$82</definedName>
    <definedName name="OSRRefH22_7x_0" localSheetId="59">'315'!$H$112</definedName>
    <definedName name="OSRRefH22_7x_0" localSheetId="62">'316'!$H$62</definedName>
    <definedName name="OSRRefH22_7x_0" localSheetId="65">'317'!$H$88</definedName>
    <definedName name="OSRRefH22_7x_0" localSheetId="63">'320'!$H$53:$H$54</definedName>
    <definedName name="OSRRefH22_7x_0" localSheetId="69">'321'!$H$49:$H$51</definedName>
    <definedName name="OSRRefH22_7x_0" localSheetId="70">'322'!$H$49</definedName>
    <definedName name="OSRRefH22_7x_0" localSheetId="71">'325'!$H$50</definedName>
    <definedName name="OSRRefH22_7x_0" localSheetId="60">'326'!$H$90</definedName>
    <definedName name="OSRRefH22_7x_0" localSheetId="52">'330'!$H$112</definedName>
    <definedName name="OSRRefH22_7x_0" localSheetId="58">'331'!$H$119:$H$120</definedName>
    <definedName name="OSRRefH22_7x_0" localSheetId="61">'332'!$H$70</definedName>
    <definedName name="OSRRefH22_7x_0" localSheetId="76">'405'!$H$49</definedName>
    <definedName name="OSRRefH22_7x_0" localSheetId="77">'406'!$H$50</definedName>
    <definedName name="OSRRefH22_7x_0" localSheetId="78">'411'!$H$49</definedName>
    <definedName name="OSRRefH22_7x_0" localSheetId="79">'412'!$H$50</definedName>
    <definedName name="OSRRefH22_7x_0" localSheetId="80">'413'!$H$49:$H$51</definedName>
    <definedName name="OSRRefH22_7x_0" localSheetId="81">'414'!$H$50</definedName>
    <definedName name="OSRRefH22_7x_0" localSheetId="82">'415'!$H$51</definedName>
    <definedName name="OSRRefH22_7x_0" localSheetId="83">'418'!$H$51</definedName>
    <definedName name="OSRRefH22_7x_0" localSheetId="84">'420'!$H$49</definedName>
    <definedName name="OSRRefH22_7x_0" localSheetId="86">'424'!$H$43</definedName>
    <definedName name="OSRRefH22_7x_0" localSheetId="87">'425'!$H$54</definedName>
    <definedName name="OSRRefH22_7x_0" localSheetId="90">'430'!$H$42</definedName>
    <definedName name="OSRRefH22_7x_0" localSheetId="91">'433'!$H$52</definedName>
    <definedName name="OSRRefH22_7x_0" localSheetId="92">'435'!$H$43:$H$45</definedName>
    <definedName name="OSRRefH22_7x_0" localSheetId="93">'444'!$H$52</definedName>
    <definedName name="OSRRefH22_7x_0" localSheetId="94">'450'!$H$52</definedName>
    <definedName name="OSRRefH22_7x_0" localSheetId="75">'491'!$H$62</definedName>
    <definedName name="OSRRefH22_7x_0" localSheetId="89">'492'!$H$55</definedName>
    <definedName name="OSRRefH22_7x_0" localSheetId="96">'501'!$H$48</definedName>
    <definedName name="OSRRefH22_7x_0" localSheetId="39">'Div 2'!$H$50</definedName>
    <definedName name="OSRRefH22_7x_0" localSheetId="47">'Div 3'!$H$206</definedName>
    <definedName name="OSRRefH22_7x_0" localSheetId="73">'Div 4'!$H$62</definedName>
    <definedName name="OSRRefH22_7x_0" localSheetId="95">'Div 5'!$H$48</definedName>
    <definedName name="OSRRefH22_7x_0" localSheetId="64">'Div 6'!$H$88</definedName>
    <definedName name="OSRRefH22_7x_0" localSheetId="2">Summary!$H$240</definedName>
    <definedName name="OSRRefH22_8x_0" localSheetId="41">'201'!$H$45</definedName>
    <definedName name="OSRRefH22_8x_0" localSheetId="42">'202'!$H$48</definedName>
    <definedName name="OSRRefH22_8x_0" localSheetId="43">'203'!$H$49</definedName>
    <definedName name="OSRRefH22_8x_0" localSheetId="44">'204'!$H$51:$H$52</definedName>
    <definedName name="OSRRefH22_8x_0" localSheetId="45">'205'!$H$47</definedName>
    <definedName name="OSRRefH22_8x_0" localSheetId="46">'206'!$H$47</definedName>
    <definedName name="OSRRefH22_8x_0" localSheetId="48">'300'!$H$203</definedName>
    <definedName name="OSRRefH22_8x_0" localSheetId="49">'300 &amp; 317'!$H$229</definedName>
    <definedName name="OSRRefH22_8x_0" localSheetId="50">'301'!$H$56</definedName>
    <definedName name="OSRRefH22_8x_0" localSheetId="51">'306'!$H$52</definedName>
    <definedName name="OSRRefH22_8x_0" localSheetId="53">'307'!$H$106:$H$107</definedName>
    <definedName name="OSRRefH22_8x_0" localSheetId="55">'308'!$H$99:$H$100</definedName>
    <definedName name="OSRRefH22_8x_0" localSheetId="67">'309'!$H$51</definedName>
    <definedName name="OSRRefH22_8x_0" localSheetId="66">'310'!$H$60</definedName>
    <definedName name="OSRRefH22_8x_0" localSheetId="74">'310 &amp; 491'!$H$70</definedName>
    <definedName name="OSRRefH22_8x_0" localSheetId="56">'311'!$H$98:$H$99</definedName>
    <definedName name="OSRRefH22_8x_0" localSheetId="68">'313'!$H$56:$H$58</definedName>
    <definedName name="OSRRefH22_8x_0" localSheetId="54">'314'!$H$84</definedName>
    <definedName name="OSRRefH22_8x_0" localSheetId="59">'315'!$H$114</definedName>
    <definedName name="OSRRefH22_8x_0" localSheetId="62">'316'!$H$64:$H$66</definedName>
    <definedName name="OSRRefH22_8x_0" localSheetId="65">'317'!$H$90:$H$91</definedName>
    <definedName name="OSRRefH22_8x_0" localSheetId="63">'320'!$H$56</definedName>
    <definedName name="OSRRefH22_8x_0" localSheetId="69">'321'!$H$53</definedName>
    <definedName name="OSRRefH22_8x_0" localSheetId="70">'322'!$H$51:$H$52</definedName>
    <definedName name="OSRRefH22_8x_0" localSheetId="71">'325'!$H$52</definedName>
    <definedName name="OSRRefH22_8x_0" localSheetId="60">'326'!$H$92</definedName>
    <definedName name="OSRRefH22_8x_0" localSheetId="52">'330'!$H$114:$H$115</definedName>
    <definedName name="OSRRefH22_8x_0" localSheetId="58">'331'!$H$122</definedName>
    <definedName name="OSRRefH22_8x_0" localSheetId="61">'332'!$H$72</definedName>
    <definedName name="OSRRefH22_8x_0" localSheetId="76">'405'!$H$51</definedName>
    <definedName name="OSRRefH22_8x_0" localSheetId="77">'406'!$H$52</definedName>
    <definedName name="OSRRefH22_8x_0" localSheetId="78">'411'!$H$51</definedName>
    <definedName name="OSRRefH22_8x_0" localSheetId="79">'412'!$H$52</definedName>
    <definedName name="OSRRefH22_8x_0" localSheetId="80">'413'!$H$53:$H$55</definedName>
    <definedName name="OSRRefH22_8x_0" localSheetId="81">'414'!$H$52</definedName>
    <definedName name="OSRRefH22_8x_0" localSheetId="82">'415'!$H$53</definedName>
    <definedName name="OSRRefH22_8x_0" localSheetId="83">'418'!$H$53</definedName>
    <definedName name="OSRRefH22_8x_0" localSheetId="86">'424'!$H$45:$H$46</definedName>
    <definedName name="OSRRefH22_8x_0" localSheetId="87">'425'!$H$56</definedName>
    <definedName name="OSRRefH22_8x_0" localSheetId="91">'433'!$H$54</definedName>
    <definedName name="OSRRefH22_8x_0" localSheetId="92">'435'!$H$47</definedName>
    <definedName name="OSRRefH22_8x_0" localSheetId="93">'444'!$H$54</definedName>
    <definedName name="OSRRefH22_8x_0" localSheetId="94">'450'!$H$54</definedName>
    <definedName name="OSRRefH22_8x_0" localSheetId="75">'491'!$H$64</definedName>
    <definedName name="OSRRefH22_8x_0" localSheetId="89">'492'!$H$57</definedName>
    <definedName name="OSRRefH22_8x_0" localSheetId="96">'501'!$H$50</definedName>
    <definedName name="OSRRefH22_8x_0" localSheetId="39">'Div 2'!$H$52</definedName>
    <definedName name="OSRRefH22_8x_0" localSheetId="47">'Div 3'!$H$208</definedName>
    <definedName name="OSRRefH22_8x_0" localSheetId="73">'Div 4'!$H$64</definedName>
    <definedName name="OSRRefH22_8x_0" localSheetId="95">'Div 5'!$H$50</definedName>
    <definedName name="OSRRefH22_8x_0" localSheetId="64">'Div 6'!$H$90:$H$91</definedName>
    <definedName name="OSRRefH22_8x_0" localSheetId="2">Summary!$H$242</definedName>
    <definedName name="OSRRefH22_9x_0" localSheetId="41">'201'!$H$47:$H$49</definedName>
    <definedName name="OSRRefH22_9x_0" localSheetId="42">'202'!$H$50:$H$52</definedName>
    <definedName name="OSRRefH22_9x_0" localSheetId="43">'203'!$H$51:$H$53</definedName>
    <definedName name="OSRRefH22_9x_0" localSheetId="44">'204'!$H$54</definedName>
    <definedName name="OSRRefH22_9x_0" localSheetId="48">'300'!$H$205</definedName>
    <definedName name="OSRRefH22_9x_0" localSheetId="49">'300 &amp; 317'!$H$231</definedName>
    <definedName name="OSRRefH22_9x_0" localSheetId="50">'301'!$H$58</definedName>
    <definedName name="OSRRefH22_9x_0" localSheetId="51">'306'!$H$54</definedName>
    <definedName name="OSRRefH22_9x_0" localSheetId="53">'307'!$H$109:$H$112</definedName>
    <definedName name="OSRRefH22_9x_0" localSheetId="55">'308'!$H$102:$H$103</definedName>
    <definedName name="OSRRefH22_9x_0" localSheetId="67">'309'!$H$53:$H$54</definedName>
    <definedName name="OSRRefH22_9x_0" localSheetId="66">'310'!$H$62</definedName>
    <definedName name="OSRRefH22_9x_0" localSheetId="74">'310 &amp; 491'!$H$72</definedName>
    <definedName name="OSRRefH22_9x_0" localSheetId="56">'311'!$H$101:$H$102</definedName>
    <definedName name="OSRRefH22_9x_0" localSheetId="68">'313'!$H$60</definedName>
    <definedName name="OSRRefH22_9x_0" localSheetId="59">'315'!$H$116:$H$117</definedName>
    <definedName name="OSRRefH22_9x_0" localSheetId="62">'316'!$H$68</definedName>
    <definedName name="OSRRefH22_9x_0" localSheetId="65">'317'!$H$93:$H$94</definedName>
    <definedName name="OSRRefH22_9x_0" localSheetId="69">'321'!$H$55:$H$57</definedName>
    <definedName name="OSRRefH22_9x_0" localSheetId="70">'322'!$H$54:$H$56</definedName>
    <definedName name="OSRRefH22_9x_0" localSheetId="71">'325'!$H$54</definedName>
    <definedName name="OSRRefH22_9x_0" localSheetId="60">'326'!$H$94</definedName>
    <definedName name="OSRRefH22_9x_0" localSheetId="52">'330'!$H$117:$H$118</definedName>
    <definedName name="OSRRefH22_9x_0" localSheetId="58">'331'!$H$124</definedName>
    <definedName name="OSRRefH22_9x_0" localSheetId="61">'332'!$H$74:$H$76</definedName>
    <definedName name="OSRRefH22_9x_0" localSheetId="76">'405'!$H$53</definedName>
    <definedName name="OSRRefH22_9x_0" localSheetId="77">'406'!$H$54:$H$56</definedName>
    <definedName name="OSRRefH22_9x_0" localSheetId="78">'411'!$H$53</definedName>
    <definedName name="OSRRefH22_9x_0" localSheetId="79">'412'!$H$54:$H$56</definedName>
    <definedName name="OSRRefH22_9x_0" localSheetId="80">'413'!$H$57:$H$62</definedName>
    <definedName name="OSRRefH22_9x_0" localSheetId="81">'414'!$H$54:$H$55</definedName>
    <definedName name="OSRRefH22_9x_0" localSheetId="82">'415'!$H$55</definedName>
    <definedName name="OSRRefH22_9x_0" localSheetId="83">'418'!$H$55</definedName>
    <definedName name="OSRRefH22_9x_0" localSheetId="86">'424'!$H$48</definedName>
    <definedName name="OSRRefH22_9x_0" localSheetId="87">'425'!$H$58:$H$60</definedName>
    <definedName name="OSRRefH22_9x_0" localSheetId="91">'433'!$H$56</definedName>
    <definedName name="OSRRefH22_9x_0" localSheetId="93">'444'!$H$56</definedName>
    <definedName name="OSRRefH22_9x_0" localSheetId="94">'450'!$H$56</definedName>
    <definedName name="OSRRefH22_9x_0" localSheetId="75">'491'!$H$66</definedName>
    <definedName name="OSRRefH22_9x_0" localSheetId="89">'492'!$H$59</definedName>
    <definedName name="OSRRefH22_9x_0" localSheetId="96">'501'!$H$52:$H$54</definedName>
    <definedName name="OSRRefH22_9x_0" localSheetId="39">'Div 2'!$H$54:$H$55</definedName>
    <definedName name="OSRRefH22_9x_0" localSheetId="47">'Div 3'!$H$210</definedName>
    <definedName name="OSRRefH22_9x_0" localSheetId="73">'Div 4'!$H$66</definedName>
    <definedName name="OSRRefH22_9x_0" localSheetId="95">'Div 5'!$H$52:$H$54</definedName>
    <definedName name="OSRRefH22_9x_0" localSheetId="64">'Div 6'!$H$93:$H$94</definedName>
    <definedName name="OSRRefH22_9x_0" localSheetId="2">Summary!$H$244</definedName>
    <definedName name="OSRRefH22x_0" localSheetId="40">'200'!$H$20,'200'!$H$22,'200'!$H$24,'200'!$H$26,'200'!$H$28:$H$29</definedName>
    <definedName name="OSRRefH22x_0" localSheetId="41">'201'!$H$20:$H$27,'201'!$H$29:$H$31,'201'!$H$33,'201'!$H$35,'201'!$H$37,'201'!$H$39,'201'!$H$41,'201'!$H$43,'201'!$H$45,'201'!$H$47:$H$49,'201'!$H$51:$H$53,'201'!$H$55,'201'!$H$57:$H$60,'201'!$H$62,'201'!$H$64,'201'!$H$66</definedName>
    <definedName name="OSRRefH22x_0" localSheetId="42">'202'!$H$20:$H$27,'202'!$H$29:$H$33,'202'!$H$35,'202'!$H$37,'202'!$H$39,'202'!$H$41,'202'!$H$43:$H$44,'202'!$H$46,'202'!$H$48,'202'!$H$50:$H$52,'202'!$H$54,'202'!$H$56,'202'!$H$58:$H$60,'202'!$H$62,'202'!$H$64,'202'!$H$66</definedName>
    <definedName name="OSRRefH22x_0" localSheetId="43">'203'!$H$20:$H$29,'203'!$H$31:$H$35,'203'!$H$37,'203'!$H$39,'203'!$H$41,'203'!$H$43,'203'!$H$45,'203'!$H$47,'203'!$H$49,'203'!$H$51:$H$53,'203'!$H$55:$H$56,'203'!$H$58,'203'!$H$60:$H$63,'203'!$H$65,'203'!$H$67,'203'!$H$69</definedName>
    <definedName name="OSRRefH22x_0" localSheetId="44">'204'!$H$20:$H$29,'204'!$H$31:$H$35,'204'!$H$37,'204'!$H$39,'204'!$H$41,'204'!$H$43,'204'!$H$45:$H$47,'204'!$H$49,'204'!$H$51:$H$52,'204'!$H$54,'204'!$H$56:$H$57</definedName>
    <definedName name="OSRRefH22x_0" localSheetId="45">'205'!$H$20:$H$27,'205'!$H$29,'205'!$H$31,'205'!$H$33,'205'!$H$35:$H$37,'205'!$H$39,'205'!$H$41:$H$43,'205'!$H$45,'205'!$H$47</definedName>
    <definedName name="OSRRefH22x_0" localSheetId="46">'206'!$H$20:$H$27,'206'!$H$29:$H$32,'206'!$H$34,'206'!$H$36,'206'!$H$38,'206'!$H$40,'206'!$H$42:$H$43,'206'!$H$45,'206'!$H$47</definedName>
    <definedName name="OSRRefH22x_0" localSheetId="48">'300'!$H$168:$H$177,'300'!$H$179:$H$185,'300'!$H$187,'300'!$H$189:$H$190,'300'!$H$192,'300'!$H$194:$H$196,'300'!$H$198:$H$199,'300'!$H$201,'300'!$H$203,'300'!$H$205,'300'!$H$207:$H$208,'300'!$H$210,'300'!$H$212,'300'!$H$214:$H$216,'300'!$H$218,'300'!$H$220,'300'!$H$222:$H$225,'300'!$H$227:$H$229,'300'!$H$231:$H$234,'300'!$H$236:$H$237,'300'!$H$239:$H$246,'300'!$H$248:$H$249,'300'!$H$251,'300'!$H$253:$H$255,'300'!$H$257</definedName>
    <definedName name="OSRRefH22x_0" localSheetId="49">'300 &amp; 317'!$H$194:$H$203,'300 &amp; 317'!$H$205:$H$211,'300 &amp; 317'!$H$213,'300 &amp; 317'!$H$215:$H$216,'300 &amp; 317'!$H$218,'300 &amp; 317'!$H$220:$H$222,'300 &amp; 317'!$H$224:$H$225,'300 &amp; 317'!$H$227,'300 &amp; 317'!$H$229,'300 &amp; 317'!$H$231,'300 &amp; 317'!$H$233:$H$234,'300 &amp; 317'!$H$236,'300 &amp; 317'!$H$238,'300 &amp; 317'!$H$240:$H$242,'300 &amp; 317'!$H$244,'300 &amp; 317'!$H$246,'300 &amp; 317'!$H$248:$H$251,'300 &amp; 317'!$H$253:$H$255,'300 &amp; 317'!$H$257:$H$260,'300 &amp; 317'!$H$262:$H$263,'300 &amp; 317'!$H$265:$H$272,'300 &amp; 317'!$H$274:$H$275,'300 &amp; 317'!$H$277,'300 &amp; 317'!$H$279:$H$281,'300 &amp; 317'!$H$283</definedName>
    <definedName name="OSRRefH22x_0" localSheetId="50">'301'!$H$21:$H$30,'301'!$H$32:$H$38,'301'!$H$40,'301'!$H$42:$H$43,'301'!$H$45,'301'!$H$47:$H$49,'301'!$H$51:$H$52,'301'!$H$54,'301'!$H$56,'301'!$H$58,'301'!$H$60,'301'!$H$62,'301'!$H$64,'301'!$H$66,'301'!$H$68,'301'!$H$70:$H$73,'301'!$H$75:$H$77,'301'!$H$79:$H$80,'301'!$H$82:$H$88,'301'!$H$90,'301'!$H$92,'301'!$H$94:$H$96,'301'!$H$98</definedName>
    <definedName name="OSRRefH22x_0" localSheetId="51">'306'!$H$20:$H$28,'306'!$H$30:$H$35,'306'!$H$37,'306'!$H$39,'306'!$H$41,'306'!$H$43,'306'!$H$45:$H$46,'306'!$H$48:$H$50,'306'!$H$52,'306'!$H$54</definedName>
    <definedName name="OSRRefH22x_0" localSheetId="53">'307'!$H$78:$H$85,'307'!$H$87:$H$90,'307'!$H$92,'307'!$H$94,'307'!$H$96:$H$97,'307'!$H$99,'307'!$H$101,'307'!$H$103:$H$104,'307'!$H$106:$H$107,'307'!$H$109:$H$112,'307'!$H$114,'307'!$H$116</definedName>
    <definedName name="OSRRefH22x_0" localSheetId="55">'308'!$H$67:$H$75,'308'!$H$77:$H$83,'308'!$H$85,'308'!$H$87:$H$88,'308'!$H$90,'308'!$H$92,'308'!$H$94:$H$95,'308'!$H$97,'308'!$H$99:$H$100,'308'!$H$102:$H$103,'308'!$H$105:$H$106,'308'!$H$108:$H$110,'308'!$H$112:$H$113,'308'!$H$115,'308'!$H$117</definedName>
    <definedName name="OSRRefH22x_0" localSheetId="67">'309'!$H$24:$H$31,'309'!$H$33:$H$37,'309'!$H$39,'309'!$H$41,'309'!$H$43,'309'!$H$45,'309'!$H$47,'309'!$H$49,'309'!$H$51,'309'!$H$53:$H$54,'309'!$H$56:$H$58,'309'!$H$60:$H$62,'309'!$H$64</definedName>
    <definedName name="OSRRefH22x_0" localSheetId="66">'310'!$H$31:$H$38,'310'!$H$40:$H$45,'310'!$H$47,'310'!$H$49,'310'!$H$51,'310'!$H$53:$H$54,'310'!$H$56,'310'!$H$58,'310'!$H$60,'310'!$H$62,'310'!$H$64,'310'!$H$66,'310'!$H$68,'310'!$H$70,'310'!$H$72:$H$74,'310'!$H$76,'310'!$H$78:$H$81,'310'!$H$83,'310'!$H$85:$H$93,'310'!$H$95,'310'!$H$97,'310'!$H$99,'310'!$H$101</definedName>
    <definedName name="OSRRefH22x_0" localSheetId="74">'310 &amp; 491'!$H$38:$H$46,'310 &amp; 491'!$H$48:$H$54,'310 &amp; 491'!$H$56,'310 &amp; 491'!$H$58,'310 &amp; 491'!$H$60,'310 &amp; 491'!$H$62:$H$64,'310 &amp; 491'!$H$66,'310 &amp; 491'!$H$68,'310 &amp; 491'!$H$70,'310 &amp; 491'!$H$72,'310 &amp; 491'!$H$74:$H$75,'310 &amp; 491'!$H$77:$H$78,'310 &amp; 491'!$H$80,'310 &amp; 491'!$H$82,'310 &amp; 491'!$H$84,'310 &amp; 491'!$H$86,'310 &amp; 491'!$H$88:$H$91,'310 &amp; 491'!$H$93:$H$94,'310 &amp; 491'!$H$96:$H$100,'310 &amp; 491'!$H$102:$H$103,'310 &amp; 491'!$H$105:$H$114,'310 &amp; 491'!$H$116,'310 &amp; 491'!$H$118,'310 &amp; 491'!$H$120:$H$122,'310 &amp; 491'!$H$124</definedName>
    <definedName name="OSRRefH22x_0" localSheetId="56">'311'!$H$66:$H$74,'311'!$H$76:$H$82,'311'!$H$84,'311'!$H$86:$H$87,'311'!$H$89,'311'!$H$91,'311'!$H$93:$H$94,'311'!$H$96,'311'!$H$98:$H$99,'311'!$H$101:$H$102,'311'!$H$104:$H$105,'311'!$H$107:$H$109,'311'!$H$111:$H$112,'311'!$H$114,'311'!$H$116</definedName>
    <definedName name="OSRRefH22x_0" localSheetId="68">'313'!$H$28:$H$35,'313'!$H$37:$H$42,'313'!$H$44,'313'!$H$46,'313'!$H$48,'313'!$H$50,'313'!$H$52,'313'!$H$54,'313'!$H$56:$H$58,'313'!$H$60,'313'!$H$62:$H$67,'313'!$H$69,'313'!$H$71</definedName>
    <definedName name="OSRRefH22x_0" localSheetId="54">'314'!$H$56:$H$64,'314'!$H$66:$H$68,'314'!$H$70,'314'!$H$72:$H$73,'314'!$H$75,'314'!$H$77,'314'!$H$79:$H$80,'314'!$H$82,'314'!$H$84</definedName>
    <definedName name="OSRRefH22x_0" localSheetId="59">'315'!$H$83:$H$90,'315'!$H$92:$H$97,'315'!$H$99,'315'!$H$101:$H$102,'315'!$H$104,'315'!$H$106:$H$107,'315'!$H$109:$H$110,'315'!$H$112,'315'!$H$114,'315'!$H$116:$H$117,'315'!$H$119:$H$120,'315'!$H$122:$H$126,'315'!$H$128,'315'!$H$130,'315'!$H$132:$H$133</definedName>
    <definedName name="OSRRefH22x_0" localSheetId="62">'316'!$H$37:$H$44,'316'!$H$46:$H$49,'316'!$H$51,'316'!$H$53,'316'!$H$55,'316'!$H$57,'316'!$H$59:$H$60,'316'!$H$62,'316'!$H$64:$H$66,'316'!$H$68,'316'!$H$70:$H$75,'316'!$H$77,'316'!$H$79,'316'!$H$81</definedName>
    <definedName name="OSRRefH22x_0" localSheetId="65">'317'!$H$61:$H$69,'317'!$H$71:$H$75,'317'!$H$77,'317'!$H$79,'317'!$H$81,'317'!$H$83:$H$84,'317'!$H$86,'317'!$H$88,'317'!$H$90:$H$91,'317'!$H$93:$H$94,'317'!$H$96:$H$100,'317'!$H$102,'317'!$H$104,'317'!$H$106</definedName>
    <definedName name="OSRRefH22x_0" localSheetId="63">'320'!$H$28:$H$34,'320'!$H$36:$H$40,'320'!$H$42,'320'!$H$44,'320'!$H$46:$H$47,'320'!$H$49,'320'!$H$51,'320'!$H$53:$H$54,'320'!$H$56</definedName>
    <definedName name="OSRRefH22x_0" localSheetId="69">'321'!$H$24:$H$31,'321'!$H$33:$H$37,'321'!$H$39,'321'!$H$41,'321'!$H$43,'321'!$H$45,'321'!$H$47,'321'!$H$49:$H$51,'321'!$H$53,'321'!$H$55:$H$57,'321'!$H$59:$H$63,'321'!$H$65,'321'!$H$67</definedName>
    <definedName name="OSRRefH22x_0" localSheetId="70">'322'!$H$24:$H$31,'322'!$H$33:$H$37,'322'!$H$39,'322'!$H$41,'322'!$H$43,'322'!$H$45,'322'!$H$47,'322'!$H$49,'322'!$H$51:$H$52,'322'!$H$54:$H$56,'322'!$H$58:$H$64,'322'!$H$66,'322'!$H$68,'322'!$H$70</definedName>
    <definedName name="OSRRefH22x_0" localSheetId="71">'325'!$H$24:$H$31,'325'!$H$33:$H$37,'325'!$H$39,'325'!$H$41,'325'!$H$43,'325'!$H$45:$H$46,'325'!$H$48,'325'!$H$50,'325'!$H$52,'325'!$H$54,'325'!$H$56,'325'!$H$58:$H$60,'325'!$H$62:$H$64,'325'!$H$66,'325'!$H$68:$H$72,'325'!$H$74,'325'!$H$76,'325'!$H$78</definedName>
    <definedName name="OSRRefH22x_0" localSheetId="60">'326'!$H$63:$H$70,'326'!$H$72:$H$77,'326'!$H$79,'326'!$H$81,'326'!$H$83,'326'!$H$85:$H$86,'326'!$H$88,'326'!$H$90,'326'!$H$92,'326'!$H$94,'326'!$H$96,'326'!$H$98,'326'!$H$100:$H$102,'326'!$H$104:$H$106,'326'!$H$108:$H$109,'326'!$H$111:$H$116,'326'!$H$118,'326'!$H$120,'326'!$H$122,'326'!$H$124</definedName>
    <definedName name="OSRRefH22x_0" localSheetId="72">'327'!$H$22,'327'!$H$24,'327'!$H$26</definedName>
    <definedName name="OSRRefH22x_0" localSheetId="52">'330'!$H$85:$H$93,'330'!$H$95:$H$99,'330'!$H$101,'330'!$H$103,'330'!$H$105:$H$106,'330'!$H$108,'330'!$H$110,'330'!$H$112,'330'!$H$114:$H$115,'330'!$H$117:$H$118,'330'!$H$120,'330'!$H$122:$H$125,'330'!$H$127,'330'!$H$129,'330'!$H$131</definedName>
    <definedName name="OSRRefH22x_0" localSheetId="58">'331'!$H$92:$H$99,'331'!$H$101:$H$106,'331'!$H$108,'331'!$H$110,'331'!$H$112,'331'!$H$114:$H$115,'331'!$H$117,'331'!$H$119:$H$120,'331'!$H$122,'331'!$H$124,'331'!$H$126:$H$127,'331'!$H$129,'331'!$H$131,'331'!$H$133:$H$135,'331'!$H$137:$H$138,'331'!$H$140:$H$142,'331'!$H$144:$H$145,'331'!$H$147:$H$152,'331'!$H$154,'331'!$H$156,'331'!$H$158:$H$159,'331'!$H$161</definedName>
    <definedName name="OSRRefH22x_0" localSheetId="61">'332'!$H$44:$H$51,'332'!$H$53:$H$57,'332'!$H$59,'332'!$H$61,'332'!$H$63,'332'!$H$65,'332'!$H$67:$H$68,'332'!$H$70,'332'!$H$72,'332'!$H$74:$H$76,'332'!$H$78,'332'!$H$80:$H$85,'332'!$H$87,'332'!$H$89,'332'!$H$91</definedName>
    <definedName name="OSRRefH22x_0" localSheetId="76">'405'!$H$24:$H$31,'405'!$H$33:$H$36,'405'!$H$38,'405'!$H$40,'405'!$H$42,'405'!$H$44:$H$45,'405'!$H$47,'405'!$H$49,'405'!$H$51,'405'!$H$53,'405'!$H$55:$H$56,'405'!$H$58,'405'!$H$60:$H$62,'405'!$H$64:$H$65,'405'!$H$67:$H$73,'405'!$H$75,'405'!$H$77,'405'!$H$79</definedName>
    <definedName name="OSRRefH22x_0" localSheetId="77">'406'!$H$24:$H$31,'406'!$H$33:$H$38,'406'!$H$40,'406'!$H$42,'406'!$H$44,'406'!$H$46,'406'!$H$48,'406'!$H$50,'406'!$H$52,'406'!$H$54:$H$56,'406'!$H$58:$H$59,'406'!$H$61:$H$66,'406'!$H$68,'406'!$H$70,'406'!$H$72</definedName>
    <definedName name="OSRRefH22x_0" localSheetId="78">'411'!$H$20:$H$28,'411'!$H$30:$H$35,'411'!$H$37,'411'!$H$39,'411'!$H$41:$H$43,'411'!$H$45,'411'!$H$47,'411'!$H$49,'411'!$H$51,'411'!$H$53,'411'!$H$55,'411'!$H$57,'411'!$H$59:$H$62,'411'!$H$64:$H$68,'411'!$H$70:$H$71,'411'!$H$73:$H$81,'411'!$H$83,'411'!$H$85,'411'!$H$87:$H$89,'411'!$H$91</definedName>
    <definedName name="OSRRefH22x_0" localSheetId="79">'412'!$H$24:$H$31,'412'!$H$33:$H$38,'412'!$H$40,'412'!$H$42,'412'!$H$44,'412'!$H$46,'412'!$H$48,'412'!$H$50,'412'!$H$52,'412'!$H$54:$H$56,'412'!$H$58:$H$60,'412'!$H$62:$H$67,'412'!$H$69,'412'!$H$71</definedName>
    <definedName name="OSRRefH22x_0" localSheetId="80">'413'!$H$24:$H$31,'413'!$H$33:$H$37,'413'!$H$39,'413'!$H$41,'413'!$H$43,'413'!$H$45,'413'!$H$47,'413'!$H$49:$H$51,'413'!$H$53:$H$55,'413'!$H$57:$H$62,'413'!$H$64,'413'!$H$66</definedName>
    <definedName name="OSRRefH22x_0" localSheetId="81">'414'!$H$24:$H$31,'414'!$H$33:$H$38,'414'!$H$40,'414'!$H$42,'414'!$H$44,'414'!$H$46,'414'!$H$48,'414'!$H$50,'414'!$H$52,'414'!$H$54:$H$55,'414'!$H$57,'414'!$H$59,'414'!$H$61,'414'!$H$63:$H$69,'414'!$H$71,'414'!$H$73</definedName>
    <definedName name="OSRRefH22x_0" localSheetId="82">'415'!$H$24:$H$31,'415'!$H$33:$H$38,'415'!$H$40,'415'!$H$42,'415'!$H$44,'415'!$H$46:$H$47,'415'!$H$49,'415'!$H$51,'415'!$H$53,'415'!$H$55,'415'!$H$57,'415'!$H$59:$H$62,'415'!$H$64:$H$68,'415'!$H$70:$H$71,'415'!$H$73:$H$81,'415'!$H$83,'415'!$H$85,'415'!$H$87</definedName>
    <definedName name="OSRRefH22x_0" localSheetId="83">'418'!$H$24:$H$31,'418'!$H$33:$H$38,'418'!$H$40,'418'!$H$42,'418'!$H$44,'418'!$H$46:$H$47,'418'!$H$49,'418'!$H$51,'418'!$H$53,'418'!$H$55,'418'!$H$57:$H$58,'418'!$H$60:$H$62,'418'!$H$64:$H$66,'418'!$H$68:$H$69,'418'!$H$71:$H$78,'418'!$H$80,'418'!$H$82</definedName>
    <definedName name="OSRRefH22x_0" localSheetId="84">'420'!$H$24:$H$31,'420'!$H$33:$H$36,'420'!$H$38,'420'!$H$40,'420'!$H$42,'420'!$H$44,'420'!$H$46:$H$47,'420'!$H$49</definedName>
    <definedName name="OSRRefH22x_0" localSheetId="85">'423'!$H$21:$H$28,'423'!$H$30:$H$31,'423'!$H$33,'423'!$H$35,'423'!$H$37,'423'!$H$39,'423'!$H$41</definedName>
    <definedName name="OSRRefH22x_0" localSheetId="86">'424'!$H$24:$H$25,'424'!$H$27:$H$31,'424'!$H$33,'424'!$H$35,'424'!$H$37,'424'!$H$39,'424'!$H$41,'424'!$H$43,'424'!$H$45:$H$46,'424'!$H$48,'424'!$H$50,'424'!$H$52:$H$56,'424'!$H$58</definedName>
    <definedName name="OSRRefH22x_0" localSheetId="87">'425'!$H$27:$H$35,'425'!$H$37:$H$42,'425'!$H$44,'425'!$H$46,'425'!$H$48,'425'!$H$50,'425'!$H$52,'425'!$H$54,'425'!$H$56,'425'!$H$58:$H$60,'425'!$H$62,'425'!$H$64:$H$66,'425'!$H$68:$H$74,'425'!$H$76,'425'!$H$78</definedName>
    <definedName name="OSRRefH22x_0" localSheetId="90">'430'!$H$20:$H$27,'430'!$H$29,'430'!$H$31,'430'!$H$33,'430'!$H$35:$H$36,'430'!$H$38,'430'!$H$40,'430'!$H$42</definedName>
    <definedName name="OSRRefH22x_0" localSheetId="91">'433'!$H$25:$H$33,'433'!$H$35:$H$40,'433'!$H$42,'433'!$H$44,'433'!$H$46,'433'!$H$48,'433'!$H$50,'433'!$H$52,'433'!$H$54,'433'!$H$56,'433'!$H$58,'433'!$H$60:$H$62,'433'!$H$64:$H$66,'433'!$H$68:$H$75,'433'!$H$77,'433'!$H$79,'433'!$H$81</definedName>
    <definedName name="OSRRefH22x_0" localSheetId="92">'435'!$H$25:$H$27,'435'!$H$29:$H$31,'435'!$H$33,'435'!$H$35,'435'!$H$37,'435'!$H$39,'435'!$H$41,'435'!$H$43:$H$45,'435'!$H$47</definedName>
    <definedName name="OSRRefH22x_0" localSheetId="93">'444'!$H$25:$H$33,'444'!$H$35:$H$40,'444'!$H$42,'444'!$H$44,'444'!$H$46,'444'!$H$48,'444'!$H$50,'444'!$H$52,'444'!$H$54,'444'!$H$56,'444'!$H$58,'444'!$H$60:$H$62,'444'!$H$64:$H$67,'444'!$H$69,'444'!$H$71:$H$79,'444'!$H$81,'444'!$H$83,'444'!$H$85:$H$86</definedName>
    <definedName name="OSRRefH22x_0" localSheetId="94">'450'!$H$25:$H$33,'450'!$H$35:$H$40,'450'!$H$42,'450'!$H$44,'450'!$H$46,'450'!$H$48,'450'!$H$50,'450'!$H$52,'450'!$H$54,'450'!$H$56,'450'!$H$58,'450'!$H$60,'450'!$H$62:$H$63,'450'!$H$65:$H$67,'450'!$H$69:$H$74,'450'!$H$76,'450'!$H$78,'450'!$H$80</definedName>
    <definedName name="OSRRefH22x_0" localSheetId="88">'455'!$H$20:$H$26,'455'!$H$28:$H$29</definedName>
    <definedName name="OSRRefH22x_0" localSheetId="75">'491'!$H$32:$H$40,'491'!$H$42:$H$48,'491'!$H$50,'491'!$H$52,'491'!$H$54,'491'!$H$56:$H$58,'491'!$H$60,'491'!$H$62,'491'!$H$64,'491'!$H$66,'491'!$H$68,'491'!$H$70:$H$71,'491'!$H$73,'491'!$H$75,'491'!$H$77,'491'!$H$79,'491'!$H$81:$H$84,'491'!$H$86:$H$87,'491'!$H$89:$H$93,'491'!$H$95:$H$96,'491'!$H$98:$H$107,'491'!$H$109,'491'!$H$111,'491'!$H$113:$H$115,'491'!$H$117</definedName>
    <definedName name="OSRRefH22x_0" localSheetId="89">'492'!$H$27:$H$35,'492'!$H$37:$H$43,'492'!$H$45,'492'!$H$47,'492'!$H$49,'492'!$H$51,'492'!$H$53,'492'!$H$55,'492'!$H$57,'492'!$H$59,'492'!$H$61,'492'!$H$63,'492'!$H$65:$H$67,'492'!$H$69:$H$72,'492'!$H$74,'492'!$H$76:$H$84,'492'!$H$86,'492'!$H$88,'492'!$H$90:$H$91</definedName>
    <definedName name="OSRRefH22x_0" localSheetId="96">'501'!$H$21:$H$29,'501'!$H$31:$H$35,'501'!$H$37,'501'!$H$39,'501'!$H$41,'501'!$H$43:$H$44,'501'!$H$46,'501'!$H$48,'501'!$H$50,'501'!$H$52:$H$54,'501'!$H$56,'501'!$H$58:$H$60,'501'!$H$62,'501'!$H$64</definedName>
    <definedName name="OSRRefH22x_0" localSheetId="39">'Div 2'!$H$20:$H$30,'Div 2'!$H$32:$H$38,'Div 2'!$H$40,'Div 2'!$H$42,'Div 2'!$H$44,'Div 2'!$H$46,'Div 2'!$H$48,'Div 2'!$H$50,'Div 2'!$H$52,'Div 2'!$H$54:$H$55,'Div 2'!$H$57,'Div 2'!$H$59,'Div 2'!$H$61:$H$64,'Div 2'!$H$66:$H$68,'Div 2'!$H$70:$H$71,'Div 2'!$H$73,'Div 2'!$H$75:$H$79,'Div 2'!$H$81:$H$82,'Div 2'!$H$84,'Div 2'!$H$86:$H$87</definedName>
    <definedName name="OSRRefH22x_0" localSheetId="47">'Div 3'!$H$173:$H$182,'Div 3'!$H$184:$H$190,'Div 3'!$H$192,'Div 3'!$H$194:$H$195,'Div 3'!$H$197,'Div 3'!$H$199:$H$201,'Div 3'!$H$203:$H$204,'Div 3'!$H$206,'Div 3'!$H$208,'Div 3'!$H$210,'Div 3'!$H$212:$H$213,'Div 3'!$H$215,'Div 3'!$H$217,'Div 3'!$H$219,'Div 3'!$H$221:$H$223,'Div 3'!$H$225,'Div 3'!$H$227,'Div 3'!$H$229:$H$232,'Div 3'!$H$234:$H$236,'Div 3'!$H$238:$H$242,'Div 3'!$H$244:$H$245,'Div 3'!$H$247:$H$255,'Div 3'!$H$257:$H$258,'Div 3'!$H$260,'Div 3'!$H$262:$H$264,'Div 3'!$H$266</definedName>
    <definedName name="OSRRefH22x_0" localSheetId="73">'Div 4'!$H$32:$H$40,'Div 4'!$H$42:$H$48,'Div 4'!$H$50,'Div 4'!$H$52,'Div 4'!$H$54,'Div 4'!$H$56:$H$58,'Div 4'!$H$60,'Div 4'!$H$62,'Div 4'!$H$64,'Div 4'!$H$66,'Div 4'!$H$68,'Div 4'!$H$70:$H$71,'Div 4'!$H$73,'Div 4'!$H$75,'Div 4'!$H$77,'Div 4'!$H$79,'Div 4'!$H$81,'Div 4'!$H$83:$H$86,'Div 4'!$H$88:$H$89,'Div 4'!$H$91:$H$95,'Div 4'!$H$97:$H$98,'Div 4'!$H$100:$H$109,'Div 4'!$H$111,'Div 4'!$H$113,'Div 4'!$H$115:$H$117,'Div 4'!$H$119</definedName>
    <definedName name="OSRRefH22x_0" localSheetId="95">'Div 5'!$H$21:$H$29,'Div 5'!$H$31:$H$35,'Div 5'!$H$37,'Div 5'!$H$39,'Div 5'!$H$41,'Div 5'!$H$43:$H$44,'Div 5'!$H$46,'Div 5'!$H$48,'Div 5'!$H$50,'Div 5'!$H$52:$H$54,'Div 5'!$H$56,'Div 5'!$H$58:$H$60,'Div 5'!$H$62,'Div 5'!$H$64</definedName>
    <definedName name="OSRRefH22x_0" localSheetId="64">'Div 6'!$H$61:$H$69,'Div 6'!$H$71:$H$75,'Div 6'!$H$77,'Div 6'!$H$79,'Div 6'!$H$81,'Div 6'!$H$83:$H$84,'Div 6'!$H$86,'Div 6'!$H$88,'Div 6'!$H$90:$H$91,'Div 6'!$H$93:$H$94,'Div 6'!$H$96:$H$100,'Div 6'!$H$102,'Div 6'!$H$104,'Div 6'!$H$106</definedName>
    <definedName name="OSRRefH22x_0" localSheetId="2">Summary!$H$206:$H$215,Summary!$H$217:$H$223,Summary!$H$225,Summary!$H$227:$H$228,Summary!$H$230,Summary!$H$232:$H$235,Summary!$H$237:$H$238,Summary!$H$240,Summary!$H$242,Summary!$H$244,Summary!$H$246:$H$247,Summary!$H$249:$H$250,Summary!$H$252,Summary!$H$254,Summary!$H$256:$H$258,Summary!$H$260,Summary!$H$262,Summary!$H$264,Summary!$H$266:$H$269,Summary!$H$271:$H$273,Summary!$H$275:$H$279,Summary!$H$281:$H$282,Summary!$H$284:$H$293,Summary!$H$295:$H$296,Summary!$H$298,Summary!$H$300:$H$302,Summary!$H$304</definedName>
    <definedName name="OSRRefH25x_0" localSheetId="48">'300'!$H$260:$H$268</definedName>
    <definedName name="OSRRefH25x_0" localSheetId="49">'300 &amp; 317'!$H$286:$H$297</definedName>
    <definedName name="OSRRefH25x_0" localSheetId="50">'301'!$H$101:$H$103</definedName>
    <definedName name="OSRRefH25x_0" localSheetId="53">'307'!$H$119</definedName>
    <definedName name="OSRRefH25x_0" localSheetId="55">'308'!$H$120:$H$122</definedName>
    <definedName name="OSRRefH25x_0" localSheetId="74">'310 &amp; 491'!$H$127:$H$129</definedName>
    <definedName name="OSRRefH25x_0" localSheetId="56">'311'!$H$119:$H$121</definedName>
    <definedName name="OSRRefH25x_0" localSheetId="59">'315'!$H$136:$H$138</definedName>
    <definedName name="OSRRefH25x_0" localSheetId="62">'316'!$H$84</definedName>
    <definedName name="OSRRefH25x_0" localSheetId="65">'317'!$H$109:$H$112</definedName>
    <definedName name="OSRRefH25x_0" localSheetId="63">'320'!$H$59:$H$63</definedName>
    <definedName name="OSRRefH25x_0" localSheetId="52">'330'!$H$134</definedName>
    <definedName name="OSRRefH25x_0" localSheetId="58">'331'!$H$164:$H$166</definedName>
    <definedName name="OSRRefH25x_0" localSheetId="61">'332'!$H$94:$H$99</definedName>
    <definedName name="OSRRefH25x_0" localSheetId="78">'411'!$H$94:$H$95</definedName>
    <definedName name="OSRRefH25x_0" localSheetId="80">'413'!$H$69</definedName>
    <definedName name="OSRRefH25x_0" localSheetId="82">'415'!$H$90</definedName>
    <definedName name="OSRRefH25x_0" localSheetId="83">'418'!$H$85</definedName>
    <definedName name="OSRRefH25x_0" localSheetId="85">'423'!$H$44</definedName>
    <definedName name="OSRRefH25x_0" localSheetId="86">'424'!$H$61</definedName>
    <definedName name="OSRRefH25x_0" localSheetId="87">'425'!$H$81</definedName>
    <definedName name="OSRRefH25x_0" localSheetId="88">'455'!$H$32:$H$34</definedName>
    <definedName name="OSRRefH25x_0" localSheetId="75">'491'!$H$120:$H$122</definedName>
    <definedName name="OSRRefH25x_0" localSheetId="96">'501'!$H$67</definedName>
    <definedName name="OSRRefH25x_0" localSheetId="47">'Div 3'!$H$269:$H$277</definedName>
    <definedName name="OSRRefH25x_0" localSheetId="73">'Div 4'!$H$122:$H$124</definedName>
    <definedName name="OSRRefH25x_0" localSheetId="95">'Div 5'!$H$67</definedName>
    <definedName name="OSRRefH25x_0" localSheetId="64">'Div 6'!$H$109:$H$112</definedName>
    <definedName name="OSRRefH25x_0" localSheetId="2">Summary!$H$307:$H$319</definedName>
    <definedName name="OSRRefP13x_0" localSheetId="48">'300'!$P$13:$P$109</definedName>
    <definedName name="OSRRefP13x_0" localSheetId="49">'300 &amp; 317'!$P$13:$P$127</definedName>
    <definedName name="OSRRefP13x_0" localSheetId="53">'307'!$P$13:$P$49</definedName>
    <definedName name="OSRRefP13x_0" localSheetId="55">'308'!$P$13:$P$42</definedName>
    <definedName name="OSRRefP13x_0" localSheetId="67">'309'!$P$13:$P$14</definedName>
    <definedName name="OSRRefP13x_0" localSheetId="66">'310'!$P$13:$P$21</definedName>
    <definedName name="OSRRefP13x_0" localSheetId="74">'310 &amp; 491'!$P$13:$P$28</definedName>
    <definedName name="OSRRefP13x_0" localSheetId="56">'311'!$P$13:$P$41</definedName>
    <definedName name="OSRRefP13x_0" localSheetId="68">'313'!$P$13:$P$18</definedName>
    <definedName name="OSRRefP13x_0" localSheetId="54">'314'!$P$13:$P$33</definedName>
    <definedName name="OSRRefP13x_0" localSheetId="59">'315'!$P$13:$P$50</definedName>
    <definedName name="OSRRefP13x_0" localSheetId="62">'316'!$P$13:$P$29</definedName>
    <definedName name="OSRRefP13x_0" localSheetId="65">'317'!$P$13:$P$37</definedName>
    <definedName name="OSRRefP13x_0" localSheetId="63">'320'!$P$13:$P$15</definedName>
    <definedName name="OSRRefP13x_0" localSheetId="69">'321'!$P$13:$P$14</definedName>
    <definedName name="OSRRefP13x_0" localSheetId="70">'322'!$P$13:$P$14</definedName>
    <definedName name="OSRRefP13x_0" localSheetId="57">'324'!$P$13:$P$15</definedName>
    <definedName name="OSRRefP13x_0" localSheetId="71">'325'!$P$13:$P$14</definedName>
    <definedName name="OSRRefP13x_0" localSheetId="60">'326'!$P$13:$P$38</definedName>
    <definedName name="OSRRefP13x_0" localSheetId="72">'327'!$P$13</definedName>
    <definedName name="OSRRefP13x_0" localSheetId="52">'330'!$P$13:$P$53</definedName>
    <definedName name="OSRRefP13x_0" localSheetId="58">'331'!$P$13:$P$54</definedName>
    <definedName name="OSRRefP13x_0" localSheetId="61">'332'!$P$13:$P$31</definedName>
    <definedName name="OSRRefP13x_0" localSheetId="76">'405'!$P$13:$P$14</definedName>
    <definedName name="OSRRefP13x_0" localSheetId="77">'406'!$P$13:$P$14</definedName>
    <definedName name="OSRRefP13x_0" localSheetId="79">'412'!$P$13:$P$14</definedName>
    <definedName name="OSRRefP13x_0" localSheetId="80">'413'!$P$13:$P$14</definedName>
    <definedName name="OSRRefP13x_0" localSheetId="81">'414'!$P$13:$P$14</definedName>
    <definedName name="OSRRefP13x_0" localSheetId="82">'415'!$P$13:$P$14</definedName>
    <definedName name="OSRRefP13x_0" localSheetId="83">'418'!$P$13:$P$14</definedName>
    <definedName name="OSRRefP13x_0" localSheetId="84">'420'!$P$13:$P$14</definedName>
    <definedName name="OSRRefP13x_0" localSheetId="86">'424'!$P$13:$P$14</definedName>
    <definedName name="OSRRefP13x_0" localSheetId="87">'425'!$P$13:$P$17</definedName>
    <definedName name="OSRRefP13x_0" localSheetId="91">'433'!$P$13:$P$15</definedName>
    <definedName name="OSRRefP13x_0" localSheetId="92">'435'!$P$13:$P$15</definedName>
    <definedName name="OSRRefP13x_0" localSheetId="93">'444'!$P$13:$P$15</definedName>
    <definedName name="OSRRefP13x_0" localSheetId="94">'450'!$P$13:$P$15</definedName>
    <definedName name="OSRRefP13x_0" localSheetId="75">'491'!$P$13:$P$22</definedName>
    <definedName name="OSRRefP13x_0" localSheetId="89">'492'!$P$13:$P$17</definedName>
    <definedName name="OSRRefP13x_0" localSheetId="96">'501'!$P$13</definedName>
    <definedName name="OSRRefP13x_0" localSheetId="47">'Div 3'!$P$13:$P$112</definedName>
    <definedName name="OSRRefP13x_0" localSheetId="73">'Div 4'!$P$13:$P$22</definedName>
    <definedName name="OSRRefP13x_0" localSheetId="95">'Div 5'!$P$13</definedName>
    <definedName name="OSRRefP13x_0" localSheetId="64">'Div 6'!$P$13:$P$37</definedName>
    <definedName name="OSRRefP13x_0" localSheetId="2">Summary!$P$13:$P$137</definedName>
    <definedName name="OSRRefP16x_0" localSheetId="48">'300'!$P$112:$P$162</definedName>
    <definedName name="OSRRefP16x_0" localSheetId="49">'300 &amp; 317'!$P$130:$P$188</definedName>
    <definedName name="OSRRefP16x_0" localSheetId="50">'301'!$P$15</definedName>
    <definedName name="OSRRefP16x_0" localSheetId="53">'307'!$P$52:$P$72</definedName>
    <definedName name="OSRRefP16x_0" localSheetId="55">'308'!$P$45:$P$61</definedName>
    <definedName name="OSRRefP16x_0" localSheetId="67">'309'!$P$17:$P$18</definedName>
    <definedName name="OSRRefP16x_0" localSheetId="66">'310'!$P$24:$P$25</definedName>
    <definedName name="OSRRefP16x_0" localSheetId="74">'310 &amp; 491'!$P$31:$P$32</definedName>
    <definedName name="OSRRefP16x_0" localSheetId="56">'311'!$P$44:$P$60</definedName>
    <definedName name="OSRRefP16x_0" localSheetId="68">'313'!$P$21:$P$22</definedName>
    <definedName name="OSRRefP16x_0" localSheetId="54">'314'!$P$36:$P$50</definedName>
    <definedName name="OSRRefP16x_0" localSheetId="59">'315'!$P$53:$P$77</definedName>
    <definedName name="OSRRefP16x_0" localSheetId="65">'317'!$P$40:$P$55</definedName>
    <definedName name="OSRRefP16x_0" localSheetId="63">'320'!$P$18:$P$22</definedName>
    <definedName name="OSRRefP16x_0" localSheetId="69">'321'!$P$17:$P$18</definedName>
    <definedName name="OSRRefP16x_0" localSheetId="70">'322'!$P$17:$P$18</definedName>
    <definedName name="OSRRefP16x_0" localSheetId="57">'324'!$P$18:$P$19</definedName>
    <definedName name="OSRRefP16x_0" localSheetId="71">'325'!$P$17:$P$18</definedName>
    <definedName name="OSRRefP16x_0" localSheetId="60">'326'!$P$41:$P$57</definedName>
    <definedName name="OSRRefP16x_0" localSheetId="72">'327'!$P$16</definedName>
    <definedName name="OSRRefP16x_0" localSheetId="52">'330'!$P$56:$P$79</definedName>
    <definedName name="OSRRefP16x_0" localSheetId="58">'331'!$P$57:$P$86</definedName>
    <definedName name="OSRRefP16x_0" localSheetId="61">'332'!$P$34:$P$38</definedName>
    <definedName name="OSRRefP16x_0" localSheetId="76">'405'!$P$17:$P$18</definedName>
    <definedName name="OSRRefP16x_0" localSheetId="77">'406'!$P$17:$P$18</definedName>
    <definedName name="OSRRefP16x_0" localSheetId="79">'412'!$P$17:$P$18</definedName>
    <definedName name="OSRRefP16x_0" localSheetId="80">'413'!$P$17:$P$18</definedName>
    <definedName name="OSRRefP16x_0" localSheetId="81">'414'!$P$17:$P$18</definedName>
    <definedName name="OSRRefP16x_0" localSheetId="82">'415'!$P$17:$P$18</definedName>
    <definedName name="OSRRefP16x_0" localSheetId="83">'418'!$P$17:$P$18</definedName>
    <definedName name="OSRRefP16x_0" localSheetId="84">'420'!$P$17:$P$18</definedName>
    <definedName name="OSRRefP16x_0" localSheetId="85">'423'!$P$15</definedName>
    <definedName name="OSRRefP16x_0" localSheetId="86">'424'!$P$17:$P$18</definedName>
    <definedName name="OSRRefP16x_0" localSheetId="87">'425'!$P$20:$P$21</definedName>
    <definedName name="OSRRefP16x_0" localSheetId="91">'433'!$P$18:$P$19</definedName>
    <definedName name="OSRRefP16x_0" localSheetId="92">'435'!$P$18:$P$19</definedName>
    <definedName name="OSRRefP16x_0" localSheetId="93">'444'!$P$18:$P$19</definedName>
    <definedName name="OSRRefP16x_0" localSheetId="94">'450'!$P$18:$P$19</definedName>
    <definedName name="OSRRefP16x_0" localSheetId="75">'491'!$P$25:$P$26</definedName>
    <definedName name="OSRRefP16x_0" localSheetId="89">'492'!$P$20:$P$21</definedName>
    <definedName name="OSRRefP16x_0" localSheetId="47">'Div 3'!$P$115:$P$167</definedName>
    <definedName name="OSRRefP16x_0" localSheetId="73">'Div 4'!$P$25:$P$26</definedName>
    <definedName name="OSRRefP16x_0" localSheetId="64">'Div 6'!$P$40:$P$55</definedName>
    <definedName name="OSRRefP16x_0" localSheetId="2">Summary!$P$140:$P$200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'203'!$P$20:$P$29</definedName>
    <definedName name="OSRRefP22_0x_0" localSheetId="44">'204'!$P$20:$P$29</definedName>
    <definedName name="OSRRefP22_0x_0" localSheetId="45">'205'!$P$20:$P$27</definedName>
    <definedName name="OSRRefP22_0x_0" localSheetId="46">'206'!$P$20:$P$27</definedName>
    <definedName name="OSRRefP22_0x_0" localSheetId="48">'300'!$P$168:$P$177</definedName>
    <definedName name="OSRRefP22_0x_0" localSheetId="49">'300 &amp; 317'!$P$194:$P$203</definedName>
    <definedName name="OSRRefP22_0x_0" localSheetId="50">'301'!$P$21:$P$30</definedName>
    <definedName name="OSRRefP22_0x_0" localSheetId="51">'306'!$P$20:$P$28</definedName>
    <definedName name="OSRRefP22_0x_0" localSheetId="53">'307'!$P$78:$P$85</definedName>
    <definedName name="OSRRefP22_0x_0" localSheetId="55">'308'!$P$67:$P$75</definedName>
    <definedName name="OSRRefP22_0x_0" localSheetId="67">'309'!$P$24:$P$31</definedName>
    <definedName name="OSRRefP22_0x_0" localSheetId="66">'310'!$P$31:$P$38</definedName>
    <definedName name="OSRRefP22_0x_0" localSheetId="74">'310 &amp; 491'!$P$38:$P$46</definedName>
    <definedName name="OSRRefP22_0x_0" localSheetId="56">'311'!$P$66:$P$74</definedName>
    <definedName name="OSRRefP22_0x_0" localSheetId="68">'313'!$P$28:$P$35</definedName>
    <definedName name="OSRRefP22_0x_0" localSheetId="54">'314'!$P$56:$P$64</definedName>
    <definedName name="OSRRefP22_0x_0" localSheetId="59">'315'!$P$83:$P$90</definedName>
    <definedName name="OSRRefP22_0x_0" localSheetId="62">'316'!$P$37:$P$44</definedName>
    <definedName name="OSRRefP22_0x_0" localSheetId="65">'317'!$P$61:$P$69</definedName>
    <definedName name="OSRRefP22_0x_0" localSheetId="63">'320'!$P$28:$P$34</definedName>
    <definedName name="OSRRefP22_0x_0" localSheetId="69">'321'!$P$24:$P$31</definedName>
    <definedName name="OSRRefP22_0x_0" localSheetId="70">'322'!$P$24:$P$31</definedName>
    <definedName name="OSRRefP22_0x_0" localSheetId="71">'325'!$P$24:$P$31</definedName>
    <definedName name="OSRRefP22_0x_0" localSheetId="60">'326'!$P$63:$P$70</definedName>
    <definedName name="OSRRefP22_0x_0" localSheetId="72">'327'!$P$22</definedName>
    <definedName name="OSRRefP22_0x_0" localSheetId="52">'330'!$P$85:$P$93</definedName>
    <definedName name="OSRRefP22_0x_0" localSheetId="58">'331'!$P$92:$P$99</definedName>
    <definedName name="OSRRefP22_0x_0" localSheetId="61">'332'!$P$44:$P$51</definedName>
    <definedName name="OSRRefP22_0x_0" localSheetId="76">'405'!$P$24:$P$31</definedName>
    <definedName name="OSRRefP22_0x_0" localSheetId="77">'406'!$P$24:$P$31</definedName>
    <definedName name="OSRRefP22_0x_0" localSheetId="78">'411'!$P$20:$P$28</definedName>
    <definedName name="OSRRefP22_0x_0" localSheetId="79">'412'!$P$24:$P$31</definedName>
    <definedName name="OSRRefP22_0x_0" localSheetId="80">'413'!$P$24:$P$31</definedName>
    <definedName name="OSRRefP22_0x_0" localSheetId="81">'414'!$P$24:$P$31</definedName>
    <definedName name="OSRRefP22_0x_0" localSheetId="82">'415'!$P$24:$P$31</definedName>
    <definedName name="OSRRefP22_0x_0" localSheetId="83">'418'!$P$24:$P$31</definedName>
    <definedName name="OSRRefP22_0x_0" localSheetId="84">'420'!$P$24:$P$31</definedName>
    <definedName name="OSRRefP22_0x_0" localSheetId="85">'423'!$P$21:$P$28</definedName>
    <definedName name="OSRRefP22_0x_0" localSheetId="86">'424'!$P$24:$P$25</definedName>
    <definedName name="OSRRefP22_0x_0" localSheetId="87">'425'!$P$27:$P$35</definedName>
    <definedName name="OSRRefP22_0x_0" localSheetId="90">'430'!$P$20:$P$27</definedName>
    <definedName name="OSRRefP22_0x_0" localSheetId="91">'433'!$P$25:$P$33</definedName>
    <definedName name="OSRRefP22_0x_0" localSheetId="92">'435'!$P$25:$P$27</definedName>
    <definedName name="OSRRefP22_0x_0" localSheetId="93">'444'!$P$25:$P$33</definedName>
    <definedName name="OSRRefP22_0x_0" localSheetId="94">'450'!$P$25:$P$33</definedName>
    <definedName name="OSRRefP22_0x_0" localSheetId="88">'455'!$P$20:$P$26</definedName>
    <definedName name="OSRRefP22_0x_0" localSheetId="75">'491'!$P$32:$P$40</definedName>
    <definedName name="OSRRefP22_0x_0" localSheetId="89">'492'!$P$27:$P$35</definedName>
    <definedName name="OSRRefP22_0x_0" localSheetId="96">'501'!$P$21:$P$29</definedName>
    <definedName name="OSRRefP22_0x_0" localSheetId="39">'Div 2'!$P$20:$P$30</definedName>
    <definedName name="OSRRefP22_0x_0" localSheetId="47">'Div 3'!$P$173:$P$182</definedName>
    <definedName name="OSRRefP22_0x_0" localSheetId="73">'Div 4'!$P$32:$P$40</definedName>
    <definedName name="OSRRefP22_0x_0" localSheetId="95">'Div 5'!$P$21:$P$29</definedName>
    <definedName name="OSRRefP22_0x_0" localSheetId="64">'Div 6'!$P$61:$P$69</definedName>
    <definedName name="OSRRefP22_0x_0" localSheetId="2">Summary!$P$206:$P$215</definedName>
    <definedName name="OSRRefP22_10x_0" localSheetId="41">'201'!$P$51:$P$53</definedName>
    <definedName name="OSRRefP22_10x_0" localSheetId="42">'202'!$P$54</definedName>
    <definedName name="OSRRefP22_10x_0" localSheetId="43">'203'!$P$55:$P$56</definedName>
    <definedName name="OSRRefP22_10x_0" localSheetId="44">'204'!$P$56:$P$57</definedName>
    <definedName name="OSRRefP22_10x_0" localSheetId="48">'300'!$P$207:$P$208</definedName>
    <definedName name="OSRRefP22_10x_0" localSheetId="49">'300 &amp; 317'!$P$233:$P$234</definedName>
    <definedName name="OSRRefP22_10x_0" localSheetId="50">'301'!$P$60</definedName>
    <definedName name="OSRRefP22_10x_0" localSheetId="53">'307'!$P$114</definedName>
    <definedName name="OSRRefP22_10x_0" localSheetId="55">'308'!$P$105:$P$106</definedName>
    <definedName name="OSRRefP22_10x_0" localSheetId="67">'309'!$P$56:$P$58</definedName>
    <definedName name="OSRRefP22_10x_0" localSheetId="66">'310'!$P$64</definedName>
    <definedName name="OSRRefP22_10x_0" localSheetId="74">'310 &amp; 491'!$P$74:$P$75</definedName>
    <definedName name="OSRRefP22_10x_0" localSheetId="56">'311'!$P$104:$P$105</definedName>
    <definedName name="OSRRefP22_10x_0" localSheetId="68">'313'!$P$62:$P$67</definedName>
    <definedName name="OSRRefP22_10x_0" localSheetId="59">'315'!$P$119:$P$120</definedName>
    <definedName name="OSRRefP22_10x_0" localSheetId="62">'316'!$P$70:$P$75</definedName>
    <definedName name="OSRRefP22_10x_0" localSheetId="65">'317'!$P$96:$P$100</definedName>
    <definedName name="OSRRefP22_10x_0" localSheetId="69">'321'!$P$59:$P$63</definedName>
    <definedName name="OSRRefP22_10x_0" localSheetId="70">'322'!$P$58:$P$64</definedName>
    <definedName name="OSRRefP22_10x_0" localSheetId="71">'325'!$P$56</definedName>
    <definedName name="OSRRefP22_10x_0" localSheetId="60">'326'!$P$96</definedName>
    <definedName name="OSRRefP22_10x_0" localSheetId="52">'330'!$P$120</definedName>
    <definedName name="OSRRefP22_10x_0" localSheetId="58">'331'!$P$126:$P$127</definedName>
    <definedName name="OSRRefP22_10x_0" localSheetId="61">'332'!$P$78</definedName>
    <definedName name="OSRRefP22_10x_0" localSheetId="76">'405'!$P$55:$P$56</definedName>
    <definedName name="OSRRefP22_10x_0" localSheetId="77">'406'!$P$58:$P$59</definedName>
    <definedName name="OSRRefP22_10x_0" localSheetId="78">'411'!$P$55</definedName>
    <definedName name="OSRRefP22_10x_0" localSheetId="79">'412'!$P$58:$P$60</definedName>
    <definedName name="OSRRefP22_10x_0" localSheetId="80">'413'!$P$64</definedName>
    <definedName name="OSRRefP22_10x_0" localSheetId="81">'414'!$P$57</definedName>
    <definedName name="OSRRefP22_10x_0" localSheetId="82">'415'!$P$57</definedName>
    <definedName name="OSRRefP22_10x_0" localSheetId="83">'418'!$P$57:$P$58</definedName>
    <definedName name="OSRRefP22_10x_0" localSheetId="86">'424'!$P$50</definedName>
    <definedName name="OSRRefP22_10x_0" localSheetId="87">'425'!$P$62</definedName>
    <definedName name="OSRRefP22_10x_0" localSheetId="91">'433'!$P$58</definedName>
    <definedName name="OSRRefP22_10x_0" localSheetId="93">'444'!$P$58</definedName>
    <definedName name="OSRRefP22_10x_0" localSheetId="94">'450'!$P$58</definedName>
    <definedName name="OSRRefP22_10x_0" localSheetId="75">'491'!$P$68</definedName>
    <definedName name="OSRRefP22_10x_0" localSheetId="89">'492'!$P$61</definedName>
    <definedName name="OSRRefP22_10x_0" localSheetId="96">'501'!$P$56</definedName>
    <definedName name="OSRRefP22_10x_0" localSheetId="39">'Div 2'!$P$57</definedName>
    <definedName name="OSRRefP22_10x_0" localSheetId="47">'Div 3'!$P$212:$P$213</definedName>
    <definedName name="OSRRefP22_10x_0" localSheetId="73">'Div 4'!$P$68</definedName>
    <definedName name="OSRRefP22_10x_0" localSheetId="95">'Div 5'!$P$56</definedName>
    <definedName name="OSRRefP22_10x_0" localSheetId="64">'Div 6'!$P$96:$P$100</definedName>
    <definedName name="OSRRefP22_10x_0" localSheetId="2">Summary!$P$246:$P$247</definedName>
    <definedName name="OSRRefP22_11x_0" localSheetId="41">'201'!$P$55</definedName>
    <definedName name="OSRRefP22_11x_0" localSheetId="42">'202'!$P$56</definedName>
    <definedName name="OSRRefP22_11x_0" localSheetId="43">'203'!$P$58</definedName>
    <definedName name="OSRRefP22_11x_0" localSheetId="48">'300'!$P$210</definedName>
    <definedName name="OSRRefP22_11x_0" localSheetId="49">'300 &amp; 317'!$P$236</definedName>
    <definedName name="OSRRefP22_11x_0" localSheetId="50">'301'!$P$62</definedName>
    <definedName name="OSRRefP22_11x_0" localSheetId="53">'307'!$P$116</definedName>
    <definedName name="OSRRefP22_11x_0" localSheetId="55">'308'!$P$108:$P$110</definedName>
    <definedName name="OSRRefP22_11x_0" localSheetId="67">'309'!$P$60:$P$62</definedName>
    <definedName name="OSRRefP22_11x_0" localSheetId="66">'310'!$P$66</definedName>
    <definedName name="OSRRefP22_11x_0" localSheetId="74">'310 &amp; 491'!$P$77:$P$78</definedName>
    <definedName name="OSRRefP22_11x_0" localSheetId="56">'311'!$P$107:$P$109</definedName>
    <definedName name="OSRRefP22_11x_0" localSheetId="68">'313'!$P$69</definedName>
    <definedName name="OSRRefP22_11x_0" localSheetId="59">'315'!$P$122:$P$126</definedName>
    <definedName name="OSRRefP22_11x_0" localSheetId="62">'316'!$P$77</definedName>
    <definedName name="OSRRefP22_11x_0" localSheetId="65">'317'!$P$102</definedName>
    <definedName name="OSRRefP22_11x_0" localSheetId="69">'321'!$P$65</definedName>
    <definedName name="OSRRefP22_11x_0" localSheetId="70">'322'!$P$66</definedName>
    <definedName name="OSRRefP22_11x_0" localSheetId="71">'325'!$P$58:$P$60</definedName>
    <definedName name="OSRRefP22_11x_0" localSheetId="60">'326'!$P$98</definedName>
    <definedName name="OSRRefP22_11x_0" localSheetId="52">'330'!$P$122:$P$125</definedName>
    <definedName name="OSRRefP22_11x_0" localSheetId="58">'331'!$P$129</definedName>
    <definedName name="OSRRefP22_11x_0" localSheetId="61">'332'!$P$80:$P$85</definedName>
    <definedName name="OSRRefP22_11x_0" localSheetId="76">'405'!$P$58</definedName>
    <definedName name="OSRRefP22_11x_0" localSheetId="77">'406'!$P$61:$P$66</definedName>
    <definedName name="OSRRefP22_11x_0" localSheetId="78">'411'!$P$57</definedName>
    <definedName name="OSRRefP22_11x_0" localSheetId="79">'412'!$P$62:$P$67</definedName>
    <definedName name="OSRRefP22_11x_0" localSheetId="80">'413'!$P$66</definedName>
    <definedName name="OSRRefP22_11x_0" localSheetId="81">'414'!$P$59</definedName>
    <definedName name="OSRRefP22_11x_0" localSheetId="82">'415'!$P$59:$P$62</definedName>
    <definedName name="OSRRefP22_11x_0" localSheetId="83">'418'!$P$60:$P$62</definedName>
    <definedName name="OSRRefP22_11x_0" localSheetId="86">'424'!$P$52:$P$56</definedName>
    <definedName name="OSRRefP22_11x_0" localSheetId="87">'425'!$P$64:$P$66</definedName>
    <definedName name="OSRRefP22_11x_0" localSheetId="91">'433'!$P$60:$P$62</definedName>
    <definedName name="OSRRefP22_11x_0" localSheetId="93">'444'!$P$60:$P$62</definedName>
    <definedName name="OSRRefP22_11x_0" localSheetId="94">'450'!$P$60</definedName>
    <definedName name="OSRRefP22_11x_0" localSheetId="75">'491'!$P$70:$P$71</definedName>
    <definedName name="OSRRefP22_11x_0" localSheetId="89">'492'!$P$63</definedName>
    <definedName name="OSRRefP22_11x_0" localSheetId="96">'501'!$P$58:$P$60</definedName>
    <definedName name="OSRRefP22_11x_0" localSheetId="39">'Div 2'!$P$59</definedName>
    <definedName name="OSRRefP22_11x_0" localSheetId="47">'Div 3'!$P$215</definedName>
    <definedName name="OSRRefP22_11x_0" localSheetId="73">'Div 4'!$P$70:$P$71</definedName>
    <definedName name="OSRRefP22_11x_0" localSheetId="95">'Div 5'!$P$58:$P$60</definedName>
    <definedName name="OSRRefP22_11x_0" localSheetId="64">'Div 6'!$P$102</definedName>
    <definedName name="OSRRefP22_11x_0" localSheetId="2">Summary!$P$249:$P$250</definedName>
    <definedName name="OSRRefP22_12x_0" localSheetId="41">'201'!$P$57:$P$60</definedName>
    <definedName name="OSRRefP22_12x_0" localSheetId="42">'202'!$P$58:$P$60</definedName>
    <definedName name="OSRRefP22_12x_0" localSheetId="43">'203'!$P$60:$P$63</definedName>
    <definedName name="OSRRefP22_12x_0" localSheetId="48">'300'!$P$212</definedName>
    <definedName name="OSRRefP22_12x_0" localSheetId="49">'300 &amp; 317'!$P$238</definedName>
    <definedName name="OSRRefP22_12x_0" localSheetId="50">'301'!$P$64</definedName>
    <definedName name="OSRRefP22_12x_0" localSheetId="55">'308'!$P$112:$P$113</definedName>
    <definedName name="OSRRefP22_12x_0" localSheetId="67">'309'!$P$64</definedName>
    <definedName name="OSRRefP22_12x_0" localSheetId="66">'310'!$P$68</definedName>
    <definedName name="OSRRefP22_12x_0" localSheetId="74">'310 &amp; 491'!$P$80</definedName>
    <definedName name="OSRRefP22_12x_0" localSheetId="56">'311'!$P$111:$P$112</definedName>
    <definedName name="OSRRefP22_12x_0" localSheetId="68">'313'!$P$71</definedName>
    <definedName name="OSRRefP22_12x_0" localSheetId="59">'315'!$P$128</definedName>
    <definedName name="OSRRefP22_12x_0" localSheetId="62">'316'!$P$79</definedName>
    <definedName name="OSRRefP22_12x_0" localSheetId="65">'317'!$P$104</definedName>
    <definedName name="OSRRefP22_12x_0" localSheetId="69">'321'!$P$67</definedName>
    <definedName name="OSRRefP22_12x_0" localSheetId="70">'322'!$P$68</definedName>
    <definedName name="OSRRefP22_12x_0" localSheetId="71">'325'!$P$62:$P$64</definedName>
    <definedName name="OSRRefP22_12x_0" localSheetId="60">'326'!$P$100:$P$102</definedName>
    <definedName name="OSRRefP22_12x_0" localSheetId="52">'330'!$P$127</definedName>
    <definedName name="OSRRefP22_12x_0" localSheetId="58">'331'!$P$131</definedName>
    <definedName name="OSRRefP22_12x_0" localSheetId="61">'332'!$P$87</definedName>
    <definedName name="OSRRefP22_12x_0" localSheetId="76">'405'!$P$60:$P$62</definedName>
    <definedName name="OSRRefP22_12x_0" localSheetId="77">'406'!$P$68</definedName>
    <definedName name="OSRRefP22_12x_0" localSheetId="78">'411'!$P$59:$P$62</definedName>
    <definedName name="OSRRefP22_12x_0" localSheetId="79">'412'!$P$69</definedName>
    <definedName name="OSRRefP22_12x_0" localSheetId="81">'414'!$P$61</definedName>
    <definedName name="OSRRefP22_12x_0" localSheetId="82">'415'!$P$64:$P$68</definedName>
    <definedName name="OSRRefP22_12x_0" localSheetId="83">'418'!$P$64:$P$66</definedName>
    <definedName name="OSRRefP22_12x_0" localSheetId="86">'424'!$P$58</definedName>
    <definedName name="OSRRefP22_12x_0" localSheetId="87">'425'!$P$68:$P$74</definedName>
    <definedName name="OSRRefP22_12x_0" localSheetId="91">'433'!$P$64:$P$66</definedName>
    <definedName name="OSRRefP22_12x_0" localSheetId="93">'444'!$P$64:$P$67</definedName>
    <definedName name="OSRRefP22_12x_0" localSheetId="94">'450'!$P$62:$P$63</definedName>
    <definedName name="OSRRefP22_12x_0" localSheetId="75">'491'!$P$73</definedName>
    <definedName name="OSRRefP22_12x_0" localSheetId="89">'492'!$P$65:$P$67</definedName>
    <definedName name="OSRRefP22_12x_0" localSheetId="96">'501'!$P$62</definedName>
    <definedName name="OSRRefP22_12x_0" localSheetId="39">'Div 2'!$P$61:$P$64</definedName>
    <definedName name="OSRRefP22_12x_0" localSheetId="47">'Div 3'!$P$217</definedName>
    <definedName name="OSRRefP22_12x_0" localSheetId="73">'Div 4'!$P$73</definedName>
    <definedName name="OSRRefP22_12x_0" localSheetId="95">'Div 5'!$P$62</definedName>
    <definedName name="OSRRefP22_12x_0" localSheetId="64">'Div 6'!$P$104</definedName>
    <definedName name="OSRRefP22_12x_0" localSheetId="2">Summary!$P$252</definedName>
    <definedName name="OSRRefP22_13x_0" localSheetId="41">'201'!$P$62</definedName>
    <definedName name="OSRRefP22_13x_0" localSheetId="42">'202'!$P$62</definedName>
    <definedName name="OSRRefP22_13x_0" localSheetId="43">'203'!$P$65</definedName>
    <definedName name="OSRRefP22_13x_0" localSheetId="48">'300'!$P$214:$P$216</definedName>
    <definedName name="OSRRefP22_13x_0" localSheetId="49">'300 &amp; 317'!$P$240:$P$242</definedName>
    <definedName name="OSRRefP22_13x_0" localSheetId="50">'301'!$P$66</definedName>
    <definedName name="OSRRefP22_13x_0" localSheetId="55">'308'!$P$115</definedName>
    <definedName name="OSRRefP22_13x_0" localSheetId="66">'310'!$P$70</definedName>
    <definedName name="OSRRefP22_13x_0" localSheetId="74">'310 &amp; 491'!$P$82</definedName>
    <definedName name="OSRRefP22_13x_0" localSheetId="56">'311'!$P$114</definedName>
    <definedName name="OSRRefP22_13x_0" localSheetId="59">'315'!$P$130</definedName>
    <definedName name="OSRRefP22_13x_0" localSheetId="62">'316'!$P$81</definedName>
    <definedName name="OSRRefP22_13x_0" localSheetId="65">'317'!$P$106</definedName>
    <definedName name="OSRRefP22_13x_0" localSheetId="70">'322'!$P$70</definedName>
    <definedName name="OSRRefP22_13x_0" localSheetId="71">'325'!$P$66</definedName>
    <definedName name="OSRRefP22_13x_0" localSheetId="60">'326'!$P$104:$P$106</definedName>
    <definedName name="OSRRefP22_13x_0" localSheetId="52">'330'!$P$129</definedName>
    <definedName name="OSRRefP22_13x_0" localSheetId="58">'331'!$P$133:$P$135</definedName>
    <definedName name="OSRRefP22_13x_0" localSheetId="61">'332'!$P$89</definedName>
    <definedName name="OSRRefP22_13x_0" localSheetId="76">'405'!$P$64:$P$65</definedName>
    <definedName name="OSRRefP22_13x_0" localSheetId="77">'406'!$P$70</definedName>
    <definedName name="OSRRefP22_13x_0" localSheetId="78">'411'!$P$64:$P$68</definedName>
    <definedName name="OSRRefP22_13x_0" localSheetId="79">'412'!$P$71</definedName>
    <definedName name="OSRRefP22_13x_0" localSheetId="81">'414'!$P$63:$P$69</definedName>
    <definedName name="OSRRefP22_13x_0" localSheetId="82">'415'!$P$70:$P$71</definedName>
    <definedName name="OSRRefP22_13x_0" localSheetId="83">'418'!$P$68:$P$69</definedName>
    <definedName name="OSRRefP22_13x_0" localSheetId="87">'425'!$P$76</definedName>
    <definedName name="OSRRefP22_13x_0" localSheetId="91">'433'!$P$68:$P$75</definedName>
    <definedName name="OSRRefP22_13x_0" localSheetId="93">'444'!$P$69</definedName>
    <definedName name="OSRRefP22_13x_0" localSheetId="94">'450'!$P$65:$P$67</definedName>
    <definedName name="OSRRefP22_13x_0" localSheetId="75">'491'!$P$75</definedName>
    <definedName name="OSRRefP22_13x_0" localSheetId="89">'492'!$P$69:$P$72</definedName>
    <definedName name="OSRRefP22_13x_0" localSheetId="96">'501'!$P$64</definedName>
    <definedName name="OSRRefP22_13x_0" localSheetId="39">'Div 2'!$P$66:$P$68</definedName>
    <definedName name="OSRRefP22_13x_0" localSheetId="47">'Div 3'!$P$219</definedName>
    <definedName name="OSRRefP22_13x_0" localSheetId="73">'Div 4'!$P$75</definedName>
    <definedName name="OSRRefP22_13x_0" localSheetId="95">'Div 5'!$P$64</definedName>
    <definedName name="OSRRefP22_13x_0" localSheetId="64">'Div 6'!$P$106</definedName>
    <definedName name="OSRRefP22_13x_0" localSheetId="2">Summary!$P$254</definedName>
    <definedName name="OSRRefP22_14x_0" localSheetId="41">'201'!$P$64</definedName>
    <definedName name="OSRRefP22_14x_0" localSheetId="42">'202'!$P$64</definedName>
    <definedName name="OSRRefP22_14x_0" localSheetId="43">'203'!$P$67</definedName>
    <definedName name="OSRRefP22_14x_0" localSheetId="48">'300'!$P$218</definedName>
    <definedName name="OSRRefP22_14x_0" localSheetId="49">'300 &amp; 317'!$P$244</definedName>
    <definedName name="OSRRefP22_14x_0" localSheetId="50">'301'!$P$68</definedName>
    <definedName name="OSRRefP22_14x_0" localSheetId="55">'308'!$P$117</definedName>
    <definedName name="OSRRefP22_14x_0" localSheetId="66">'310'!$P$72:$P$74</definedName>
    <definedName name="OSRRefP22_14x_0" localSheetId="74">'310 &amp; 491'!$P$84</definedName>
    <definedName name="OSRRefP22_14x_0" localSheetId="56">'311'!$P$116</definedName>
    <definedName name="OSRRefP22_14x_0" localSheetId="59">'315'!$P$132:$P$133</definedName>
    <definedName name="OSRRefP22_14x_0" localSheetId="71">'325'!$P$68:$P$72</definedName>
    <definedName name="OSRRefP22_14x_0" localSheetId="60">'326'!$P$108:$P$109</definedName>
    <definedName name="OSRRefP22_14x_0" localSheetId="52">'330'!$P$131</definedName>
    <definedName name="OSRRefP22_14x_0" localSheetId="58">'331'!$P$137:$P$138</definedName>
    <definedName name="OSRRefP22_14x_0" localSheetId="61">'332'!$P$91</definedName>
    <definedName name="OSRRefP22_14x_0" localSheetId="76">'405'!$P$67:$P$73</definedName>
    <definedName name="OSRRefP22_14x_0" localSheetId="77">'406'!$P$72</definedName>
    <definedName name="OSRRefP22_14x_0" localSheetId="78">'411'!$P$70:$P$71</definedName>
    <definedName name="OSRRefP22_14x_0" localSheetId="81">'414'!$P$71</definedName>
    <definedName name="OSRRefP22_14x_0" localSheetId="82">'415'!$P$73:$P$81</definedName>
    <definedName name="OSRRefP22_14x_0" localSheetId="83">'418'!$P$71:$P$78</definedName>
    <definedName name="OSRRefP22_14x_0" localSheetId="87">'425'!$P$78</definedName>
    <definedName name="OSRRefP22_14x_0" localSheetId="91">'433'!$P$77</definedName>
    <definedName name="OSRRefP22_14x_0" localSheetId="93">'444'!$P$71:$P$79</definedName>
    <definedName name="OSRRefP22_14x_0" localSheetId="94">'450'!$P$69:$P$74</definedName>
    <definedName name="OSRRefP22_14x_0" localSheetId="75">'491'!$P$77</definedName>
    <definedName name="OSRRefP22_14x_0" localSheetId="89">'492'!$P$74</definedName>
    <definedName name="OSRRefP22_14x_0" localSheetId="39">'Div 2'!$P$70:$P$71</definedName>
    <definedName name="OSRRefP22_14x_0" localSheetId="47">'Div 3'!$P$221:$P$223</definedName>
    <definedName name="OSRRefP22_14x_0" localSheetId="73">'Div 4'!$P$77</definedName>
    <definedName name="OSRRefP22_14x_0" localSheetId="2">Summary!$P$256:$P$258</definedName>
    <definedName name="OSRRefP22_15x_0" localSheetId="41">'201'!$P$66</definedName>
    <definedName name="OSRRefP22_15x_0" localSheetId="42">'202'!$P$66</definedName>
    <definedName name="OSRRefP22_15x_0" localSheetId="43">'203'!$P$69</definedName>
    <definedName name="OSRRefP22_15x_0" localSheetId="48">'300'!$P$220</definedName>
    <definedName name="OSRRefP22_15x_0" localSheetId="49">'300 &amp; 317'!$P$246</definedName>
    <definedName name="OSRRefP22_15x_0" localSheetId="50">'301'!$P$70:$P$73</definedName>
    <definedName name="OSRRefP22_15x_0" localSheetId="66">'310'!$P$76</definedName>
    <definedName name="OSRRefP22_15x_0" localSheetId="74">'310 &amp; 491'!$P$86</definedName>
    <definedName name="OSRRefP22_15x_0" localSheetId="71">'325'!$P$74</definedName>
    <definedName name="OSRRefP22_15x_0" localSheetId="60">'326'!$P$111:$P$116</definedName>
    <definedName name="OSRRefP22_15x_0" localSheetId="58">'331'!$P$140:$P$142</definedName>
    <definedName name="OSRRefP22_15x_0" localSheetId="76">'405'!$P$75</definedName>
    <definedName name="OSRRefP22_15x_0" localSheetId="78">'411'!$P$73:$P$81</definedName>
    <definedName name="OSRRefP22_15x_0" localSheetId="81">'414'!$P$73</definedName>
    <definedName name="OSRRefP22_15x_0" localSheetId="82">'415'!$P$83</definedName>
    <definedName name="OSRRefP22_15x_0" localSheetId="83">'418'!$P$80</definedName>
    <definedName name="OSRRefP22_15x_0" localSheetId="91">'433'!$P$79</definedName>
    <definedName name="OSRRefP22_15x_0" localSheetId="93">'444'!$P$81</definedName>
    <definedName name="OSRRefP22_15x_0" localSheetId="94">'450'!$P$76</definedName>
    <definedName name="OSRRefP22_15x_0" localSheetId="75">'491'!$P$79</definedName>
    <definedName name="OSRRefP22_15x_0" localSheetId="89">'492'!$P$76:$P$84</definedName>
    <definedName name="OSRRefP22_15x_0" localSheetId="39">'Div 2'!$P$73</definedName>
    <definedName name="OSRRefP22_15x_0" localSheetId="47">'Div 3'!$P$225</definedName>
    <definedName name="OSRRefP22_15x_0" localSheetId="73">'Div 4'!$P$79</definedName>
    <definedName name="OSRRefP22_15x_0" localSheetId="2">Summary!$P$260</definedName>
    <definedName name="OSRRefP22_16x_0" localSheetId="48">'300'!$P$222:$P$225</definedName>
    <definedName name="OSRRefP22_16x_0" localSheetId="49">'300 &amp; 317'!$P$248:$P$251</definedName>
    <definedName name="OSRRefP22_16x_0" localSheetId="50">'301'!$P$75:$P$77</definedName>
    <definedName name="OSRRefP22_16x_0" localSheetId="66">'310'!$P$78:$P$81</definedName>
    <definedName name="OSRRefP22_16x_0" localSheetId="74">'310 &amp; 491'!$P$88:$P$91</definedName>
    <definedName name="OSRRefP22_16x_0" localSheetId="71">'325'!$P$76</definedName>
    <definedName name="OSRRefP22_16x_0" localSheetId="60">'326'!$P$118</definedName>
    <definedName name="OSRRefP22_16x_0" localSheetId="58">'331'!$P$144:$P$145</definedName>
    <definedName name="OSRRefP22_16x_0" localSheetId="76">'405'!$P$77</definedName>
    <definedName name="OSRRefP22_16x_0" localSheetId="78">'411'!$P$83</definedName>
    <definedName name="OSRRefP22_16x_0" localSheetId="82">'415'!$P$85</definedName>
    <definedName name="OSRRefP22_16x_0" localSheetId="83">'418'!$P$82</definedName>
    <definedName name="OSRRefP22_16x_0" localSheetId="91">'433'!$P$81</definedName>
    <definedName name="OSRRefP22_16x_0" localSheetId="93">'444'!$P$83</definedName>
    <definedName name="OSRRefP22_16x_0" localSheetId="94">'450'!$P$78</definedName>
    <definedName name="OSRRefP22_16x_0" localSheetId="75">'491'!$P$81:$P$84</definedName>
    <definedName name="OSRRefP22_16x_0" localSheetId="89">'492'!$P$86</definedName>
    <definedName name="OSRRefP22_16x_0" localSheetId="39">'Div 2'!$P$75:$P$79</definedName>
    <definedName name="OSRRefP22_16x_0" localSheetId="47">'Div 3'!$P$227</definedName>
    <definedName name="OSRRefP22_16x_0" localSheetId="73">'Div 4'!$P$81</definedName>
    <definedName name="OSRRefP22_16x_0" localSheetId="2">Summary!$P$262</definedName>
    <definedName name="OSRRefP22_17x_0" localSheetId="48">'300'!$P$227:$P$229</definedName>
    <definedName name="OSRRefP22_17x_0" localSheetId="49">'300 &amp; 317'!$P$253:$P$255</definedName>
    <definedName name="OSRRefP22_17x_0" localSheetId="50">'301'!$P$79:$P$80</definedName>
    <definedName name="OSRRefP22_17x_0" localSheetId="66">'310'!$P$83</definedName>
    <definedName name="OSRRefP22_17x_0" localSheetId="74">'310 &amp; 491'!$P$93:$P$94</definedName>
    <definedName name="OSRRefP22_17x_0" localSheetId="71">'325'!$P$78</definedName>
    <definedName name="OSRRefP22_17x_0" localSheetId="60">'326'!$P$120</definedName>
    <definedName name="OSRRefP22_17x_0" localSheetId="58">'331'!$P$147:$P$152</definedName>
    <definedName name="OSRRefP22_17x_0" localSheetId="76">'405'!$P$79</definedName>
    <definedName name="OSRRefP22_17x_0" localSheetId="78">'411'!$P$85</definedName>
    <definedName name="OSRRefP22_17x_0" localSheetId="82">'415'!$P$87</definedName>
    <definedName name="OSRRefP22_17x_0" localSheetId="93">'444'!$P$85:$P$86</definedName>
    <definedName name="OSRRefP22_17x_0" localSheetId="94">'450'!$P$80</definedName>
    <definedName name="OSRRefP22_17x_0" localSheetId="75">'491'!$P$86:$P$87</definedName>
    <definedName name="OSRRefP22_17x_0" localSheetId="89">'492'!$P$88</definedName>
    <definedName name="OSRRefP22_17x_0" localSheetId="39">'Div 2'!$P$81:$P$82</definedName>
    <definedName name="OSRRefP22_17x_0" localSheetId="47">'Div 3'!$P$229:$P$232</definedName>
    <definedName name="OSRRefP22_17x_0" localSheetId="73">'Div 4'!$P$83:$P$86</definedName>
    <definedName name="OSRRefP22_17x_0" localSheetId="2">Summary!$P$264</definedName>
    <definedName name="OSRRefP22_18x_0" localSheetId="48">'300'!$P$231:$P$234</definedName>
    <definedName name="OSRRefP22_18x_0" localSheetId="49">'300 &amp; 317'!$P$257:$P$260</definedName>
    <definedName name="OSRRefP22_18x_0" localSheetId="50">'301'!$P$82:$P$88</definedName>
    <definedName name="OSRRefP22_18x_0" localSheetId="66">'310'!$P$85:$P$93</definedName>
    <definedName name="OSRRefP22_18x_0" localSheetId="74">'310 &amp; 491'!$P$96:$P$100</definedName>
    <definedName name="OSRRefP22_18x_0" localSheetId="60">'326'!$P$122</definedName>
    <definedName name="OSRRefP22_18x_0" localSheetId="58">'331'!$P$154</definedName>
    <definedName name="OSRRefP22_18x_0" localSheetId="78">'411'!$P$87:$P$89</definedName>
    <definedName name="OSRRefP22_18x_0" localSheetId="75">'491'!$P$89:$P$93</definedName>
    <definedName name="OSRRefP22_18x_0" localSheetId="89">'492'!$P$90:$P$91</definedName>
    <definedName name="OSRRefP22_18x_0" localSheetId="39">'Div 2'!$P$84</definedName>
    <definedName name="OSRRefP22_18x_0" localSheetId="47">'Div 3'!$P$234:$P$236</definedName>
    <definedName name="OSRRefP22_18x_0" localSheetId="73">'Div 4'!$P$88:$P$89</definedName>
    <definedName name="OSRRefP22_18x_0" localSheetId="2">Summary!$P$266:$P$269</definedName>
    <definedName name="OSRRefP22_19x_0" localSheetId="48">'300'!$P$236:$P$237</definedName>
    <definedName name="OSRRefP22_19x_0" localSheetId="49">'300 &amp; 317'!$P$262:$P$263</definedName>
    <definedName name="OSRRefP22_19x_0" localSheetId="50">'301'!$P$90</definedName>
    <definedName name="OSRRefP22_19x_0" localSheetId="66">'310'!$P$95</definedName>
    <definedName name="OSRRefP22_19x_0" localSheetId="74">'310 &amp; 491'!$P$102:$P$103</definedName>
    <definedName name="OSRRefP22_19x_0" localSheetId="60">'326'!$P$124</definedName>
    <definedName name="OSRRefP22_19x_0" localSheetId="58">'331'!$P$156</definedName>
    <definedName name="OSRRefP22_19x_0" localSheetId="78">'411'!$P$91</definedName>
    <definedName name="OSRRefP22_19x_0" localSheetId="75">'491'!$P$95:$P$96</definedName>
    <definedName name="OSRRefP22_19x_0" localSheetId="39">'Div 2'!$P$86:$P$87</definedName>
    <definedName name="OSRRefP22_19x_0" localSheetId="47">'Div 3'!$P$238:$P$242</definedName>
    <definedName name="OSRRefP22_19x_0" localSheetId="73">'Div 4'!$P$91:$P$95</definedName>
    <definedName name="OSRRefP22_19x_0" localSheetId="2">Summary!$P$271:$P$273</definedName>
    <definedName name="OSRRefP22_1x_0" localSheetId="40">'200'!$P$22</definedName>
    <definedName name="OSRRefP22_1x_0" localSheetId="41">'201'!$P$29:$P$31</definedName>
    <definedName name="OSRRefP22_1x_0" localSheetId="42">'202'!$P$29:$P$33</definedName>
    <definedName name="OSRRefP22_1x_0" localSheetId="43">'203'!$P$31:$P$35</definedName>
    <definedName name="OSRRefP22_1x_0" localSheetId="44">'204'!$P$31:$P$35</definedName>
    <definedName name="OSRRefP22_1x_0" localSheetId="45">'205'!$P$29</definedName>
    <definedName name="OSRRefP22_1x_0" localSheetId="46">'206'!$P$29:$P$32</definedName>
    <definedName name="OSRRefP22_1x_0" localSheetId="48">'300'!$P$179:$P$185</definedName>
    <definedName name="OSRRefP22_1x_0" localSheetId="49">'300 &amp; 317'!$P$205:$P$211</definedName>
    <definedName name="OSRRefP22_1x_0" localSheetId="50">'301'!$P$32:$P$38</definedName>
    <definedName name="OSRRefP22_1x_0" localSheetId="51">'306'!$P$30:$P$35</definedName>
    <definedName name="OSRRefP22_1x_0" localSheetId="53">'307'!$P$87:$P$90</definedName>
    <definedName name="OSRRefP22_1x_0" localSheetId="55">'308'!$P$77:$P$83</definedName>
    <definedName name="OSRRefP22_1x_0" localSheetId="67">'309'!$P$33:$P$37</definedName>
    <definedName name="OSRRefP22_1x_0" localSheetId="66">'310'!$P$40:$P$45</definedName>
    <definedName name="OSRRefP22_1x_0" localSheetId="74">'310 &amp; 491'!$P$48:$P$54</definedName>
    <definedName name="OSRRefP22_1x_0" localSheetId="56">'311'!$P$76:$P$82</definedName>
    <definedName name="OSRRefP22_1x_0" localSheetId="68">'313'!$P$37:$P$42</definedName>
    <definedName name="OSRRefP22_1x_0" localSheetId="54">'314'!$P$66:$P$68</definedName>
    <definedName name="OSRRefP22_1x_0" localSheetId="59">'315'!$P$92:$P$97</definedName>
    <definedName name="OSRRefP22_1x_0" localSheetId="62">'316'!$P$46:$P$49</definedName>
    <definedName name="OSRRefP22_1x_0" localSheetId="65">'317'!$P$71:$P$75</definedName>
    <definedName name="OSRRefP22_1x_0" localSheetId="63">'320'!$P$36:$P$40</definedName>
    <definedName name="OSRRefP22_1x_0" localSheetId="69">'321'!$P$33:$P$37</definedName>
    <definedName name="OSRRefP22_1x_0" localSheetId="70">'322'!$P$33:$P$37</definedName>
    <definedName name="OSRRefP22_1x_0" localSheetId="71">'325'!$P$33:$P$37</definedName>
    <definedName name="OSRRefP22_1x_0" localSheetId="60">'326'!$P$72:$P$77</definedName>
    <definedName name="OSRRefP22_1x_0" localSheetId="72">'327'!$P$24</definedName>
    <definedName name="OSRRefP22_1x_0" localSheetId="52">'330'!$P$95:$P$99</definedName>
    <definedName name="OSRRefP22_1x_0" localSheetId="58">'331'!$P$101:$P$106</definedName>
    <definedName name="OSRRefP22_1x_0" localSheetId="61">'332'!$P$53:$P$57</definedName>
    <definedName name="OSRRefP22_1x_0" localSheetId="76">'405'!$P$33:$P$36</definedName>
    <definedName name="OSRRefP22_1x_0" localSheetId="77">'406'!$P$33:$P$38</definedName>
    <definedName name="OSRRefP22_1x_0" localSheetId="78">'411'!$P$30:$P$35</definedName>
    <definedName name="OSRRefP22_1x_0" localSheetId="79">'412'!$P$33:$P$38</definedName>
    <definedName name="OSRRefP22_1x_0" localSheetId="80">'413'!$P$33:$P$37</definedName>
    <definedName name="OSRRefP22_1x_0" localSheetId="81">'414'!$P$33:$P$38</definedName>
    <definedName name="OSRRefP22_1x_0" localSheetId="82">'415'!$P$33:$P$38</definedName>
    <definedName name="OSRRefP22_1x_0" localSheetId="83">'418'!$P$33:$P$38</definedName>
    <definedName name="OSRRefP22_1x_0" localSheetId="84">'420'!$P$33:$P$36</definedName>
    <definedName name="OSRRefP22_1x_0" localSheetId="85">'423'!$P$30:$P$31</definedName>
    <definedName name="OSRRefP22_1x_0" localSheetId="86">'424'!$P$27:$P$31</definedName>
    <definedName name="OSRRefP22_1x_0" localSheetId="87">'425'!$P$37:$P$42</definedName>
    <definedName name="OSRRefP22_1x_0" localSheetId="90">'430'!$P$29</definedName>
    <definedName name="OSRRefP22_1x_0" localSheetId="91">'433'!$P$35:$P$40</definedName>
    <definedName name="OSRRefP22_1x_0" localSheetId="92">'435'!$P$29:$P$31</definedName>
    <definedName name="OSRRefP22_1x_0" localSheetId="93">'444'!$P$35:$P$40</definedName>
    <definedName name="OSRRefP22_1x_0" localSheetId="94">'450'!$P$35:$P$40</definedName>
    <definedName name="OSRRefP22_1x_0" localSheetId="88">'455'!$P$28:$P$29</definedName>
    <definedName name="OSRRefP22_1x_0" localSheetId="75">'491'!$P$42:$P$48</definedName>
    <definedName name="OSRRefP22_1x_0" localSheetId="89">'492'!$P$37:$P$43</definedName>
    <definedName name="OSRRefP22_1x_0" localSheetId="96">'501'!$P$31:$P$35</definedName>
    <definedName name="OSRRefP22_1x_0" localSheetId="39">'Div 2'!$P$32:$P$38</definedName>
    <definedName name="OSRRefP22_1x_0" localSheetId="47">'Div 3'!$P$184:$P$190</definedName>
    <definedName name="OSRRefP22_1x_0" localSheetId="73">'Div 4'!$P$42:$P$48</definedName>
    <definedName name="OSRRefP22_1x_0" localSheetId="95">'Div 5'!$P$31:$P$35</definedName>
    <definedName name="OSRRefP22_1x_0" localSheetId="64">'Div 6'!$P$71:$P$75</definedName>
    <definedName name="OSRRefP22_1x_0" localSheetId="2">Summary!$P$217:$P$223</definedName>
    <definedName name="OSRRefP22_20x_0" localSheetId="48">'300'!$P$239:$P$246</definedName>
    <definedName name="OSRRefP22_20x_0" localSheetId="49">'300 &amp; 317'!$P$265:$P$272</definedName>
    <definedName name="OSRRefP22_20x_0" localSheetId="50">'301'!$P$92</definedName>
    <definedName name="OSRRefP22_20x_0" localSheetId="66">'310'!$P$97</definedName>
    <definedName name="OSRRefP22_20x_0" localSheetId="74">'310 &amp; 491'!$P$105:$P$114</definedName>
    <definedName name="OSRRefP22_20x_0" localSheetId="58">'331'!$P$158:$P$159</definedName>
    <definedName name="OSRRefP22_20x_0" localSheetId="75">'491'!$P$98:$P$107</definedName>
    <definedName name="OSRRefP22_20x_0" localSheetId="47">'Div 3'!$P$244:$P$245</definedName>
    <definedName name="OSRRefP22_20x_0" localSheetId="73">'Div 4'!$P$97:$P$98</definedName>
    <definedName name="OSRRefP22_20x_0" localSheetId="2">Summary!$P$275:$P$279</definedName>
    <definedName name="OSRRefP22_21x_0" localSheetId="48">'300'!$P$248:$P$249</definedName>
    <definedName name="OSRRefP22_21x_0" localSheetId="49">'300 &amp; 317'!$P$274:$P$275</definedName>
    <definedName name="OSRRefP22_21x_0" localSheetId="50">'301'!$P$94:$P$96</definedName>
    <definedName name="OSRRefP22_21x_0" localSheetId="66">'310'!$P$99</definedName>
    <definedName name="OSRRefP22_21x_0" localSheetId="74">'310 &amp; 491'!$P$116</definedName>
    <definedName name="OSRRefP22_21x_0" localSheetId="58">'331'!$P$161</definedName>
    <definedName name="OSRRefP22_21x_0" localSheetId="75">'491'!$P$109</definedName>
    <definedName name="OSRRefP22_21x_0" localSheetId="47">'Div 3'!$P$247:$P$255</definedName>
    <definedName name="OSRRefP22_21x_0" localSheetId="73">'Div 4'!$P$100:$P$109</definedName>
    <definedName name="OSRRefP22_21x_0" localSheetId="2">Summary!$P$281:$P$282</definedName>
    <definedName name="OSRRefP22_22x_0" localSheetId="48">'300'!$P$251</definedName>
    <definedName name="OSRRefP22_22x_0" localSheetId="49">'300 &amp; 317'!$P$277</definedName>
    <definedName name="OSRRefP22_22x_0" localSheetId="50">'301'!$P$98</definedName>
    <definedName name="OSRRefP22_22x_0" localSheetId="66">'310'!$P$101</definedName>
    <definedName name="OSRRefP22_22x_0" localSheetId="74">'310 &amp; 491'!$P$118</definedName>
    <definedName name="OSRRefP22_22x_0" localSheetId="75">'491'!$P$111</definedName>
    <definedName name="OSRRefP22_22x_0" localSheetId="47">'Div 3'!$P$257:$P$258</definedName>
    <definedName name="OSRRefP22_22x_0" localSheetId="73">'Div 4'!$P$111</definedName>
    <definedName name="OSRRefP22_22x_0" localSheetId="2">Summary!$P$284:$P$293</definedName>
    <definedName name="OSRRefP22_23x_0" localSheetId="48">'300'!$P$253:$P$255</definedName>
    <definedName name="OSRRefP22_23x_0" localSheetId="49">'300 &amp; 317'!$P$279:$P$281</definedName>
    <definedName name="OSRRefP22_23x_0" localSheetId="74">'310 &amp; 491'!$P$120:$P$122</definedName>
    <definedName name="OSRRefP22_23x_0" localSheetId="75">'491'!$P$113:$P$115</definedName>
    <definedName name="OSRRefP22_23x_0" localSheetId="47">'Div 3'!$P$260</definedName>
    <definedName name="OSRRefP22_23x_0" localSheetId="73">'Div 4'!$P$113</definedName>
    <definedName name="OSRRefP22_23x_0" localSheetId="2">Summary!$P$295:$P$296</definedName>
    <definedName name="OSRRefP22_24x_0" localSheetId="48">'300'!$P$257</definedName>
    <definedName name="OSRRefP22_24x_0" localSheetId="49">'300 &amp; 317'!$P$283</definedName>
    <definedName name="OSRRefP22_24x_0" localSheetId="74">'310 &amp; 491'!$P$124</definedName>
    <definedName name="OSRRefP22_24x_0" localSheetId="75">'491'!$P$117</definedName>
    <definedName name="OSRRefP22_24x_0" localSheetId="47">'Div 3'!$P$262:$P$264</definedName>
    <definedName name="OSRRefP22_24x_0" localSheetId="73">'Div 4'!$P$115:$P$117</definedName>
    <definedName name="OSRRefP22_24x_0" localSheetId="2">Summary!$P$298</definedName>
    <definedName name="OSRRefP22_25x_0" localSheetId="47">'Div 3'!$P$266</definedName>
    <definedName name="OSRRefP22_25x_0" localSheetId="73">'Div 4'!$P$119</definedName>
    <definedName name="OSRRefP22_25x_0" localSheetId="2">Summary!$P$300:$P$302</definedName>
    <definedName name="OSRRefP22_26x_0" localSheetId="2">Summary!$P$304</definedName>
    <definedName name="OSRRefP22_2x_0" localSheetId="40">'200'!$P$24</definedName>
    <definedName name="OSRRefP22_2x_0" localSheetId="41">'201'!$P$33</definedName>
    <definedName name="OSRRefP22_2x_0" localSheetId="42">'202'!$P$35</definedName>
    <definedName name="OSRRefP22_2x_0" localSheetId="43">'203'!$P$37</definedName>
    <definedName name="OSRRefP22_2x_0" localSheetId="44">'204'!$P$37</definedName>
    <definedName name="OSRRefP22_2x_0" localSheetId="45">'205'!$P$31</definedName>
    <definedName name="OSRRefP22_2x_0" localSheetId="46">'206'!$P$34</definedName>
    <definedName name="OSRRefP22_2x_0" localSheetId="48">'300'!$P$187</definedName>
    <definedName name="OSRRefP22_2x_0" localSheetId="49">'300 &amp; 317'!$P$213</definedName>
    <definedName name="OSRRefP22_2x_0" localSheetId="50">'301'!$P$40</definedName>
    <definedName name="OSRRefP22_2x_0" localSheetId="51">'306'!$P$37</definedName>
    <definedName name="OSRRefP22_2x_0" localSheetId="53">'307'!$P$92</definedName>
    <definedName name="OSRRefP22_2x_0" localSheetId="55">'308'!$P$85</definedName>
    <definedName name="OSRRefP22_2x_0" localSheetId="67">'309'!$P$39</definedName>
    <definedName name="OSRRefP22_2x_0" localSheetId="66">'310'!$P$47</definedName>
    <definedName name="OSRRefP22_2x_0" localSheetId="74">'310 &amp; 491'!$P$56</definedName>
    <definedName name="OSRRefP22_2x_0" localSheetId="56">'311'!$P$84</definedName>
    <definedName name="OSRRefP22_2x_0" localSheetId="68">'313'!$P$44</definedName>
    <definedName name="OSRRefP22_2x_0" localSheetId="54">'314'!$P$70</definedName>
    <definedName name="OSRRefP22_2x_0" localSheetId="59">'315'!$P$99</definedName>
    <definedName name="OSRRefP22_2x_0" localSheetId="62">'316'!$P$51</definedName>
    <definedName name="OSRRefP22_2x_0" localSheetId="65">'317'!$P$77</definedName>
    <definedName name="OSRRefP22_2x_0" localSheetId="63">'320'!$P$42</definedName>
    <definedName name="OSRRefP22_2x_0" localSheetId="69">'321'!$P$39</definedName>
    <definedName name="OSRRefP22_2x_0" localSheetId="70">'322'!$P$39</definedName>
    <definedName name="OSRRefP22_2x_0" localSheetId="71">'325'!$P$39</definedName>
    <definedName name="OSRRefP22_2x_0" localSheetId="60">'326'!$P$79</definedName>
    <definedName name="OSRRefP22_2x_0" localSheetId="72">'327'!$P$26</definedName>
    <definedName name="OSRRefP22_2x_0" localSheetId="52">'330'!$P$101</definedName>
    <definedName name="OSRRefP22_2x_0" localSheetId="58">'331'!$P$108</definedName>
    <definedName name="OSRRefP22_2x_0" localSheetId="61">'332'!$P$59</definedName>
    <definedName name="OSRRefP22_2x_0" localSheetId="76">'405'!$P$38</definedName>
    <definedName name="OSRRefP22_2x_0" localSheetId="77">'406'!$P$40</definedName>
    <definedName name="OSRRefP22_2x_0" localSheetId="78">'411'!$P$37</definedName>
    <definedName name="OSRRefP22_2x_0" localSheetId="79">'412'!$P$40</definedName>
    <definedName name="OSRRefP22_2x_0" localSheetId="80">'413'!$P$39</definedName>
    <definedName name="OSRRefP22_2x_0" localSheetId="81">'414'!$P$40</definedName>
    <definedName name="OSRRefP22_2x_0" localSheetId="82">'415'!$P$40</definedName>
    <definedName name="OSRRefP22_2x_0" localSheetId="83">'418'!$P$40</definedName>
    <definedName name="OSRRefP22_2x_0" localSheetId="84">'420'!$P$38</definedName>
    <definedName name="OSRRefP22_2x_0" localSheetId="85">'423'!$P$33</definedName>
    <definedName name="OSRRefP22_2x_0" localSheetId="86">'424'!$P$33</definedName>
    <definedName name="OSRRefP22_2x_0" localSheetId="87">'425'!$P$44</definedName>
    <definedName name="OSRRefP22_2x_0" localSheetId="90">'430'!$P$31</definedName>
    <definedName name="OSRRefP22_2x_0" localSheetId="91">'433'!$P$42</definedName>
    <definedName name="OSRRefP22_2x_0" localSheetId="92">'435'!$P$33</definedName>
    <definedName name="OSRRefP22_2x_0" localSheetId="93">'444'!$P$42</definedName>
    <definedName name="OSRRefP22_2x_0" localSheetId="94">'450'!$P$42</definedName>
    <definedName name="OSRRefP22_2x_0" localSheetId="75">'491'!$P$50</definedName>
    <definedName name="OSRRefP22_2x_0" localSheetId="89">'492'!$P$45</definedName>
    <definedName name="OSRRefP22_2x_0" localSheetId="96">'501'!$P$37</definedName>
    <definedName name="OSRRefP22_2x_0" localSheetId="39">'Div 2'!$P$40</definedName>
    <definedName name="OSRRefP22_2x_0" localSheetId="47">'Div 3'!$P$192</definedName>
    <definedName name="OSRRefP22_2x_0" localSheetId="73">'Div 4'!$P$50</definedName>
    <definedName name="OSRRefP22_2x_0" localSheetId="95">'Div 5'!$P$37</definedName>
    <definedName name="OSRRefP22_2x_0" localSheetId="64">'Div 6'!$P$77</definedName>
    <definedName name="OSRRefP22_2x_0" localSheetId="2">Summary!$P$225</definedName>
    <definedName name="OSRRefP22_3x_0" localSheetId="40">'200'!$P$26</definedName>
    <definedName name="OSRRefP22_3x_0" localSheetId="41">'201'!$P$35</definedName>
    <definedName name="OSRRefP22_3x_0" localSheetId="42">'202'!$P$37</definedName>
    <definedName name="OSRRefP22_3x_0" localSheetId="43">'203'!$P$39</definedName>
    <definedName name="OSRRefP22_3x_0" localSheetId="44">'204'!$P$39</definedName>
    <definedName name="OSRRefP22_3x_0" localSheetId="45">'205'!$P$33</definedName>
    <definedName name="OSRRefP22_3x_0" localSheetId="46">'206'!$P$36</definedName>
    <definedName name="OSRRefP22_3x_0" localSheetId="48">'300'!$P$189:$P$190</definedName>
    <definedName name="OSRRefP22_3x_0" localSheetId="49">'300 &amp; 317'!$P$215:$P$216</definedName>
    <definedName name="OSRRefP22_3x_0" localSheetId="50">'301'!$P$42:$P$43</definedName>
    <definedName name="OSRRefP22_3x_0" localSheetId="51">'306'!$P$39</definedName>
    <definedName name="OSRRefP22_3x_0" localSheetId="53">'307'!$P$94</definedName>
    <definedName name="OSRRefP22_3x_0" localSheetId="55">'308'!$P$87:$P$88</definedName>
    <definedName name="OSRRefP22_3x_0" localSheetId="67">'309'!$P$41</definedName>
    <definedName name="OSRRefP22_3x_0" localSheetId="66">'310'!$P$49</definedName>
    <definedName name="OSRRefP22_3x_0" localSheetId="74">'310 &amp; 491'!$P$58</definedName>
    <definedName name="OSRRefP22_3x_0" localSheetId="56">'311'!$P$86:$P$87</definedName>
    <definedName name="OSRRefP22_3x_0" localSheetId="68">'313'!$P$46</definedName>
    <definedName name="OSRRefP22_3x_0" localSheetId="54">'314'!$P$72:$P$73</definedName>
    <definedName name="OSRRefP22_3x_0" localSheetId="59">'315'!$P$101:$P$102</definedName>
    <definedName name="OSRRefP22_3x_0" localSheetId="62">'316'!$P$53</definedName>
    <definedName name="OSRRefP22_3x_0" localSheetId="65">'317'!$P$79</definedName>
    <definedName name="OSRRefP22_3x_0" localSheetId="63">'320'!$P$44</definedName>
    <definedName name="OSRRefP22_3x_0" localSheetId="69">'321'!$P$41</definedName>
    <definedName name="OSRRefP22_3x_0" localSheetId="70">'322'!$P$41</definedName>
    <definedName name="OSRRefP22_3x_0" localSheetId="71">'325'!$P$41</definedName>
    <definedName name="OSRRefP22_3x_0" localSheetId="60">'326'!$P$81</definedName>
    <definedName name="OSRRefP22_3x_0" localSheetId="52">'330'!$P$103</definedName>
    <definedName name="OSRRefP22_3x_0" localSheetId="58">'331'!$P$110</definedName>
    <definedName name="OSRRefP22_3x_0" localSheetId="61">'332'!$P$61</definedName>
    <definedName name="OSRRefP22_3x_0" localSheetId="76">'405'!$P$40</definedName>
    <definedName name="OSRRefP22_3x_0" localSheetId="77">'406'!$P$42</definedName>
    <definedName name="OSRRefP22_3x_0" localSheetId="78">'411'!$P$39</definedName>
    <definedName name="OSRRefP22_3x_0" localSheetId="79">'412'!$P$42</definedName>
    <definedName name="OSRRefP22_3x_0" localSheetId="80">'413'!$P$41</definedName>
    <definedName name="OSRRefP22_3x_0" localSheetId="81">'414'!$P$42</definedName>
    <definedName name="OSRRefP22_3x_0" localSheetId="82">'415'!$P$42</definedName>
    <definedName name="OSRRefP22_3x_0" localSheetId="83">'418'!$P$42</definedName>
    <definedName name="OSRRefP22_3x_0" localSheetId="84">'420'!$P$40</definedName>
    <definedName name="OSRRefP22_3x_0" localSheetId="85">'423'!$P$35</definedName>
    <definedName name="OSRRefP22_3x_0" localSheetId="86">'424'!$P$35</definedName>
    <definedName name="OSRRefP22_3x_0" localSheetId="87">'425'!$P$46</definedName>
    <definedName name="OSRRefP22_3x_0" localSheetId="90">'430'!$P$33</definedName>
    <definedName name="OSRRefP22_3x_0" localSheetId="91">'433'!$P$44</definedName>
    <definedName name="OSRRefP22_3x_0" localSheetId="92">'435'!$P$35</definedName>
    <definedName name="OSRRefP22_3x_0" localSheetId="93">'444'!$P$44</definedName>
    <definedName name="OSRRefP22_3x_0" localSheetId="94">'450'!$P$44</definedName>
    <definedName name="OSRRefP22_3x_0" localSheetId="75">'491'!$P$52</definedName>
    <definedName name="OSRRefP22_3x_0" localSheetId="89">'492'!$P$47</definedName>
    <definedName name="OSRRefP22_3x_0" localSheetId="96">'501'!$P$39</definedName>
    <definedName name="OSRRefP22_3x_0" localSheetId="39">'Div 2'!$P$42</definedName>
    <definedName name="OSRRefP22_3x_0" localSheetId="47">'Div 3'!$P$194:$P$195</definedName>
    <definedName name="OSRRefP22_3x_0" localSheetId="73">'Div 4'!$P$52</definedName>
    <definedName name="OSRRefP22_3x_0" localSheetId="95">'Div 5'!$P$39</definedName>
    <definedName name="OSRRefP22_3x_0" localSheetId="64">'Div 6'!$P$79</definedName>
    <definedName name="OSRRefP22_3x_0" localSheetId="2">Summary!$P$227:$P$228</definedName>
    <definedName name="OSRRefP22_4x_0" localSheetId="40">'200'!$P$28:$P$29</definedName>
    <definedName name="OSRRefP22_4x_0" localSheetId="41">'201'!$P$37</definedName>
    <definedName name="OSRRefP22_4x_0" localSheetId="42">'202'!$P$39</definedName>
    <definedName name="OSRRefP22_4x_0" localSheetId="43">'203'!$P$41</definedName>
    <definedName name="OSRRefP22_4x_0" localSheetId="44">'204'!$P$41</definedName>
    <definedName name="OSRRefP22_4x_0" localSheetId="45">'205'!$P$35:$P$37</definedName>
    <definedName name="OSRRefP22_4x_0" localSheetId="46">'206'!$P$38</definedName>
    <definedName name="OSRRefP22_4x_0" localSheetId="48">'300'!$P$192</definedName>
    <definedName name="OSRRefP22_4x_0" localSheetId="49">'300 &amp; 317'!$P$218</definedName>
    <definedName name="OSRRefP22_4x_0" localSheetId="50">'301'!$P$45</definedName>
    <definedName name="OSRRefP22_4x_0" localSheetId="51">'306'!$P$41</definedName>
    <definedName name="OSRRefP22_4x_0" localSheetId="53">'307'!$P$96:$P$97</definedName>
    <definedName name="OSRRefP22_4x_0" localSheetId="55">'308'!$P$90</definedName>
    <definedName name="OSRRefP22_4x_0" localSheetId="67">'309'!$P$43</definedName>
    <definedName name="OSRRefP22_4x_0" localSheetId="66">'310'!$P$51</definedName>
    <definedName name="OSRRefP22_4x_0" localSheetId="74">'310 &amp; 491'!$P$60</definedName>
    <definedName name="OSRRefP22_4x_0" localSheetId="56">'311'!$P$89</definedName>
    <definedName name="OSRRefP22_4x_0" localSheetId="68">'313'!$P$48</definedName>
    <definedName name="OSRRefP22_4x_0" localSheetId="54">'314'!$P$75</definedName>
    <definedName name="OSRRefP22_4x_0" localSheetId="59">'315'!$P$104</definedName>
    <definedName name="OSRRefP22_4x_0" localSheetId="62">'316'!$P$55</definedName>
    <definedName name="OSRRefP22_4x_0" localSheetId="65">'317'!$P$81</definedName>
    <definedName name="OSRRefP22_4x_0" localSheetId="63">'320'!$P$46:$P$47</definedName>
    <definedName name="OSRRefP22_4x_0" localSheetId="69">'321'!$P$43</definedName>
    <definedName name="OSRRefP22_4x_0" localSheetId="70">'322'!$P$43</definedName>
    <definedName name="OSRRefP22_4x_0" localSheetId="71">'325'!$P$43</definedName>
    <definedName name="OSRRefP22_4x_0" localSheetId="60">'326'!$P$83</definedName>
    <definedName name="OSRRefP22_4x_0" localSheetId="52">'330'!$P$105:$P$106</definedName>
    <definedName name="OSRRefP22_4x_0" localSheetId="58">'331'!$P$112</definedName>
    <definedName name="OSRRefP22_4x_0" localSheetId="61">'332'!$P$63</definedName>
    <definedName name="OSRRefP22_4x_0" localSheetId="76">'405'!$P$42</definedName>
    <definedName name="OSRRefP22_4x_0" localSheetId="77">'406'!$P$44</definedName>
    <definedName name="OSRRefP22_4x_0" localSheetId="78">'411'!$P$41:$P$43</definedName>
    <definedName name="OSRRefP22_4x_0" localSheetId="79">'412'!$P$44</definedName>
    <definedName name="OSRRefP22_4x_0" localSheetId="80">'413'!$P$43</definedName>
    <definedName name="OSRRefP22_4x_0" localSheetId="81">'414'!$P$44</definedName>
    <definedName name="OSRRefP22_4x_0" localSheetId="82">'415'!$P$44</definedName>
    <definedName name="OSRRefP22_4x_0" localSheetId="83">'418'!$P$44</definedName>
    <definedName name="OSRRefP22_4x_0" localSheetId="84">'420'!$P$42</definedName>
    <definedName name="OSRRefP22_4x_0" localSheetId="85">'423'!$P$37</definedName>
    <definedName name="OSRRefP22_4x_0" localSheetId="86">'424'!$P$37</definedName>
    <definedName name="OSRRefP22_4x_0" localSheetId="87">'425'!$P$48</definedName>
    <definedName name="OSRRefP22_4x_0" localSheetId="90">'430'!$P$35:$P$36</definedName>
    <definedName name="OSRRefP22_4x_0" localSheetId="91">'433'!$P$46</definedName>
    <definedName name="OSRRefP22_4x_0" localSheetId="92">'435'!$P$37</definedName>
    <definedName name="OSRRefP22_4x_0" localSheetId="93">'444'!$P$46</definedName>
    <definedName name="OSRRefP22_4x_0" localSheetId="94">'450'!$P$46</definedName>
    <definedName name="OSRRefP22_4x_0" localSheetId="75">'491'!$P$54</definedName>
    <definedName name="OSRRefP22_4x_0" localSheetId="89">'492'!$P$49</definedName>
    <definedName name="OSRRefP22_4x_0" localSheetId="96">'501'!$P$41</definedName>
    <definedName name="OSRRefP22_4x_0" localSheetId="39">'Div 2'!$P$44</definedName>
    <definedName name="OSRRefP22_4x_0" localSheetId="47">'Div 3'!$P$197</definedName>
    <definedName name="OSRRefP22_4x_0" localSheetId="73">'Div 4'!$P$54</definedName>
    <definedName name="OSRRefP22_4x_0" localSheetId="95">'Div 5'!$P$41</definedName>
    <definedName name="OSRRefP22_4x_0" localSheetId="64">'Div 6'!$P$81</definedName>
    <definedName name="OSRRefP22_4x_0" localSheetId="2">Summary!$P$230</definedName>
    <definedName name="OSRRefP22_5x_0" localSheetId="41">'201'!$P$39</definedName>
    <definedName name="OSRRefP22_5x_0" localSheetId="42">'202'!$P$41</definedName>
    <definedName name="OSRRefP22_5x_0" localSheetId="43">'203'!$P$43</definedName>
    <definedName name="OSRRefP22_5x_0" localSheetId="44">'204'!$P$43</definedName>
    <definedName name="OSRRefP22_5x_0" localSheetId="45">'205'!$P$39</definedName>
    <definedName name="OSRRefP22_5x_0" localSheetId="46">'206'!$P$40</definedName>
    <definedName name="OSRRefP22_5x_0" localSheetId="48">'300'!$P$194:$P$196</definedName>
    <definedName name="OSRRefP22_5x_0" localSheetId="49">'300 &amp; 317'!$P$220:$P$222</definedName>
    <definedName name="OSRRefP22_5x_0" localSheetId="50">'301'!$P$47:$P$49</definedName>
    <definedName name="OSRRefP22_5x_0" localSheetId="51">'306'!$P$43</definedName>
    <definedName name="OSRRefP22_5x_0" localSheetId="53">'307'!$P$99</definedName>
    <definedName name="OSRRefP22_5x_0" localSheetId="55">'308'!$P$92</definedName>
    <definedName name="OSRRefP22_5x_0" localSheetId="67">'309'!$P$45</definedName>
    <definedName name="OSRRefP22_5x_0" localSheetId="66">'310'!$P$53:$P$54</definedName>
    <definedName name="OSRRefP22_5x_0" localSheetId="74">'310 &amp; 491'!$P$62:$P$64</definedName>
    <definedName name="OSRRefP22_5x_0" localSheetId="56">'311'!$P$91</definedName>
    <definedName name="OSRRefP22_5x_0" localSheetId="68">'313'!$P$50</definedName>
    <definedName name="OSRRefP22_5x_0" localSheetId="54">'314'!$P$77</definedName>
    <definedName name="OSRRefP22_5x_0" localSheetId="59">'315'!$P$106:$P$107</definedName>
    <definedName name="OSRRefP22_5x_0" localSheetId="62">'316'!$P$57</definedName>
    <definedName name="OSRRefP22_5x_0" localSheetId="65">'317'!$P$83:$P$84</definedName>
    <definedName name="OSRRefP22_5x_0" localSheetId="63">'320'!$P$49</definedName>
    <definedName name="OSRRefP22_5x_0" localSheetId="69">'321'!$P$45</definedName>
    <definedName name="OSRRefP22_5x_0" localSheetId="70">'322'!$P$45</definedName>
    <definedName name="OSRRefP22_5x_0" localSheetId="71">'325'!$P$45:$P$46</definedName>
    <definedName name="OSRRefP22_5x_0" localSheetId="60">'326'!$P$85:$P$86</definedName>
    <definedName name="OSRRefP22_5x_0" localSheetId="52">'330'!$P$108</definedName>
    <definedName name="OSRRefP22_5x_0" localSheetId="58">'331'!$P$114:$P$115</definedName>
    <definedName name="OSRRefP22_5x_0" localSheetId="61">'332'!$P$65</definedName>
    <definedName name="OSRRefP22_5x_0" localSheetId="76">'405'!$P$44:$P$45</definedName>
    <definedName name="OSRRefP22_5x_0" localSheetId="77">'406'!$P$46</definedName>
    <definedName name="OSRRefP22_5x_0" localSheetId="78">'411'!$P$45</definedName>
    <definedName name="OSRRefP22_5x_0" localSheetId="79">'412'!$P$46</definedName>
    <definedName name="OSRRefP22_5x_0" localSheetId="80">'413'!$P$45</definedName>
    <definedName name="OSRRefP22_5x_0" localSheetId="81">'414'!$P$46</definedName>
    <definedName name="OSRRefP22_5x_0" localSheetId="82">'415'!$P$46:$P$47</definedName>
    <definedName name="OSRRefP22_5x_0" localSheetId="83">'418'!$P$46:$P$47</definedName>
    <definedName name="OSRRefP22_5x_0" localSheetId="84">'420'!$P$44</definedName>
    <definedName name="OSRRefP22_5x_0" localSheetId="85">'423'!$P$39</definedName>
    <definedName name="OSRRefP22_5x_0" localSheetId="86">'424'!$P$39</definedName>
    <definedName name="OSRRefP22_5x_0" localSheetId="87">'425'!$P$50</definedName>
    <definedName name="OSRRefP22_5x_0" localSheetId="90">'430'!$P$38</definedName>
    <definedName name="OSRRefP22_5x_0" localSheetId="91">'433'!$P$48</definedName>
    <definedName name="OSRRefP22_5x_0" localSheetId="92">'435'!$P$39</definedName>
    <definedName name="OSRRefP22_5x_0" localSheetId="93">'444'!$P$48</definedName>
    <definedName name="OSRRefP22_5x_0" localSheetId="94">'450'!$P$48</definedName>
    <definedName name="OSRRefP22_5x_0" localSheetId="75">'491'!$P$56:$P$58</definedName>
    <definedName name="OSRRefP22_5x_0" localSheetId="89">'492'!$P$51</definedName>
    <definedName name="OSRRefP22_5x_0" localSheetId="96">'501'!$P$43:$P$44</definedName>
    <definedName name="OSRRefP22_5x_0" localSheetId="39">'Div 2'!$P$46</definedName>
    <definedName name="OSRRefP22_5x_0" localSheetId="47">'Div 3'!$P$199:$P$201</definedName>
    <definedName name="OSRRefP22_5x_0" localSheetId="73">'Div 4'!$P$56:$P$58</definedName>
    <definedName name="OSRRefP22_5x_0" localSheetId="95">'Div 5'!$P$43:$P$44</definedName>
    <definedName name="OSRRefP22_5x_0" localSheetId="64">'Div 6'!$P$83:$P$84</definedName>
    <definedName name="OSRRefP22_5x_0" localSheetId="2">Summary!$P$232:$P$235</definedName>
    <definedName name="OSRRefP22_6x_0" localSheetId="41">'201'!$P$41</definedName>
    <definedName name="OSRRefP22_6x_0" localSheetId="42">'202'!$P$43:$P$44</definedName>
    <definedName name="OSRRefP22_6x_0" localSheetId="43">'203'!$P$45</definedName>
    <definedName name="OSRRefP22_6x_0" localSheetId="44">'204'!$P$45:$P$47</definedName>
    <definedName name="OSRRefP22_6x_0" localSheetId="45">'205'!$P$41:$P$43</definedName>
    <definedName name="OSRRefP22_6x_0" localSheetId="46">'206'!$P$42:$P$43</definedName>
    <definedName name="OSRRefP22_6x_0" localSheetId="48">'300'!$P$198:$P$199</definedName>
    <definedName name="OSRRefP22_6x_0" localSheetId="49">'300 &amp; 317'!$P$224:$P$225</definedName>
    <definedName name="OSRRefP22_6x_0" localSheetId="50">'301'!$P$51:$P$52</definedName>
    <definedName name="OSRRefP22_6x_0" localSheetId="51">'306'!$P$45:$P$46</definedName>
    <definedName name="OSRRefP22_6x_0" localSheetId="53">'307'!$P$101</definedName>
    <definedName name="OSRRefP22_6x_0" localSheetId="55">'308'!$P$94:$P$95</definedName>
    <definedName name="OSRRefP22_6x_0" localSheetId="67">'309'!$P$47</definedName>
    <definedName name="OSRRefP22_6x_0" localSheetId="66">'310'!$P$56</definedName>
    <definedName name="OSRRefP22_6x_0" localSheetId="74">'310 &amp; 491'!$P$66</definedName>
    <definedName name="OSRRefP22_6x_0" localSheetId="56">'311'!$P$93:$P$94</definedName>
    <definedName name="OSRRefP22_6x_0" localSheetId="68">'313'!$P$52</definedName>
    <definedName name="OSRRefP22_6x_0" localSheetId="54">'314'!$P$79:$P$80</definedName>
    <definedName name="OSRRefP22_6x_0" localSheetId="59">'315'!$P$109:$P$110</definedName>
    <definedName name="OSRRefP22_6x_0" localSheetId="62">'316'!$P$59:$P$60</definedName>
    <definedName name="OSRRefP22_6x_0" localSheetId="65">'317'!$P$86</definedName>
    <definedName name="OSRRefP22_6x_0" localSheetId="63">'320'!$P$51</definedName>
    <definedName name="OSRRefP22_6x_0" localSheetId="69">'321'!$P$47</definedName>
    <definedName name="OSRRefP22_6x_0" localSheetId="70">'322'!$P$47</definedName>
    <definedName name="OSRRefP22_6x_0" localSheetId="71">'325'!$P$48</definedName>
    <definedName name="OSRRefP22_6x_0" localSheetId="60">'326'!$P$88</definedName>
    <definedName name="OSRRefP22_6x_0" localSheetId="52">'330'!$P$110</definedName>
    <definedName name="OSRRefP22_6x_0" localSheetId="58">'331'!$P$117</definedName>
    <definedName name="OSRRefP22_6x_0" localSheetId="61">'332'!$P$67:$P$68</definedName>
    <definedName name="OSRRefP22_6x_0" localSheetId="76">'405'!$P$47</definedName>
    <definedName name="OSRRefP22_6x_0" localSheetId="77">'406'!$P$48</definedName>
    <definedName name="OSRRefP22_6x_0" localSheetId="78">'411'!$P$47</definedName>
    <definedName name="OSRRefP22_6x_0" localSheetId="79">'412'!$P$48</definedName>
    <definedName name="OSRRefP22_6x_0" localSheetId="80">'413'!$P$47</definedName>
    <definedName name="OSRRefP22_6x_0" localSheetId="81">'414'!$P$48</definedName>
    <definedName name="OSRRefP22_6x_0" localSheetId="82">'415'!$P$49</definedName>
    <definedName name="OSRRefP22_6x_0" localSheetId="83">'418'!$P$49</definedName>
    <definedName name="OSRRefP22_6x_0" localSheetId="84">'420'!$P$46:$P$47</definedName>
    <definedName name="OSRRefP22_6x_0" localSheetId="85">'423'!$P$41</definedName>
    <definedName name="OSRRefP22_6x_0" localSheetId="86">'424'!$P$41</definedName>
    <definedName name="OSRRefP22_6x_0" localSheetId="87">'425'!$P$52</definedName>
    <definedName name="OSRRefP22_6x_0" localSheetId="90">'430'!$P$40</definedName>
    <definedName name="OSRRefP22_6x_0" localSheetId="91">'433'!$P$50</definedName>
    <definedName name="OSRRefP22_6x_0" localSheetId="92">'435'!$P$41</definedName>
    <definedName name="OSRRefP22_6x_0" localSheetId="93">'444'!$P$50</definedName>
    <definedName name="OSRRefP22_6x_0" localSheetId="94">'450'!$P$50</definedName>
    <definedName name="OSRRefP22_6x_0" localSheetId="75">'491'!$P$60</definedName>
    <definedName name="OSRRefP22_6x_0" localSheetId="89">'492'!$P$53</definedName>
    <definedName name="OSRRefP22_6x_0" localSheetId="96">'501'!$P$46</definedName>
    <definedName name="OSRRefP22_6x_0" localSheetId="39">'Div 2'!$P$48</definedName>
    <definedName name="OSRRefP22_6x_0" localSheetId="47">'Div 3'!$P$203:$P$204</definedName>
    <definedName name="OSRRefP22_6x_0" localSheetId="73">'Div 4'!$P$60</definedName>
    <definedName name="OSRRefP22_6x_0" localSheetId="95">'Div 5'!$P$46</definedName>
    <definedName name="OSRRefP22_6x_0" localSheetId="64">'Div 6'!$P$86</definedName>
    <definedName name="OSRRefP22_6x_0" localSheetId="2">Summary!$P$237:$P$238</definedName>
    <definedName name="OSRRefP22_7x_0" localSheetId="41">'201'!$P$43</definedName>
    <definedName name="OSRRefP22_7x_0" localSheetId="42">'202'!$P$46</definedName>
    <definedName name="OSRRefP22_7x_0" localSheetId="43">'203'!$P$47</definedName>
    <definedName name="OSRRefP22_7x_0" localSheetId="44">'204'!$P$49</definedName>
    <definedName name="OSRRefP22_7x_0" localSheetId="45">'205'!$P$45</definedName>
    <definedName name="OSRRefP22_7x_0" localSheetId="46">'206'!$P$45</definedName>
    <definedName name="OSRRefP22_7x_0" localSheetId="48">'300'!$P$201</definedName>
    <definedName name="OSRRefP22_7x_0" localSheetId="49">'300 &amp; 317'!$P$227</definedName>
    <definedName name="OSRRefP22_7x_0" localSheetId="50">'301'!$P$54</definedName>
    <definedName name="OSRRefP22_7x_0" localSheetId="51">'306'!$P$48:$P$50</definedName>
    <definedName name="OSRRefP22_7x_0" localSheetId="53">'307'!$P$103:$P$104</definedName>
    <definedName name="OSRRefP22_7x_0" localSheetId="55">'308'!$P$97</definedName>
    <definedName name="OSRRefP22_7x_0" localSheetId="67">'309'!$P$49</definedName>
    <definedName name="OSRRefP22_7x_0" localSheetId="66">'310'!$P$58</definedName>
    <definedName name="OSRRefP22_7x_0" localSheetId="74">'310 &amp; 491'!$P$68</definedName>
    <definedName name="OSRRefP22_7x_0" localSheetId="56">'311'!$P$96</definedName>
    <definedName name="OSRRefP22_7x_0" localSheetId="68">'313'!$P$54</definedName>
    <definedName name="OSRRefP22_7x_0" localSheetId="54">'314'!$P$82</definedName>
    <definedName name="OSRRefP22_7x_0" localSheetId="59">'315'!$P$112</definedName>
    <definedName name="OSRRefP22_7x_0" localSheetId="62">'316'!$P$62</definedName>
    <definedName name="OSRRefP22_7x_0" localSheetId="65">'317'!$P$88</definedName>
    <definedName name="OSRRefP22_7x_0" localSheetId="63">'320'!$P$53:$P$54</definedName>
    <definedName name="OSRRefP22_7x_0" localSheetId="69">'321'!$P$49:$P$51</definedName>
    <definedName name="OSRRefP22_7x_0" localSheetId="70">'322'!$P$49</definedName>
    <definedName name="OSRRefP22_7x_0" localSheetId="71">'325'!$P$50</definedName>
    <definedName name="OSRRefP22_7x_0" localSheetId="60">'326'!$P$90</definedName>
    <definedName name="OSRRefP22_7x_0" localSheetId="52">'330'!$P$112</definedName>
    <definedName name="OSRRefP22_7x_0" localSheetId="58">'331'!$P$119:$P$120</definedName>
    <definedName name="OSRRefP22_7x_0" localSheetId="61">'332'!$P$70</definedName>
    <definedName name="OSRRefP22_7x_0" localSheetId="76">'405'!$P$49</definedName>
    <definedName name="OSRRefP22_7x_0" localSheetId="77">'406'!$P$50</definedName>
    <definedName name="OSRRefP22_7x_0" localSheetId="78">'411'!$P$49</definedName>
    <definedName name="OSRRefP22_7x_0" localSheetId="79">'412'!$P$50</definedName>
    <definedName name="OSRRefP22_7x_0" localSheetId="80">'413'!$P$49:$P$51</definedName>
    <definedName name="OSRRefP22_7x_0" localSheetId="81">'414'!$P$50</definedName>
    <definedName name="OSRRefP22_7x_0" localSheetId="82">'415'!$P$51</definedName>
    <definedName name="OSRRefP22_7x_0" localSheetId="83">'418'!$P$51</definedName>
    <definedName name="OSRRefP22_7x_0" localSheetId="84">'420'!$P$49</definedName>
    <definedName name="OSRRefP22_7x_0" localSheetId="86">'424'!$P$43</definedName>
    <definedName name="OSRRefP22_7x_0" localSheetId="87">'425'!$P$54</definedName>
    <definedName name="OSRRefP22_7x_0" localSheetId="90">'430'!$P$42</definedName>
    <definedName name="OSRRefP22_7x_0" localSheetId="91">'433'!$P$52</definedName>
    <definedName name="OSRRefP22_7x_0" localSheetId="92">'435'!$P$43:$P$45</definedName>
    <definedName name="OSRRefP22_7x_0" localSheetId="93">'444'!$P$52</definedName>
    <definedName name="OSRRefP22_7x_0" localSheetId="94">'450'!$P$52</definedName>
    <definedName name="OSRRefP22_7x_0" localSheetId="75">'491'!$P$62</definedName>
    <definedName name="OSRRefP22_7x_0" localSheetId="89">'492'!$P$55</definedName>
    <definedName name="OSRRefP22_7x_0" localSheetId="96">'501'!$P$48</definedName>
    <definedName name="OSRRefP22_7x_0" localSheetId="39">'Div 2'!$P$50</definedName>
    <definedName name="OSRRefP22_7x_0" localSheetId="47">'Div 3'!$P$206</definedName>
    <definedName name="OSRRefP22_7x_0" localSheetId="73">'Div 4'!$P$62</definedName>
    <definedName name="OSRRefP22_7x_0" localSheetId="95">'Div 5'!$P$48</definedName>
    <definedName name="OSRRefP22_7x_0" localSheetId="64">'Div 6'!$P$88</definedName>
    <definedName name="OSRRefP22_7x_0" localSheetId="2">Summary!$P$240</definedName>
    <definedName name="OSRRefP22_8x_0" localSheetId="41">'201'!$P$45</definedName>
    <definedName name="OSRRefP22_8x_0" localSheetId="42">'202'!$P$48</definedName>
    <definedName name="OSRRefP22_8x_0" localSheetId="43">'203'!$P$49</definedName>
    <definedName name="OSRRefP22_8x_0" localSheetId="44">'204'!$P$51:$P$52</definedName>
    <definedName name="OSRRefP22_8x_0" localSheetId="45">'205'!$P$47</definedName>
    <definedName name="OSRRefP22_8x_0" localSheetId="46">'206'!$P$47</definedName>
    <definedName name="OSRRefP22_8x_0" localSheetId="48">'300'!$P$203</definedName>
    <definedName name="OSRRefP22_8x_0" localSheetId="49">'300 &amp; 317'!$P$229</definedName>
    <definedName name="OSRRefP22_8x_0" localSheetId="50">'301'!$P$56</definedName>
    <definedName name="OSRRefP22_8x_0" localSheetId="51">'306'!$P$52</definedName>
    <definedName name="OSRRefP22_8x_0" localSheetId="53">'307'!$P$106:$P$107</definedName>
    <definedName name="OSRRefP22_8x_0" localSheetId="55">'308'!$P$99:$P$100</definedName>
    <definedName name="OSRRefP22_8x_0" localSheetId="67">'309'!$P$51</definedName>
    <definedName name="OSRRefP22_8x_0" localSheetId="66">'310'!$P$60</definedName>
    <definedName name="OSRRefP22_8x_0" localSheetId="74">'310 &amp; 491'!$P$70</definedName>
    <definedName name="OSRRefP22_8x_0" localSheetId="56">'311'!$P$98:$P$99</definedName>
    <definedName name="OSRRefP22_8x_0" localSheetId="68">'313'!$P$56:$P$58</definedName>
    <definedName name="OSRRefP22_8x_0" localSheetId="54">'314'!$P$84</definedName>
    <definedName name="OSRRefP22_8x_0" localSheetId="59">'315'!$P$114</definedName>
    <definedName name="OSRRefP22_8x_0" localSheetId="62">'316'!$P$64:$P$66</definedName>
    <definedName name="OSRRefP22_8x_0" localSheetId="65">'317'!$P$90:$P$91</definedName>
    <definedName name="OSRRefP22_8x_0" localSheetId="63">'320'!$P$56</definedName>
    <definedName name="OSRRefP22_8x_0" localSheetId="69">'321'!$P$53</definedName>
    <definedName name="OSRRefP22_8x_0" localSheetId="70">'322'!$P$51:$P$52</definedName>
    <definedName name="OSRRefP22_8x_0" localSheetId="71">'325'!$P$52</definedName>
    <definedName name="OSRRefP22_8x_0" localSheetId="60">'326'!$P$92</definedName>
    <definedName name="OSRRefP22_8x_0" localSheetId="52">'330'!$P$114:$P$115</definedName>
    <definedName name="OSRRefP22_8x_0" localSheetId="58">'331'!$P$122</definedName>
    <definedName name="OSRRefP22_8x_0" localSheetId="61">'332'!$P$72</definedName>
    <definedName name="OSRRefP22_8x_0" localSheetId="76">'405'!$P$51</definedName>
    <definedName name="OSRRefP22_8x_0" localSheetId="77">'406'!$P$52</definedName>
    <definedName name="OSRRefP22_8x_0" localSheetId="78">'411'!$P$51</definedName>
    <definedName name="OSRRefP22_8x_0" localSheetId="79">'412'!$P$52</definedName>
    <definedName name="OSRRefP22_8x_0" localSheetId="80">'413'!$P$53:$P$55</definedName>
    <definedName name="OSRRefP22_8x_0" localSheetId="81">'414'!$P$52</definedName>
    <definedName name="OSRRefP22_8x_0" localSheetId="82">'415'!$P$53</definedName>
    <definedName name="OSRRefP22_8x_0" localSheetId="83">'418'!$P$53</definedName>
    <definedName name="OSRRefP22_8x_0" localSheetId="86">'424'!$P$45:$P$46</definedName>
    <definedName name="OSRRefP22_8x_0" localSheetId="87">'425'!$P$56</definedName>
    <definedName name="OSRRefP22_8x_0" localSheetId="91">'433'!$P$54</definedName>
    <definedName name="OSRRefP22_8x_0" localSheetId="92">'435'!$P$47</definedName>
    <definedName name="OSRRefP22_8x_0" localSheetId="93">'444'!$P$54</definedName>
    <definedName name="OSRRefP22_8x_0" localSheetId="94">'450'!$P$54</definedName>
    <definedName name="OSRRefP22_8x_0" localSheetId="75">'491'!$P$64</definedName>
    <definedName name="OSRRefP22_8x_0" localSheetId="89">'492'!$P$57</definedName>
    <definedName name="OSRRefP22_8x_0" localSheetId="96">'501'!$P$50</definedName>
    <definedName name="OSRRefP22_8x_0" localSheetId="39">'Div 2'!$P$52</definedName>
    <definedName name="OSRRefP22_8x_0" localSheetId="47">'Div 3'!$P$208</definedName>
    <definedName name="OSRRefP22_8x_0" localSheetId="73">'Div 4'!$P$64</definedName>
    <definedName name="OSRRefP22_8x_0" localSheetId="95">'Div 5'!$P$50</definedName>
    <definedName name="OSRRefP22_8x_0" localSheetId="64">'Div 6'!$P$90:$P$91</definedName>
    <definedName name="OSRRefP22_8x_0" localSheetId="2">Summary!$P$242</definedName>
    <definedName name="OSRRefP22_9x_0" localSheetId="41">'201'!$P$47:$P$49</definedName>
    <definedName name="OSRRefP22_9x_0" localSheetId="42">'202'!$P$50:$P$52</definedName>
    <definedName name="OSRRefP22_9x_0" localSheetId="43">'203'!$P$51:$P$53</definedName>
    <definedName name="OSRRefP22_9x_0" localSheetId="44">'204'!$P$54</definedName>
    <definedName name="OSRRefP22_9x_0" localSheetId="48">'300'!$P$205</definedName>
    <definedName name="OSRRefP22_9x_0" localSheetId="49">'300 &amp; 317'!$P$231</definedName>
    <definedName name="OSRRefP22_9x_0" localSheetId="50">'301'!$P$58</definedName>
    <definedName name="OSRRefP22_9x_0" localSheetId="51">'306'!$P$54</definedName>
    <definedName name="OSRRefP22_9x_0" localSheetId="53">'307'!$P$109:$P$112</definedName>
    <definedName name="OSRRefP22_9x_0" localSheetId="55">'308'!$P$102:$P$103</definedName>
    <definedName name="OSRRefP22_9x_0" localSheetId="67">'309'!$P$53:$P$54</definedName>
    <definedName name="OSRRefP22_9x_0" localSheetId="66">'310'!$P$62</definedName>
    <definedName name="OSRRefP22_9x_0" localSheetId="74">'310 &amp; 491'!$P$72</definedName>
    <definedName name="OSRRefP22_9x_0" localSheetId="56">'311'!$P$101:$P$102</definedName>
    <definedName name="OSRRefP22_9x_0" localSheetId="68">'313'!$P$60</definedName>
    <definedName name="OSRRefP22_9x_0" localSheetId="59">'315'!$P$116:$P$117</definedName>
    <definedName name="OSRRefP22_9x_0" localSheetId="62">'316'!$P$68</definedName>
    <definedName name="OSRRefP22_9x_0" localSheetId="65">'317'!$P$93:$P$94</definedName>
    <definedName name="OSRRefP22_9x_0" localSheetId="69">'321'!$P$55:$P$57</definedName>
    <definedName name="OSRRefP22_9x_0" localSheetId="70">'322'!$P$54:$P$56</definedName>
    <definedName name="OSRRefP22_9x_0" localSheetId="71">'325'!$P$54</definedName>
    <definedName name="OSRRefP22_9x_0" localSheetId="60">'326'!$P$94</definedName>
    <definedName name="OSRRefP22_9x_0" localSheetId="52">'330'!$P$117:$P$118</definedName>
    <definedName name="OSRRefP22_9x_0" localSheetId="58">'331'!$P$124</definedName>
    <definedName name="OSRRefP22_9x_0" localSheetId="61">'332'!$P$74:$P$76</definedName>
    <definedName name="OSRRefP22_9x_0" localSheetId="76">'405'!$P$53</definedName>
    <definedName name="OSRRefP22_9x_0" localSheetId="77">'406'!$P$54:$P$56</definedName>
    <definedName name="OSRRefP22_9x_0" localSheetId="78">'411'!$P$53</definedName>
    <definedName name="OSRRefP22_9x_0" localSheetId="79">'412'!$P$54:$P$56</definedName>
    <definedName name="OSRRefP22_9x_0" localSheetId="80">'413'!$P$57:$P$62</definedName>
    <definedName name="OSRRefP22_9x_0" localSheetId="81">'414'!$P$54:$P$55</definedName>
    <definedName name="OSRRefP22_9x_0" localSheetId="82">'415'!$P$55</definedName>
    <definedName name="OSRRefP22_9x_0" localSheetId="83">'418'!$P$55</definedName>
    <definedName name="OSRRefP22_9x_0" localSheetId="86">'424'!$P$48</definedName>
    <definedName name="OSRRefP22_9x_0" localSheetId="87">'425'!$P$58:$P$60</definedName>
    <definedName name="OSRRefP22_9x_0" localSheetId="91">'433'!$P$56</definedName>
    <definedName name="OSRRefP22_9x_0" localSheetId="93">'444'!$P$56</definedName>
    <definedName name="OSRRefP22_9x_0" localSheetId="94">'450'!$P$56</definedName>
    <definedName name="OSRRefP22_9x_0" localSheetId="75">'491'!$P$66</definedName>
    <definedName name="OSRRefP22_9x_0" localSheetId="89">'492'!$P$59</definedName>
    <definedName name="OSRRefP22_9x_0" localSheetId="96">'501'!$P$52:$P$54</definedName>
    <definedName name="OSRRefP22_9x_0" localSheetId="39">'Div 2'!$P$54:$P$55</definedName>
    <definedName name="OSRRefP22_9x_0" localSheetId="47">'Div 3'!$P$210</definedName>
    <definedName name="OSRRefP22_9x_0" localSheetId="73">'Div 4'!$P$66</definedName>
    <definedName name="OSRRefP22_9x_0" localSheetId="95">'Div 5'!$P$52:$P$54</definedName>
    <definedName name="OSRRefP22_9x_0" localSheetId="64">'Div 6'!$P$93:$P$94</definedName>
    <definedName name="OSRRefP22_9x_0" localSheetId="2">Summary!$P$244</definedName>
    <definedName name="OSRRefP22x_0" localSheetId="40">'200'!$P$20,'200'!$P$22,'200'!$P$24,'200'!$P$26,'200'!$P$28:$P$29</definedName>
    <definedName name="OSRRefP22x_0" localSheetId="41">'201'!$P$20:$P$27,'201'!$P$29:$P$31,'201'!$P$33,'201'!$P$35,'201'!$P$37,'201'!$P$39,'201'!$P$41,'201'!$P$43,'201'!$P$45,'201'!$P$47:$P$49,'201'!$P$51:$P$53,'201'!$P$55,'201'!$P$57:$P$60,'201'!$P$62,'201'!$P$64,'201'!$P$66</definedName>
    <definedName name="OSRRefP22x_0" localSheetId="42">'202'!$P$20:$P$27,'202'!$P$29:$P$33,'202'!$P$35,'202'!$P$37,'202'!$P$39,'202'!$P$41,'202'!$P$43:$P$44,'202'!$P$46,'202'!$P$48,'202'!$P$50:$P$52,'202'!$P$54,'202'!$P$56,'202'!$P$58:$P$60,'202'!$P$62,'202'!$P$64,'202'!$P$66</definedName>
    <definedName name="OSRRefP22x_0" localSheetId="43">'203'!$P$20:$P$29,'203'!$P$31:$P$35,'203'!$P$37,'203'!$P$39,'203'!$P$41,'203'!$P$43,'203'!$P$45,'203'!$P$47,'203'!$P$49,'203'!$P$51:$P$53,'203'!$P$55:$P$56,'203'!$P$58,'203'!$P$60:$P$63,'203'!$P$65,'203'!$P$67,'203'!$P$69</definedName>
    <definedName name="OSRRefP22x_0" localSheetId="44">'204'!$P$20:$P$29,'204'!$P$31:$P$35,'204'!$P$37,'204'!$P$39,'204'!$P$41,'204'!$P$43,'204'!$P$45:$P$47,'204'!$P$49,'204'!$P$51:$P$52,'204'!$P$54,'204'!$P$56:$P$57</definedName>
    <definedName name="OSRRefP22x_0" localSheetId="45">'205'!$P$20:$P$27,'205'!$P$29,'205'!$P$31,'205'!$P$33,'205'!$P$35:$P$37,'205'!$P$39,'205'!$P$41:$P$43,'205'!$P$45,'205'!$P$47</definedName>
    <definedName name="OSRRefP22x_0" localSheetId="46">'206'!$P$20:$P$27,'206'!$P$29:$P$32,'206'!$P$34,'206'!$P$36,'206'!$P$38,'206'!$P$40,'206'!$P$42:$P$43,'206'!$P$45,'206'!$P$47</definedName>
    <definedName name="OSRRefP22x_0" localSheetId="48">'300'!$P$168:$P$177,'300'!$P$179:$P$185,'300'!$P$187,'300'!$P$189:$P$190,'300'!$P$192,'300'!$P$194:$P$196,'300'!$P$198:$P$199,'300'!$P$201,'300'!$P$203,'300'!$P$205,'300'!$P$207:$P$208,'300'!$P$210,'300'!$P$212,'300'!$P$214:$P$216,'300'!$P$218,'300'!$P$220,'300'!$P$222:$P$225,'300'!$P$227:$P$229,'300'!$P$231:$P$234,'300'!$P$236:$P$237,'300'!$P$239:$P$246,'300'!$P$248:$P$249,'300'!$P$251,'300'!$P$253:$P$255,'300'!$P$257</definedName>
    <definedName name="OSRRefP22x_0" localSheetId="49">'300 &amp; 317'!$P$194:$P$203,'300 &amp; 317'!$P$205:$P$211,'300 &amp; 317'!$P$213,'300 &amp; 317'!$P$215:$P$216,'300 &amp; 317'!$P$218,'300 &amp; 317'!$P$220:$P$222,'300 &amp; 317'!$P$224:$P$225,'300 &amp; 317'!$P$227,'300 &amp; 317'!$P$229,'300 &amp; 317'!$P$231,'300 &amp; 317'!$P$233:$P$234,'300 &amp; 317'!$P$236,'300 &amp; 317'!$P$238,'300 &amp; 317'!$P$240:$P$242,'300 &amp; 317'!$P$244,'300 &amp; 317'!$P$246,'300 &amp; 317'!$P$248:$P$251,'300 &amp; 317'!$P$253:$P$255,'300 &amp; 317'!$P$257:$P$260,'300 &amp; 317'!$P$262:$P$263,'300 &amp; 317'!$P$265:$P$272,'300 &amp; 317'!$P$274:$P$275,'300 &amp; 317'!$P$277,'300 &amp; 317'!$P$279:$P$281,'300 &amp; 317'!$P$283</definedName>
    <definedName name="OSRRefP22x_0" localSheetId="50">'301'!$P$21:$P$30,'301'!$P$32:$P$38,'301'!$P$40,'301'!$P$42:$P$43,'301'!$P$45,'301'!$P$47:$P$49,'301'!$P$51:$P$52,'301'!$P$54,'301'!$P$56,'301'!$P$58,'301'!$P$60,'301'!$P$62,'301'!$P$64,'301'!$P$66,'301'!$P$68,'301'!$P$70:$P$73,'301'!$P$75:$P$77,'301'!$P$79:$P$80,'301'!$P$82:$P$88,'301'!$P$90,'301'!$P$92,'301'!$P$94:$P$96,'301'!$P$98</definedName>
    <definedName name="OSRRefP22x_0" localSheetId="51">'306'!$P$20:$P$28,'306'!$P$30:$P$35,'306'!$P$37,'306'!$P$39,'306'!$P$41,'306'!$P$43,'306'!$P$45:$P$46,'306'!$P$48:$P$50,'306'!$P$52,'306'!$P$54</definedName>
    <definedName name="OSRRefP22x_0" localSheetId="53">'307'!$P$78:$P$85,'307'!$P$87:$P$90,'307'!$P$92,'307'!$P$94,'307'!$P$96:$P$97,'307'!$P$99,'307'!$P$101,'307'!$P$103:$P$104,'307'!$P$106:$P$107,'307'!$P$109:$P$112,'307'!$P$114,'307'!$P$116</definedName>
    <definedName name="OSRRefP22x_0" localSheetId="55">'308'!$P$67:$P$75,'308'!$P$77:$P$83,'308'!$P$85,'308'!$P$87:$P$88,'308'!$P$90,'308'!$P$92,'308'!$P$94:$P$95,'308'!$P$97,'308'!$P$99:$P$100,'308'!$P$102:$P$103,'308'!$P$105:$P$106,'308'!$P$108:$P$110,'308'!$P$112:$P$113,'308'!$P$115,'308'!$P$117</definedName>
    <definedName name="OSRRefP22x_0" localSheetId="67">'309'!$P$24:$P$31,'309'!$P$33:$P$37,'309'!$P$39,'309'!$P$41,'309'!$P$43,'309'!$P$45,'309'!$P$47,'309'!$P$49,'309'!$P$51,'309'!$P$53:$P$54,'309'!$P$56:$P$58,'309'!$P$60:$P$62,'309'!$P$64</definedName>
    <definedName name="OSRRefP22x_0" localSheetId="66">'310'!$P$31:$P$38,'310'!$P$40:$P$45,'310'!$P$47,'310'!$P$49,'310'!$P$51,'310'!$P$53:$P$54,'310'!$P$56,'310'!$P$58,'310'!$P$60,'310'!$P$62,'310'!$P$64,'310'!$P$66,'310'!$P$68,'310'!$P$70,'310'!$P$72:$P$74,'310'!$P$76,'310'!$P$78:$P$81,'310'!$P$83,'310'!$P$85:$P$93,'310'!$P$95,'310'!$P$97,'310'!$P$99,'310'!$P$101</definedName>
    <definedName name="OSRRefP22x_0" localSheetId="74">'310 &amp; 491'!$P$38:$P$46,'310 &amp; 491'!$P$48:$P$54,'310 &amp; 491'!$P$56,'310 &amp; 491'!$P$58,'310 &amp; 491'!$P$60,'310 &amp; 491'!$P$62:$P$64,'310 &amp; 491'!$P$66,'310 &amp; 491'!$P$68,'310 &amp; 491'!$P$70,'310 &amp; 491'!$P$72,'310 &amp; 491'!$P$74:$P$75,'310 &amp; 491'!$P$77:$P$78,'310 &amp; 491'!$P$80,'310 &amp; 491'!$P$82,'310 &amp; 491'!$P$84,'310 &amp; 491'!$P$86,'310 &amp; 491'!$P$88:$P$91,'310 &amp; 491'!$P$93:$P$94,'310 &amp; 491'!$P$96:$P$100,'310 &amp; 491'!$P$102:$P$103,'310 &amp; 491'!$P$105:$P$114,'310 &amp; 491'!$P$116,'310 &amp; 491'!$P$118,'310 &amp; 491'!$P$120:$P$122,'310 &amp; 491'!$P$124</definedName>
    <definedName name="OSRRefP22x_0" localSheetId="56">'311'!$P$66:$P$74,'311'!$P$76:$P$82,'311'!$P$84,'311'!$P$86:$P$87,'311'!$P$89,'311'!$P$91,'311'!$P$93:$P$94,'311'!$P$96,'311'!$P$98:$P$99,'311'!$P$101:$P$102,'311'!$P$104:$P$105,'311'!$P$107:$P$109,'311'!$P$111:$P$112,'311'!$P$114,'311'!$P$116</definedName>
    <definedName name="OSRRefP22x_0" localSheetId="68">'313'!$P$28:$P$35,'313'!$P$37:$P$42,'313'!$P$44,'313'!$P$46,'313'!$P$48,'313'!$P$50,'313'!$P$52,'313'!$P$54,'313'!$P$56:$P$58,'313'!$P$60,'313'!$P$62:$P$67,'313'!$P$69,'313'!$P$71</definedName>
    <definedName name="OSRRefP22x_0" localSheetId="54">'314'!$P$56:$P$64,'314'!$P$66:$P$68,'314'!$P$70,'314'!$P$72:$P$73,'314'!$P$75,'314'!$P$77,'314'!$P$79:$P$80,'314'!$P$82,'314'!$P$84</definedName>
    <definedName name="OSRRefP22x_0" localSheetId="59">'315'!$P$83:$P$90,'315'!$P$92:$P$97,'315'!$P$99,'315'!$P$101:$P$102,'315'!$P$104,'315'!$P$106:$P$107,'315'!$P$109:$P$110,'315'!$P$112,'315'!$P$114,'315'!$P$116:$P$117,'315'!$P$119:$P$120,'315'!$P$122:$P$126,'315'!$P$128,'315'!$P$130,'315'!$P$132:$P$133</definedName>
    <definedName name="OSRRefP22x_0" localSheetId="62">'316'!$P$37:$P$44,'316'!$P$46:$P$49,'316'!$P$51,'316'!$P$53,'316'!$P$55,'316'!$P$57,'316'!$P$59:$P$60,'316'!$P$62,'316'!$P$64:$P$66,'316'!$P$68,'316'!$P$70:$P$75,'316'!$P$77,'316'!$P$79,'316'!$P$81</definedName>
    <definedName name="OSRRefP22x_0" localSheetId="65">'317'!$P$61:$P$69,'317'!$P$71:$P$75,'317'!$P$77,'317'!$P$79,'317'!$P$81,'317'!$P$83:$P$84,'317'!$P$86,'317'!$P$88,'317'!$P$90:$P$91,'317'!$P$93:$P$94,'317'!$P$96:$P$100,'317'!$P$102,'317'!$P$104,'317'!$P$106</definedName>
    <definedName name="OSRRefP22x_0" localSheetId="63">'320'!$P$28:$P$34,'320'!$P$36:$P$40,'320'!$P$42,'320'!$P$44,'320'!$P$46:$P$47,'320'!$P$49,'320'!$P$51,'320'!$P$53:$P$54,'320'!$P$56</definedName>
    <definedName name="OSRRefP22x_0" localSheetId="69">'321'!$P$24:$P$31,'321'!$P$33:$P$37,'321'!$P$39,'321'!$P$41,'321'!$P$43,'321'!$P$45,'321'!$P$47,'321'!$P$49:$P$51,'321'!$P$53,'321'!$P$55:$P$57,'321'!$P$59:$P$63,'321'!$P$65,'321'!$P$67</definedName>
    <definedName name="OSRRefP22x_0" localSheetId="70">'322'!$P$24:$P$31,'322'!$P$33:$P$37,'322'!$P$39,'322'!$P$41,'322'!$P$43,'322'!$P$45,'322'!$P$47,'322'!$P$49,'322'!$P$51:$P$52,'322'!$P$54:$P$56,'322'!$P$58:$P$64,'322'!$P$66,'322'!$P$68,'322'!$P$70</definedName>
    <definedName name="OSRRefP22x_0" localSheetId="71">'325'!$P$24:$P$31,'325'!$P$33:$P$37,'325'!$P$39,'325'!$P$41,'325'!$P$43,'325'!$P$45:$P$46,'325'!$P$48,'325'!$P$50,'325'!$P$52,'325'!$P$54,'325'!$P$56,'325'!$P$58:$P$60,'325'!$P$62:$P$64,'325'!$P$66,'325'!$P$68:$P$72,'325'!$P$74,'325'!$P$76,'325'!$P$78</definedName>
    <definedName name="OSRRefP22x_0" localSheetId="60">'326'!$P$63:$P$70,'326'!$P$72:$P$77,'326'!$P$79,'326'!$P$81,'326'!$P$83,'326'!$P$85:$P$86,'326'!$P$88,'326'!$P$90,'326'!$P$92,'326'!$P$94,'326'!$P$96,'326'!$P$98,'326'!$P$100:$P$102,'326'!$P$104:$P$106,'326'!$P$108:$P$109,'326'!$P$111:$P$116,'326'!$P$118,'326'!$P$120,'326'!$P$122,'326'!$P$124</definedName>
    <definedName name="OSRRefP22x_0" localSheetId="72">'327'!$P$22,'327'!$P$24,'327'!$P$26</definedName>
    <definedName name="OSRRefP22x_0" localSheetId="52">'330'!$P$85:$P$93,'330'!$P$95:$P$99,'330'!$P$101,'330'!$P$103,'330'!$P$105:$P$106,'330'!$P$108,'330'!$P$110,'330'!$P$112,'330'!$P$114:$P$115,'330'!$P$117:$P$118,'330'!$P$120,'330'!$P$122:$P$125,'330'!$P$127,'330'!$P$129,'330'!$P$131</definedName>
    <definedName name="OSRRefP22x_0" localSheetId="58">'331'!$P$92:$P$99,'331'!$P$101:$P$106,'331'!$P$108,'331'!$P$110,'331'!$P$112,'331'!$P$114:$P$115,'331'!$P$117,'331'!$P$119:$P$120,'331'!$P$122,'331'!$P$124,'331'!$P$126:$P$127,'331'!$P$129,'331'!$P$131,'331'!$P$133:$P$135,'331'!$P$137:$P$138,'331'!$P$140:$P$142,'331'!$P$144:$P$145,'331'!$P$147:$P$152,'331'!$P$154,'331'!$P$156,'331'!$P$158:$P$159,'331'!$P$161</definedName>
    <definedName name="OSRRefP22x_0" localSheetId="61">'332'!$P$44:$P$51,'332'!$P$53:$P$57,'332'!$P$59,'332'!$P$61,'332'!$P$63,'332'!$P$65,'332'!$P$67:$P$68,'332'!$P$70,'332'!$P$72,'332'!$P$74:$P$76,'332'!$P$78,'332'!$P$80:$P$85,'332'!$P$87,'332'!$P$89,'332'!$P$91</definedName>
    <definedName name="OSRRefP22x_0" localSheetId="76">'405'!$P$24:$P$31,'405'!$P$33:$P$36,'405'!$P$38,'405'!$P$40,'405'!$P$42,'405'!$P$44:$P$45,'405'!$P$47,'405'!$P$49,'405'!$P$51,'405'!$P$53,'405'!$P$55:$P$56,'405'!$P$58,'405'!$P$60:$P$62,'405'!$P$64:$P$65,'405'!$P$67:$P$73,'405'!$P$75,'405'!$P$77,'405'!$P$79</definedName>
    <definedName name="OSRRefP22x_0" localSheetId="77">'406'!$P$24:$P$31,'406'!$P$33:$P$38,'406'!$P$40,'406'!$P$42,'406'!$P$44,'406'!$P$46,'406'!$P$48,'406'!$P$50,'406'!$P$52,'406'!$P$54:$P$56,'406'!$P$58:$P$59,'406'!$P$61:$P$66,'406'!$P$68,'406'!$P$70,'406'!$P$72</definedName>
    <definedName name="OSRRefP22x_0" localSheetId="78">'411'!$P$20:$P$28,'411'!$P$30:$P$35,'411'!$P$37,'411'!$P$39,'411'!$P$41:$P$43,'411'!$P$45,'411'!$P$47,'411'!$P$49,'411'!$P$51,'411'!$P$53,'411'!$P$55,'411'!$P$57,'411'!$P$59:$P$62,'411'!$P$64:$P$68,'411'!$P$70:$P$71,'411'!$P$73:$P$81,'411'!$P$83,'411'!$P$85,'411'!$P$87:$P$89,'411'!$P$91</definedName>
    <definedName name="OSRRefP22x_0" localSheetId="79">'412'!$P$24:$P$31,'412'!$P$33:$P$38,'412'!$P$40,'412'!$P$42,'412'!$P$44,'412'!$P$46,'412'!$P$48,'412'!$P$50,'412'!$P$52,'412'!$P$54:$P$56,'412'!$P$58:$P$60,'412'!$P$62:$P$67,'412'!$P$69,'412'!$P$71</definedName>
    <definedName name="OSRRefP22x_0" localSheetId="80">'413'!$P$24:$P$31,'413'!$P$33:$P$37,'413'!$P$39,'413'!$P$41,'413'!$P$43,'413'!$P$45,'413'!$P$47,'413'!$P$49:$P$51,'413'!$P$53:$P$55,'413'!$P$57:$P$62,'413'!$P$64,'413'!$P$66</definedName>
    <definedName name="OSRRefP22x_0" localSheetId="81">'414'!$P$24:$P$31,'414'!$P$33:$P$38,'414'!$P$40,'414'!$P$42,'414'!$P$44,'414'!$P$46,'414'!$P$48,'414'!$P$50,'414'!$P$52,'414'!$P$54:$P$55,'414'!$P$57,'414'!$P$59,'414'!$P$61,'414'!$P$63:$P$69,'414'!$P$71,'414'!$P$73</definedName>
    <definedName name="OSRRefP22x_0" localSheetId="82">'415'!$P$24:$P$31,'415'!$P$33:$P$38,'415'!$P$40,'415'!$P$42,'415'!$P$44,'415'!$P$46:$P$47,'415'!$P$49,'415'!$P$51,'415'!$P$53,'415'!$P$55,'415'!$P$57,'415'!$P$59:$P$62,'415'!$P$64:$P$68,'415'!$P$70:$P$71,'415'!$P$73:$P$81,'415'!$P$83,'415'!$P$85,'415'!$P$87</definedName>
    <definedName name="OSRRefP22x_0" localSheetId="83">'418'!$P$24:$P$31,'418'!$P$33:$P$38,'418'!$P$40,'418'!$P$42,'418'!$P$44,'418'!$P$46:$P$47,'418'!$P$49,'418'!$P$51,'418'!$P$53,'418'!$P$55,'418'!$P$57:$P$58,'418'!$P$60:$P$62,'418'!$P$64:$P$66,'418'!$P$68:$P$69,'418'!$P$71:$P$78,'418'!$P$80,'418'!$P$82</definedName>
    <definedName name="OSRRefP22x_0" localSheetId="84">'420'!$P$24:$P$31,'420'!$P$33:$P$36,'420'!$P$38,'420'!$P$40,'420'!$P$42,'420'!$P$44,'420'!$P$46:$P$47,'420'!$P$49</definedName>
    <definedName name="OSRRefP22x_0" localSheetId="85">'423'!$P$21:$P$28,'423'!$P$30:$P$31,'423'!$P$33,'423'!$P$35,'423'!$P$37,'423'!$P$39,'423'!$P$41</definedName>
    <definedName name="OSRRefP22x_0" localSheetId="86">'424'!$P$24:$P$25,'424'!$P$27:$P$31,'424'!$P$33,'424'!$P$35,'424'!$P$37,'424'!$P$39,'424'!$P$41,'424'!$P$43,'424'!$P$45:$P$46,'424'!$P$48,'424'!$P$50,'424'!$P$52:$P$56,'424'!$P$58</definedName>
    <definedName name="OSRRefP22x_0" localSheetId="87">'425'!$P$27:$P$35,'425'!$P$37:$P$42,'425'!$P$44,'425'!$P$46,'425'!$P$48,'425'!$P$50,'425'!$P$52,'425'!$P$54,'425'!$P$56,'425'!$P$58:$P$60,'425'!$P$62,'425'!$P$64:$P$66,'425'!$P$68:$P$74,'425'!$P$76,'425'!$P$78</definedName>
    <definedName name="OSRRefP22x_0" localSheetId="90">'430'!$P$20:$P$27,'430'!$P$29,'430'!$P$31,'430'!$P$33,'430'!$P$35:$P$36,'430'!$P$38,'430'!$P$40,'430'!$P$42</definedName>
    <definedName name="OSRRefP22x_0" localSheetId="91">'433'!$P$25:$P$33,'433'!$P$35:$P$40,'433'!$P$42,'433'!$P$44,'433'!$P$46,'433'!$P$48,'433'!$P$50,'433'!$P$52,'433'!$P$54,'433'!$P$56,'433'!$P$58,'433'!$P$60:$P$62,'433'!$P$64:$P$66,'433'!$P$68:$P$75,'433'!$P$77,'433'!$P$79,'433'!$P$81</definedName>
    <definedName name="OSRRefP22x_0" localSheetId="92">'435'!$P$25:$P$27,'435'!$P$29:$P$31,'435'!$P$33,'435'!$P$35,'435'!$P$37,'435'!$P$39,'435'!$P$41,'435'!$P$43:$P$45,'435'!$P$47</definedName>
    <definedName name="OSRRefP22x_0" localSheetId="93">'444'!$P$25:$P$33,'444'!$P$35:$P$40,'444'!$P$42,'444'!$P$44,'444'!$P$46,'444'!$P$48,'444'!$P$50,'444'!$P$52,'444'!$P$54,'444'!$P$56,'444'!$P$58,'444'!$P$60:$P$62,'444'!$P$64:$P$67,'444'!$P$69,'444'!$P$71:$P$79,'444'!$P$81,'444'!$P$83,'444'!$P$85:$P$86</definedName>
    <definedName name="OSRRefP22x_0" localSheetId="94">'450'!$P$25:$P$33,'450'!$P$35:$P$40,'450'!$P$42,'450'!$P$44,'450'!$P$46,'450'!$P$48,'450'!$P$50,'450'!$P$52,'450'!$P$54,'450'!$P$56,'450'!$P$58,'450'!$P$60,'450'!$P$62:$P$63,'450'!$P$65:$P$67,'450'!$P$69:$P$74,'450'!$P$76,'450'!$P$78,'450'!$P$80</definedName>
    <definedName name="OSRRefP22x_0" localSheetId="88">'455'!$P$20:$P$26,'455'!$P$28:$P$29</definedName>
    <definedName name="OSRRefP22x_0" localSheetId="75">'491'!$P$32:$P$40,'491'!$P$42:$P$48,'491'!$P$50,'491'!$P$52,'491'!$P$54,'491'!$P$56:$P$58,'491'!$P$60,'491'!$P$62,'491'!$P$64,'491'!$P$66,'491'!$P$68,'491'!$P$70:$P$71,'491'!$P$73,'491'!$P$75,'491'!$P$77,'491'!$P$79,'491'!$P$81:$P$84,'491'!$P$86:$P$87,'491'!$P$89:$P$93,'491'!$P$95:$P$96,'491'!$P$98:$P$107,'491'!$P$109,'491'!$P$111,'491'!$P$113:$P$115,'491'!$P$117</definedName>
    <definedName name="OSRRefP22x_0" localSheetId="89">'492'!$P$27:$P$35,'492'!$P$37:$P$43,'492'!$P$45,'492'!$P$47,'492'!$P$49,'492'!$P$51,'492'!$P$53,'492'!$P$55,'492'!$P$57,'492'!$P$59,'492'!$P$61,'492'!$P$63,'492'!$P$65:$P$67,'492'!$P$69:$P$72,'492'!$P$74,'492'!$P$76:$P$84,'492'!$P$86,'492'!$P$88,'492'!$P$90:$P$91</definedName>
    <definedName name="OSRRefP22x_0" localSheetId="96">'501'!$P$21:$P$29,'501'!$P$31:$P$35,'501'!$P$37,'501'!$P$39,'501'!$P$41,'501'!$P$43:$P$44,'501'!$P$46,'501'!$P$48,'501'!$P$50,'501'!$P$52:$P$54,'501'!$P$56,'501'!$P$58:$P$60,'501'!$P$62,'501'!$P$64</definedName>
    <definedName name="OSRRefP22x_0" localSheetId="39">'Div 2'!$P$20:$P$30,'Div 2'!$P$32:$P$38,'Div 2'!$P$40,'Div 2'!$P$42,'Div 2'!$P$44,'Div 2'!$P$46,'Div 2'!$P$48,'Div 2'!$P$50,'Div 2'!$P$52,'Div 2'!$P$54:$P$55,'Div 2'!$P$57,'Div 2'!$P$59,'Div 2'!$P$61:$P$64,'Div 2'!$P$66:$P$68,'Div 2'!$P$70:$P$71,'Div 2'!$P$73,'Div 2'!$P$75:$P$79,'Div 2'!$P$81:$P$82,'Div 2'!$P$84,'Div 2'!$P$86:$P$87</definedName>
    <definedName name="OSRRefP22x_0" localSheetId="47">'Div 3'!$P$173:$P$182,'Div 3'!$P$184:$P$190,'Div 3'!$P$192,'Div 3'!$P$194:$P$195,'Div 3'!$P$197,'Div 3'!$P$199:$P$201,'Div 3'!$P$203:$P$204,'Div 3'!$P$206,'Div 3'!$P$208,'Div 3'!$P$210,'Div 3'!$P$212:$P$213,'Div 3'!$P$215,'Div 3'!$P$217,'Div 3'!$P$219,'Div 3'!$P$221:$P$223,'Div 3'!$P$225,'Div 3'!$P$227,'Div 3'!$P$229:$P$232,'Div 3'!$P$234:$P$236,'Div 3'!$P$238:$P$242,'Div 3'!$P$244:$P$245,'Div 3'!$P$247:$P$255,'Div 3'!$P$257:$P$258,'Div 3'!$P$260,'Div 3'!$P$262:$P$264,'Div 3'!$P$266</definedName>
    <definedName name="OSRRefP22x_0" localSheetId="73">'Div 4'!$P$32:$P$40,'Div 4'!$P$42:$P$48,'Div 4'!$P$50,'Div 4'!$P$52,'Div 4'!$P$54,'Div 4'!$P$56:$P$58,'Div 4'!$P$60,'Div 4'!$P$62,'Div 4'!$P$64,'Div 4'!$P$66,'Div 4'!$P$68,'Div 4'!$P$70:$P$71,'Div 4'!$P$73,'Div 4'!$P$75,'Div 4'!$P$77,'Div 4'!$P$79,'Div 4'!$P$81,'Div 4'!$P$83:$P$86,'Div 4'!$P$88:$P$89,'Div 4'!$P$91:$P$95,'Div 4'!$P$97:$P$98,'Div 4'!$P$100:$P$109,'Div 4'!$P$111,'Div 4'!$P$113,'Div 4'!$P$115:$P$117,'Div 4'!$P$119</definedName>
    <definedName name="OSRRefP22x_0" localSheetId="95">'Div 5'!$P$21:$P$29,'Div 5'!$P$31:$P$35,'Div 5'!$P$37,'Div 5'!$P$39,'Div 5'!$P$41,'Div 5'!$P$43:$P$44,'Div 5'!$P$46,'Div 5'!$P$48,'Div 5'!$P$50,'Div 5'!$P$52:$P$54,'Div 5'!$P$56,'Div 5'!$P$58:$P$60,'Div 5'!$P$62,'Div 5'!$P$64</definedName>
    <definedName name="OSRRefP22x_0" localSheetId="64">'Div 6'!$P$61:$P$69,'Div 6'!$P$71:$P$75,'Div 6'!$P$77,'Div 6'!$P$79,'Div 6'!$P$81,'Div 6'!$P$83:$P$84,'Div 6'!$P$86,'Div 6'!$P$88,'Div 6'!$P$90:$P$91,'Div 6'!$P$93:$P$94,'Div 6'!$P$96:$P$100,'Div 6'!$P$102,'Div 6'!$P$104,'Div 6'!$P$106</definedName>
    <definedName name="OSRRefP22x_0" localSheetId="2">Summary!$P$206:$P$215,Summary!$P$217:$P$223,Summary!$P$225,Summary!$P$227:$P$228,Summary!$P$230,Summary!$P$232:$P$235,Summary!$P$237:$P$238,Summary!$P$240,Summary!$P$242,Summary!$P$244,Summary!$P$246:$P$247,Summary!$P$249:$P$250,Summary!$P$252,Summary!$P$254,Summary!$P$256:$P$258,Summary!$P$260,Summary!$P$262,Summary!$P$264,Summary!$P$266:$P$269,Summary!$P$271:$P$273,Summary!$P$275:$P$279,Summary!$P$281:$P$282,Summary!$P$284:$P$293,Summary!$P$295:$P$296,Summary!$P$298,Summary!$P$300:$P$302,Summary!$P$304</definedName>
    <definedName name="OSRRefP25x_0" localSheetId="48">'300'!$P$260:$P$268</definedName>
    <definedName name="OSRRefP25x_0" localSheetId="49">'300 &amp; 317'!$P$286:$P$297</definedName>
    <definedName name="OSRRefP25x_0" localSheetId="50">'301'!$P$101:$P$103</definedName>
    <definedName name="OSRRefP25x_0" localSheetId="53">'307'!$P$119</definedName>
    <definedName name="OSRRefP25x_0" localSheetId="55">'308'!$P$120:$P$122</definedName>
    <definedName name="OSRRefP25x_0" localSheetId="74">'310 &amp; 491'!$P$127:$P$129</definedName>
    <definedName name="OSRRefP25x_0" localSheetId="56">'311'!$P$119:$P$121</definedName>
    <definedName name="OSRRefP25x_0" localSheetId="59">'315'!$P$136:$P$138</definedName>
    <definedName name="OSRRefP25x_0" localSheetId="62">'316'!$P$84</definedName>
    <definedName name="OSRRefP25x_0" localSheetId="65">'317'!$P$109:$P$112</definedName>
    <definedName name="OSRRefP25x_0" localSheetId="63">'320'!$P$59:$P$63</definedName>
    <definedName name="OSRRefP25x_0" localSheetId="52">'330'!$P$134</definedName>
    <definedName name="OSRRefP25x_0" localSheetId="58">'331'!$P$164:$P$166</definedName>
    <definedName name="OSRRefP25x_0" localSheetId="61">'332'!$P$94:$P$99</definedName>
    <definedName name="OSRRefP25x_0" localSheetId="78">'411'!$P$94:$P$95</definedName>
    <definedName name="OSRRefP25x_0" localSheetId="80">'413'!$P$69</definedName>
    <definedName name="OSRRefP25x_0" localSheetId="82">'415'!$P$90</definedName>
    <definedName name="OSRRefP25x_0" localSheetId="83">'418'!$P$85</definedName>
    <definedName name="OSRRefP25x_0" localSheetId="85">'423'!$P$44</definedName>
    <definedName name="OSRRefP25x_0" localSheetId="86">'424'!$P$61</definedName>
    <definedName name="OSRRefP25x_0" localSheetId="87">'425'!$P$81</definedName>
    <definedName name="OSRRefP25x_0" localSheetId="88">'455'!$P$32:$P$34</definedName>
    <definedName name="OSRRefP25x_0" localSheetId="75">'491'!$P$120:$P$122</definedName>
    <definedName name="OSRRefP25x_0" localSheetId="96">'501'!$P$67</definedName>
    <definedName name="OSRRefP25x_0" localSheetId="47">'Div 3'!$P$269:$P$277</definedName>
    <definedName name="OSRRefP25x_0" localSheetId="73">'Div 4'!$P$122:$P$124</definedName>
    <definedName name="OSRRefP25x_0" localSheetId="95">'Div 5'!$P$67</definedName>
    <definedName name="OSRRefP25x_0" localSheetId="64">'Div 6'!$P$109:$P$112</definedName>
    <definedName name="OSRRefP25x_0" localSheetId="2">Summary!$P$307:$P$319</definedName>
    <definedName name="OSRRefT13x_0" localSheetId="48">'300'!$T$13:$T$109</definedName>
    <definedName name="OSRRefT13x_0" localSheetId="49">'300 &amp; 317'!$T$13:$T$127</definedName>
    <definedName name="OSRRefT13x_0" localSheetId="53">'307'!$T$13:$T$49</definedName>
    <definedName name="OSRRefT13x_0" localSheetId="55">'308'!$T$13:$T$42</definedName>
    <definedName name="OSRRefT13x_0" localSheetId="67">'309'!$T$13:$T$14</definedName>
    <definedName name="OSRRefT13x_0" localSheetId="66">'310'!$T$13:$T$21</definedName>
    <definedName name="OSRRefT13x_0" localSheetId="74">'310 &amp; 491'!$T$13:$T$28</definedName>
    <definedName name="OSRRefT13x_0" localSheetId="56">'311'!$T$13:$T$41</definedName>
    <definedName name="OSRRefT13x_0" localSheetId="68">'313'!$T$13:$T$18</definedName>
    <definedName name="OSRRefT13x_0" localSheetId="54">'314'!$T$13:$T$33</definedName>
    <definedName name="OSRRefT13x_0" localSheetId="59">'315'!$T$13:$T$50</definedName>
    <definedName name="OSRRefT13x_0" localSheetId="62">'316'!$T$13:$T$29</definedName>
    <definedName name="OSRRefT13x_0" localSheetId="65">'317'!$T$13:$T$37</definedName>
    <definedName name="OSRRefT13x_0" localSheetId="63">'320'!$T$13:$T$15</definedName>
    <definedName name="OSRRefT13x_0" localSheetId="69">'321'!$T$13:$T$14</definedName>
    <definedName name="OSRRefT13x_0" localSheetId="70">'322'!$T$13:$T$14</definedName>
    <definedName name="OSRRefT13x_0" localSheetId="57">'324'!$T$13:$T$15</definedName>
    <definedName name="OSRRefT13x_0" localSheetId="71">'325'!$T$13:$T$14</definedName>
    <definedName name="OSRRefT13x_0" localSheetId="60">'326'!$T$13:$T$38</definedName>
    <definedName name="OSRRefT13x_0" localSheetId="72">'327'!$T$13</definedName>
    <definedName name="OSRRefT13x_0" localSheetId="52">'330'!$T$13:$T$53</definedName>
    <definedName name="OSRRefT13x_0" localSheetId="58">'331'!$T$13:$T$54</definedName>
    <definedName name="OSRRefT13x_0" localSheetId="61">'332'!$T$13:$T$31</definedName>
    <definedName name="OSRRefT13x_0" localSheetId="76">'405'!$T$13:$T$14</definedName>
    <definedName name="OSRRefT13x_0" localSheetId="77">'406'!$T$13:$T$14</definedName>
    <definedName name="OSRRefT13x_0" localSheetId="79">'412'!$T$13:$T$14</definedName>
    <definedName name="OSRRefT13x_0" localSheetId="80">'413'!$T$13:$T$14</definedName>
    <definedName name="OSRRefT13x_0" localSheetId="81">'414'!$T$13:$T$14</definedName>
    <definedName name="OSRRefT13x_0" localSheetId="82">'415'!$T$13:$T$14</definedName>
    <definedName name="OSRRefT13x_0" localSheetId="83">'418'!$T$13:$T$14</definedName>
    <definedName name="OSRRefT13x_0" localSheetId="84">'420'!$T$13:$T$14</definedName>
    <definedName name="OSRRefT13x_0" localSheetId="86">'424'!$T$13:$T$14</definedName>
    <definedName name="OSRRefT13x_0" localSheetId="87">'425'!$T$13:$T$17</definedName>
    <definedName name="OSRRefT13x_0" localSheetId="91">'433'!$T$13:$T$15</definedName>
    <definedName name="OSRRefT13x_0" localSheetId="92">'435'!$T$13:$T$15</definedName>
    <definedName name="OSRRefT13x_0" localSheetId="93">'444'!$T$13:$T$15</definedName>
    <definedName name="OSRRefT13x_0" localSheetId="94">'450'!$T$13:$T$15</definedName>
    <definedName name="OSRRefT13x_0" localSheetId="75">'491'!$T$13:$T$22</definedName>
    <definedName name="OSRRefT13x_0" localSheetId="89">'492'!$T$13:$T$17</definedName>
    <definedName name="OSRRefT13x_0" localSheetId="96">'501'!$T$13</definedName>
    <definedName name="OSRRefT13x_0" localSheetId="47">'Div 3'!$T$13:$T$112</definedName>
    <definedName name="OSRRefT13x_0" localSheetId="73">'Div 4'!$T$13:$T$22</definedName>
    <definedName name="OSRRefT13x_0" localSheetId="95">'Div 5'!$T$13</definedName>
    <definedName name="OSRRefT13x_0" localSheetId="64">'Div 6'!$T$13:$T$37</definedName>
    <definedName name="OSRRefT13x_0" localSheetId="2">Summary!$T$13:$T$137</definedName>
    <definedName name="OSRRefT16x_0" localSheetId="48">'300'!$T$112:$T$162</definedName>
    <definedName name="OSRRefT16x_0" localSheetId="49">'300 &amp; 317'!$T$130:$T$188</definedName>
    <definedName name="OSRRefT16x_0" localSheetId="50">'301'!$T$15</definedName>
    <definedName name="OSRRefT16x_0" localSheetId="53">'307'!$T$52:$T$72</definedName>
    <definedName name="OSRRefT16x_0" localSheetId="55">'308'!$T$45:$T$61</definedName>
    <definedName name="OSRRefT16x_0" localSheetId="67">'309'!$T$17:$T$18</definedName>
    <definedName name="OSRRefT16x_0" localSheetId="66">'310'!$T$24:$T$25</definedName>
    <definedName name="OSRRefT16x_0" localSheetId="74">'310 &amp; 491'!$T$31:$T$32</definedName>
    <definedName name="OSRRefT16x_0" localSheetId="56">'311'!$T$44:$T$60</definedName>
    <definedName name="OSRRefT16x_0" localSheetId="68">'313'!$T$21:$T$22</definedName>
    <definedName name="OSRRefT16x_0" localSheetId="54">'314'!$T$36:$T$50</definedName>
    <definedName name="OSRRefT16x_0" localSheetId="59">'315'!$T$53:$T$77</definedName>
    <definedName name="OSRRefT16x_0" localSheetId="65">'317'!$T$40:$T$55</definedName>
    <definedName name="OSRRefT16x_0" localSheetId="63">'320'!$T$18:$T$22</definedName>
    <definedName name="OSRRefT16x_0" localSheetId="69">'321'!$T$17:$T$18</definedName>
    <definedName name="OSRRefT16x_0" localSheetId="70">'322'!$T$17:$T$18</definedName>
    <definedName name="OSRRefT16x_0" localSheetId="57">'324'!$T$18:$T$19</definedName>
    <definedName name="OSRRefT16x_0" localSheetId="71">'325'!$T$17:$T$18</definedName>
    <definedName name="OSRRefT16x_0" localSheetId="60">'326'!$T$41:$T$57</definedName>
    <definedName name="OSRRefT16x_0" localSheetId="72">'327'!$T$16</definedName>
    <definedName name="OSRRefT16x_0" localSheetId="52">'330'!$T$56:$T$79</definedName>
    <definedName name="OSRRefT16x_0" localSheetId="58">'331'!$T$57:$T$86</definedName>
    <definedName name="OSRRefT16x_0" localSheetId="61">'332'!$T$34:$T$38</definedName>
    <definedName name="OSRRefT16x_0" localSheetId="76">'405'!$T$17:$T$18</definedName>
    <definedName name="OSRRefT16x_0" localSheetId="77">'406'!$T$17:$T$18</definedName>
    <definedName name="OSRRefT16x_0" localSheetId="79">'412'!$T$17:$T$18</definedName>
    <definedName name="OSRRefT16x_0" localSheetId="80">'413'!$T$17:$T$18</definedName>
    <definedName name="OSRRefT16x_0" localSheetId="81">'414'!$T$17:$T$18</definedName>
    <definedName name="OSRRefT16x_0" localSheetId="82">'415'!$T$17:$T$18</definedName>
    <definedName name="OSRRefT16x_0" localSheetId="83">'418'!$T$17:$T$18</definedName>
    <definedName name="OSRRefT16x_0" localSheetId="84">'420'!$T$17:$T$18</definedName>
    <definedName name="OSRRefT16x_0" localSheetId="85">'423'!$T$15</definedName>
    <definedName name="OSRRefT16x_0" localSheetId="86">'424'!$T$17:$T$18</definedName>
    <definedName name="OSRRefT16x_0" localSheetId="87">'425'!$T$20:$T$21</definedName>
    <definedName name="OSRRefT16x_0" localSheetId="91">'433'!$T$18:$T$19</definedName>
    <definedName name="OSRRefT16x_0" localSheetId="92">'435'!$T$18:$T$19</definedName>
    <definedName name="OSRRefT16x_0" localSheetId="93">'444'!$T$18:$T$19</definedName>
    <definedName name="OSRRefT16x_0" localSheetId="94">'450'!$T$18:$T$19</definedName>
    <definedName name="OSRRefT16x_0" localSheetId="75">'491'!$T$25:$T$26</definedName>
    <definedName name="OSRRefT16x_0" localSheetId="89">'492'!$T$20:$T$21</definedName>
    <definedName name="OSRRefT16x_0" localSheetId="47">'Div 3'!$T$115:$T$167</definedName>
    <definedName name="OSRRefT16x_0" localSheetId="73">'Div 4'!$T$25:$T$26</definedName>
    <definedName name="OSRRefT16x_0" localSheetId="64">'Div 6'!$T$40:$T$55</definedName>
    <definedName name="OSRRefT16x_0" localSheetId="2">Summary!$T$140:$T$200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'203'!$T$20:$T$29</definedName>
    <definedName name="OSRRefT22_0x_0" localSheetId="44">'204'!$T$20:$T$29</definedName>
    <definedName name="OSRRefT22_0x_0" localSheetId="45">'205'!$T$20:$T$27</definedName>
    <definedName name="OSRRefT22_0x_0" localSheetId="46">'206'!$T$20:$T$27</definedName>
    <definedName name="OSRRefT22_0x_0" localSheetId="48">'300'!$T$168:$T$177</definedName>
    <definedName name="OSRRefT22_0x_0" localSheetId="49">'300 &amp; 317'!$T$194:$T$203</definedName>
    <definedName name="OSRRefT22_0x_0" localSheetId="50">'301'!$T$21:$T$30</definedName>
    <definedName name="OSRRefT22_0x_0" localSheetId="51">'306'!$T$20:$T$28</definedName>
    <definedName name="OSRRefT22_0x_0" localSheetId="53">'307'!$T$78:$T$85</definedName>
    <definedName name="OSRRefT22_0x_0" localSheetId="55">'308'!$T$67:$T$75</definedName>
    <definedName name="OSRRefT22_0x_0" localSheetId="67">'309'!$T$24:$T$31</definedName>
    <definedName name="OSRRefT22_0x_0" localSheetId="66">'310'!$T$31:$T$38</definedName>
    <definedName name="OSRRefT22_0x_0" localSheetId="74">'310 &amp; 491'!$T$38:$T$46</definedName>
    <definedName name="OSRRefT22_0x_0" localSheetId="56">'311'!$T$66:$T$74</definedName>
    <definedName name="OSRRefT22_0x_0" localSheetId="68">'313'!$T$28:$T$35</definedName>
    <definedName name="OSRRefT22_0x_0" localSheetId="54">'314'!$T$56:$T$64</definedName>
    <definedName name="OSRRefT22_0x_0" localSheetId="59">'315'!$T$83:$T$90</definedName>
    <definedName name="OSRRefT22_0x_0" localSheetId="62">'316'!$T$37:$T$44</definedName>
    <definedName name="OSRRefT22_0x_0" localSheetId="65">'317'!$T$61:$T$69</definedName>
    <definedName name="OSRRefT22_0x_0" localSheetId="63">'320'!$T$28:$T$34</definedName>
    <definedName name="OSRRefT22_0x_0" localSheetId="69">'321'!$T$24:$T$31</definedName>
    <definedName name="OSRRefT22_0x_0" localSheetId="70">'322'!$T$24:$T$31</definedName>
    <definedName name="OSRRefT22_0x_0" localSheetId="71">'325'!$T$24:$T$31</definedName>
    <definedName name="OSRRefT22_0x_0" localSheetId="60">'326'!$T$63:$T$70</definedName>
    <definedName name="OSRRefT22_0x_0" localSheetId="72">'327'!$T$22</definedName>
    <definedName name="OSRRefT22_0x_0" localSheetId="52">'330'!$T$85:$T$93</definedName>
    <definedName name="OSRRefT22_0x_0" localSheetId="58">'331'!$T$92:$T$99</definedName>
    <definedName name="OSRRefT22_0x_0" localSheetId="61">'332'!$T$44:$T$51</definedName>
    <definedName name="OSRRefT22_0x_0" localSheetId="76">'405'!$T$24:$T$31</definedName>
    <definedName name="OSRRefT22_0x_0" localSheetId="77">'406'!$T$24:$T$31</definedName>
    <definedName name="OSRRefT22_0x_0" localSheetId="78">'411'!$T$20:$T$28</definedName>
    <definedName name="OSRRefT22_0x_0" localSheetId="79">'412'!$T$24:$T$31</definedName>
    <definedName name="OSRRefT22_0x_0" localSheetId="80">'413'!$T$24:$T$31</definedName>
    <definedName name="OSRRefT22_0x_0" localSheetId="81">'414'!$T$24:$T$31</definedName>
    <definedName name="OSRRefT22_0x_0" localSheetId="82">'415'!$T$24:$T$31</definedName>
    <definedName name="OSRRefT22_0x_0" localSheetId="83">'418'!$T$24:$T$31</definedName>
    <definedName name="OSRRefT22_0x_0" localSheetId="84">'420'!$T$24:$T$31</definedName>
    <definedName name="OSRRefT22_0x_0" localSheetId="85">'423'!$T$21:$T$28</definedName>
    <definedName name="OSRRefT22_0x_0" localSheetId="86">'424'!$T$24:$T$25</definedName>
    <definedName name="OSRRefT22_0x_0" localSheetId="87">'425'!$T$27:$T$35</definedName>
    <definedName name="OSRRefT22_0x_0" localSheetId="90">'430'!$T$20:$T$27</definedName>
    <definedName name="OSRRefT22_0x_0" localSheetId="91">'433'!$T$25:$T$33</definedName>
    <definedName name="OSRRefT22_0x_0" localSheetId="92">'435'!$T$25:$T$27</definedName>
    <definedName name="OSRRefT22_0x_0" localSheetId="93">'444'!$T$25:$T$33</definedName>
    <definedName name="OSRRefT22_0x_0" localSheetId="94">'450'!$T$25:$T$33</definedName>
    <definedName name="OSRRefT22_0x_0" localSheetId="88">'455'!$T$20:$T$26</definedName>
    <definedName name="OSRRefT22_0x_0" localSheetId="75">'491'!$T$32:$T$40</definedName>
    <definedName name="OSRRefT22_0x_0" localSheetId="89">'492'!$T$27:$T$35</definedName>
    <definedName name="OSRRefT22_0x_0" localSheetId="96">'501'!$T$21:$T$29</definedName>
    <definedName name="OSRRefT22_0x_0" localSheetId="39">'Div 2'!$T$20:$T$30</definedName>
    <definedName name="OSRRefT22_0x_0" localSheetId="47">'Div 3'!$T$173:$T$182</definedName>
    <definedName name="OSRRefT22_0x_0" localSheetId="73">'Div 4'!$T$32:$T$40</definedName>
    <definedName name="OSRRefT22_0x_0" localSheetId="95">'Div 5'!$T$21:$T$29</definedName>
    <definedName name="OSRRefT22_0x_0" localSheetId="64">'Div 6'!$T$61:$T$69</definedName>
    <definedName name="OSRRefT22_0x_0" localSheetId="2">Summary!$T$206:$T$215</definedName>
    <definedName name="OSRRefT22_10x_0" localSheetId="41">'201'!$T$51:$T$53</definedName>
    <definedName name="OSRRefT22_10x_0" localSheetId="42">'202'!$T$54</definedName>
    <definedName name="OSRRefT22_10x_0" localSheetId="43">'203'!$T$55:$T$56</definedName>
    <definedName name="OSRRefT22_10x_0" localSheetId="44">'204'!$T$56:$T$57</definedName>
    <definedName name="OSRRefT22_10x_0" localSheetId="48">'300'!$T$207:$T$208</definedName>
    <definedName name="OSRRefT22_10x_0" localSheetId="49">'300 &amp; 317'!$T$233:$T$234</definedName>
    <definedName name="OSRRefT22_10x_0" localSheetId="50">'301'!$T$60</definedName>
    <definedName name="OSRRefT22_10x_0" localSheetId="53">'307'!$T$114</definedName>
    <definedName name="OSRRefT22_10x_0" localSheetId="55">'308'!$T$105:$T$106</definedName>
    <definedName name="OSRRefT22_10x_0" localSheetId="67">'309'!$T$56:$T$58</definedName>
    <definedName name="OSRRefT22_10x_0" localSheetId="66">'310'!$T$64</definedName>
    <definedName name="OSRRefT22_10x_0" localSheetId="74">'310 &amp; 491'!$T$74:$T$75</definedName>
    <definedName name="OSRRefT22_10x_0" localSheetId="56">'311'!$T$104:$T$105</definedName>
    <definedName name="OSRRefT22_10x_0" localSheetId="68">'313'!$T$62:$T$67</definedName>
    <definedName name="OSRRefT22_10x_0" localSheetId="59">'315'!$T$119:$T$120</definedName>
    <definedName name="OSRRefT22_10x_0" localSheetId="62">'316'!$T$70:$T$75</definedName>
    <definedName name="OSRRefT22_10x_0" localSheetId="65">'317'!$T$96:$T$100</definedName>
    <definedName name="OSRRefT22_10x_0" localSheetId="69">'321'!$T$59:$T$63</definedName>
    <definedName name="OSRRefT22_10x_0" localSheetId="70">'322'!$T$58:$T$64</definedName>
    <definedName name="OSRRefT22_10x_0" localSheetId="71">'325'!$T$56</definedName>
    <definedName name="OSRRefT22_10x_0" localSheetId="60">'326'!$T$96</definedName>
    <definedName name="OSRRefT22_10x_0" localSheetId="52">'330'!$T$120</definedName>
    <definedName name="OSRRefT22_10x_0" localSheetId="58">'331'!$T$126:$T$127</definedName>
    <definedName name="OSRRefT22_10x_0" localSheetId="61">'332'!$T$78</definedName>
    <definedName name="OSRRefT22_10x_0" localSheetId="76">'405'!$T$55:$T$56</definedName>
    <definedName name="OSRRefT22_10x_0" localSheetId="77">'406'!$T$58:$T$59</definedName>
    <definedName name="OSRRefT22_10x_0" localSheetId="78">'411'!$T$55</definedName>
    <definedName name="OSRRefT22_10x_0" localSheetId="79">'412'!$T$58:$T$60</definedName>
    <definedName name="OSRRefT22_10x_0" localSheetId="80">'413'!$T$64</definedName>
    <definedName name="OSRRefT22_10x_0" localSheetId="81">'414'!$T$57</definedName>
    <definedName name="OSRRefT22_10x_0" localSheetId="82">'415'!$T$57</definedName>
    <definedName name="OSRRefT22_10x_0" localSheetId="83">'418'!$T$57:$T$58</definedName>
    <definedName name="OSRRefT22_10x_0" localSheetId="86">'424'!$T$50</definedName>
    <definedName name="OSRRefT22_10x_0" localSheetId="87">'425'!$T$62</definedName>
    <definedName name="OSRRefT22_10x_0" localSheetId="91">'433'!$T$58</definedName>
    <definedName name="OSRRefT22_10x_0" localSheetId="93">'444'!$T$58</definedName>
    <definedName name="OSRRefT22_10x_0" localSheetId="94">'450'!$T$58</definedName>
    <definedName name="OSRRefT22_10x_0" localSheetId="75">'491'!$T$68</definedName>
    <definedName name="OSRRefT22_10x_0" localSheetId="89">'492'!$T$61</definedName>
    <definedName name="OSRRefT22_10x_0" localSheetId="96">'501'!$T$56</definedName>
    <definedName name="OSRRefT22_10x_0" localSheetId="39">'Div 2'!$T$57</definedName>
    <definedName name="OSRRefT22_10x_0" localSheetId="47">'Div 3'!$T$212:$T$213</definedName>
    <definedName name="OSRRefT22_10x_0" localSheetId="73">'Div 4'!$T$68</definedName>
    <definedName name="OSRRefT22_10x_0" localSheetId="95">'Div 5'!$T$56</definedName>
    <definedName name="OSRRefT22_10x_0" localSheetId="64">'Div 6'!$T$96:$T$100</definedName>
    <definedName name="OSRRefT22_10x_0" localSheetId="2">Summary!$T$246:$T$247</definedName>
    <definedName name="OSRRefT22_11x_0" localSheetId="41">'201'!$T$55</definedName>
    <definedName name="OSRRefT22_11x_0" localSheetId="42">'202'!$T$56</definedName>
    <definedName name="OSRRefT22_11x_0" localSheetId="43">'203'!$T$58</definedName>
    <definedName name="OSRRefT22_11x_0" localSheetId="48">'300'!$T$210</definedName>
    <definedName name="OSRRefT22_11x_0" localSheetId="49">'300 &amp; 317'!$T$236</definedName>
    <definedName name="OSRRefT22_11x_0" localSheetId="50">'301'!$T$62</definedName>
    <definedName name="OSRRefT22_11x_0" localSheetId="53">'307'!$T$116</definedName>
    <definedName name="OSRRefT22_11x_0" localSheetId="55">'308'!$T$108:$T$110</definedName>
    <definedName name="OSRRefT22_11x_0" localSheetId="67">'309'!$T$60:$T$62</definedName>
    <definedName name="OSRRefT22_11x_0" localSheetId="66">'310'!$T$66</definedName>
    <definedName name="OSRRefT22_11x_0" localSheetId="74">'310 &amp; 491'!$T$77:$T$78</definedName>
    <definedName name="OSRRefT22_11x_0" localSheetId="56">'311'!$T$107:$T$109</definedName>
    <definedName name="OSRRefT22_11x_0" localSheetId="68">'313'!$T$69</definedName>
    <definedName name="OSRRefT22_11x_0" localSheetId="59">'315'!$T$122:$T$126</definedName>
    <definedName name="OSRRefT22_11x_0" localSheetId="62">'316'!$T$77</definedName>
    <definedName name="OSRRefT22_11x_0" localSheetId="65">'317'!$T$102</definedName>
    <definedName name="OSRRefT22_11x_0" localSheetId="69">'321'!$T$65</definedName>
    <definedName name="OSRRefT22_11x_0" localSheetId="70">'322'!$T$66</definedName>
    <definedName name="OSRRefT22_11x_0" localSheetId="71">'325'!$T$58:$T$60</definedName>
    <definedName name="OSRRefT22_11x_0" localSheetId="60">'326'!$T$98</definedName>
    <definedName name="OSRRefT22_11x_0" localSheetId="52">'330'!$T$122:$T$125</definedName>
    <definedName name="OSRRefT22_11x_0" localSheetId="58">'331'!$T$129</definedName>
    <definedName name="OSRRefT22_11x_0" localSheetId="61">'332'!$T$80:$T$85</definedName>
    <definedName name="OSRRefT22_11x_0" localSheetId="76">'405'!$T$58</definedName>
    <definedName name="OSRRefT22_11x_0" localSheetId="77">'406'!$T$61:$T$66</definedName>
    <definedName name="OSRRefT22_11x_0" localSheetId="78">'411'!$T$57</definedName>
    <definedName name="OSRRefT22_11x_0" localSheetId="79">'412'!$T$62:$T$67</definedName>
    <definedName name="OSRRefT22_11x_0" localSheetId="80">'413'!$T$66</definedName>
    <definedName name="OSRRefT22_11x_0" localSheetId="81">'414'!$T$59</definedName>
    <definedName name="OSRRefT22_11x_0" localSheetId="82">'415'!$T$59:$T$62</definedName>
    <definedName name="OSRRefT22_11x_0" localSheetId="83">'418'!$T$60:$T$62</definedName>
    <definedName name="OSRRefT22_11x_0" localSheetId="86">'424'!$T$52:$T$56</definedName>
    <definedName name="OSRRefT22_11x_0" localSheetId="87">'425'!$T$64:$T$66</definedName>
    <definedName name="OSRRefT22_11x_0" localSheetId="91">'433'!$T$60:$T$62</definedName>
    <definedName name="OSRRefT22_11x_0" localSheetId="93">'444'!$T$60:$T$62</definedName>
    <definedName name="OSRRefT22_11x_0" localSheetId="94">'450'!$T$60</definedName>
    <definedName name="OSRRefT22_11x_0" localSheetId="75">'491'!$T$70:$T$71</definedName>
    <definedName name="OSRRefT22_11x_0" localSheetId="89">'492'!$T$63</definedName>
    <definedName name="OSRRefT22_11x_0" localSheetId="96">'501'!$T$58:$T$60</definedName>
    <definedName name="OSRRefT22_11x_0" localSheetId="39">'Div 2'!$T$59</definedName>
    <definedName name="OSRRefT22_11x_0" localSheetId="47">'Div 3'!$T$215</definedName>
    <definedName name="OSRRefT22_11x_0" localSheetId="73">'Div 4'!$T$70:$T$71</definedName>
    <definedName name="OSRRefT22_11x_0" localSheetId="95">'Div 5'!$T$58:$T$60</definedName>
    <definedName name="OSRRefT22_11x_0" localSheetId="64">'Div 6'!$T$102</definedName>
    <definedName name="OSRRefT22_11x_0" localSheetId="2">Summary!$T$249:$T$250</definedName>
    <definedName name="OSRRefT22_12x_0" localSheetId="41">'201'!$T$57:$T$60</definedName>
    <definedName name="OSRRefT22_12x_0" localSheetId="42">'202'!$T$58:$T$60</definedName>
    <definedName name="OSRRefT22_12x_0" localSheetId="43">'203'!$T$60:$T$63</definedName>
    <definedName name="OSRRefT22_12x_0" localSheetId="48">'300'!$T$212</definedName>
    <definedName name="OSRRefT22_12x_0" localSheetId="49">'300 &amp; 317'!$T$238</definedName>
    <definedName name="OSRRefT22_12x_0" localSheetId="50">'301'!$T$64</definedName>
    <definedName name="OSRRefT22_12x_0" localSheetId="55">'308'!$T$112:$T$113</definedName>
    <definedName name="OSRRefT22_12x_0" localSheetId="67">'309'!$T$64</definedName>
    <definedName name="OSRRefT22_12x_0" localSheetId="66">'310'!$T$68</definedName>
    <definedName name="OSRRefT22_12x_0" localSheetId="74">'310 &amp; 491'!$T$80</definedName>
    <definedName name="OSRRefT22_12x_0" localSheetId="56">'311'!$T$111:$T$112</definedName>
    <definedName name="OSRRefT22_12x_0" localSheetId="68">'313'!$T$71</definedName>
    <definedName name="OSRRefT22_12x_0" localSheetId="59">'315'!$T$128</definedName>
    <definedName name="OSRRefT22_12x_0" localSheetId="62">'316'!$T$79</definedName>
    <definedName name="OSRRefT22_12x_0" localSheetId="65">'317'!$T$104</definedName>
    <definedName name="OSRRefT22_12x_0" localSheetId="69">'321'!$T$67</definedName>
    <definedName name="OSRRefT22_12x_0" localSheetId="70">'322'!$T$68</definedName>
    <definedName name="OSRRefT22_12x_0" localSheetId="71">'325'!$T$62:$T$64</definedName>
    <definedName name="OSRRefT22_12x_0" localSheetId="60">'326'!$T$100:$T$102</definedName>
    <definedName name="OSRRefT22_12x_0" localSheetId="52">'330'!$T$127</definedName>
    <definedName name="OSRRefT22_12x_0" localSheetId="58">'331'!$T$131</definedName>
    <definedName name="OSRRefT22_12x_0" localSheetId="61">'332'!$T$87</definedName>
    <definedName name="OSRRefT22_12x_0" localSheetId="76">'405'!$T$60:$T$62</definedName>
    <definedName name="OSRRefT22_12x_0" localSheetId="77">'406'!$T$68</definedName>
    <definedName name="OSRRefT22_12x_0" localSheetId="78">'411'!$T$59:$T$62</definedName>
    <definedName name="OSRRefT22_12x_0" localSheetId="79">'412'!$T$69</definedName>
    <definedName name="OSRRefT22_12x_0" localSheetId="81">'414'!$T$61</definedName>
    <definedName name="OSRRefT22_12x_0" localSheetId="82">'415'!$T$64:$T$68</definedName>
    <definedName name="OSRRefT22_12x_0" localSheetId="83">'418'!$T$64:$T$66</definedName>
    <definedName name="OSRRefT22_12x_0" localSheetId="86">'424'!$T$58</definedName>
    <definedName name="OSRRefT22_12x_0" localSheetId="87">'425'!$T$68:$T$74</definedName>
    <definedName name="OSRRefT22_12x_0" localSheetId="91">'433'!$T$64:$T$66</definedName>
    <definedName name="OSRRefT22_12x_0" localSheetId="93">'444'!$T$64:$T$67</definedName>
    <definedName name="OSRRefT22_12x_0" localSheetId="94">'450'!$T$62:$T$63</definedName>
    <definedName name="OSRRefT22_12x_0" localSheetId="75">'491'!$T$73</definedName>
    <definedName name="OSRRefT22_12x_0" localSheetId="89">'492'!$T$65:$T$67</definedName>
    <definedName name="OSRRefT22_12x_0" localSheetId="96">'501'!$T$62</definedName>
    <definedName name="OSRRefT22_12x_0" localSheetId="39">'Div 2'!$T$61:$T$64</definedName>
    <definedName name="OSRRefT22_12x_0" localSheetId="47">'Div 3'!$T$217</definedName>
    <definedName name="OSRRefT22_12x_0" localSheetId="73">'Div 4'!$T$73</definedName>
    <definedName name="OSRRefT22_12x_0" localSheetId="95">'Div 5'!$T$62</definedName>
    <definedName name="OSRRefT22_12x_0" localSheetId="64">'Div 6'!$T$104</definedName>
    <definedName name="OSRRefT22_12x_0" localSheetId="2">Summary!$T$252</definedName>
    <definedName name="OSRRefT22_13x_0" localSheetId="41">'201'!$T$62</definedName>
    <definedName name="OSRRefT22_13x_0" localSheetId="42">'202'!$T$62</definedName>
    <definedName name="OSRRefT22_13x_0" localSheetId="43">'203'!$T$65</definedName>
    <definedName name="OSRRefT22_13x_0" localSheetId="48">'300'!$T$214:$T$216</definedName>
    <definedName name="OSRRefT22_13x_0" localSheetId="49">'300 &amp; 317'!$T$240:$T$242</definedName>
    <definedName name="OSRRefT22_13x_0" localSheetId="50">'301'!$T$66</definedName>
    <definedName name="OSRRefT22_13x_0" localSheetId="55">'308'!$T$115</definedName>
    <definedName name="OSRRefT22_13x_0" localSheetId="66">'310'!$T$70</definedName>
    <definedName name="OSRRefT22_13x_0" localSheetId="74">'310 &amp; 491'!$T$82</definedName>
    <definedName name="OSRRefT22_13x_0" localSheetId="56">'311'!$T$114</definedName>
    <definedName name="OSRRefT22_13x_0" localSheetId="59">'315'!$T$130</definedName>
    <definedName name="OSRRefT22_13x_0" localSheetId="62">'316'!$T$81</definedName>
    <definedName name="OSRRefT22_13x_0" localSheetId="65">'317'!$T$106</definedName>
    <definedName name="OSRRefT22_13x_0" localSheetId="70">'322'!$T$70</definedName>
    <definedName name="OSRRefT22_13x_0" localSheetId="71">'325'!$T$66</definedName>
    <definedName name="OSRRefT22_13x_0" localSheetId="60">'326'!$T$104:$T$106</definedName>
    <definedName name="OSRRefT22_13x_0" localSheetId="52">'330'!$T$129</definedName>
    <definedName name="OSRRefT22_13x_0" localSheetId="58">'331'!$T$133:$T$135</definedName>
    <definedName name="OSRRefT22_13x_0" localSheetId="61">'332'!$T$89</definedName>
    <definedName name="OSRRefT22_13x_0" localSheetId="76">'405'!$T$64:$T$65</definedName>
    <definedName name="OSRRefT22_13x_0" localSheetId="77">'406'!$T$70</definedName>
    <definedName name="OSRRefT22_13x_0" localSheetId="78">'411'!$T$64:$T$68</definedName>
    <definedName name="OSRRefT22_13x_0" localSheetId="79">'412'!$T$71</definedName>
    <definedName name="OSRRefT22_13x_0" localSheetId="81">'414'!$T$63:$T$69</definedName>
    <definedName name="OSRRefT22_13x_0" localSheetId="82">'415'!$T$70:$T$71</definedName>
    <definedName name="OSRRefT22_13x_0" localSheetId="83">'418'!$T$68:$T$69</definedName>
    <definedName name="OSRRefT22_13x_0" localSheetId="87">'425'!$T$76</definedName>
    <definedName name="OSRRefT22_13x_0" localSheetId="91">'433'!$T$68:$T$75</definedName>
    <definedName name="OSRRefT22_13x_0" localSheetId="93">'444'!$T$69</definedName>
    <definedName name="OSRRefT22_13x_0" localSheetId="94">'450'!$T$65:$T$67</definedName>
    <definedName name="OSRRefT22_13x_0" localSheetId="75">'491'!$T$75</definedName>
    <definedName name="OSRRefT22_13x_0" localSheetId="89">'492'!$T$69:$T$72</definedName>
    <definedName name="OSRRefT22_13x_0" localSheetId="96">'501'!$T$64</definedName>
    <definedName name="OSRRefT22_13x_0" localSheetId="39">'Div 2'!$T$66:$T$68</definedName>
    <definedName name="OSRRefT22_13x_0" localSheetId="47">'Div 3'!$T$219</definedName>
    <definedName name="OSRRefT22_13x_0" localSheetId="73">'Div 4'!$T$75</definedName>
    <definedName name="OSRRefT22_13x_0" localSheetId="95">'Div 5'!$T$64</definedName>
    <definedName name="OSRRefT22_13x_0" localSheetId="64">'Div 6'!$T$106</definedName>
    <definedName name="OSRRefT22_13x_0" localSheetId="2">Summary!$T$254</definedName>
    <definedName name="OSRRefT22_14x_0" localSheetId="41">'201'!$T$64</definedName>
    <definedName name="OSRRefT22_14x_0" localSheetId="42">'202'!$T$64</definedName>
    <definedName name="OSRRefT22_14x_0" localSheetId="43">'203'!$T$67</definedName>
    <definedName name="OSRRefT22_14x_0" localSheetId="48">'300'!$T$218</definedName>
    <definedName name="OSRRefT22_14x_0" localSheetId="49">'300 &amp; 317'!$T$244</definedName>
    <definedName name="OSRRefT22_14x_0" localSheetId="50">'301'!$T$68</definedName>
    <definedName name="OSRRefT22_14x_0" localSheetId="55">'308'!$T$117</definedName>
    <definedName name="OSRRefT22_14x_0" localSheetId="66">'310'!$T$72:$T$74</definedName>
    <definedName name="OSRRefT22_14x_0" localSheetId="74">'310 &amp; 491'!$T$84</definedName>
    <definedName name="OSRRefT22_14x_0" localSheetId="56">'311'!$T$116</definedName>
    <definedName name="OSRRefT22_14x_0" localSheetId="59">'315'!$T$132:$T$133</definedName>
    <definedName name="OSRRefT22_14x_0" localSheetId="71">'325'!$T$68:$T$72</definedName>
    <definedName name="OSRRefT22_14x_0" localSheetId="60">'326'!$T$108:$T$109</definedName>
    <definedName name="OSRRefT22_14x_0" localSheetId="52">'330'!$T$131</definedName>
    <definedName name="OSRRefT22_14x_0" localSheetId="58">'331'!$T$137:$T$138</definedName>
    <definedName name="OSRRefT22_14x_0" localSheetId="61">'332'!$T$91</definedName>
    <definedName name="OSRRefT22_14x_0" localSheetId="76">'405'!$T$67:$T$73</definedName>
    <definedName name="OSRRefT22_14x_0" localSheetId="77">'406'!$T$72</definedName>
    <definedName name="OSRRefT22_14x_0" localSheetId="78">'411'!$T$70:$T$71</definedName>
    <definedName name="OSRRefT22_14x_0" localSheetId="81">'414'!$T$71</definedName>
    <definedName name="OSRRefT22_14x_0" localSheetId="82">'415'!$T$73:$T$81</definedName>
    <definedName name="OSRRefT22_14x_0" localSheetId="83">'418'!$T$71:$T$78</definedName>
    <definedName name="OSRRefT22_14x_0" localSheetId="87">'425'!$T$78</definedName>
    <definedName name="OSRRefT22_14x_0" localSheetId="91">'433'!$T$77</definedName>
    <definedName name="OSRRefT22_14x_0" localSheetId="93">'444'!$T$71:$T$79</definedName>
    <definedName name="OSRRefT22_14x_0" localSheetId="94">'450'!$T$69:$T$74</definedName>
    <definedName name="OSRRefT22_14x_0" localSheetId="75">'491'!$T$77</definedName>
    <definedName name="OSRRefT22_14x_0" localSheetId="89">'492'!$T$74</definedName>
    <definedName name="OSRRefT22_14x_0" localSheetId="39">'Div 2'!$T$70:$T$71</definedName>
    <definedName name="OSRRefT22_14x_0" localSheetId="47">'Div 3'!$T$221:$T$223</definedName>
    <definedName name="OSRRefT22_14x_0" localSheetId="73">'Div 4'!$T$77</definedName>
    <definedName name="OSRRefT22_14x_0" localSheetId="2">Summary!$T$256:$T$258</definedName>
    <definedName name="OSRRefT22_15x_0" localSheetId="41">'201'!$T$66</definedName>
    <definedName name="OSRRefT22_15x_0" localSheetId="42">'202'!$T$66</definedName>
    <definedName name="OSRRefT22_15x_0" localSheetId="43">'203'!$T$69</definedName>
    <definedName name="OSRRefT22_15x_0" localSheetId="48">'300'!$T$220</definedName>
    <definedName name="OSRRefT22_15x_0" localSheetId="49">'300 &amp; 317'!$T$246</definedName>
    <definedName name="OSRRefT22_15x_0" localSheetId="50">'301'!$T$70:$T$73</definedName>
    <definedName name="OSRRefT22_15x_0" localSheetId="66">'310'!$T$76</definedName>
    <definedName name="OSRRefT22_15x_0" localSheetId="74">'310 &amp; 491'!$T$86</definedName>
    <definedName name="OSRRefT22_15x_0" localSheetId="71">'325'!$T$74</definedName>
    <definedName name="OSRRefT22_15x_0" localSheetId="60">'326'!$T$111:$T$116</definedName>
    <definedName name="OSRRefT22_15x_0" localSheetId="58">'331'!$T$140:$T$142</definedName>
    <definedName name="OSRRefT22_15x_0" localSheetId="76">'405'!$T$75</definedName>
    <definedName name="OSRRefT22_15x_0" localSheetId="78">'411'!$T$73:$T$81</definedName>
    <definedName name="OSRRefT22_15x_0" localSheetId="81">'414'!$T$73</definedName>
    <definedName name="OSRRefT22_15x_0" localSheetId="82">'415'!$T$83</definedName>
    <definedName name="OSRRefT22_15x_0" localSheetId="83">'418'!$T$80</definedName>
    <definedName name="OSRRefT22_15x_0" localSheetId="91">'433'!$T$79</definedName>
    <definedName name="OSRRefT22_15x_0" localSheetId="93">'444'!$T$81</definedName>
    <definedName name="OSRRefT22_15x_0" localSheetId="94">'450'!$T$76</definedName>
    <definedName name="OSRRefT22_15x_0" localSheetId="75">'491'!$T$79</definedName>
    <definedName name="OSRRefT22_15x_0" localSheetId="89">'492'!$T$76:$T$84</definedName>
    <definedName name="OSRRefT22_15x_0" localSheetId="39">'Div 2'!$T$73</definedName>
    <definedName name="OSRRefT22_15x_0" localSheetId="47">'Div 3'!$T$225</definedName>
    <definedName name="OSRRefT22_15x_0" localSheetId="73">'Div 4'!$T$79</definedName>
    <definedName name="OSRRefT22_15x_0" localSheetId="2">Summary!$T$260</definedName>
    <definedName name="OSRRefT22_16x_0" localSheetId="48">'300'!$T$222:$T$225</definedName>
    <definedName name="OSRRefT22_16x_0" localSheetId="49">'300 &amp; 317'!$T$248:$T$251</definedName>
    <definedName name="OSRRefT22_16x_0" localSheetId="50">'301'!$T$75:$T$77</definedName>
    <definedName name="OSRRefT22_16x_0" localSheetId="66">'310'!$T$78:$T$81</definedName>
    <definedName name="OSRRefT22_16x_0" localSheetId="74">'310 &amp; 491'!$T$88:$T$91</definedName>
    <definedName name="OSRRefT22_16x_0" localSheetId="71">'325'!$T$76</definedName>
    <definedName name="OSRRefT22_16x_0" localSheetId="60">'326'!$T$118</definedName>
    <definedName name="OSRRefT22_16x_0" localSheetId="58">'331'!$T$144:$T$145</definedName>
    <definedName name="OSRRefT22_16x_0" localSheetId="76">'405'!$T$77</definedName>
    <definedName name="OSRRefT22_16x_0" localSheetId="78">'411'!$T$83</definedName>
    <definedName name="OSRRefT22_16x_0" localSheetId="82">'415'!$T$85</definedName>
    <definedName name="OSRRefT22_16x_0" localSheetId="83">'418'!$T$82</definedName>
    <definedName name="OSRRefT22_16x_0" localSheetId="91">'433'!$T$81</definedName>
    <definedName name="OSRRefT22_16x_0" localSheetId="93">'444'!$T$83</definedName>
    <definedName name="OSRRefT22_16x_0" localSheetId="94">'450'!$T$78</definedName>
    <definedName name="OSRRefT22_16x_0" localSheetId="75">'491'!$T$81:$T$84</definedName>
    <definedName name="OSRRefT22_16x_0" localSheetId="89">'492'!$T$86</definedName>
    <definedName name="OSRRefT22_16x_0" localSheetId="39">'Div 2'!$T$75:$T$79</definedName>
    <definedName name="OSRRefT22_16x_0" localSheetId="47">'Div 3'!$T$227</definedName>
    <definedName name="OSRRefT22_16x_0" localSheetId="73">'Div 4'!$T$81</definedName>
    <definedName name="OSRRefT22_16x_0" localSheetId="2">Summary!$T$262</definedName>
    <definedName name="OSRRefT22_17x_0" localSheetId="48">'300'!$T$227:$T$229</definedName>
    <definedName name="OSRRefT22_17x_0" localSheetId="49">'300 &amp; 317'!$T$253:$T$255</definedName>
    <definedName name="OSRRefT22_17x_0" localSheetId="50">'301'!$T$79:$T$80</definedName>
    <definedName name="OSRRefT22_17x_0" localSheetId="66">'310'!$T$83</definedName>
    <definedName name="OSRRefT22_17x_0" localSheetId="74">'310 &amp; 491'!$T$93:$T$94</definedName>
    <definedName name="OSRRefT22_17x_0" localSheetId="71">'325'!$T$78</definedName>
    <definedName name="OSRRefT22_17x_0" localSheetId="60">'326'!$T$120</definedName>
    <definedName name="OSRRefT22_17x_0" localSheetId="58">'331'!$T$147:$T$152</definedName>
    <definedName name="OSRRefT22_17x_0" localSheetId="76">'405'!$T$79</definedName>
    <definedName name="OSRRefT22_17x_0" localSheetId="78">'411'!$T$85</definedName>
    <definedName name="OSRRefT22_17x_0" localSheetId="82">'415'!$T$87</definedName>
    <definedName name="OSRRefT22_17x_0" localSheetId="93">'444'!$T$85:$T$86</definedName>
    <definedName name="OSRRefT22_17x_0" localSheetId="94">'450'!$T$80</definedName>
    <definedName name="OSRRefT22_17x_0" localSheetId="75">'491'!$T$86:$T$87</definedName>
    <definedName name="OSRRefT22_17x_0" localSheetId="89">'492'!$T$88</definedName>
    <definedName name="OSRRefT22_17x_0" localSheetId="39">'Div 2'!$T$81:$T$82</definedName>
    <definedName name="OSRRefT22_17x_0" localSheetId="47">'Div 3'!$T$229:$T$232</definedName>
    <definedName name="OSRRefT22_17x_0" localSheetId="73">'Div 4'!$T$83:$T$86</definedName>
    <definedName name="OSRRefT22_17x_0" localSheetId="2">Summary!$T$264</definedName>
    <definedName name="OSRRefT22_18x_0" localSheetId="48">'300'!$T$231:$T$234</definedName>
    <definedName name="OSRRefT22_18x_0" localSheetId="49">'300 &amp; 317'!$T$257:$T$260</definedName>
    <definedName name="OSRRefT22_18x_0" localSheetId="50">'301'!$T$82:$T$88</definedName>
    <definedName name="OSRRefT22_18x_0" localSheetId="66">'310'!$T$85:$T$93</definedName>
    <definedName name="OSRRefT22_18x_0" localSheetId="74">'310 &amp; 491'!$T$96:$T$100</definedName>
    <definedName name="OSRRefT22_18x_0" localSheetId="60">'326'!$T$122</definedName>
    <definedName name="OSRRefT22_18x_0" localSheetId="58">'331'!$T$154</definedName>
    <definedName name="OSRRefT22_18x_0" localSheetId="78">'411'!$T$87:$T$89</definedName>
    <definedName name="OSRRefT22_18x_0" localSheetId="75">'491'!$T$89:$T$93</definedName>
    <definedName name="OSRRefT22_18x_0" localSheetId="89">'492'!$T$90:$T$91</definedName>
    <definedName name="OSRRefT22_18x_0" localSheetId="39">'Div 2'!$T$84</definedName>
    <definedName name="OSRRefT22_18x_0" localSheetId="47">'Div 3'!$T$234:$T$236</definedName>
    <definedName name="OSRRefT22_18x_0" localSheetId="73">'Div 4'!$T$88:$T$89</definedName>
    <definedName name="OSRRefT22_18x_0" localSheetId="2">Summary!$T$266:$T$269</definedName>
    <definedName name="OSRRefT22_19x_0" localSheetId="48">'300'!$T$236:$T$237</definedName>
    <definedName name="OSRRefT22_19x_0" localSheetId="49">'300 &amp; 317'!$T$262:$T$263</definedName>
    <definedName name="OSRRefT22_19x_0" localSheetId="50">'301'!$T$90</definedName>
    <definedName name="OSRRefT22_19x_0" localSheetId="66">'310'!$T$95</definedName>
    <definedName name="OSRRefT22_19x_0" localSheetId="74">'310 &amp; 491'!$T$102:$T$103</definedName>
    <definedName name="OSRRefT22_19x_0" localSheetId="60">'326'!$T$124</definedName>
    <definedName name="OSRRefT22_19x_0" localSheetId="58">'331'!$T$156</definedName>
    <definedName name="OSRRefT22_19x_0" localSheetId="78">'411'!$T$91</definedName>
    <definedName name="OSRRefT22_19x_0" localSheetId="75">'491'!$T$95:$T$96</definedName>
    <definedName name="OSRRefT22_19x_0" localSheetId="39">'Div 2'!$T$86:$T$87</definedName>
    <definedName name="OSRRefT22_19x_0" localSheetId="47">'Div 3'!$T$238:$T$242</definedName>
    <definedName name="OSRRefT22_19x_0" localSheetId="73">'Div 4'!$T$91:$T$95</definedName>
    <definedName name="OSRRefT22_19x_0" localSheetId="2">Summary!$T$271:$T$273</definedName>
    <definedName name="OSRRefT22_1x_0" localSheetId="40">'200'!$T$22</definedName>
    <definedName name="OSRRefT22_1x_0" localSheetId="41">'201'!$T$29:$T$31</definedName>
    <definedName name="OSRRefT22_1x_0" localSheetId="42">'202'!$T$29:$T$33</definedName>
    <definedName name="OSRRefT22_1x_0" localSheetId="43">'203'!$T$31:$T$35</definedName>
    <definedName name="OSRRefT22_1x_0" localSheetId="44">'204'!$T$31:$T$35</definedName>
    <definedName name="OSRRefT22_1x_0" localSheetId="45">'205'!$T$29</definedName>
    <definedName name="OSRRefT22_1x_0" localSheetId="46">'206'!$T$29:$T$32</definedName>
    <definedName name="OSRRefT22_1x_0" localSheetId="48">'300'!$T$179:$T$185</definedName>
    <definedName name="OSRRefT22_1x_0" localSheetId="49">'300 &amp; 317'!$T$205:$T$211</definedName>
    <definedName name="OSRRefT22_1x_0" localSheetId="50">'301'!$T$32:$T$38</definedName>
    <definedName name="OSRRefT22_1x_0" localSheetId="51">'306'!$T$30:$T$35</definedName>
    <definedName name="OSRRefT22_1x_0" localSheetId="53">'307'!$T$87:$T$90</definedName>
    <definedName name="OSRRefT22_1x_0" localSheetId="55">'308'!$T$77:$T$83</definedName>
    <definedName name="OSRRefT22_1x_0" localSheetId="67">'309'!$T$33:$T$37</definedName>
    <definedName name="OSRRefT22_1x_0" localSheetId="66">'310'!$T$40:$T$45</definedName>
    <definedName name="OSRRefT22_1x_0" localSheetId="74">'310 &amp; 491'!$T$48:$T$54</definedName>
    <definedName name="OSRRefT22_1x_0" localSheetId="56">'311'!$T$76:$T$82</definedName>
    <definedName name="OSRRefT22_1x_0" localSheetId="68">'313'!$T$37:$T$42</definedName>
    <definedName name="OSRRefT22_1x_0" localSheetId="54">'314'!$T$66:$T$68</definedName>
    <definedName name="OSRRefT22_1x_0" localSheetId="59">'315'!$T$92:$T$97</definedName>
    <definedName name="OSRRefT22_1x_0" localSheetId="62">'316'!$T$46:$T$49</definedName>
    <definedName name="OSRRefT22_1x_0" localSheetId="65">'317'!$T$71:$T$75</definedName>
    <definedName name="OSRRefT22_1x_0" localSheetId="63">'320'!$T$36:$T$40</definedName>
    <definedName name="OSRRefT22_1x_0" localSheetId="69">'321'!$T$33:$T$37</definedName>
    <definedName name="OSRRefT22_1x_0" localSheetId="70">'322'!$T$33:$T$37</definedName>
    <definedName name="OSRRefT22_1x_0" localSheetId="71">'325'!$T$33:$T$37</definedName>
    <definedName name="OSRRefT22_1x_0" localSheetId="60">'326'!$T$72:$T$77</definedName>
    <definedName name="OSRRefT22_1x_0" localSheetId="72">'327'!$T$24</definedName>
    <definedName name="OSRRefT22_1x_0" localSheetId="52">'330'!$T$95:$T$99</definedName>
    <definedName name="OSRRefT22_1x_0" localSheetId="58">'331'!$T$101:$T$106</definedName>
    <definedName name="OSRRefT22_1x_0" localSheetId="61">'332'!$T$53:$T$57</definedName>
    <definedName name="OSRRefT22_1x_0" localSheetId="76">'405'!$T$33:$T$36</definedName>
    <definedName name="OSRRefT22_1x_0" localSheetId="77">'406'!$T$33:$T$38</definedName>
    <definedName name="OSRRefT22_1x_0" localSheetId="78">'411'!$T$30:$T$35</definedName>
    <definedName name="OSRRefT22_1x_0" localSheetId="79">'412'!$T$33:$T$38</definedName>
    <definedName name="OSRRefT22_1x_0" localSheetId="80">'413'!$T$33:$T$37</definedName>
    <definedName name="OSRRefT22_1x_0" localSheetId="81">'414'!$T$33:$T$38</definedName>
    <definedName name="OSRRefT22_1x_0" localSheetId="82">'415'!$T$33:$T$38</definedName>
    <definedName name="OSRRefT22_1x_0" localSheetId="83">'418'!$T$33:$T$38</definedName>
    <definedName name="OSRRefT22_1x_0" localSheetId="84">'420'!$T$33:$T$36</definedName>
    <definedName name="OSRRefT22_1x_0" localSheetId="85">'423'!$T$30:$T$31</definedName>
    <definedName name="OSRRefT22_1x_0" localSheetId="86">'424'!$T$27:$T$31</definedName>
    <definedName name="OSRRefT22_1x_0" localSheetId="87">'425'!$T$37:$T$42</definedName>
    <definedName name="OSRRefT22_1x_0" localSheetId="90">'430'!$T$29</definedName>
    <definedName name="OSRRefT22_1x_0" localSheetId="91">'433'!$T$35:$T$40</definedName>
    <definedName name="OSRRefT22_1x_0" localSheetId="92">'435'!$T$29:$T$31</definedName>
    <definedName name="OSRRefT22_1x_0" localSheetId="93">'444'!$T$35:$T$40</definedName>
    <definedName name="OSRRefT22_1x_0" localSheetId="94">'450'!$T$35:$T$40</definedName>
    <definedName name="OSRRefT22_1x_0" localSheetId="88">'455'!$T$28:$T$29</definedName>
    <definedName name="OSRRefT22_1x_0" localSheetId="75">'491'!$T$42:$T$48</definedName>
    <definedName name="OSRRefT22_1x_0" localSheetId="89">'492'!$T$37:$T$43</definedName>
    <definedName name="OSRRefT22_1x_0" localSheetId="96">'501'!$T$31:$T$35</definedName>
    <definedName name="OSRRefT22_1x_0" localSheetId="39">'Div 2'!$T$32:$T$38</definedName>
    <definedName name="OSRRefT22_1x_0" localSheetId="47">'Div 3'!$T$184:$T$190</definedName>
    <definedName name="OSRRefT22_1x_0" localSheetId="73">'Div 4'!$T$42:$T$48</definedName>
    <definedName name="OSRRefT22_1x_0" localSheetId="95">'Div 5'!$T$31:$T$35</definedName>
    <definedName name="OSRRefT22_1x_0" localSheetId="64">'Div 6'!$T$71:$T$75</definedName>
    <definedName name="OSRRefT22_1x_0" localSheetId="2">Summary!$T$217:$T$223</definedName>
    <definedName name="OSRRefT22_20x_0" localSheetId="48">'300'!$T$239:$T$246</definedName>
    <definedName name="OSRRefT22_20x_0" localSheetId="49">'300 &amp; 317'!$T$265:$T$272</definedName>
    <definedName name="OSRRefT22_20x_0" localSheetId="50">'301'!$T$92</definedName>
    <definedName name="OSRRefT22_20x_0" localSheetId="66">'310'!$T$97</definedName>
    <definedName name="OSRRefT22_20x_0" localSheetId="74">'310 &amp; 491'!$T$105:$T$114</definedName>
    <definedName name="OSRRefT22_20x_0" localSheetId="58">'331'!$T$158:$T$159</definedName>
    <definedName name="OSRRefT22_20x_0" localSheetId="75">'491'!$T$98:$T$107</definedName>
    <definedName name="OSRRefT22_20x_0" localSheetId="47">'Div 3'!$T$244:$T$245</definedName>
    <definedName name="OSRRefT22_20x_0" localSheetId="73">'Div 4'!$T$97:$T$98</definedName>
    <definedName name="OSRRefT22_20x_0" localSheetId="2">Summary!$T$275:$T$279</definedName>
    <definedName name="OSRRefT22_21x_0" localSheetId="48">'300'!$T$248:$T$249</definedName>
    <definedName name="OSRRefT22_21x_0" localSheetId="49">'300 &amp; 317'!$T$274:$T$275</definedName>
    <definedName name="OSRRefT22_21x_0" localSheetId="50">'301'!$T$94:$T$96</definedName>
    <definedName name="OSRRefT22_21x_0" localSheetId="66">'310'!$T$99</definedName>
    <definedName name="OSRRefT22_21x_0" localSheetId="74">'310 &amp; 491'!$T$116</definedName>
    <definedName name="OSRRefT22_21x_0" localSheetId="58">'331'!$T$161</definedName>
    <definedName name="OSRRefT22_21x_0" localSheetId="75">'491'!$T$109</definedName>
    <definedName name="OSRRefT22_21x_0" localSheetId="47">'Div 3'!$T$247:$T$255</definedName>
    <definedName name="OSRRefT22_21x_0" localSheetId="73">'Div 4'!$T$100:$T$109</definedName>
    <definedName name="OSRRefT22_21x_0" localSheetId="2">Summary!$T$281:$T$282</definedName>
    <definedName name="OSRRefT22_22x_0" localSheetId="48">'300'!$T$251</definedName>
    <definedName name="OSRRefT22_22x_0" localSheetId="49">'300 &amp; 317'!$T$277</definedName>
    <definedName name="OSRRefT22_22x_0" localSheetId="50">'301'!$T$98</definedName>
    <definedName name="OSRRefT22_22x_0" localSheetId="66">'310'!$T$101</definedName>
    <definedName name="OSRRefT22_22x_0" localSheetId="74">'310 &amp; 491'!$T$118</definedName>
    <definedName name="OSRRefT22_22x_0" localSheetId="75">'491'!$T$111</definedName>
    <definedName name="OSRRefT22_22x_0" localSheetId="47">'Div 3'!$T$257:$T$258</definedName>
    <definedName name="OSRRefT22_22x_0" localSheetId="73">'Div 4'!$T$111</definedName>
    <definedName name="OSRRefT22_22x_0" localSheetId="2">Summary!$T$284:$T$293</definedName>
    <definedName name="OSRRefT22_23x_0" localSheetId="48">'300'!$T$253:$T$255</definedName>
    <definedName name="OSRRefT22_23x_0" localSheetId="49">'300 &amp; 317'!$T$279:$T$281</definedName>
    <definedName name="OSRRefT22_23x_0" localSheetId="74">'310 &amp; 491'!$T$120:$T$122</definedName>
    <definedName name="OSRRefT22_23x_0" localSheetId="75">'491'!$T$113:$T$115</definedName>
    <definedName name="OSRRefT22_23x_0" localSheetId="47">'Div 3'!$T$260</definedName>
    <definedName name="OSRRefT22_23x_0" localSheetId="73">'Div 4'!$T$113</definedName>
    <definedName name="OSRRefT22_23x_0" localSheetId="2">Summary!$T$295:$T$296</definedName>
    <definedName name="OSRRefT22_24x_0" localSheetId="48">'300'!$T$257</definedName>
    <definedName name="OSRRefT22_24x_0" localSheetId="49">'300 &amp; 317'!$T$283</definedName>
    <definedName name="OSRRefT22_24x_0" localSheetId="74">'310 &amp; 491'!$T$124</definedName>
    <definedName name="OSRRefT22_24x_0" localSheetId="75">'491'!$T$117</definedName>
    <definedName name="OSRRefT22_24x_0" localSheetId="47">'Div 3'!$T$262:$T$264</definedName>
    <definedName name="OSRRefT22_24x_0" localSheetId="73">'Div 4'!$T$115:$T$117</definedName>
    <definedName name="OSRRefT22_24x_0" localSheetId="2">Summary!$T$298</definedName>
    <definedName name="OSRRefT22_25x_0" localSheetId="47">'Div 3'!$T$266</definedName>
    <definedName name="OSRRefT22_25x_0" localSheetId="73">'Div 4'!$T$119</definedName>
    <definedName name="OSRRefT22_25x_0" localSheetId="2">Summary!$T$300:$T$302</definedName>
    <definedName name="OSRRefT22_26x_0" localSheetId="2">Summary!$T$304</definedName>
    <definedName name="OSRRefT22_2x_0" localSheetId="40">'200'!$T$24</definedName>
    <definedName name="OSRRefT22_2x_0" localSheetId="41">'201'!$T$33</definedName>
    <definedName name="OSRRefT22_2x_0" localSheetId="42">'202'!$T$35</definedName>
    <definedName name="OSRRefT22_2x_0" localSheetId="43">'203'!$T$37</definedName>
    <definedName name="OSRRefT22_2x_0" localSheetId="44">'204'!$T$37</definedName>
    <definedName name="OSRRefT22_2x_0" localSheetId="45">'205'!$T$31</definedName>
    <definedName name="OSRRefT22_2x_0" localSheetId="46">'206'!$T$34</definedName>
    <definedName name="OSRRefT22_2x_0" localSheetId="48">'300'!$T$187</definedName>
    <definedName name="OSRRefT22_2x_0" localSheetId="49">'300 &amp; 317'!$T$213</definedName>
    <definedName name="OSRRefT22_2x_0" localSheetId="50">'301'!$T$40</definedName>
    <definedName name="OSRRefT22_2x_0" localSheetId="51">'306'!$T$37</definedName>
    <definedName name="OSRRefT22_2x_0" localSheetId="53">'307'!$T$92</definedName>
    <definedName name="OSRRefT22_2x_0" localSheetId="55">'308'!$T$85</definedName>
    <definedName name="OSRRefT22_2x_0" localSheetId="67">'309'!$T$39</definedName>
    <definedName name="OSRRefT22_2x_0" localSheetId="66">'310'!$T$47</definedName>
    <definedName name="OSRRefT22_2x_0" localSheetId="74">'310 &amp; 491'!$T$56</definedName>
    <definedName name="OSRRefT22_2x_0" localSheetId="56">'311'!$T$84</definedName>
    <definedName name="OSRRefT22_2x_0" localSheetId="68">'313'!$T$44</definedName>
    <definedName name="OSRRefT22_2x_0" localSheetId="54">'314'!$T$70</definedName>
    <definedName name="OSRRefT22_2x_0" localSheetId="59">'315'!$T$99</definedName>
    <definedName name="OSRRefT22_2x_0" localSheetId="62">'316'!$T$51</definedName>
    <definedName name="OSRRefT22_2x_0" localSheetId="65">'317'!$T$77</definedName>
    <definedName name="OSRRefT22_2x_0" localSheetId="63">'320'!$T$42</definedName>
    <definedName name="OSRRefT22_2x_0" localSheetId="69">'321'!$T$39</definedName>
    <definedName name="OSRRefT22_2x_0" localSheetId="70">'322'!$T$39</definedName>
    <definedName name="OSRRefT22_2x_0" localSheetId="71">'325'!$T$39</definedName>
    <definedName name="OSRRefT22_2x_0" localSheetId="60">'326'!$T$79</definedName>
    <definedName name="OSRRefT22_2x_0" localSheetId="72">'327'!$T$26</definedName>
    <definedName name="OSRRefT22_2x_0" localSheetId="52">'330'!$T$101</definedName>
    <definedName name="OSRRefT22_2x_0" localSheetId="58">'331'!$T$108</definedName>
    <definedName name="OSRRefT22_2x_0" localSheetId="61">'332'!$T$59</definedName>
    <definedName name="OSRRefT22_2x_0" localSheetId="76">'405'!$T$38</definedName>
    <definedName name="OSRRefT22_2x_0" localSheetId="77">'406'!$T$40</definedName>
    <definedName name="OSRRefT22_2x_0" localSheetId="78">'411'!$T$37</definedName>
    <definedName name="OSRRefT22_2x_0" localSheetId="79">'412'!$T$40</definedName>
    <definedName name="OSRRefT22_2x_0" localSheetId="80">'413'!$T$39</definedName>
    <definedName name="OSRRefT22_2x_0" localSheetId="81">'414'!$T$40</definedName>
    <definedName name="OSRRefT22_2x_0" localSheetId="82">'415'!$T$40</definedName>
    <definedName name="OSRRefT22_2x_0" localSheetId="83">'418'!$T$40</definedName>
    <definedName name="OSRRefT22_2x_0" localSheetId="84">'420'!$T$38</definedName>
    <definedName name="OSRRefT22_2x_0" localSheetId="85">'423'!$T$33</definedName>
    <definedName name="OSRRefT22_2x_0" localSheetId="86">'424'!$T$33</definedName>
    <definedName name="OSRRefT22_2x_0" localSheetId="87">'425'!$T$44</definedName>
    <definedName name="OSRRefT22_2x_0" localSheetId="90">'430'!$T$31</definedName>
    <definedName name="OSRRefT22_2x_0" localSheetId="91">'433'!$T$42</definedName>
    <definedName name="OSRRefT22_2x_0" localSheetId="92">'435'!$T$33</definedName>
    <definedName name="OSRRefT22_2x_0" localSheetId="93">'444'!$T$42</definedName>
    <definedName name="OSRRefT22_2x_0" localSheetId="94">'450'!$T$42</definedName>
    <definedName name="OSRRefT22_2x_0" localSheetId="75">'491'!$T$50</definedName>
    <definedName name="OSRRefT22_2x_0" localSheetId="89">'492'!$T$45</definedName>
    <definedName name="OSRRefT22_2x_0" localSheetId="96">'501'!$T$37</definedName>
    <definedName name="OSRRefT22_2x_0" localSheetId="39">'Div 2'!$T$40</definedName>
    <definedName name="OSRRefT22_2x_0" localSheetId="47">'Div 3'!$T$192</definedName>
    <definedName name="OSRRefT22_2x_0" localSheetId="73">'Div 4'!$T$50</definedName>
    <definedName name="OSRRefT22_2x_0" localSheetId="95">'Div 5'!$T$37</definedName>
    <definedName name="OSRRefT22_2x_0" localSheetId="64">'Div 6'!$T$77</definedName>
    <definedName name="OSRRefT22_2x_0" localSheetId="2">Summary!$T$225</definedName>
    <definedName name="OSRRefT22_3x_0" localSheetId="40">'200'!$T$26</definedName>
    <definedName name="OSRRefT22_3x_0" localSheetId="41">'201'!$T$35</definedName>
    <definedName name="OSRRefT22_3x_0" localSheetId="42">'202'!$T$37</definedName>
    <definedName name="OSRRefT22_3x_0" localSheetId="43">'203'!$T$39</definedName>
    <definedName name="OSRRefT22_3x_0" localSheetId="44">'204'!$T$39</definedName>
    <definedName name="OSRRefT22_3x_0" localSheetId="45">'205'!$T$33</definedName>
    <definedName name="OSRRefT22_3x_0" localSheetId="46">'206'!$T$36</definedName>
    <definedName name="OSRRefT22_3x_0" localSheetId="48">'300'!$T$189:$T$190</definedName>
    <definedName name="OSRRefT22_3x_0" localSheetId="49">'300 &amp; 317'!$T$215:$T$216</definedName>
    <definedName name="OSRRefT22_3x_0" localSheetId="50">'301'!$T$42:$T$43</definedName>
    <definedName name="OSRRefT22_3x_0" localSheetId="51">'306'!$T$39</definedName>
    <definedName name="OSRRefT22_3x_0" localSheetId="53">'307'!$T$94</definedName>
    <definedName name="OSRRefT22_3x_0" localSheetId="55">'308'!$T$87:$T$88</definedName>
    <definedName name="OSRRefT22_3x_0" localSheetId="67">'309'!$T$41</definedName>
    <definedName name="OSRRefT22_3x_0" localSheetId="66">'310'!$T$49</definedName>
    <definedName name="OSRRefT22_3x_0" localSheetId="74">'310 &amp; 491'!$T$58</definedName>
    <definedName name="OSRRefT22_3x_0" localSheetId="56">'311'!$T$86:$T$87</definedName>
    <definedName name="OSRRefT22_3x_0" localSheetId="68">'313'!$T$46</definedName>
    <definedName name="OSRRefT22_3x_0" localSheetId="54">'314'!$T$72:$T$73</definedName>
    <definedName name="OSRRefT22_3x_0" localSheetId="59">'315'!$T$101:$T$102</definedName>
    <definedName name="OSRRefT22_3x_0" localSheetId="62">'316'!$T$53</definedName>
    <definedName name="OSRRefT22_3x_0" localSheetId="65">'317'!$T$79</definedName>
    <definedName name="OSRRefT22_3x_0" localSheetId="63">'320'!$T$44</definedName>
    <definedName name="OSRRefT22_3x_0" localSheetId="69">'321'!$T$41</definedName>
    <definedName name="OSRRefT22_3x_0" localSheetId="70">'322'!$T$41</definedName>
    <definedName name="OSRRefT22_3x_0" localSheetId="71">'325'!$T$41</definedName>
    <definedName name="OSRRefT22_3x_0" localSheetId="60">'326'!$T$81</definedName>
    <definedName name="OSRRefT22_3x_0" localSheetId="52">'330'!$T$103</definedName>
    <definedName name="OSRRefT22_3x_0" localSheetId="58">'331'!$T$110</definedName>
    <definedName name="OSRRefT22_3x_0" localSheetId="61">'332'!$T$61</definedName>
    <definedName name="OSRRefT22_3x_0" localSheetId="76">'405'!$T$40</definedName>
    <definedName name="OSRRefT22_3x_0" localSheetId="77">'406'!$T$42</definedName>
    <definedName name="OSRRefT22_3x_0" localSheetId="78">'411'!$T$39</definedName>
    <definedName name="OSRRefT22_3x_0" localSheetId="79">'412'!$T$42</definedName>
    <definedName name="OSRRefT22_3x_0" localSheetId="80">'413'!$T$41</definedName>
    <definedName name="OSRRefT22_3x_0" localSheetId="81">'414'!$T$42</definedName>
    <definedName name="OSRRefT22_3x_0" localSheetId="82">'415'!$T$42</definedName>
    <definedName name="OSRRefT22_3x_0" localSheetId="83">'418'!$T$42</definedName>
    <definedName name="OSRRefT22_3x_0" localSheetId="84">'420'!$T$40</definedName>
    <definedName name="OSRRefT22_3x_0" localSheetId="85">'423'!$T$35</definedName>
    <definedName name="OSRRefT22_3x_0" localSheetId="86">'424'!$T$35</definedName>
    <definedName name="OSRRefT22_3x_0" localSheetId="87">'425'!$T$46</definedName>
    <definedName name="OSRRefT22_3x_0" localSheetId="90">'430'!$T$33</definedName>
    <definedName name="OSRRefT22_3x_0" localSheetId="91">'433'!$T$44</definedName>
    <definedName name="OSRRefT22_3x_0" localSheetId="92">'435'!$T$35</definedName>
    <definedName name="OSRRefT22_3x_0" localSheetId="93">'444'!$T$44</definedName>
    <definedName name="OSRRefT22_3x_0" localSheetId="94">'450'!$T$44</definedName>
    <definedName name="OSRRefT22_3x_0" localSheetId="75">'491'!$T$52</definedName>
    <definedName name="OSRRefT22_3x_0" localSheetId="89">'492'!$T$47</definedName>
    <definedName name="OSRRefT22_3x_0" localSheetId="96">'501'!$T$39</definedName>
    <definedName name="OSRRefT22_3x_0" localSheetId="39">'Div 2'!$T$42</definedName>
    <definedName name="OSRRefT22_3x_0" localSheetId="47">'Div 3'!$T$194:$T$195</definedName>
    <definedName name="OSRRefT22_3x_0" localSheetId="73">'Div 4'!$T$52</definedName>
    <definedName name="OSRRefT22_3x_0" localSheetId="95">'Div 5'!$T$39</definedName>
    <definedName name="OSRRefT22_3x_0" localSheetId="64">'Div 6'!$T$79</definedName>
    <definedName name="OSRRefT22_3x_0" localSheetId="2">Summary!$T$227:$T$228</definedName>
    <definedName name="OSRRefT22_4x_0" localSheetId="40">'200'!$T$28:$T$29</definedName>
    <definedName name="OSRRefT22_4x_0" localSheetId="41">'201'!$T$37</definedName>
    <definedName name="OSRRefT22_4x_0" localSheetId="42">'202'!$T$39</definedName>
    <definedName name="OSRRefT22_4x_0" localSheetId="43">'203'!$T$41</definedName>
    <definedName name="OSRRefT22_4x_0" localSheetId="44">'204'!$T$41</definedName>
    <definedName name="OSRRefT22_4x_0" localSheetId="45">'205'!$T$35:$T$37</definedName>
    <definedName name="OSRRefT22_4x_0" localSheetId="46">'206'!$T$38</definedName>
    <definedName name="OSRRefT22_4x_0" localSheetId="48">'300'!$T$192</definedName>
    <definedName name="OSRRefT22_4x_0" localSheetId="49">'300 &amp; 317'!$T$218</definedName>
    <definedName name="OSRRefT22_4x_0" localSheetId="50">'301'!$T$45</definedName>
    <definedName name="OSRRefT22_4x_0" localSheetId="51">'306'!$T$41</definedName>
    <definedName name="OSRRefT22_4x_0" localSheetId="53">'307'!$T$96:$T$97</definedName>
    <definedName name="OSRRefT22_4x_0" localSheetId="55">'308'!$T$90</definedName>
    <definedName name="OSRRefT22_4x_0" localSheetId="67">'309'!$T$43</definedName>
    <definedName name="OSRRefT22_4x_0" localSheetId="66">'310'!$T$51</definedName>
    <definedName name="OSRRefT22_4x_0" localSheetId="74">'310 &amp; 491'!$T$60</definedName>
    <definedName name="OSRRefT22_4x_0" localSheetId="56">'311'!$T$89</definedName>
    <definedName name="OSRRefT22_4x_0" localSheetId="68">'313'!$T$48</definedName>
    <definedName name="OSRRefT22_4x_0" localSheetId="54">'314'!$T$75</definedName>
    <definedName name="OSRRefT22_4x_0" localSheetId="59">'315'!$T$104</definedName>
    <definedName name="OSRRefT22_4x_0" localSheetId="62">'316'!$T$55</definedName>
    <definedName name="OSRRefT22_4x_0" localSheetId="65">'317'!$T$81</definedName>
    <definedName name="OSRRefT22_4x_0" localSheetId="63">'320'!$T$46:$T$47</definedName>
    <definedName name="OSRRefT22_4x_0" localSheetId="69">'321'!$T$43</definedName>
    <definedName name="OSRRefT22_4x_0" localSheetId="70">'322'!$T$43</definedName>
    <definedName name="OSRRefT22_4x_0" localSheetId="71">'325'!$T$43</definedName>
    <definedName name="OSRRefT22_4x_0" localSheetId="60">'326'!$T$83</definedName>
    <definedName name="OSRRefT22_4x_0" localSheetId="52">'330'!$T$105:$T$106</definedName>
    <definedName name="OSRRefT22_4x_0" localSheetId="58">'331'!$T$112</definedName>
    <definedName name="OSRRefT22_4x_0" localSheetId="61">'332'!$T$63</definedName>
    <definedName name="OSRRefT22_4x_0" localSheetId="76">'405'!$T$42</definedName>
    <definedName name="OSRRefT22_4x_0" localSheetId="77">'406'!$T$44</definedName>
    <definedName name="OSRRefT22_4x_0" localSheetId="78">'411'!$T$41:$T$43</definedName>
    <definedName name="OSRRefT22_4x_0" localSheetId="79">'412'!$T$44</definedName>
    <definedName name="OSRRefT22_4x_0" localSheetId="80">'413'!$T$43</definedName>
    <definedName name="OSRRefT22_4x_0" localSheetId="81">'414'!$T$44</definedName>
    <definedName name="OSRRefT22_4x_0" localSheetId="82">'415'!$T$44</definedName>
    <definedName name="OSRRefT22_4x_0" localSheetId="83">'418'!$T$44</definedName>
    <definedName name="OSRRefT22_4x_0" localSheetId="84">'420'!$T$42</definedName>
    <definedName name="OSRRefT22_4x_0" localSheetId="85">'423'!$T$37</definedName>
    <definedName name="OSRRefT22_4x_0" localSheetId="86">'424'!$T$37</definedName>
    <definedName name="OSRRefT22_4x_0" localSheetId="87">'425'!$T$48</definedName>
    <definedName name="OSRRefT22_4x_0" localSheetId="90">'430'!$T$35:$T$36</definedName>
    <definedName name="OSRRefT22_4x_0" localSheetId="91">'433'!$T$46</definedName>
    <definedName name="OSRRefT22_4x_0" localSheetId="92">'435'!$T$37</definedName>
    <definedName name="OSRRefT22_4x_0" localSheetId="93">'444'!$T$46</definedName>
    <definedName name="OSRRefT22_4x_0" localSheetId="94">'450'!$T$46</definedName>
    <definedName name="OSRRefT22_4x_0" localSheetId="75">'491'!$T$54</definedName>
    <definedName name="OSRRefT22_4x_0" localSheetId="89">'492'!$T$49</definedName>
    <definedName name="OSRRefT22_4x_0" localSheetId="96">'501'!$T$41</definedName>
    <definedName name="OSRRefT22_4x_0" localSheetId="39">'Div 2'!$T$44</definedName>
    <definedName name="OSRRefT22_4x_0" localSheetId="47">'Div 3'!$T$197</definedName>
    <definedName name="OSRRefT22_4x_0" localSheetId="73">'Div 4'!$T$54</definedName>
    <definedName name="OSRRefT22_4x_0" localSheetId="95">'Div 5'!$T$41</definedName>
    <definedName name="OSRRefT22_4x_0" localSheetId="64">'Div 6'!$T$81</definedName>
    <definedName name="OSRRefT22_4x_0" localSheetId="2">Summary!$T$230</definedName>
    <definedName name="OSRRefT22_5x_0" localSheetId="41">'201'!$T$39</definedName>
    <definedName name="OSRRefT22_5x_0" localSheetId="42">'202'!$T$41</definedName>
    <definedName name="OSRRefT22_5x_0" localSheetId="43">'203'!$T$43</definedName>
    <definedName name="OSRRefT22_5x_0" localSheetId="44">'204'!$T$43</definedName>
    <definedName name="OSRRefT22_5x_0" localSheetId="45">'205'!$T$39</definedName>
    <definedName name="OSRRefT22_5x_0" localSheetId="46">'206'!$T$40</definedName>
    <definedName name="OSRRefT22_5x_0" localSheetId="48">'300'!$T$194:$T$196</definedName>
    <definedName name="OSRRefT22_5x_0" localSheetId="49">'300 &amp; 317'!$T$220:$T$222</definedName>
    <definedName name="OSRRefT22_5x_0" localSheetId="50">'301'!$T$47:$T$49</definedName>
    <definedName name="OSRRefT22_5x_0" localSheetId="51">'306'!$T$43</definedName>
    <definedName name="OSRRefT22_5x_0" localSheetId="53">'307'!$T$99</definedName>
    <definedName name="OSRRefT22_5x_0" localSheetId="55">'308'!$T$92</definedName>
    <definedName name="OSRRefT22_5x_0" localSheetId="67">'309'!$T$45</definedName>
    <definedName name="OSRRefT22_5x_0" localSheetId="66">'310'!$T$53:$T$54</definedName>
    <definedName name="OSRRefT22_5x_0" localSheetId="74">'310 &amp; 491'!$T$62:$T$64</definedName>
    <definedName name="OSRRefT22_5x_0" localSheetId="56">'311'!$T$91</definedName>
    <definedName name="OSRRefT22_5x_0" localSheetId="68">'313'!$T$50</definedName>
    <definedName name="OSRRefT22_5x_0" localSheetId="54">'314'!$T$77</definedName>
    <definedName name="OSRRefT22_5x_0" localSheetId="59">'315'!$T$106:$T$107</definedName>
    <definedName name="OSRRefT22_5x_0" localSheetId="62">'316'!$T$57</definedName>
    <definedName name="OSRRefT22_5x_0" localSheetId="65">'317'!$T$83:$T$84</definedName>
    <definedName name="OSRRefT22_5x_0" localSheetId="63">'320'!$T$49</definedName>
    <definedName name="OSRRefT22_5x_0" localSheetId="69">'321'!$T$45</definedName>
    <definedName name="OSRRefT22_5x_0" localSheetId="70">'322'!$T$45</definedName>
    <definedName name="OSRRefT22_5x_0" localSheetId="71">'325'!$T$45:$T$46</definedName>
    <definedName name="OSRRefT22_5x_0" localSheetId="60">'326'!$T$85:$T$86</definedName>
    <definedName name="OSRRefT22_5x_0" localSheetId="52">'330'!$T$108</definedName>
    <definedName name="OSRRefT22_5x_0" localSheetId="58">'331'!$T$114:$T$115</definedName>
    <definedName name="OSRRefT22_5x_0" localSheetId="61">'332'!$T$65</definedName>
    <definedName name="OSRRefT22_5x_0" localSheetId="76">'405'!$T$44:$T$45</definedName>
    <definedName name="OSRRefT22_5x_0" localSheetId="77">'406'!$T$46</definedName>
    <definedName name="OSRRefT22_5x_0" localSheetId="78">'411'!$T$45</definedName>
    <definedName name="OSRRefT22_5x_0" localSheetId="79">'412'!$T$46</definedName>
    <definedName name="OSRRefT22_5x_0" localSheetId="80">'413'!$T$45</definedName>
    <definedName name="OSRRefT22_5x_0" localSheetId="81">'414'!$T$46</definedName>
    <definedName name="OSRRefT22_5x_0" localSheetId="82">'415'!$T$46:$T$47</definedName>
    <definedName name="OSRRefT22_5x_0" localSheetId="83">'418'!$T$46:$T$47</definedName>
    <definedName name="OSRRefT22_5x_0" localSheetId="84">'420'!$T$44</definedName>
    <definedName name="OSRRefT22_5x_0" localSheetId="85">'423'!$T$39</definedName>
    <definedName name="OSRRefT22_5x_0" localSheetId="86">'424'!$T$39</definedName>
    <definedName name="OSRRefT22_5x_0" localSheetId="87">'425'!$T$50</definedName>
    <definedName name="OSRRefT22_5x_0" localSheetId="90">'430'!$T$38</definedName>
    <definedName name="OSRRefT22_5x_0" localSheetId="91">'433'!$T$48</definedName>
    <definedName name="OSRRefT22_5x_0" localSheetId="92">'435'!$T$39</definedName>
    <definedName name="OSRRefT22_5x_0" localSheetId="93">'444'!$T$48</definedName>
    <definedName name="OSRRefT22_5x_0" localSheetId="94">'450'!$T$48</definedName>
    <definedName name="OSRRefT22_5x_0" localSheetId="75">'491'!$T$56:$T$58</definedName>
    <definedName name="OSRRefT22_5x_0" localSheetId="89">'492'!$T$51</definedName>
    <definedName name="OSRRefT22_5x_0" localSheetId="96">'501'!$T$43:$T$44</definedName>
    <definedName name="OSRRefT22_5x_0" localSheetId="39">'Div 2'!$T$46</definedName>
    <definedName name="OSRRefT22_5x_0" localSheetId="47">'Div 3'!$T$199:$T$201</definedName>
    <definedName name="OSRRefT22_5x_0" localSheetId="73">'Div 4'!$T$56:$T$58</definedName>
    <definedName name="OSRRefT22_5x_0" localSheetId="95">'Div 5'!$T$43:$T$44</definedName>
    <definedName name="OSRRefT22_5x_0" localSheetId="64">'Div 6'!$T$83:$T$84</definedName>
    <definedName name="OSRRefT22_5x_0" localSheetId="2">Summary!$T$232:$T$235</definedName>
    <definedName name="OSRRefT22_6x_0" localSheetId="41">'201'!$T$41</definedName>
    <definedName name="OSRRefT22_6x_0" localSheetId="42">'202'!$T$43:$T$44</definedName>
    <definedName name="OSRRefT22_6x_0" localSheetId="43">'203'!$T$45</definedName>
    <definedName name="OSRRefT22_6x_0" localSheetId="44">'204'!$T$45:$T$47</definedName>
    <definedName name="OSRRefT22_6x_0" localSheetId="45">'205'!$T$41:$T$43</definedName>
    <definedName name="OSRRefT22_6x_0" localSheetId="46">'206'!$T$42:$T$43</definedName>
    <definedName name="OSRRefT22_6x_0" localSheetId="48">'300'!$T$198:$T$199</definedName>
    <definedName name="OSRRefT22_6x_0" localSheetId="49">'300 &amp; 317'!$T$224:$T$225</definedName>
    <definedName name="OSRRefT22_6x_0" localSheetId="50">'301'!$T$51:$T$52</definedName>
    <definedName name="OSRRefT22_6x_0" localSheetId="51">'306'!$T$45:$T$46</definedName>
    <definedName name="OSRRefT22_6x_0" localSheetId="53">'307'!$T$101</definedName>
    <definedName name="OSRRefT22_6x_0" localSheetId="55">'308'!$T$94:$T$95</definedName>
    <definedName name="OSRRefT22_6x_0" localSheetId="67">'309'!$T$47</definedName>
    <definedName name="OSRRefT22_6x_0" localSheetId="66">'310'!$T$56</definedName>
    <definedName name="OSRRefT22_6x_0" localSheetId="74">'310 &amp; 491'!$T$66</definedName>
    <definedName name="OSRRefT22_6x_0" localSheetId="56">'311'!$T$93:$T$94</definedName>
    <definedName name="OSRRefT22_6x_0" localSheetId="68">'313'!$T$52</definedName>
    <definedName name="OSRRefT22_6x_0" localSheetId="54">'314'!$T$79:$T$80</definedName>
    <definedName name="OSRRefT22_6x_0" localSheetId="59">'315'!$T$109:$T$110</definedName>
    <definedName name="OSRRefT22_6x_0" localSheetId="62">'316'!$T$59:$T$60</definedName>
    <definedName name="OSRRefT22_6x_0" localSheetId="65">'317'!$T$86</definedName>
    <definedName name="OSRRefT22_6x_0" localSheetId="63">'320'!$T$51</definedName>
    <definedName name="OSRRefT22_6x_0" localSheetId="69">'321'!$T$47</definedName>
    <definedName name="OSRRefT22_6x_0" localSheetId="70">'322'!$T$47</definedName>
    <definedName name="OSRRefT22_6x_0" localSheetId="71">'325'!$T$48</definedName>
    <definedName name="OSRRefT22_6x_0" localSheetId="60">'326'!$T$88</definedName>
    <definedName name="OSRRefT22_6x_0" localSheetId="52">'330'!$T$110</definedName>
    <definedName name="OSRRefT22_6x_0" localSheetId="58">'331'!$T$117</definedName>
    <definedName name="OSRRefT22_6x_0" localSheetId="61">'332'!$T$67:$T$68</definedName>
    <definedName name="OSRRefT22_6x_0" localSheetId="76">'405'!$T$47</definedName>
    <definedName name="OSRRefT22_6x_0" localSheetId="77">'406'!$T$48</definedName>
    <definedName name="OSRRefT22_6x_0" localSheetId="78">'411'!$T$47</definedName>
    <definedName name="OSRRefT22_6x_0" localSheetId="79">'412'!$T$48</definedName>
    <definedName name="OSRRefT22_6x_0" localSheetId="80">'413'!$T$47</definedName>
    <definedName name="OSRRefT22_6x_0" localSheetId="81">'414'!$T$48</definedName>
    <definedName name="OSRRefT22_6x_0" localSheetId="82">'415'!$T$49</definedName>
    <definedName name="OSRRefT22_6x_0" localSheetId="83">'418'!$T$49</definedName>
    <definedName name="OSRRefT22_6x_0" localSheetId="84">'420'!$T$46:$T$47</definedName>
    <definedName name="OSRRefT22_6x_0" localSheetId="85">'423'!$T$41</definedName>
    <definedName name="OSRRefT22_6x_0" localSheetId="86">'424'!$T$41</definedName>
    <definedName name="OSRRefT22_6x_0" localSheetId="87">'425'!$T$52</definedName>
    <definedName name="OSRRefT22_6x_0" localSheetId="90">'430'!$T$40</definedName>
    <definedName name="OSRRefT22_6x_0" localSheetId="91">'433'!$T$50</definedName>
    <definedName name="OSRRefT22_6x_0" localSheetId="92">'435'!$T$41</definedName>
    <definedName name="OSRRefT22_6x_0" localSheetId="93">'444'!$T$50</definedName>
    <definedName name="OSRRefT22_6x_0" localSheetId="94">'450'!$T$50</definedName>
    <definedName name="OSRRefT22_6x_0" localSheetId="75">'491'!$T$60</definedName>
    <definedName name="OSRRefT22_6x_0" localSheetId="89">'492'!$T$53</definedName>
    <definedName name="OSRRefT22_6x_0" localSheetId="96">'501'!$T$46</definedName>
    <definedName name="OSRRefT22_6x_0" localSheetId="39">'Div 2'!$T$48</definedName>
    <definedName name="OSRRefT22_6x_0" localSheetId="47">'Div 3'!$T$203:$T$204</definedName>
    <definedName name="OSRRefT22_6x_0" localSheetId="73">'Div 4'!$T$60</definedName>
    <definedName name="OSRRefT22_6x_0" localSheetId="95">'Div 5'!$T$46</definedName>
    <definedName name="OSRRefT22_6x_0" localSheetId="64">'Div 6'!$T$86</definedName>
    <definedName name="OSRRefT22_6x_0" localSheetId="2">Summary!$T$237:$T$238</definedName>
    <definedName name="OSRRefT22_7x_0" localSheetId="41">'201'!$T$43</definedName>
    <definedName name="OSRRefT22_7x_0" localSheetId="42">'202'!$T$46</definedName>
    <definedName name="OSRRefT22_7x_0" localSheetId="43">'203'!$T$47</definedName>
    <definedName name="OSRRefT22_7x_0" localSheetId="44">'204'!$T$49</definedName>
    <definedName name="OSRRefT22_7x_0" localSheetId="45">'205'!$T$45</definedName>
    <definedName name="OSRRefT22_7x_0" localSheetId="46">'206'!$T$45</definedName>
    <definedName name="OSRRefT22_7x_0" localSheetId="48">'300'!$T$201</definedName>
    <definedName name="OSRRefT22_7x_0" localSheetId="49">'300 &amp; 317'!$T$227</definedName>
    <definedName name="OSRRefT22_7x_0" localSheetId="50">'301'!$T$54</definedName>
    <definedName name="OSRRefT22_7x_0" localSheetId="51">'306'!$T$48:$T$50</definedName>
    <definedName name="OSRRefT22_7x_0" localSheetId="53">'307'!$T$103:$T$104</definedName>
    <definedName name="OSRRefT22_7x_0" localSheetId="55">'308'!$T$97</definedName>
    <definedName name="OSRRefT22_7x_0" localSheetId="67">'309'!$T$49</definedName>
    <definedName name="OSRRefT22_7x_0" localSheetId="66">'310'!$T$58</definedName>
    <definedName name="OSRRefT22_7x_0" localSheetId="74">'310 &amp; 491'!$T$68</definedName>
    <definedName name="OSRRefT22_7x_0" localSheetId="56">'311'!$T$96</definedName>
    <definedName name="OSRRefT22_7x_0" localSheetId="68">'313'!$T$54</definedName>
    <definedName name="OSRRefT22_7x_0" localSheetId="54">'314'!$T$82</definedName>
    <definedName name="OSRRefT22_7x_0" localSheetId="59">'315'!$T$112</definedName>
    <definedName name="OSRRefT22_7x_0" localSheetId="62">'316'!$T$62</definedName>
    <definedName name="OSRRefT22_7x_0" localSheetId="65">'317'!$T$88</definedName>
    <definedName name="OSRRefT22_7x_0" localSheetId="63">'320'!$T$53:$T$54</definedName>
    <definedName name="OSRRefT22_7x_0" localSheetId="69">'321'!$T$49:$T$51</definedName>
    <definedName name="OSRRefT22_7x_0" localSheetId="70">'322'!$T$49</definedName>
    <definedName name="OSRRefT22_7x_0" localSheetId="71">'325'!$T$50</definedName>
    <definedName name="OSRRefT22_7x_0" localSheetId="60">'326'!$T$90</definedName>
    <definedName name="OSRRefT22_7x_0" localSheetId="52">'330'!$T$112</definedName>
    <definedName name="OSRRefT22_7x_0" localSheetId="58">'331'!$T$119:$T$120</definedName>
    <definedName name="OSRRefT22_7x_0" localSheetId="61">'332'!$T$70</definedName>
    <definedName name="OSRRefT22_7x_0" localSheetId="76">'405'!$T$49</definedName>
    <definedName name="OSRRefT22_7x_0" localSheetId="77">'406'!$T$50</definedName>
    <definedName name="OSRRefT22_7x_0" localSheetId="78">'411'!$T$49</definedName>
    <definedName name="OSRRefT22_7x_0" localSheetId="79">'412'!$T$50</definedName>
    <definedName name="OSRRefT22_7x_0" localSheetId="80">'413'!$T$49:$T$51</definedName>
    <definedName name="OSRRefT22_7x_0" localSheetId="81">'414'!$T$50</definedName>
    <definedName name="OSRRefT22_7x_0" localSheetId="82">'415'!$T$51</definedName>
    <definedName name="OSRRefT22_7x_0" localSheetId="83">'418'!$T$51</definedName>
    <definedName name="OSRRefT22_7x_0" localSheetId="84">'420'!$T$49</definedName>
    <definedName name="OSRRefT22_7x_0" localSheetId="86">'424'!$T$43</definedName>
    <definedName name="OSRRefT22_7x_0" localSheetId="87">'425'!$T$54</definedName>
    <definedName name="OSRRefT22_7x_0" localSheetId="90">'430'!$T$42</definedName>
    <definedName name="OSRRefT22_7x_0" localSheetId="91">'433'!$T$52</definedName>
    <definedName name="OSRRefT22_7x_0" localSheetId="92">'435'!$T$43:$T$45</definedName>
    <definedName name="OSRRefT22_7x_0" localSheetId="93">'444'!$T$52</definedName>
    <definedName name="OSRRefT22_7x_0" localSheetId="94">'450'!$T$52</definedName>
    <definedName name="OSRRefT22_7x_0" localSheetId="75">'491'!$T$62</definedName>
    <definedName name="OSRRefT22_7x_0" localSheetId="89">'492'!$T$55</definedName>
    <definedName name="OSRRefT22_7x_0" localSheetId="96">'501'!$T$48</definedName>
    <definedName name="OSRRefT22_7x_0" localSheetId="39">'Div 2'!$T$50</definedName>
    <definedName name="OSRRefT22_7x_0" localSheetId="47">'Div 3'!$T$206</definedName>
    <definedName name="OSRRefT22_7x_0" localSheetId="73">'Div 4'!$T$62</definedName>
    <definedName name="OSRRefT22_7x_0" localSheetId="95">'Div 5'!$T$48</definedName>
    <definedName name="OSRRefT22_7x_0" localSheetId="64">'Div 6'!$T$88</definedName>
    <definedName name="OSRRefT22_7x_0" localSheetId="2">Summary!$T$240</definedName>
    <definedName name="OSRRefT22_8x_0" localSheetId="41">'201'!$T$45</definedName>
    <definedName name="OSRRefT22_8x_0" localSheetId="42">'202'!$T$48</definedName>
    <definedName name="OSRRefT22_8x_0" localSheetId="43">'203'!$T$49</definedName>
    <definedName name="OSRRefT22_8x_0" localSheetId="44">'204'!$T$51:$T$52</definedName>
    <definedName name="OSRRefT22_8x_0" localSheetId="45">'205'!$T$47</definedName>
    <definedName name="OSRRefT22_8x_0" localSheetId="46">'206'!$T$47</definedName>
    <definedName name="OSRRefT22_8x_0" localSheetId="48">'300'!$T$203</definedName>
    <definedName name="OSRRefT22_8x_0" localSheetId="49">'300 &amp; 317'!$T$229</definedName>
    <definedName name="OSRRefT22_8x_0" localSheetId="50">'301'!$T$56</definedName>
    <definedName name="OSRRefT22_8x_0" localSheetId="51">'306'!$T$52</definedName>
    <definedName name="OSRRefT22_8x_0" localSheetId="53">'307'!$T$106:$T$107</definedName>
    <definedName name="OSRRefT22_8x_0" localSheetId="55">'308'!$T$99:$T$100</definedName>
    <definedName name="OSRRefT22_8x_0" localSheetId="67">'309'!$T$51</definedName>
    <definedName name="OSRRefT22_8x_0" localSheetId="66">'310'!$T$60</definedName>
    <definedName name="OSRRefT22_8x_0" localSheetId="74">'310 &amp; 491'!$T$70</definedName>
    <definedName name="OSRRefT22_8x_0" localSheetId="56">'311'!$T$98:$T$99</definedName>
    <definedName name="OSRRefT22_8x_0" localSheetId="68">'313'!$T$56:$T$58</definedName>
    <definedName name="OSRRefT22_8x_0" localSheetId="54">'314'!$T$84</definedName>
    <definedName name="OSRRefT22_8x_0" localSheetId="59">'315'!$T$114</definedName>
    <definedName name="OSRRefT22_8x_0" localSheetId="62">'316'!$T$64:$T$66</definedName>
    <definedName name="OSRRefT22_8x_0" localSheetId="65">'317'!$T$90:$T$91</definedName>
    <definedName name="OSRRefT22_8x_0" localSheetId="63">'320'!$T$56</definedName>
    <definedName name="OSRRefT22_8x_0" localSheetId="69">'321'!$T$53</definedName>
    <definedName name="OSRRefT22_8x_0" localSheetId="70">'322'!$T$51:$T$52</definedName>
    <definedName name="OSRRefT22_8x_0" localSheetId="71">'325'!$T$52</definedName>
    <definedName name="OSRRefT22_8x_0" localSheetId="60">'326'!$T$92</definedName>
    <definedName name="OSRRefT22_8x_0" localSheetId="52">'330'!$T$114:$T$115</definedName>
    <definedName name="OSRRefT22_8x_0" localSheetId="58">'331'!$T$122</definedName>
    <definedName name="OSRRefT22_8x_0" localSheetId="61">'332'!$T$72</definedName>
    <definedName name="OSRRefT22_8x_0" localSheetId="76">'405'!$T$51</definedName>
    <definedName name="OSRRefT22_8x_0" localSheetId="77">'406'!$T$52</definedName>
    <definedName name="OSRRefT22_8x_0" localSheetId="78">'411'!$T$51</definedName>
    <definedName name="OSRRefT22_8x_0" localSheetId="79">'412'!$T$52</definedName>
    <definedName name="OSRRefT22_8x_0" localSheetId="80">'413'!$T$53:$T$55</definedName>
    <definedName name="OSRRefT22_8x_0" localSheetId="81">'414'!$T$52</definedName>
    <definedName name="OSRRefT22_8x_0" localSheetId="82">'415'!$T$53</definedName>
    <definedName name="OSRRefT22_8x_0" localSheetId="83">'418'!$T$53</definedName>
    <definedName name="OSRRefT22_8x_0" localSheetId="86">'424'!$T$45:$T$46</definedName>
    <definedName name="OSRRefT22_8x_0" localSheetId="87">'425'!$T$56</definedName>
    <definedName name="OSRRefT22_8x_0" localSheetId="91">'433'!$T$54</definedName>
    <definedName name="OSRRefT22_8x_0" localSheetId="92">'435'!$T$47</definedName>
    <definedName name="OSRRefT22_8x_0" localSheetId="93">'444'!$T$54</definedName>
    <definedName name="OSRRefT22_8x_0" localSheetId="94">'450'!$T$54</definedName>
    <definedName name="OSRRefT22_8x_0" localSheetId="75">'491'!$T$64</definedName>
    <definedName name="OSRRefT22_8x_0" localSheetId="89">'492'!$T$57</definedName>
    <definedName name="OSRRefT22_8x_0" localSheetId="96">'501'!$T$50</definedName>
    <definedName name="OSRRefT22_8x_0" localSheetId="39">'Div 2'!$T$52</definedName>
    <definedName name="OSRRefT22_8x_0" localSheetId="47">'Div 3'!$T$208</definedName>
    <definedName name="OSRRefT22_8x_0" localSheetId="73">'Div 4'!$T$64</definedName>
    <definedName name="OSRRefT22_8x_0" localSheetId="95">'Div 5'!$T$50</definedName>
    <definedName name="OSRRefT22_8x_0" localSheetId="64">'Div 6'!$T$90:$T$91</definedName>
    <definedName name="OSRRefT22_8x_0" localSheetId="2">Summary!$T$242</definedName>
    <definedName name="OSRRefT22_9x_0" localSheetId="41">'201'!$T$47:$T$49</definedName>
    <definedName name="OSRRefT22_9x_0" localSheetId="42">'202'!$T$50:$T$52</definedName>
    <definedName name="OSRRefT22_9x_0" localSheetId="43">'203'!$T$51:$T$53</definedName>
    <definedName name="OSRRefT22_9x_0" localSheetId="44">'204'!$T$54</definedName>
    <definedName name="OSRRefT22_9x_0" localSheetId="48">'300'!$T$205</definedName>
    <definedName name="OSRRefT22_9x_0" localSheetId="49">'300 &amp; 317'!$T$231</definedName>
    <definedName name="OSRRefT22_9x_0" localSheetId="50">'301'!$T$58</definedName>
    <definedName name="OSRRefT22_9x_0" localSheetId="51">'306'!$T$54</definedName>
    <definedName name="OSRRefT22_9x_0" localSheetId="53">'307'!$T$109:$T$112</definedName>
    <definedName name="OSRRefT22_9x_0" localSheetId="55">'308'!$T$102:$T$103</definedName>
    <definedName name="OSRRefT22_9x_0" localSheetId="67">'309'!$T$53:$T$54</definedName>
    <definedName name="OSRRefT22_9x_0" localSheetId="66">'310'!$T$62</definedName>
    <definedName name="OSRRefT22_9x_0" localSheetId="74">'310 &amp; 491'!$T$72</definedName>
    <definedName name="OSRRefT22_9x_0" localSheetId="56">'311'!$T$101:$T$102</definedName>
    <definedName name="OSRRefT22_9x_0" localSheetId="68">'313'!$T$60</definedName>
    <definedName name="OSRRefT22_9x_0" localSheetId="59">'315'!$T$116:$T$117</definedName>
    <definedName name="OSRRefT22_9x_0" localSheetId="62">'316'!$T$68</definedName>
    <definedName name="OSRRefT22_9x_0" localSheetId="65">'317'!$T$93:$T$94</definedName>
    <definedName name="OSRRefT22_9x_0" localSheetId="69">'321'!$T$55:$T$57</definedName>
    <definedName name="OSRRefT22_9x_0" localSheetId="70">'322'!$T$54:$T$56</definedName>
    <definedName name="OSRRefT22_9x_0" localSheetId="71">'325'!$T$54</definedName>
    <definedName name="OSRRefT22_9x_0" localSheetId="60">'326'!$T$94</definedName>
    <definedName name="OSRRefT22_9x_0" localSheetId="52">'330'!$T$117:$T$118</definedName>
    <definedName name="OSRRefT22_9x_0" localSheetId="58">'331'!$T$124</definedName>
    <definedName name="OSRRefT22_9x_0" localSheetId="61">'332'!$T$74:$T$76</definedName>
    <definedName name="OSRRefT22_9x_0" localSheetId="76">'405'!$T$53</definedName>
    <definedName name="OSRRefT22_9x_0" localSheetId="77">'406'!$T$54:$T$56</definedName>
    <definedName name="OSRRefT22_9x_0" localSheetId="78">'411'!$T$53</definedName>
    <definedName name="OSRRefT22_9x_0" localSheetId="79">'412'!$T$54:$T$56</definedName>
    <definedName name="OSRRefT22_9x_0" localSheetId="80">'413'!$T$57:$T$62</definedName>
    <definedName name="OSRRefT22_9x_0" localSheetId="81">'414'!$T$54:$T$55</definedName>
    <definedName name="OSRRefT22_9x_0" localSheetId="82">'415'!$T$55</definedName>
    <definedName name="OSRRefT22_9x_0" localSheetId="83">'418'!$T$55</definedName>
    <definedName name="OSRRefT22_9x_0" localSheetId="86">'424'!$T$48</definedName>
    <definedName name="OSRRefT22_9x_0" localSheetId="87">'425'!$T$58:$T$60</definedName>
    <definedName name="OSRRefT22_9x_0" localSheetId="91">'433'!$T$56</definedName>
    <definedName name="OSRRefT22_9x_0" localSheetId="93">'444'!$T$56</definedName>
    <definedName name="OSRRefT22_9x_0" localSheetId="94">'450'!$T$56</definedName>
    <definedName name="OSRRefT22_9x_0" localSheetId="75">'491'!$T$66</definedName>
    <definedName name="OSRRefT22_9x_0" localSheetId="89">'492'!$T$59</definedName>
    <definedName name="OSRRefT22_9x_0" localSheetId="96">'501'!$T$52:$T$54</definedName>
    <definedName name="OSRRefT22_9x_0" localSheetId="39">'Div 2'!$T$54:$T$55</definedName>
    <definedName name="OSRRefT22_9x_0" localSheetId="47">'Div 3'!$T$210</definedName>
    <definedName name="OSRRefT22_9x_0" localSheetId="73">'Div 4'!$T$66</definedName>
    <definedName name="OSRRefT22_9x_0" localSheetId="95">'Div 5'!$T$52:$T$54</definedName>
    <definedName name="OSRRefT22_9x_0" localSheetId="64">'Div 6'!$T$93:$T$94</definedName>
    <definedName name="OSRRefT22_9x_0" localSheetId="2">Summary!$T$244</definedName>
    <definedName name="OSRRefT22x_0" localSheetId="40">'200'!$T$20,'200'!$T$22,'200'!$T$24,'200'!$T$26,'200'!$T$28:$T$29</definedName>
    <definedName name="OSRRefT22x_0" localSheetId="41">'201'!$T$20:$T$27,'201'!$T$29:$T$31,'201'!$T$33,'201'!$T$35,'201'!$T$37,'201'!$T$39,'201'!$T$41,'201'!$T$43,'201'!$T$45,'201'!$T$47:$T$49,'201'!$T$51:$T$53,'201'!$T$55,'201'!$T$57:$T$60,'201'!$T$62,'201'!$T$64,'201'!$T$66</definedName>
    <definedName name="OSRRefT22x_0" localSheetId="42">'202'!$T$20:$T$27,'202'!$T$29:$T$33,'202'!$T$35,'202'!$T$37,'202'!$T$39,'202'!$T$41,'202'!$T$43:$T$44,'202'!$T$46,'202'!$T$48,'202'!$T$50:$T$52,'202'!$T$54,'202'!$T$56,'202'!$T$58:$T$60,'202'!$T$62,'202'!$T$64,'202'!$T$66</definedName>
    <definedName name="OSRRefT22x_0" localSheetId="43">'203'!$T$20:$T$29,'203'!$T$31:$T$35,'203'!$T$37,'203'!$T$39,'203'!$T$41,'203'!$T$43,'203'!$T$45,'203'!$T$47,'203'!$T$49,'203'!$T$51:$T$53,'203'!$T$55:$T$56,'203'!$T$58,'203'!$T$60:$T$63,'203'!$T$65,'203'!$T$67,'203'!$T$69</definedName>
    <definedName name="OSRRefT22x_0" localSheetId="44">'204'!$T$20:$T$29,'204'!$T$31:$T$35,'204'!$T$37,'204'!$T$39,'204'!$T$41,'204'!$T$43,'204'!$T$45:$T$47,'204'!$T$49,'204'!$T$51:$T$52,'204'!$T$54,'204'!$T$56:$T$57</definedName>
    <definedName name="OSRRefT22x_0" localSheetId="45">'205'!$T$20:$T$27,'205'!$T$29,'205'!$T$31,'205'!$T$33,'205'!$T$35:$T$37,'205'!$T$39,'205'!$T$41:$T$43,'205'!$T$45,'205'!$T$47</definedName>
    <definedName name="OSRRefT22x_0" localSheetId="46">'206'!$T$20:$T$27,'206'!$T$29:$T$32,'206'!$T$34,'206'!$T$36,'206'!$T$38,'206'!$T$40,'206'!$T$42:$T$43,'206'!$T$45,'206'!$T$47</definedName>
    <definedName name="OSRRefT22x_0" localSheetId="48">'300'!$T$168:$T$177,'300'!$T$179:$T$185,'300'!$T$187,'300'!$T$189:$T$190,'300'!$T$192,'300'!$T$194:$T$196,'300'!$T$198:$T$199,'300'!$T$201,'300'!$T$203,'300'!$T$205,'300'!$T$207:$T$208,'300'!$T$210,'300'!$T$212,'300'!$T$214:$T$216,'300'!$T$218,'300'!$T$220,'300'!$T$222:$T$225,'300'!$T$227:$T$229,'300'!$T$231:$T$234,'300'!$T$236:$T$237,'300'!$T$239:$T$246,'300'!$T$248:$T$249,'300'!$T$251,'300'!$T$253:$T$255,'300'!$T$257</definedName>
    <definedName name="OSRRefT22x_0" localSheetId="49">'300 &amp; 317'!$T$194:$T$203,'300 &amp; 317'!$T$205:$T$211,'300 &amp; 317'!$T$213,'300 &amp; 317'!$T$215:$T$216,'300 &amp; 317'!$T$218,'300 &amp; 317'!$T$220:$T$222,'300 &amp; 317'!$T$224:$T$225,'300 &amp; 317'!$T$227,'300 &amp; 317'!$T$229,'300 &amp; 317'!$T$231,'300 &amp; 317'!$T$233:$T$234,'300 &amp; 317'!$T$236,'300 &amp; 317'!$T$238,'300 &amp; 317'!$T$240:$T$242,'300 &amp; 317'!$T$244,'300 &amp; 317'!$T$246,'300 &amp; 317'!$T$248:$T$251,'300 &amp; 317'!$T$253:$T$255,'300 &amp; 317'!$T$257:$T$260,'300 &amp; 317'!$T$262:$T$263,'300 &amp; 317'!$T$265:$T$272,'300 &amp; 317'!$T$274:$T$275,'300 &amp; 317'!$T$277,'300 &amp; 317'!$T$279:$T$281,'300 &amp; 317'!$T$283</definedName>
    <definedName name="OSRRefT22x_0" localSheetId="50">'301'!$T$21:$T$30,'301'!$T$32:$T$38,'301'!$T$40,'301'!$T$42:$T$43,'301'!$T$45,'301'!$T$47:$T$49,'301'!$T$51:$T$52,'301'!$T$54,'301'!$T$56,'301'!$T$58,'301'!$T$60,'301'!$T$62,'301'!$T$64,'301'!$T$66,'301'!$T$68,'301'!$T$70:$T$73,'301'!$T$75:$T$77,'301'!$T$79:$T$80,'301'!$T$82:$T$88,'301'!$T$90,'301'!$T$92,'301'!$T$94:$T$96,'301'!$T$98</definedName>
    <definedName name="OSRRefT22x_0" localSheetId="51">'306'!$T$20:$T$28,'306'!$T$30:$T$35,'306'!$T$37,'306'!$T$39,'306'!$T$41,'306'!$T$43,'306'!$T$45:$T$46,'306'!$T$48:$T$50,'306'!$T$52,'306'!$T$54</definedName>
    <definedName name="OSRRefT22x_0" localSheetId="53">'307'!$T$78:$T$85,'307'!$T$87:$T$90,'307'!$T$92,'307'!$T$94,'307'!$T$96:$T$97,'307'!$T$99,'307'!$T$101,'307'!$T$103:$T$104,'307'!$T$106:$T$107,'307'!$T$109:$T$112,'307'!$T$114,'307'!$T$116</definedName>
    <definedName name="OSRRefT22x_0" localSheetId="55">'308'!$T$67:$T$75,'308'!$T$77:$T$83,'308'!$T$85,'308'!$T$87:$T$88,'308'!$T$90,'308'!$T$92,'308'!$T$94:$T$95,'308'!$T$97,'308'!$T$99:$T$100,'308'!$T$102:$T$103,'308'!$T$105:$T$106,'308'!$T$108:$T$110,'308'!$T$112:$T$113,'308'!$T$115,'308'!$T$117</definedName>
    <definedName name="OSRRefT22x_0" localSheetId="67">'309'!$T$24:$T$31,'309'!$T$33:$T$37,'309'!$T$39,'309'!$T$41,'309'!$T$43,'309'!$T$45,'309'!$T$47,'309'!$T$49,'309'!$T$51,'309'!$T$53:$T$54,'309'!$T$56:$T$58,'309'!$T$60:$T$62,'309'!$T$64</definedName>
    <definedName name="OSRRefT22x_0" localSheetId="66">'310'!$T$31:$T$38,'310'!$T$40:$T$45,'310'!$T$47,'310'!$T$49,'310'!$T$51,'310'!$T$53:$T$54,'310'!$T$56,'310'!$T$58,'310'!$T$60,'310'!$T$62,'310'!$T$64,'310'!$T$66,'310'!$T$68,'310'!$T$70,'310'!$T$72:$T$74,'310'!$T$76,'310'!$T$78:$T$81,'310'!$T$83,'310'!$T$85:$T$93,'310'!$T$95,'310'!$T$97,'310'!$T$99,'310'!$T$101</definedName>
    <definedName name="OSRRefT22x_0" localSheetId="74">'310 &amp; 491'!$T$38:$T$46,'310 &amp; 491'!$T$48:$T$54,'310 &amp; 491'!$T$56,'310 &amp; 491'!$T$58,'310 &amp; 491'!$T$60,'310 &amp; 491'!$T$62:$T$64,'310 &amp; 491'!$T$66,'310 &amp; 491'!$T$68,'310 &amp; 491'!$T$70,'310 &amp; 491'!$T$72,'310 &amp; 491'!$T$74:$T$75,'310 &amp; 491'!$T$77:$T$78,'310 &amp; 491'!$T$80,'310 &amp; 491'!$T$82,'310 &amp; 491'!$T$84,'310 &amp; 491'!$T$86,'310 &amp; 491'!$T$88:$T$91,'310 &amp; 491'!$T$93:$T$94,'310 &amp; 491'!$T$96:$T$100,'310 &amp; 491'!$T$102:$T$103,'310 &amp; 491'!$T$105:$T$114,'310 &amp; 491'!$T$116,'310 &amp; 491'!$T$118,'310 &amp; 491'!$T$120:$T$122,'310 &amp; 491'!$T$124</definedName>
    <definedName name="OSRRefT22x_0" localSheetId="56">'311'!$T$66:$T$74,'311'!$T$76:$T$82,'311'!$T$84,'311'!$T$86:$T$87,'311'!$T$89,'311'!$T$91,'311'!$T$93:$T$94,'311'!$T$96,'311'!$T$98:$T$99,'311'!$T$101:$T$102,'311'!$T$104:$T$105,'311'!$T$107:$T$109,'311'!$T$111:$T$112,'311'!$T$114,'311'!$T$116</definedName>
    <definedName name="OSRRefT22x_0" localSheetId="68">'313'!$T$28:$T$35,'313'!$T$37:$T$42,'313'!$T$44,'313'!$T$46,'313'!$T$48,'313'!$T$50,'313'!$T$52,'313'!$T$54,'313'!$T$56:$T$58,'313'!$T$60,'313'!$T$62:$T$67,'313'!$T$69,'313'!$T$71</definedName>
    <definedName name="OSRRefT22x_0" localSheetId="54">'314'!$T$56:$T$64,'314'!$T$66:$T$68,'314'!$T$70,'314'!$T$72:$T$73,'314'!$T$75,'314'!$T$77,'314'!$T$79:$T$80,'314'!$T$82,'314'!$T$84</definedName>
    <definedName name="OSRRefT22x_0" localSheetId="59">'315'!$T$83:$T$90,'315'!$T$92:$T$97,'315'!$T$99,'315'!$T$101:$T$102,'315'!$T$104,'315'!$T$106:$T$107,'315'!$T$109:$T$110,'315'!$T$112,'315'!$T$114,'315'!$T$116:$T$117,'315'!$T$119:$T$120,'315'!$T$122:$T$126,'315'!$T$128,'315'!$T$130,'315'!$T$132:$T$133</definedName>
    <definedName name="OSRRefT22x_0" localSheetId="62">'316'!$T$37:$T$44,'316'!$T$46:$T$49,'316'!$T$51,'316'!$T$53,'316'!$T$55,'316'!$T$57,'316'!$T$59:$T$60,'316'!$T$62,'316'!$T$64:$T$66,'316'!$T$68,'316'!$T$70:$T$75,'316'!$T$77,'316'!$T$79,'316'!$T$81</definedName>
    <definedName name="OSRRefT22x_0" localSheetId="65">'317'!$T$61:$T$69,'317'!$T$71:$T$75,'317'!$T$77,'317'!$T$79,'317'!$T$81,'317'!$T$83:$T$84,'317'!$T$86,'317'!$T$88,'317'!$T$90:$T$91,'317'!$T$93:$T$94,'317'!$T$96:$T$100,'317'!$T$102,'317'!$T$104,'317'!$T$106</definedName>
    <definedName name="OSRRefT22x_0" localSheetId="63">'320'!$T$28:$T$34,'320'!$T$36:$T$40,'320'!$T$42,'320'!$T$44,'320'!$T$46:$T$47,'320'!$T$49,'320'!$T$51,'320'!$T$53:$T$54,'320'!$T$56</definedName>
    <definedName name="OSRRefT22x_0" localSheetId="69">'321'!$T$24:$T$31,'321'!$T$33:$T$37,'321'!$T$39,'321'!$T$41,'321'!$T$43,'321'!$T$45,'321'!$T$47,'321'!$T$49:$T$51,'321'!$T$53,'321'!$T$55:$T$57,'321'!$T$59:$T$63,'321'!$T$65,'321'!$T$67</definedName>
    <definedName name="OSRRefT22x_0" localSheetId="70">'322'!$T$24:$T$31,'322'!$T$33:$T$37,'322'!$T$39,'322'!$T$41,'322'!$T$43,'322'!$T$45,'322'!$T$47,'322'!$T$49,'322'!$T$51:$T$52,'322'!$T$54:$T$56,'322'!$T$58:$T$64,'322'!$T$66,'322'!$T$68,'322'!$T$70</definedName>
    <definedName name="OSRRefT22x_0" localSheetId="71">'325'!$T$24:$T$31,'325'!$T$33:$T$37,'325'!$T$39,'325'!$T$41,'325'!$T$43,'325'!$T$45:$T$46,'325'!$T$48,'325'!$T$50,'325'!$T$52,'325'!$T$54,'325'!$T$56,'325'!$T$58:$T$60,'325'!$T$62:$T$64,'325'!$T$66,'325'!$T$68:$T$72,'325'!$T$74,'325'!$T$76,'325'!$T$78</definedName>
    <definedName name="OSRRefT22x_0" localSheetId="60">'326'!$T$63:$T$70,'326'!$T$72:$T$77,'326'!$T$79,'326'!$T$81,'326'!$T$83,'326'!$T$85:$T$86,'326'!$T$88,'326'!$T$90,'326'!$T$92,'326'!$T$94,'326'!$T$96,'326'!$T$98,'326'!$T$100:$T$102,'326'!$T$104:$T$106,'326'!$T$108:$T$109,'326'!$T$111:$T$116,'326'!$T$118,'326'!$T$120,'326'!$T$122,'326'!$T$124</definedName>
    <definedName name="OSRRefT22x_0" localSheetId="72">'327'!$T$22,'327'!$T$24,'327'!$T$26</definedName>
    <definedName name="OSRRefT22x_0" localSheetId="52">'330'!$T$85:$T$93,'330'!$T$95:$T$99,'330'!$T$101,'330'!$T$103,'330'!$T$105:$T$106,'330'!$T$108,'330'!$T$110,'330'!$T$112,'330'!$T$114:$T$115,'330'!$T$117:$T$118,'330'!$T$120,'330'!$T$122:$T$125,'330'!$T$127,'330'!$T$129,'330'!$T$131</definedName>
    <definedName name="OSRRefT22x_0" localSheetId="58">'331'!$T$92:$T$99,'331'!$T$101:$T$106,'331'!$T$108,'331'!$T$110,'331'!$T$112,'331'!$T$114:$T$115,'331'!$T$117,'331'!$T$119:$T$120,'331'!$T$122,'331'!$T$124,'331'!$T$126:$T$127,'331'!$T$129,'331'!$T$131,'331'!$T$133:$T$135,'331'!$T$137:$T$138,'331'!$T$140:$T$142,'331'!$T$144:$T$145,'331'!$T$147:$T$152,'331'!$T$154,'331'!$T$156,'331'!$T$158:$T$159,'331'!$T$161</definedName>
    <definedName name="OSRRefT22x_0" localSheetId="61">'332'!$T$44:$T$51,'332'!$T$53:$T$57,'332'!$T$59,'332'!$T$61,'332'!$T$63,'332'!$T$65,'332'!$T$67:$T$68,'332'!$T$70,'332'!$T$72,'332'!$T$74:$T$76,'332'!$T$78,'332'!$T$80:$T$85,'332'!$T$87,'332'!$T$89,'332'!$T$91</definedName>
    <definedName name="OSRRefT22x_0" localSheetId="76">'405'!$T$24:$T$31,'405'!$T$33:$T$36,'405'!$T$38,'405'!$T$40,'405'!$T$42,'405'!$T$44:$T$45,'405'!$T$47,'405'!$T$49,'405'!$T$51,'405'!$T$53,'405'!$T$55:$T$56,'405'!$T$58,'405'!$T$60:$T$62,'405'!$T$64:$T$65,'405'!$T$67:$T$73,'405'!$T$75,'405'!$T$77,'405'!$T$79</definedName>
    <definedName name="OSRRefT22x_0" localSheetId="77">'406'!$T$24:$T$31,'406'!$T$33:$T$38,'406'!$T$40,'406'!$T$42,'406'!$T$44,'406'!$T$46,'406'!$T$48,'406'!$T$50,'406'!$T$52,'406'!$T$54:$T$56,'406'!$T$58:$T$59,'406'!$T$61:$T$66,'406'!$T$68,'406'!$T$70,'406'!$T$72</definedName>
    <definedName name="OSRRefT22x_0" localSheetId="78">'411'!$T$20:$T$28,'411'!$T$30:$T$35,'411'!$T$37,'411'!$T$39,'411'!$T$41:$T$43,'411'!$T$45,'411'!$T$47,'411'!$T$49,'411'!$T$51,'411'!$T$53,'411'!$T$55,'411'!$T$57,'411'!$T$59:$T$62,'411'!$T$64:$T$68,'411'!$T$70:$T$71,'411'!$T$73:$T$81,'411'!$T$83,'411'!$T$85,'411'!$T$87:$T$89,'411'!$T$91</definedName>
    <definedName name="OSRRefT22x_0" localSheetId="79">'412'!$T$24:$T$31,'412'!$T$33:$T$38,'412'!$T$40,'412'!$T$42,'412'!$T$44,'412'!$T$46,'412'!$T$48,'412'!$T$50,'412'!$T$52,'412'!$T$54:$T$56,'412'!$T$58:$T$60,'412'!$T$62:$T$67,'412'!$T$69,'412'!$T$71</definedName>
    <definedName name="OSRRefT22x_0" localSheetId="80">'413'!$T$24:$T$31,'413'!$T$33:$T$37,'413'!$T$39,'413'!$T$41,'413'!$T$43,'413'!$T$45,'413'!$T$47,'413'!$T$49:$T$51,'413'!$T$53:$T$55,'413'!$T$57:$T$62,'413'!$T$64,'413'!$T$66</definedName>
    <definedName name="OSRRefT22x_0" localSheetId="81">'414'!$T$24:$T$31,'414'!$T$33:$T$38,'414'!$T$40,'414'!$T$42,'414'!$T$44,'414'!$T$46,'414'!$T$48,'414'!$T$50,'414'!$T$52,'414'!$T$54:$T$55,'414'!$T$57,'414'!$T$59,'414'!$T$61,'414'!$T$63:$T$69,'414'!$T$71,'414'!$T$73</definedName>
    <definedName name="OSRRefT22x_0" localSheetId="82">'415'!$T$24:$T$31,'415'!$T$33:$T$38,'415'!$T$40,'415'!$T$42,'415'!$T$44,'415'!$T$46:$T$47,'415'!$T$49,'415'!$T$51,'415'!$T$53,'415'!$T$55,'415'!$T$57,'415'!$T$59:$T$62,'415'!$T$64:$T$68,'415'!$T$70:$T$71,'415'!$T$73:$T$81,'415'!$T$83,'415'!$T$85,'415'!$T$87</definedName>
    <definedName name="OSRRefT22x_0" localSheetId="83">'418'!$T$24:$T$31,'418'!$T$33:$T$38,'418'!$T$40,'418'!$T$42,'418'!$T$44,'418'!$T$46:$T$47,'418'!$T$49,'418'!$T$51,'418'!$T$53,'418'!$T$55,'418'!$T$57:$T$58,'418'!$T$60:$T$62,'418'!$T$64:$T$66,'418'!$T$68:$T$69,'418'!$T$71:$T$78,'418'!$T$80,'418'!$T$82</definedName>
    <definedName name="OSRRefT22x_0" localSheetId="84">'420'!$T$24:$T$31,'420'!$T$33:$T$36,'420'!$T$38,'420'!$T$40,'420'!$T$42,'420'!$T$44,'420'!$T$46:$T$47,'420'!$T$49</definedName>
    <definedName name="OSRRefT22x_0" localSheetId="85">'423'!$T$21:$T$28,'423'!$T$30:$T$31,'423'!$T$33,'423'!$T$35,'423'!$T$37,'423'!$T$39,'423'!$T$41</definedName>
    <definedName name="OSRRefT22x_0" localSheetId="86">'424'!$T$24:$T$25,'424'!$T$27:$T$31,'424'!$T$33,'424'!$T$35,'424'!$T$37,'424'!$T$39,'424'!$T$41,'424'!$T$43,'424'!$T$45:$T$46,'424'!$T$48,'424'!$T$50,'424'!$T$52:$T$56,'424'!$T$58</definedName>
    <definedName name="OSRRefT22x_0" localSheetId="87">'425'!$T$27:$T$35,'425'!$T$37:$T$42,'425'!$T$44,'425'!$T$46,'425'!$T$48,'425'!$T$50,'425'!$T$52,'425'!$T$54,'425'!$T$56,'425'!$T$58:$T$60,'425'!$T$62,'425'!$T$64:$T$66,'425'!$T$68:$T$74,'425'!$T$76,'425'!$T$78</definedName>
    <definedName name="OSRRefT22x_0" localSheetId="90">'430'!$T$20:$T$27,'430'!$T$29,'430'!$T$31,'430'!$T$33,'430'!$T$35:$T$36,'430'!$T$38,'430'!$T$40,'430'!$T$42</definedName>
    <definedName name="OSRRefT22x_0" localSheetId="91">'433'!$T$25:$T$33,'433'!$T$35:$T$40,'433'!$T$42,'433'!$T$44,'433'!$T$46,'433'!$T$48,'433'!$T$50,'433'!$T$52,'433'!$T$54,'433'!$T$56,'433'!$T$58,'433'!$T$60:$T$62,'433'!$T$64:$T$66,'433'!$T$68:$T$75,'433'!$T$77,'433'!$T$79,'433'!$T$81</definedName>
    <definedName name="OSRRefT22x_0" localSheetId="92">'435'!$T$25:$T$27,'435'!$T$29:$T$31,'435'!$T$33,'435'!$T$35,'435'!$T$37,'435'!$T$39,'435'!$T$41,'435'!$T$43:$T$45,'435'!$T$47</definedName>
    <definedName name="OSRRefT22x_0" localSheetId="93">'444'!$T$25:$T$33,'444'!$T$35:$T$40,'444'!$T$42,'444'!$T$44,'444'!$T$46,'444'!$T$48,'444'!$T$50,'444'!$T$52,'444'!$T$54,'444'!$T$56,'444'!$T$58,'444'!$T$60:$T$62,'444'!$T$64:$T$67,'444'!$T$69,'444'!$T$71:$T$79,'444'!$T$81,'444'!$T$83,'444'!$T$85:$T$86</definedName>
    <definedName name="OSRRefT22x_0" localSheetId="94">'450'!$T$25:$T$33,'450'!$T$35:$T$40,'450'!$T$42,'450'!$T$44,'450'!$T$46,'450'!$T$48,'450'!$T$50,'450'!$T$52,'450'!$T$54,'450'!$T$56,'450'!$T$58,'450'!$T$60,'450'!$T$62:$T$63,'450'!$T$65:$T$67,'450'!$T$69:$T$74,'450'!$T$76,'450'!$T$78,'450'!$T$80</definedName>
    <definedName name="OSRRefT22x_0" localSheetId="88">'455'!$T$20:$T$26,'455'!$T$28:$T$29</definedName>
    <definedName name="OSRRefT22x_0" localSheetId="75">'491'!$T$32:$T$40,'491'!$T$42:$T$48,'491'!$T$50,'491'!$T$52,'491'!$T$54,'491'!$T$56:$T$58,'491'!$T$60,'491'!$T$62,'491'!$T$64,'491'!$T$66,'491'!$T$68,'491'!$T$70:$T$71,'491'!$T$73,'491'!$T$75,'491'!$T$77,'491'!$T$79,'491'!$T$81:$T$84,'491'!$T$86:$T$87,'491'!$T$89:$T$93,'491'!$T$95:$T$96,'491'!$T$98:$T$107,'491'!$T$109,'491'!$T$111,'491'!$T$113:$T$115,'491'!$T$117</definedName>
    <definedName name="OSRRefT22x_0" localSheetId="89">'492'!$T$27:$T$35,'492'!$T$37:$T$43,'492'!$T$45,'492'!$T$47,'492'!$T$49,'492'!$T$51,'492'!$T$53,'492'!$T$55,'492'!$T$57,'492'!$T$59,'492'!$T$61,'492'!$T$63,'492'!$T$65:$T$67,'492'!$T$69:$T$72,'492'!$T$74,'492'!$T$76:$T$84,'492'!$T$86,'492'!$T$88,'492'!$T$90:$T$91</definedName>
    <definedName name="OSRRefT22x_0" localSheetId="96">'501'!$T$21:$T$29,'501'!$T$31:$T$35,'501'!$T$37,'501'!$T$39,'501'!$T$41,'501'!$T$43:$T$44,'501'!$T$46,'501'!$T$48,'501'!$T$50,'501'!$T$52:$T$54,'501'!$T$56,'501'!$T$58:$T$60,'501'!$T$62,'501'!$T$64</definedName>
    <definedName name="OSRRefT22x_0" localSheetId="39">'Div 2'!$T$20:$T$30,'Div 2'!$T$32:$T$38,'Div 2'!$T$40,'Div 2'!$T$42,'Div 2'!$T$44,'Div 2'!$T$46,'Div 2'!$T$48,'Div 2'!$T$50,'Div 2'!$T$52,'Div 2'!$T$54:$T$55,'Div 2'!$T$57,'Div 2'!$T$59,'Div 2'!$T$61:$T$64,'Div 2'!$T$66:$T$68,'Div 2'!$T$70:$T$71,'Div 2'!$T$73,'Div 2'!$T$75:$T$79,'Div 2'!$T$81:$T$82,'Div 2'!$T$84,'Div 2'!$T$86:$T$87</definedName>
    <definedName name="OSRRefT22x_0" localSheetId="47">'Div 3'!$T$173:$T$182,'Div 3'!$T$184:$T$190,'Div 3'!$T$192,'Div 3'!$T$194:$T$195,'Div 3'!$T$197,'Div 3'!$T$199:$T$201,'Div 3'!$T$203:$T$204,'Div 3'!$T$206,'Div 3'!$T$208,'Div 3'!$T$210,'Div 3'!$T$212:$T$213,'Div 3'!$T$215,'Div 3'!$T$217,'Div 3'!$T$219,'Div 3'!$T$221:$T$223,'Div 3'!$T$225,'Div 3'!$T$227,'Div 3'!$T$229:$T$232,'Div 3'!$T$234:$T$236,'Div 3'!$T$238:$T$242,'Div 3'!$T$244:$T$245,'Div 3'!$T$247:$T$255,'Div 3'!$T$257:$T$258,'Div 3'!$T$260,'Div 3'!$T$262:$T$264,'Div 3'!$T$266</definedName>
    <definedName name="OSRRefT22x_0" localSheetId="73">'Div 4'!$T$32:$T$40,'Div 4'!$T$42:$T$48,'Div 4'!$T$50,'Div 4'!$T$52,'Div 4'!$T$54,'Div 4'!$T$56:$T$58,'Div 4'!$T$60,'Div 4'!$T$62,'Div 4'!$T$64,'Div 4'!$T$66,'Div 4'!$T$68,'Div 4'!$T$70:$T$71,'Div 4'!$T$73,'Div 4'!$T$75,'Div 4'!$T$77,'Div 4'!$T$79,'Div 4'!$T$81,'Div 4'!$T$83:$T$86,'Div 4'!$T$88:$T$89,'Div 4'!$T$91:$T$95,'Div 4'!$T$97:$T$98,'Div 4'!$T$100:$T$109,'Div 4'!$T$111,'Div 4'!$T$113,'Div 4'!$T$115:$T$117,'Div 4'!$T$119</definedName>
    <definedName name="OSRRefT22x_0" localSheetId="95">'Div 5'!$T$21:$T$29,'Div 5'!$T$31:$T$35,'Div 5'!$T$37,'Div 5'!$T$39,'Div 5'!$T$41,'Div 5'!$T$43:$T$44,'Div 5'!$T$46,'Div 5'!$T$48,'Div 5'!$T$50,'Div 5'!$T$52:$T$54,'Div 5'!$T$56,'Div 5'!$T$58:$T$60,'Div 5'!$T$62,'Div 5'!$T$64</definedName>
    <definedName name="OSRRefT22x_0" localSheetId="64">'Div 6'!$T$61:$T$69,'Div 6'!$T$71:$T$75,'Div 6'!$T$77,'Div 6'!$T$79,'Div 6'!$T$81,'Div 6'!$T$83:$T$84,'Div 6'!$T$86,'Div 6'!$T$88,'Div 6'!$T$90:$T$91,'Div 6'!$T$93:$T$94,'Div 6'!$T$96:$T$100,'Div 6'!$T$102,'Div 6'!$T$104,'Div 6'!$T$106</definedName>
    <definedName name="OSRRefT22x_0" localSheetId="2">Summary!$T$206:$T$215,Summary!$T$217:$T$223,Summary!$T$225,Summary!$T$227:$T$228,Summary!$T$230,Summary!$T$232:$T$235,Summary!$T$237:$T$238,Summary!$T$240,Summary!$T$242,Summary!$T$244,Summary!$T$246:$T$247,Summary!$T$249:$T$250,Summary!$T$252,Summary!$T$254,Summary!$T$256:$T$258,Summary!$T$260,Summary!$T$262,Summary!$T$264,Summary!$T$266:$T$269,Summary!$T$271:$T$273,Summary!$T$275:$T$279,Summary!$T$281:$T$282,Summary!$T$284:$T$293,Summary!$T$295:$T$296,Summary!$T$298,Summary!$T$300:$T$302,Summary!$T$304</definedName>
    <definedName name="OSRRefT25x_0" localSheetId="48">'300'!$T$260:$T$268</definedName>
    <definedName name="OSRRefT25x_0" localSheetId="49">'300 &amp; 317'!$T$286:$T$297</definedName>
    <definedName name="OSRRefT25x_0" localSheetId="50">'301'!$T$101:$T$103</definedName>
    <definedName name="OSRRefT25x_0" localSheetId="53">'307'!$T$119</definedName>
    <definedName name="OSRRefT25x_0" localSheetId="55">'308'!$T$120:$T$122</definedName>
    <definedName name="OSRRefT25x_0" localSheetId="74">'310 &amp; 491'!$T$127:$T$129</definedName>
    <definedName name="OSRRefT25x_0" localSheetId="56">'311'!$T$119:$T$121</definedName>
    <definedName name="OSRRefT25x_0" localSheetId="59">'315'!$T$136:$T$138</definedName>
    <definedName name="OSRRefT25x_0" localSheetId="62">'316'!$T$84</definedName>
    <definedName name="OSRRefT25x_0" localSheetId="65">'317'!$T$109:$T$112</definedName>
    <definedName name="OSRRefT25x_0" localSheetId="63">'320'!$T$59:$T$63</definedName>
    <definedName name="OSRRefT25x_0" localSheetId="52">'330'!$T$134</definedName>
    <definedName name="OSRRefT25x_0" localSheetId="58">'331'!$T$164:$T$166</definedName>
    <definedName name="OSRRefT25x_0" localSheetId="61">'332'!$T$94:$T$99</definedName>
    <definedName name="OSRRefT25x_0" localSheetId="78">'411'!$T$94:$T$95</definedName>
    <definedName name="OSRRefT25x_0" localSheetId="80">'413'!$T$69</definedName>
    <definedName name="OSRRefT25x_0" localSheetId="82">'415'!$T$90</definedName>
    <definedName name="OSRRefT25x_0" localSheetId="83">'418'!$T$85</definedName>
    <definedName name="OSRRefT25x_0" localSheetId="85">'423'!$T$44</definedName>
    <definedName name="OSRRefT25x_0" localSheetId="86">'424'!$T$61</definedName>
    <definedName name="OSRRefT25x_0" localSheetId="87">'425'!$T$81</definedName>
    <definedName name="OSRRefT25x_0" localSheetId="88">'455'!$T$32:$T$34</definedName>
    <definedName name="OSRRefT25x_0" localSheetId="75">'491'!$T$120:$T$122</definedName>
    <definedName name="OSRRefT25x_0" localSheetId="96">'501'!$T$67</definedName>
    <definedName name="OSRRefT25x_0" localSheetId="47">'Div 3'!$T$269:$T$277</definedName>
    <definedName name="OSRRefT25x_0" localSheetId="73">'Div 4'!$T$122:$T$124</definedName>
    <definedName name="OSRRefT25x_0" localSheetId="95">'Div 5'!$T$67</definedName>
    <definedName name="OSRRefT25x_0" localSheetId="64">'Div 6'!$T$109:$T$112</definedName>
    <definedName name="OSRRefT25x_0" localSheetId="2">Summary!$T$307:$T$319</definedName>
    <definedName name="_xlnm.Print_Area" localSheetId="38">'100'!$A$1:$Z$34</definedName>
    <definedName name="_xlnm.Print_Area" localSheetId="40">'200'!$A$1:$Z$43</definedName>
    <definedName name="_xlnm.Print_Area" localSheetId="41">'201'!$A$1:$Z$80</definedName>
    <definedName name="_xlnm.Print_Area" localSheetId="42">'202'!$A$1:$Z$80</definedName>
    <definedName name="_xlnm.Print_Area" localSheetId="43">'203'!$A$1:$Z$83</definedName>
    <definedName name="_xlnm.Print_Area" localSheetId="44">'204'!$A$1:$Z$71</definedName>
    <definedName name="_xlnm.Print_Area" localSheetId="45">'205'!$A$1:$Z$61</definedName>
    <definedName name="_xlnm.Print_Area" localSheetId="46">'206'!$A$1:$Z$61</definedName>
    <definedName name="_xlnm.Print_Area" localSheetId="48">'300'!$A$1:$Z$280</definedName>
    <definedName name="_xlnm.Print_Area" localSheetId="49">'300 &amp; 317'!$A$1:$Z$309</definedName>
    <definedName name="_xlnm.Print_Area" localSheetId="50">'301'!$A$1:$Z$115</definedName>
    <definedName name="_xlnm.Print_Area" localSheetId="51">'306'!$A$1:$Z$68</definedName>
    <definedName name="_xlnm.Print_Area" localSheetId="53">'307'!$A$1:$Z$131</definedName>
    <definedName name="_xlnm.Print_Area" localSheetId="55">'308'!$A$1:$Z$134</definedName>
    <definedName name="_xlnm.Print_Area" localSheetId="67">'309'!$A$1:$Z$78</definedName>
    <definedName name="_xlnm.Print_Area" localSheetId="66">'310'!$A$1:$Z$115</definedName>
    <definedName name="_xlnm.Print_Area" localSheetId="74">'310 &amp; 491'!$A$1:$Z$141</definedName>
    <definedName name="_xlnm.Print_Area" localSheetId="56">'311'!$A$1:$Z$133</definedName>
    <definedName name="_xlnm.Print_Area" localSheetId="68">'313'!$A$1:$Z$85</definedName>
    <definedName name="_xlnm.Print_Area" localSheetId="54">'314'!$A$1:$Z$98</definedName>
    <definedName name="_xlnm.Print_Area" localSheetId="59">'315'!$A$1:$Z$150</definedName>
    <definedName name="_xlnm.Print_Area" localSheetId="62">'316'!$A$1:$Z$96</definedName>
    <definedName name="_xlnm.Print_Area" localSheetId="65">'317'!$A$1:$Z$124</definedName>
    <definedName name="_xlnm.Print_Area" localSheetId="63">'320'!$A$1:$Z$75</definedName>
    <definedName name="_xlnm.Print_Area" localSheetId="69">'321'!$A$1:$Z$81</definedName>
    <definedName name="_xlnm.Print_Area" localSheetId="70">'322'!$A$1:$Z$84</definedName>
    <definedName name="_xlnm.Print_Area" localSheetId="57">'324'!$A$1:$Z$37</definedName>
    <definedName name="_xlnm.Print_Area" localSheetId="71">'325'!$A$1:$Z$92</definedName>
    <definedName name="_xlnm.Print_Area" localSheetId="60">'326'!$A$1:$Z$138</definedName>
    <definedName name="_xlnm.Print_Area" localSheetId="72">'327'!$A$1:$Z$40</definedName>
    <definedName name="_xlnm.Print_Area" localSheetId="52">'330'!$A$1:$Z$146</definedName>
    <definedName name="_xlnm.Print_Area" localSheetId="58">'331'!$A$1:$Z$178</definedName>
    <definedName name="_xlnm.Print_Area" localSheetId="61">'332'!$A$1:$Z$111</definedName>
    <definedName name="_xlnm.Print_Area" localSheetId="76">'405'!$A$1:$Z$93</definedName>
    <definedName name="_xlnm.Print_Area" localSheetId="77">'406'!$A$1:$Z$86</definedName>
    <definedName name="_xlnm.Print_Area" localSheetId="78">'411'!$A$1:$Z$107</definedName>
    <definedName name="_xlnm.Print_Area" localSheetId="79">'412'!$A$1:$Z$85</definedName>
    <definedName name="_xlnm.Print_Area" localSheetId="80">'413'!$A$1:$Z$81</definedName>
    <definedName name="_xlnm.Print_Area" localSheetId="81">'414'!$A$1:$Z$87</definedName>
    <definedName name="_xlnm.Print_Area" localSheetId="82">'415'!$A$1:$Z$102</definedName>
    <definedName name="_xlnm.Print_Area" localSheetId="83">'418'!$A$1:$Z$97</definedName>
    <definedName name="_xlnm.Print_Area" localSheetId="84">'420'!$A$1:$Z$63</definedName>
    <definedName name="_xlnm.Print_Area" localSheetId="85">'423'!$A$1:$Z$56</definedName>
    <definedName name="_xlnm.Print_Area" localSheetId="86">'424'!$A$1:$Z$73</definedName>
    <definedName name="_xlnm.Print_Area" localSheetId="87">'425'!$A$1:$Z$93</definedName>
    <definedName name="_xlnm.Print_Area" localSheetId="90">'430'!$A$1:$Z$56</definedName>
    <definedName name="_xlnm.Print_Area" localSheetId="91">'433'!$A$1:$Z$95</definedName>
    <definedName name="_xlnm.Print_Area" localSheetId="92">'435'!$A$1:$Z$61</definedName>
    <definedName name="_xlnm.Print_Area" localSheetId="93">'444'!$A$1:$Z$100</definedName>
    <definedName name="_xlnm.Print_Area" localSheetId="94">'450'!$A$1:$Z$94</definedName>
    <definedName name="_xlnm.Print_Area" localSheetId="88">'455'!$A$1:$Z$46</definedName>
    <definedName name="_xlnm.Print_Area" localSheetId="75">'491'!$A$1:$Z$134</definedName>
    <definedName name="_xlnm.Print_Area" localSheetId="89">'492'!$A$1:$Z$105</definedName>
    <definedName name="_xlnm.Print_Area" localSheetId="96">'501'!$A$1:$Z$79</definedName>
    <definedName name="_xlnm.Print_Area" localSheetId="97">Dept!$A$1:$Z$39</definedName>
    <definedName name="_xlnm.Print_Area" localSheetId="37">'Div 1'!$A$1:$Z$34</definedName>
    <definedName name="_xlnm.Print_Area" localSheetId="39">'Div 2'!$A$1:$Z$101</definedName>
    <definedName name="_xlnm.Print_Area" localSheetId="47">'Div 3'!$A$1:$Z$289</definedName>
    <definedName name="_xlnm.Print_Area" localSheetId="73">'Div 4'!$A$1:$Z$136</definedName>
    <definedName name="_xlnm.Print_Area" localSheetId="95">'Div 5'!$A$1:$Z$79</definedName>
    <definedName name="_xlnm.Print_Area" localSheetId="64">'Div 6'!$A$1:$Z$124</definedName>
    <definedName name="_xlnm.Print_Area" localSheetId="13">'OSR_300 &amp; 317_1C00ID4'!$A$1:$Z$39</definedName>
    <definedName name="_xlnm.Print_Area" localSheetId="10">'OSR_300 (2)_7...54cb56fc_UFX0O2'!$A$1:$Z$39</definedName>
    <definedName name="_xlnm.Print_Area" localSheetId="14">'OSR_300 (2)_c...79cd3046_1TJM0H'!$A$1:$Z$39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(2)_0...c51cc666_QIOT67'!$A$1:$Z$39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8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12">'OSR_Div 3 (2)...b7db256a_40ITCB'!$A$1:$Z$39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(2...09141158_1BG9FGV'!$A$1:$Z$39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99">'OSR_Summary (...56e5d78f_5JEYZH'!$A$1:$Z$39</definedName>
    <definedName name="_xlnm.Print_Area" localSheetId="3">OSR_Summary_18VAVWG!$A$1:$Z$39</definedName>
    <definedName name="_xlnm.Print_Area" localSheetId="2">Summary!$A$1:$Z$333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57">'324'!$A:$C,'324'!$1:$10</definedName>
    <definedName name="_xlnm.Print_Titles" localSheetId="71">'325'!$A:$C,'325'!$1:$10</definedName>
    <definedName name="_xlnm.Print_Titles" localSheetId="60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0">'413'!$A:$C,'413'!$1:$10</definedName>
    <definedName name="_xlnm.Print_Titles" localSheetId="81">'414'!$A:$C,'414'!$1:$10</definedName>
    <definedName name="_xlnm.Print_Titles" localSheetId="82">'415'!$A:$C,'415'!$1:$10</definedName>
    <definedName name="_xlnm.Print_Titles" localSheetId="83">'418'!$A:$C,'418'!$1:$10</definedName>
    <definedName name="_xlnm.Print_Titles" localSheetId="84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6">'501'!$A:$C,'501'!$1:$10</definedName>
    <definedName name="_xlnm.Print_Titles" localSheetId="97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5">'Div 5'!$A:$C,'Div 5'!$1:$10</definedName>
    <definedName name="_xlnm.Print_Titles" localSheetId="64">'Div 6'!$A:$C,'Div 6'!$1:$10</definedName>
    <definedName name="_xlnm.Print_Titles" localSheetId="13">'OSR_300 &amp; 317_1C00ID4'!$A:$C,'OSR_300 &amp; 317_1C00ID4'!$1:$10</definedName>
    <definedName name="_xlnm.Print_Titles" localSheetId="10">'OSR_300 (2)_7...54cb56fc_UFX0O2'!$A:$C,'OSR_300 (2)_7...54cb56fc_UFX0O2'!$1:$10</definedName>
    <definedName name="_xlnm.Print_Titles" localSheetId="14">'OSR_300 (2)_c...79cd3046_1TJM0H'!$A:$C,'OSR_300 (2)_c...79cd3046_1TJM0H'!$1:$10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(2)_0...c51cc666_QIOT67'!$A:$C,'OSR_491 (2)_0...c51cc666_QIOT67'!$1:$10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8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12">'OSR_Div 3 (2)...b7db256a_40ITCB'!$A:$C,'OSR_Div 3 (2)...b7db256a_40ITCB'!$1:$10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(2...09141158_1BG9FGV'!$A:$C,'OSR_Div 5 (2...09141158_1BG9FGV'!$1:$10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99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1" i="97" l="1"/>
  <c r="X71" i="97"/>
  <c r="N71" i="97"/>
  <c r="L71" i="97"/>
  <c r="T67" i="97"/>
  <c r="Z67" i="97" s="1"/>
  <c r="P67" i="97"/>
  <c r="X67" i="97" s="1"/>
  <c r="H67" i="97"/>
  <c r="H66" i="97" s="1"/>
  <c r="D67" i="97"/>
  <c r="B67" i="97"/>
  <c r="T66" i="97"/>
  <c r="Z66" i="97" s="1"/>
  <c r="P66" i="97"/>
  <c r="X66" i="97" s="1"/>
  <c r="L66" i="97"/>
  <c r="D66" i="97"/>
  <c r="X64" i="97"/>
  <c r="Z64" i="97" s="1"/>
  <c r="L64" i="97"/>
  <c r="N64" i="97" s="1"/>
  <c r="F64" i="97"/>
  <c r="B64" i="97"/>
  <c r="T63" i="97"/>
  <c r="P63" i="97"/>
  <c r="X63" i="97" s="1"/>
  <c r="H63" i="97"/>
  <c r="F63" i="97"/>
  <c r="D63" i="97"/>
  <c r="L63" i="97" s="1"/>
  <c r="N63" i="97" s="1"/>
  <c r="B63" i="97"/>
  <c r="X62" i="97"/>
  <c r="Z62" i="97" s="1"/>
  <c r="L62" i="97"/>
  <c r="N62" i="97" s="1"/>
  <c r="F62" i="97"/>
  <c r="B62" i="97"/>
  <c r="Z61" i="97"/>
  <c r="X61" i="97"/>
  <c r="T61" i="97"/>
  <c r="P61" i="97"/>
  <c r="H61" i="97"/>
  <c r="F61" i="97"/>
  <c r="D61" i="97"/>
  <c r="L61" i="97" s="1"/>
  <c r="N61" i="97" s="1"/>
  <c r="B61" i="97"/>
  <c r="Z60" i="97"/>
  <c r="X60" i="97"/>
  <c r="N60" i="97"/>
  <c r="L60" i="97"/>
  <c r="B60" i="97"/>
  <c r="Z59" i="97"/>
  <c r="X59" i="97"/>
  <c r="N59" i="97"/>
  <c r="L59" i="97"/>
  <c r="B59" i="97"/>
  <c r="X58" i="97"/>
  <c r="Z58" i="97" s="1"/>
  <c r="N58" i="97"/>
  <c r="L58" i="97"/>
  <c r="B58" i="97"/>
  <c r="T57" i="97"/>
  <c r="P57" i="97"/>
  <c r="X57" i="97" s="1"/>
  <c r="Z57" i="97" s="1"/>
  <c r="N57" i="97"/>
  <c r="H57" i="97"/>
  <c r="L57" i="97" s="1"/>
  <c r="D57" i="97"/>
  <c r="B57" i="97"/>
  <c r="X56" i="97"/>
  <c r="Z56" i="97" s="1"/>
  <c r="N56" i="97"/>
  <c r="L56" i="97"/>
  <c r="F56" i="97"/>
  <c r="B56" i="97"/>
  <c r="Z55" i="97"/>
  <c r="X55" i="97"/>
  <c r="T55" i="97"/>
  <c r="P55" i="97"/>
  <c r="H55" i="97"/>
  <c r="N55" i="97" s="1"/>
  <c r="F55" i="97"/>
  <c r="D55" i="97"/>
  <c r="L55" i="97" s="1"/>
  <c r="B55" i="97"/>
  <c r="X54" i="97"/>
  <c r="Z54" i="97" s="1"/>
  <c r="N54" i="97"/>
  <c r="L54" i="97"/>
  <c r="F54" i="97"/>
  <c r="B54" i="97"/>
  <c r="Z53" i="97"/>
  <c r="X53" i="97"/>
  <c r="N53" i="97"/>
  <c r="L53" i="97"/>
  <c r="B53" i="97"/>
  <c r="X52" i="97"/>
  <c r="Z52" i="97" s="1"/>
  <c r="N52" i="97"/>
  <c r="L52" i="97"/>
  <c r="B52" i="97"/>
  <c r="T51" i="97"/>
  <c r="P51" i="97"/>
  <c r="X51" i="97" s="1"/>
  <c r="N51" i="97"/>
  <c r="L51" i="97"/>
  <c r="H51" i="97"/>
  <c r="D51" i="97"/>
  <c r="B51" i="97"/>
  <c r="X50" i="97"/>
  <c r="Z50" i="97" s="1"/>
  <c r="L50" i="97"/>
  <c r="N50" i="97" s="1"/>
  <c r="B50" i="97"/>
  <c r="Z49" i="97"/>
  <c r="X49" i="97"/>
  <c r="T49" i="97"/>
  <c r="P49" i="97"/>
  <c r="J49" i="97"/>
  <c r="H49" i="97"/>
  <c r="L49" i="97" s="1"/>
  <c r="N49" i="97" s="1"/>
  <c r="D49" i="97"/>
  <c r="B49" i="97"/>
  <c r="Z48" i="97"/>
  <c r="X48" i="97"/>
  <c r="L48" i="97"/>
  <c r="N48" i="97" s="1"/>
  <c r="F48" i="97"/>
  <c r="B48" i="97"/>
  <c r="T47" i="97"/>
  <c r="P47" i="97"/>
  <c r="H47" i="97"/>
  <c r="N47" i="97" s="1"/>
  <c r="F47" i="97"/>
  <c r="D47" i="97"/>
  <c r="L47" i="97" s="1"/>
  <c r="B47" i="97"/>
  <c r="X46" i="97"/>
  <c r="Z46" i="97" s="1"/>
  <c r="N46" i="97"/>
  <c r="L46" i="97"/>
  <c r="F46" i="97"/>
  <c r="B46" i="97"/>
  <c r="Z45" i="97"/>
  <c r="X45" i="97"/>
  <c r="T45" i="97"/>
  <c r="P45" i="97"/>
  <c r="H45" i="97"/>
  <c r="N45" i="97" s="1"/>
  <c r="F45" i="97"/>
  <c r="D45" i="97"/>
  <c r="L45" i="97" s="1"/>
  <c r="B45" i="97"/>
  <c r="Z44" i="97"/>
  <c r="X44" i="97"/>
  <c r="N44" i="97"/>
  <c r="L44" i="97"/>
  <c r="B44" i="97"/>
  <c r="Z43" i="97"/>
  <c r="X43" i="97"/>
  <c r="N43" i="97"/>
  <c r="L43" i="97"/>
  <c r="B43" i="97"/>
  <c r="T42" i="97"/>
  <c r="Z42" i="97" s="1"/>
  <c r="P42" i="97"/>
  <c r="X42" i="97" s="1"/>
  <c r="N42" i="97"/>
  <c r="H42" i="97"/>
  <c r="L42" i="97" s="1"/>
  <c r="D42" i="97"/>
  <c r="B42" i="97"/>
  <c r="X41" i="97"/>
  <c r="Z41" i="97" s="1"/>
  <c r="N41" i="97"/>
  <c r="L41" i="97"/>
  <c r="B41" i="97"/>
  <c r="T40" i="97"/>
  <c r="P40" i="97"/>
  <c r="X40" i="97" s="1"/>
  <c r="Z40" i="97" s="1"/>
  <c r="N40" i="97"/>
  <c r="L40" i="97"/>
  <c r="H40" i="97"/>
  <c r="D40" i="97"/>
  <c r="B40" i="97"/>
  <c r="Z39" i="97"/>
  <c r="X39" i="97"/>
  <c r="N39" i="97"/>
  <c r="L39" i="97"/>
  <c r="J39" i="97"/>
  <c r="B39" i="97"/>
  <c r="X38" i="97"/>
  <c r="T38" i="97"/>
  <c r="Z38" i="97" s="1"/>
  <c r="P38" i="97"/>
  <c r="L38" i="97"/>
  <c r="H38" i="97"/>
  <c r="D38" i="97"/>
  <c r="B38" i="97"/>
  <c r="Z37" i="97"/>
  <c r="X37" i="97"/>
  <c r="N37" i="97"/>
  <c r="L37" i="97"/>
  <c r="J37" i="97"/>
  <c r="B37" i="97"/>
  <c r="T36" i="97"/>
  <c r="X36" i="97" s="1"/>
  <c r="Z36" i="97" s="1"/>
  <c r="P36" i="97"/>
  <c r="H36" i="97"/>
  <c r="N36" i="97" s="1"/>
  <c r="D36" i="97"/>
  <c r="B36" i="97"/>
  <c r="Z35" i="97"/>
  <c r="X35" i="97"/>
  <c r="N35" i="97"/>
  <c r="L35" i="97"/>
  <c r="B35" i="97"/>
  <c r="X34" i="97"/>
  <c r="Z34" i="97" s="1"/>
  <c r="L34" i="97"/>
  <c r="N34" i="97" s="1"/>
  <c r="B34" i="97"/>
  <c r="X33" i="97"/>
  <c r="Z33" i="97" s="1"/>
  <c r="N33" i="97"/>
  <c r="L33" i="97"/>
  <c r="B33" i="97"/>
  <c r="Z32" i="97"/>
  <c r="X32" i="97"/>
  <c r="L32" i="97"/>
  <c r="N32" i="97" s="1"/>
  <c r="F32" i="97"/>
  <c r="B32" i="97"/>
  <c r="Z31" i="97"/>
  <c r="X31" i="97"/>
  <c r="N31" i="97"/>
  <c r="L31" i="97"/>
  <c r="B31" i="97"/>
  <c r="X30" i="97"/>
  <c r="T30" i="97"/>
  <c r="Z30" i="97" s="1"/>
  <c r="P30" i="97"/>
  <c r="H30" i="97"/>
  <c r="D30" i="97"/>
  <c r="L30" i="97" s="1"/>
  <c r="N30" i="97" s="1"/>
  <c r="B30" i="97"/>
  <c r="Z29" i="97"/>
  <c r="X29" i="97"/>
  <c r="N29" i="97"/>
  <c r="L29" i="97"/>
  <c r="B29" i="97"/>
  <c r="X28" i="97"/>
  <c r="Z28" i="97" s="1"/>
  <c r="N28" i="97"/>
  <c r="L28" i="97"/>
  <c r="B28" i="97"/>
  <c r="Z27" i="97"/>
  <c r="X27" i="97"/>
  <c r="N27" i="97"/>
  <c r="L27" i="97"/>
  <c r="J27" i="97"/>
  <c r="B27" i="97"/>
  <c r="Z26" i="97"/>
  <c r="X26" i="97"/>
  <c r="N26" i="97"/>
  <c r="L26" i="97"/>
  <c r="F26" i="97"/>
  <c r="B26" i="97"/>
  <c r="Z25" i="97"/>
  <c r="X25" i="97"/>
  <c r="N25" i="97"/>
  <c r="L25" i="97"/>
  <c r="B25" i="97"/>
  <c r="X24" i="97"/>
  <c r="Z24" i="97" s="1"/>
  <c r="N24" i="97"/>
  <c r="L24" i="97"/>
  <c r="B24" i="97"/>
  <c r="Z23" i="97"/>
  <c r="X23" i="97"/>
  <c r="N23" i="97"/>
  <c r="L23" i="97"/>
  <c r="J23" i="97"/>
  <c r="B23" i="97"/>
  <c r="X22" i="97"/>
  <c r="Z22" i="97" s="1"/>
  <c r="L22" i="97"/>
  <c r="N22" i="97" s="1"/>
  <c r="F22" i="97"/>
  <c r="B22" i="97"/>
  <c r="Z21" i="97"/>
  <c r="X21" i="97"/>
  <c r="L21" i="97"/>
  <c r="N21" i="97" s="1"/>
  <c r="B21" i="97"/>
  <c r="T20" i="97"/>
  <c r="P20" i="97"/>
  <c r="L20" i="97"/>
  <c r="H20" i="97"/>
  <c r="N20" i="97" s="1"/>
  <c r="D20" i="97"/>
  <c r="B20" i="97"/>
  <c r="T19" i="97"/>
  <c r="Z19" i="97" s="1"/>
  <c r="P19" i="97"/>
  <c r="X19" i="97" s="1"/>
  <c r="H19" i="97"/>
  <c r="N19" i="97" s="1"/>
  <c r="D19" i="97"/>
  <c r="L19" i="97" s="1"/>
  <c r="V17" i="97"/>
  <c r="T17" i="97"/>
  <c r="Z15" i="97"/>
  <c r="T15" i="97"/>
  <c r="P15" i="97"/>
  <c r="X15" i="97" s="1"/>
  <c r="H15" i="97"/>
  <c r="N15" i="97" s="1"/>
  <c r="D15" i="97"/>
  <c r="L15" i="97" s="1"/>
  <c r="T13" i="97"/>
  <c r="T12" i="97" s="1"/>
  <c r="P13" i="97"/>
  <c r="L13" i="97"/>
  <c r="N13" i="97" s="1"/>
  <c r="H13" i="97"/>
  <c r="D13" i="97"/>
  <c r="B13" i="97"/>
  <c r="H12" i="97"/>
  <c r="J63" i="97" s="1"/>
  <c r="D12" i="97"/>
  <c r="D6" i="97"/>
  <c r="D4" i="97"/>
  <c r="V43" i="96"/>
  <c r="J43" i="96"/>
  <c r="F43" i="96"/>
  <c r="Z38" i="96"/>
  <c r="X38" i="96"/>
  <c r="V38" i="96"/>
  <c r="N38" i="96"/>
  <c r="L38" i="96"/>
  <c r="J36" i="96"/>
  <c r="V34" i="96"/>
  <c r="T34" i="96"/>
  <c r="P34" i="96"/>
  <c r="H34" i="96"/>
  <c r="D34" i="96"/>
  <c r="L34" i="96" s="1"/>
  <c r="N34" i="96" s="1"/>
  <c r="B34" i="96"/>
  <c r="T33" i="96"/>
  <c r="P33" i="96"/>
  <c r="L33" i="96"/>
  <c r="J33" i="96"/>
  <c r="H33" i="96"/>
  <c r="N33" i="96" s="1"/>
  <c r="D33" i="96"/>
  <c r="B33" i="96"/>
  <c r="Z32" i="96"/>
  <c r="X32" i="96"/>
  <c r="T32" i="96"/>
  <c r="P32" i="96"/>
  <c r="H32" i="96"/>
  <c r="D32" i="96"/>
  <c r="B32" i="96"/>
  <c r="J31" i="96"/>
  <c r="F31" i="96"/>
  <c r="D31" i="96"/>
  <c r="Z29" i="96"/>
  <c r="X29" i="96"/>
  <c r="N29" i="96"/>
  <c r="L29" i="96"/>
  <c r="B29" i="96"/>
  <c r="Z28" i="96"/>
  <c r="X28" i="96"/>
  <c r="V28" i="96"/>
  <c r="R28" i="96"/>
  <c r="N28" i="96"/>
  <c r="L28" i="96"/>
  <c r="B28" i="96"/>
  <c r="T27" i="96"/>
  <c r="P27" i="96"/>
  <c r="X27" i="96" s="1"/>
  <c r="Z27" i="96" s="1"/>
  <c r="H27" i="96"/>
  <c r="N27" i="96" s="1"/>
  <c r="D27" i="96"/>
  <c r="L27" i="96" s="1"/>
  <c r="B27" i="96"/>
  <c r="X26" i="96"/>
  <c r="Z26" i="96" s="1"/>
  <c r="N26" i="96"/>
  <c r="L26" i="96"/>
  <c r="B26" i="96"/>
  <c r="X25" i="96"/>
  <c r="Z25" i="96" s="1"/>
  <c r="V25" i="96"/>
  <c r="N25" i="96"/>
  <c r="L25" i="96"/>
  <c r="J25" i="96"/>
  <c r="F25" i="96"/>
  <c r="B25" i="96"/>
  <c r="Z24" i="96"/>
  <c r="X24" i="96"/>
  <c r="N24" i="96"/>
  <c r="L24" i="96"/>
  <c r="J24" i="96"/>
  <c r="B24" i="96"/>
  <c r="X23" i="96"/>
  <c r="Z23" i="96" s="1"/>
  <c r="N23" i="96"/>
  <c r="L23" i="96"/>
  <c r="J23" i="96"/>
  <c r="B23" i="96"/>
  <c r="X22" i="96"/>
  <c r="Z22" i="96" s="1"/>
  <c r="V22" i="96"/>
  <c r="R22" i="96"/>
  <c r="N22" i="96"/>
  <c r="L22" i="96"/>
  <c r="J22" i="96"/>
  <c r="B22" i="96"/>
  <c r="Z21" i="96"/>
  <c r="X21" i="96"/>
  <c r="V21" i="96"/>
  <c r="N21" i="96"/>
  <c r="L21" i="96"/>
  <c r="J21" i="96"/>
  <c r="F21" i="96"/>
  <c r="B21" i="96"/>
  <c r="X20" i="96"/>
  <c r="Z20" i="96" s="1"/>
  <c r="N20" i="96"/>
  <c r="L20" i="96"/>
  <c r="J20" i="96"/>
  <c r="B20" i="96"/>
  <c r="Z19" i="96"/>
  <c r="X19" i="96"/>
  <c r="T19" i="96"/>
  <c r="P19" i="96"/>
  <c r="J19" i="96"/>
  <c r="H19" i="96"/>
  <c r="N19" i="96" s="1"/>
  <c r="D19" i="96"/>
  <c r="L19" i="96" s="1"/>
  <c r="B19" i="96"/>
  <c r="T18" i="96"/>
  <c r="Z18" i="96" s="1"/>
  <c r="P18" i="96"/>
  <c r="X18" i="96" s="1"/>
  <c r="J18" i="96"/>
  <c r="H18" i="96"/>
  <c r="N18" i="96" s="1"/>
  <c r="F18" i="96"/>
  <c r="D18" i="96"/>
  <c r="L18" i="96" s="1"/>
  <c r="Z16" i="96"/>
  <c r="J16" i="96"/>
  <c r="F16" i="96"/>
  <c r="D16" i="96"/>
  <c r="Z14" i="96"/>
  <c r="T14" i="96"/>
  <c r="T16" i="96" s="1"/>
  <c r="P14" i="96"/>
  <c r="X14" i="96" s="1"/>
  <c r="J14" i="96"/>
  <c r="H14" i="96"/>
  <c r="N14" i="96" s="1"/>
  <c r="F14" i="96"/>
  <c r="D14" i="96"/>
  <c r="L14" i="96" s="1"/>
  <c r="Z12" i="96"/>
  <c r="T12" i="96"/>
  <c r="V36" i="96" s="1"/>
  <c r="P12" i="96"/>
  <c r="R18" i="96" s="1"/>
  <c r="N12" i="96"/>
  <c r="H12" i="96"/>
  <c r="D12" i="96"/>
  <c r="F24" i="96" s="1"/>
  <c r="D6" i="96"/>
  <c r="D4" i="96"/>
  <c r="Z86" i="95"/>
  <c r="X86" i="95"/>
  <c r="L86" i="95"/>
  <c r="N86" i="95" s="1"/>
  <c r="T82" i="95"/>
  <c r="Z82" i="95" s="1"/>
  <c r="P82" i="95"/>
  <c r="X82" i="95" s="1"/>
  <c r="N82" i="95"/>
  <c r="H82" i="95"/>
  <c r="D82" i="95"/>
  <c r="L82" i="95" s="1"/>
  <c r="X80" i="95"/>
  <c r="Z80" i="95" s="1"/>
  <c r="N80" i="95"/>
  <c r="L80" i="95"/>
  <c r="B80" i="95"/>
  <c r="T79" i="95"/>
  <c r="P79" i="95"/>
  <c r="X79" i="95" s="1"/>
  <c r="Z79" i="95" s="1"/>
  <c r="H79" i="95"/>
  <c r="N79" i="95" s="1"/>
  <c r="D79" i="95"/>
  <c r="B79" i="95"/>
  <c r="X78" i="95"/>
  <c r="Z78" i="95" s="1"/>
  <c r="N78" i="95"/>
  <c r="L78" i="95"/>
  <c r="B78" i="95"/>
  <c r="X77" i="95"/>
  <c r="T77" i="95"/>
  <c r="Z77" i="95" s="1"/>
  <c r="P77" i="95"/>
  <c r="H77" i="95"/>
  <c r="N77" i="95" s="1"/>
  <c r="D77" i="95"/>
  <c r="L77" i="95" s="1"/>
  <c r="B77" i="95"/>
  <c r="X76" i="95"/>
  <c r="Z76" i="95" s="1"/>
  <c r="L76" i="95"/>
  <c r="N76" i="95" s="1"/>
  <c r="B76" i="95"/>
  <c r="Z75" i="95"/>
  <c r="X75" i="95"/>
  <c r="T75" i="95"/>
  <c r="P75" i="95"/>
  <c r="H75" i="95"/>
  <c r="D75" i="95"/>
  <c r="L75" i="95" s="1"/>
  <c r="B75" i="95"/>
  <c r="Z74" i="95"/>
  <c r="X74" i="95"/>
  <c r="N74" i="95"/>
  <c r="L74" i="95"/>
  <c r="B74" i="95"/>
  <c r="X73" i="95"/>
  <c r="Z73" i="95" s="1"/>
  <c r="N73" i="95"/>
  <c r="L73" i="95"/>
  <c r="B73" i="95"/>
  <c r="X72" i="95"/>
  <c r="Z72" i="95" s="1"/>
  <c r="N72" i="95"/>
  <c r="L72" i="95"/>
  <c r="J72" i="95"/>
  <c r="B72" i="95"/>
  <c r="Z71" i="95"/>
  <c r="X71" i="95"/>
  <c r="N71" i="95"/>
  <c r="L71" i="95"/>
  <c r="B71" i="95"/>
  <c r="Z70" i="95"/>
  <c r="X70" i="95"/>
  <c r="N70" i="95"/>
  <c r="L70" i="95"/>
  <c r="B70" i="95"/>
  <c r="X69" i="95"/>
  <c r="Z69" i="95" s="1"/>
  <c r="L69" i="95"/>
  <c r="N69" i="95" s="1"/>
  <c r="B69" i="95"/>
  <c r="T68" i="95"/>
  <c r="P68" i="95"/>
  <c r="X68" i="95" s="1"/>
  <c r="N68" i="95"/>
  <c r="H68" i="95"/>
  <c r="D68" i="95"/>
  <c r="L68" i="95" s="1"/>
  <c r="B68" i="95"/>
  <c r="Z67" i="95"/>
  <c r="X67" i="95"/>
  <c r="N67" i="95"/>
  <c r="L67" i="95"/>
  <c r="B67" i="95"/>
  <c r="X66" i="95"/>
  <c r="Z66" i="95" s="1"/>
  <c r="L66" i="95"/>
  <c r="N66" i="95" s="1"/>
  <c r="F66" i="95"/>
  <c r="B66" i="95"/>
  <c r="X65" i="95"/>
  <c r="Z65" i="95" s="1"/>
  <c r="N65" i="95"/>
  <c r="L65" i="95"/>
  <c r="B65" i="95"/>
  <c r="X64" i="95"/>
  <c r="Z64" i="95" s="1"/>
  <c r="T64" i="95"/>
  <c r="P64" i="95"/>
  <c r="H64" i="95"/>
  <c r="D64" i="95"/>
  <c r="L64" i="95" s="1"/>
  <c r="B64" i="95"/>
  <c r="Z63" i="95"/>
  <c r="X63" i="95"/>
  <c r="N63" i="95"/>
  <c r="L63" i="95"/>
  <c r="B63" i="95"/>
  <c r="X62" i="95"/>
  <c r="Z62" i="95" s="1"/>
  <c r="N62" i="95"/>
  <c r="L62" i="95"/>
  <c r="B62" i="95"/>
  <c r="T61" i="95"/>
  <c r="P61" i="95"/>
  <c r="X61" i="95" s="1"/>
  <c r="N61" i="95"/>
  <c r="L61" i="95"/>
  <c r="H61" i="95"/>
  <c r="D61" i="95"/>
  <c r="B61" i="95"/>
  <c r="X60" i="95"/>
  <c r="Z60" i="95" s="1"/>
  <c r="L60" i="95"/>
  <c r="N60" i="95" s="1"/>
  <c r="B60" i="95"/>
  <c r="T59" i="95"/>
  <c r="P59" i="95"/>
  <c r="X59" i="95" s="1"/>
  <c r="Z59" i="95" s="1"/>
  <c r="L59" i="95"/>
  <c r="H59" i="95"/>
  <c r="D59" i="95"/>
  <c r="B59" i="95"/>
  <c r="X58" i="95"/>
  <c r="Z58" i="95" s="1"/>
  <c r="L58" i="95"/>
  <c r="N58" i="95" s="1"/>
  <c r="B58" i="95"/>
  <c r="X57" i="95"/>
  <c r="T57" i="95"/>
  <c r="Z57" i="95" s="1"/>
  <c r="P57" i="95"/>
  <c r="H57" i="95"/>
  <c r="D57" i="95"/>
  <c r="B57" i="95"/>
  <c r="X56" i="95"/>
  <c r="Z56" i="95" s="1"/>
  <c r="N56" i="95"/>
  <c r="L56" i="95"/>
  <c r="B56" i="95"/>
  <c r="Z55" i="95"/>
  <c r="X55" i="95"/>
  <c r="T55" i="95"/>
  <c r="P55" i="95"/>
  <c r="H55" i="95"/>
  <c r="N55" i="95" s="1"/>
  <c r="D55" i="95"/>
  <c r="L55" i="95" s="1"/>
  <c r="B55" i="95"/>
  <c r="Z54" i="95"/>
  <c r="X54" i="95"/>
  <c r="N54" i="95"/>
  <c r="L54" i="95"/>
  <c r="B54" i="95"/>
  <c r="T53" i="95"/>
  <c r="P53" i="95"/>
  <c r="N53" i="95"/>
  <c r="H53" i="95"/>
  <c r="D53" i="95"/>
  <c r="L53" i="95" s="1"/>
  <c r="B53" i="95"/>
  <c r="Z52" i="95"/>
  <c r="X52" i="95"/>
  <c r="N52" i="95"/>
  <c r="L52" i="95"/>
  <c r="B52" i="95"/>
  <c r="T51" i="95"/>
  <c r="R51" i="95"/>
  <c r="P51" i="95"/>
  <c r="L51" i="95"/>
  <c r="H51" i="95"/>
  <c r="N51" i="95" s="1"/>
  <c r="D51" i="95"/>
  <c r="B51" i="95"/>
  <c r="X50" i="95"/>
  <c r="Z50" i="95" s="1"/>
  <c r="N50" i="95"/>
  <c r="L50" i="95"/>
  <c r="B50" i="95"/>
  <c r="T49" i="95"/>
  <c r="Z49" i="95" s="1"/>
  <c r="P49" i="95"/>
  <c r="X49" i="95" s="1"/>
  <c r="N49" i="95"/>
  <c r="L49" i="95"/>
  <c r="H49" i="95"/>
  <c r="D49" i="95"/>
  <c r="B49" i="95"/>
  <c r="X48" i="95"/>
  <c r="Z48" i="95" s="1"/>
  <c r="L48" i="95"/>
  <c r="N48" i="95" s="1"/>
  <c r="B48" i="95"/>
  <c r="T47" i="95"/>
  <c r="P47" i="95"/>
  <c r="X47" i="95" s="1"/>
  <c r="Z47" i="95" s="1"/>
  <c r="H47" i="95"/>
  <c r="D47" i="95"/>
  <c r="B47" i="95"/>
  <c r="X46" i="95"/>
  <c r="Z46" i="95" s="1"/>
  <c r="N46" i="95"/>
  <c r="L46" i="95"/>
  <c r="F46" i="95"/>
  <c r="B46" i="95"/>
  <c r="X45" i="95"/>
  <c r="T45" i="95"/>
  <c r="Z45" i="95" s="1"/>
  <c r="P45" i="95"/>
  <c r="H45" i="95"/>
  <c r="N45" i="95" s="1"/>
  <c r="D45" i="95"/>
  <c r="L45" i="95" s="1"/>
  <c r="B45" i="95"/>
  <c r="Z44" i="95"/>
  <c r="X44" i="95"/>
  <c r="N44" i="95"/>
  <c r="L44" i="95"/>
  <c r="B44" i="95"/>
  <c r="Z43" i="95"/>
  <c r="X43" i="95"/>
  <c r="T43" i="95"/>
  <c r="P43" i="95"/>
  <c r="H43" i="95"/>
  <c r="N43" i="95" s="1"/>
  <c r="D43" i="95"/>
  <c r="L43" i="95" s="1"/>
  <c r="B43" i="95"/>
  <c r="Z42" i="95"/>
  <c r="X42" i="95"/>
  <c r="N42" i="95"/>
  <c r="L42" i="95"/>
  <c r="B42" i="95"/>
  <c r="X41" i="95"/>
  <c r="T41" i="95"/>
  <c r="P41" i="95"/>
  <c r="N41" i="95"/>
  <c r="H41" i="95"/>
  <c r="D41" i="95"/>
  <c r="L41" i="95" s="1"/>
  <c r="B41" i="95"/>
  <c r="Z40" i="95"/>
  <c r="X40" i="95"/>
  <c r="N40" i="95"/>
  <c r="L40" i="95"/>
  <c r="B40" i="95"/>
  <c r="Z39" i="95"/>
  <c r="X39" i="95"/>
  <c r="L39" i="95"/>
  <c r="N39" i="95" s="1"/>
  <c r="B39" i="95"/>
  <c r="X38" i="95"/>
  <c r="Z38" i="95" s="1"/>
  <c r="N38" i="95"/>
  <c r="L38" i="95"/>
  <c r="J38" i="95"/>
  <c r="B38" i="95"/>
  <c r="X37" i="95"/>
  <c r="Z37" i="95" s="1"/>
  <c r="N37" i="95"/>
  <c r="L37" i="95"/>
  <c r="B37" i="95"/>
  <c r="Z36" i="95"/>
  <c r="X36" i="95"/>
  <c r="N36" i="95"/>
  <c r="L36" i="95"/>
  <c r="B36" i="95"/>
  <c r="Z35" i="95"/>
  <c r="X35" i="95"/>
  <c r="L35" i="95"/>
  <c r="N35" i="95" s="1"/>
  <c r="B35" i="95"/>
  <c r="T34" i="95"/>
  <c r="Z34" i="95" s="1"/>
  <c r="P34" i="95"/>
  <c r="X34" i="95" s="1"/>
  <c r="N34" i="95"/>
  <c r="L34" i="95"/>
  <c r="J34" i="95"/>
  <c r="H34" i="95"/>
  <c r="D34" i="95"/>
  <c r="B34" i="95"/>
  <c r="Z33" i="95"/>
  <c r="X33" i="95"/>
  <c r="L33" i="95"/>
  <c r="N33" i="95" s="1"/>
  <c r="F33" i="95"/>
  <c r="B33" i="95"/>
  <c r="Z32" i="95"/>
  <c r="X32" i="95"/>
  <c r="L32" i="95"/>
  <c r="N32" i="95" s="1"/>
  <c r="B32" i="95"/>
  <c r="Z31" i="95"/>
  <c r="X31" i="95"/>
  <c r="N31" i="95"/>
  <c r="L31" i="95"/>
  <c r="B31" i="95"/>
  <c r="X30" i="95"/>
  <c r="Z30" i="95" s="1"/>
  <c r="N30" i="95"/>
  <c r="L30" i="95"/>
  <c r="B30" i="95"/>
  <c r="Z29" i="95"/>
  <c r="X29" i="95"/>
  <c r="L29" i="95"/>
  <c r="N29" i="95" s="1"/>
  <c r="B29" i="95"/>
  <c r="Z28" i="95"/>
  <c r="X28" i="95"/>
  <c r="L28" i="95"/>
  <c r="N28" i="95" s="1"/>
  <c r="B28" i="95"/>
  <c r="X27" i="95"/>
  <c r="Z27" i="95" s="1"/>
  <c r="N27" i="95"/>
  <c r="L27" i="95"/>
  <c r="B27" i="95"/>
  <c r="X26" i="95"/>
  <c r="Z26" i="95" s="1"/>
  <c r="N26" i="95"/>
  <c r="L26" i="95"/>
  <c r="B26" i="95"/>
  <c r="Z25" i="95"/>
  <c r="X25" i="95"/>
  <c r="L25" i="95"/>
  <c r="N25" i="95" s="1"/>
  <c r="J25" i="95"/>
  <c r="B25" i="95"/>
  <c r="T24" i="95"/>
  <c r="P24" i="95"/>
  <c r="X24" i="95" s="1"/>
  <c r="Z24" i="95" s="1"/>
  <c r="H24" i="95"/>
  <c r="F24" i="95"/>
  <c r="D24" i="95"/>
  <c r="B24" i="95"/>
  <c r="T23" i="95"/>
  <c r="R23" i="95"/>
  <c r="P23" i="95"/>
  <c r="X23" i="95" s="1"/>
  <c r="Z23" i="95" s="1"/>
  <c r="H23" i="95"/>
  <c r="D23" i="95"/>
  <c r="J21" i="95"/>
  <c r="D21" i="95"/>
  <c r="D84" i="95" s="1"/>
  <c r="Z19" i="95"/>
  <c r="X19" i="95"/>
  <c r="N19" i="95"/>
  <c r="L19" i="95"/>
  <c r="B19" i="95"/>
  <c r="Z18" i="95"/>
  <c r="X18" i="95"/>
  <c r="N18" i="95"/>
  <c r="L18" i="95"/>
  <c r="F18" i="95"/>
  <c r="B18" i="95"/>
  <c r="X17" i="95"/>
  <c r="T17" i="95"/>
  <c r="P17" i="95"/>
  <c r="H17" i="95"/>
  <c r="D17" i="95"/>
  <c r="L17" i="95" s="1"/>
  <c r="N17" i="95" s="1"/>
  <c r="T15" i="95"/>
  <c r="P15" i="95"/>
  <c r="P12" i="95" s="1"/>
  <c r="L15" i="95"/>
  <c r="H15" i="95"/>
  <c r="N15" i="95" s="1"/>
  <c r="D15" i="95"/>
  <c r="B15" i="95"/>
  <c r="X14" i="95"/>
  <c r="T14" i="95"/>
  <c r="P14" i="95"/>
  <c r="H14" i="95"/>
  <c r="N14" i="95" s="1"/>
  <c r="D14" i="95"/>
  <c r="B14" i="95"/>
  <c r="T13" i="95"/>
  <c r="P13" i="95"/>
  <c r="X13" i="95" s="1"/>
  <c r="Z13" i="95" s="1"/>
  <c r="N13" i="95"/>
  <c r="L13" i="95"/>
  <c r="H13" i="95"/>
  <c r="H12" i="95" s="1"/>
  <c r="J23" i="95" s="1"/>
  <c r="D13" i="95"/>
  <c r="B13" i="95"/>
  <c r="D12" i="95"/>
  <c r="F77" i="95" s="1"/>
  <c r="D6" i="95"/>
  <c r="D4" i="95"/>
  <c r="Z92" i="94"/>
  <c r="X92" i="94"/>
  <c r="N92" i="94"/>
  <c r="L92" i="94"/>
  <c r="T88" i="94"/>
  <c r="Z88" i="94" s="1"/>
  <c r="P88" i="94"/>
  <c r="X88" i="94" s="1"/>
  <c r="N88" i="94"/>
  <c r="H88" i="94"/>
  <c r="D88" i="94"/>
  <c r="L88" i="94" s="1"/>
  <c r="Z86" i="94"/>
  <c r="X86" i="94"/>
  <c r="N86" i="94"/>
  <c r="L86" i="94"/>
  <c r="B86" i="94"/>
  <c r="Z85" i="94"/>
  <c r="X85" i="94"/>
  <c r="N85" i="94"/>
  <c r="L85" i="94"/>
  <c r="B85" i="94"/>
  <c r="T84" i="94"/>
  <c r="P84" i="94"/>
  <c r="X84" i="94" s="1"/>
  <c r="Z84" i="94" s="1"/>
  <c r="L84" i="94"/>
  <c r="H84" i="94"/>
  <c r="N84" i="94" s="1"/>
  <c r="D84" i="94"/>
  <c r="B84" i="94"/>
  <c r="X83" i="94"/>
  <c r="Z83" i="94" s="1"/>
  <c r="N83" i="94"/>
  <c r="L83" i="94"/>
  <c r="B83" i="94"/>
  <c r="X82" i="94"/>
  <c r="Z82" i="94" s="1"/>
  <c r="T82" i="94"/>
  <c r="P82" i="94"/>
  <c r="H82" i="94"/>
  <c r="N82" i="94" s="1"/>
  <c r="D82" i="94"/>
  <c r="L82" i="94" s="1"/>
  <c r="B82" i="94"/>
  <c r="X81" i="94"/>
  <c r="Z81" i="94" s="1"/>
  <c r="N81" i="94"/>
  <c r="L81" i="94"/>
  <c r="B81" i="94"/>
  <c r="T80" i="94"/>
  <c r="P80" i="94"/>
  <c r="H80" i="94"/>
  <c r="D80" i="94"/>
  <c r="L80" i="94" s="1"/>
  <c r="N80" i="94" s="1"/>
  <c r="B80" i="94"/>
  <c r="Z79" i="94"/>
  <c r="X79" i="94"/>
  <c r="N79" i="94"/>
  <c r="L79" i="94"/>
  <c r="B79" i="94"/>
  <c r="X78" i="94"/>
  <c r="Z78" i="94" s="1"/>
  <c r="N78" i="94"/>
  <c r="L78" i="94"/>
  <c r="B78" i="94"/>
  <c r="Z77" i="94"/>
  <c r="X77" i="94"/>
  <c r="N77" i="94"/>
  <c r="L77" i="94"/>
  <c r="B77" i="94"/>
  <c r="Z76" i="94"/>
  <c r="X76" i="94"/>
  <c r="N76" i="94"/>
  <c r="L76" i="94"/>
  <c r="B76" i="94"/>
  <c r="Z75" i="94"/>
  <c r="X75" i="94"/>
  <c r="N75" i="94"/>
  <c r="L75" i="94"/>
  <c r="B75" i="94"/>
  <c r="X74" i="94"/>
  <c r="Z74" i="94" s="1"/>
  <c r="N74" i="94"/>
  <c r="L74" i="94"/>
  <c r="B74" i="94"/>
  <c r="Z73" i="94"/>
  <c r="X73" i="94"/>
  <c r="N73" i="94"/>
  <c r="L73" i="94"/>
  <c r="B73" i="94"/>
  <c r="Z72" i="94"/>
  <c r="X72" i="94"/>
  <c r="N72" i="94"/>
  <c r="L72" i="94"/>
  <c r="B72" i="94"/>
  <c r="Z71" i="94"/>
  <c r="X71" i="94"/>
  <c r="N71" i="94"/>
  <c r="L71" i="94"/>
  <c r="B71" i="94"/>
  <c r="T70" i="94"/>
  <c r="P70" i="94"/>
  <c r="H70" i="94"/>
  <c r="N70" i="94" s="1"/>
  <c r="D70" i="94"/>
  <c r="L70" i="94" s="1"/>
  <c r="B70" i="94"/>
  <c r="Z69" i="94"/>
  <c r="X69" i="94"/>
  <c r="N69" i="94"/>
  <c r="L69" i="94"/>
  <c r="B69" i="94"/>
  <c r="T68" i="94"/>
  <c r="Z68" i="94" s="1"/>
  <c r="P68" i="94"/>
  <c r="N68" i="94"/>
  <c r="H68" i="94"/>
  <c r="D68" i="94"/>
  <c r="L68" i="94" s="1"/>
  <c r="B68" i="94"/>
  <c r="Z67" i="94"/>
  <c r="X67" i="94"/>
  <c r="N67" i="94"/>
  <c r="L67" i="94"/>
  <c r="B67" i="94"/>
  <c r="X66" i="94"/>
  <c r="Z66" i="94" s="1"/>
  <c r="L66" i="94"/>
  <c r="N66" i="94" s="1"/>
  <c r="B66" i="94"/>
  <c r="Z65" i="94"/>
  <c r="X65" i="94"/>
  <c r="N65" i="94"/>
  <c r="L65" i="94"/>
  <c r="B65" i="94"/>
  <c r="X64" i="94"/>
  <c r="Z64" i="94" s="1"/>
  <c r="N64" i="94"/>
  <c r="L64" i="94"/>
  <c r="B64" i="94"/>
  <c r="T63" i="94"/>
  <c r="P63" i="94"/>
  <c r="L63" i="94"/>
  <c r="N63" i="94" s="1"/>
  <c r="H63" i="94"/>
  <c r="D63" i="94"/>
  <c r="B63" i="94"/>
  <c r="X62" i="94"/>
  <c r="Z62" i="94" s="1"/>
  <c r="L62" i="94"/>
  <c r="N62" i="94" s="1"/>
  <c r="B62" i="94"/>
  <c r="Z61" i="94"/>
  <c r="X61" i="94"/>
  <c r="N61" i="94"/>
  <c r="L61" i="94"/>
  <c r="B61" i="94"/>
  <c r="Z60" i="94"/>
  <c r="X60" i="94"/>
  <c r="N60" i="94"/>
  <c r="L60" i="94"/>
  <c r="B60" i="94"/>
  <c r="T59" i="94"/>
  <c r="P59" i="94"/>
  <c r="X59" i="94" s="1"/>
  <c r="N59" i="94"/>
  <c r="H59" i="94"/>
  <c r="D59" i="94"/>
  <c r="L59" i="94" s="1"/>
  <c r="B59" i="94"/>
  <c r="Z58" i="94"/>
  <c r="X58" i="94"/>
  <c r="L58" i="94"/>
  <c r="N58" i="94" s="1"/>
  <c r="B58" i="94"/>
  <c r="X57" i="94"/>
  <c r="T57" i="94"/>
  <c r="Z57" i="94" s="1"/>
  <c r="P57" i="94"/>
  <c r="L57" i="94"/>
  <c r="H57" i="94"/>
  <c r="N57" i="94" s="1"/>
  <c r="D57" i="94"/>
  <c r="B57" i="94"/>
  <c r="X56" i="94"/>
  <c r="Z56" i="94" s="1"/>
  <c r="N56" i="94"/>
  <c r="L56" i="94"/>
  <c r="B56" i="94"/>
  <c r="T55" i="94"/>
  <c r="P55" i="94"/>
  <c r="X55" i="94" s="1"/>
  <c r="N55" i="94"/>
  <c r="L55" i="94"/>
  <c r="H55" i="94"/>
  <c r="D55" i="94"/>
  <c r="B55" i="94"/>
  <c r="X54" i="94"/>
  <c r="Z54" i="94" s="1"/>
  <c r="N54" i="94"/>
  <c r="L54" i="94"/>
  <c r="B54" i="94"/>
  <c r="T53" i="94"/>
  <c r="P53" i="94"/>
  <c r="X53" i="94" s="1"/>
  <c r="Z53" i="94" s="1"/>
  <c r="J53" i="94"/>
  <c r="H53" i="94"/>
  <c r="D53" i="94"/>
  <c r="L53" i="94" s="1"/>
  <c r="N53" i="94" s="1"/>
  <c r="B53" i="94"/>
  <c r="Z52" i="94"/>
  <c r="X52" i="94"/>
  <c r="N52" i="94"/>
  <c r="L52" i="94"/>
  <c r="B52" i="94"/>
  <c r="T51" i="94"/>
  <c r="P51" i="94"/>
  <c r="N51" i="94"/>
  <c r="H51" i="94"/>
  <c r="D51" i="94"/>
  <c r="L51" i="94" s="1"/>
  <c r="B51" i="94"/>
  <c r="X50" i="94"/>
  <c r="Z50" i="94" s="1"/>
  <c r="N50" i="94"/>
  <c r="L50" i="94"/>
  <c r="B50" i="94"/>
  <c r="T49" i="94"/>
  <c r="P49" i="94"/>
  <c r="N49" i="94"/>
  <c r="H49" i="94"/>
  <c r="D49" i="94"/>
  <c r="L49" i="94" s="1"/>
  <c r="B49" i="94"/>
  <c r="Z48" i="94"/>
  <c r="X48" i="94"/>
  <c r="N48" i="94"/>
  <c r="L48" i="94"/>
  <c r="B48" i="94"/>
  <c r="T47" i="94"/>
  <c r="Z47" i="94" s="1"/>
  <c r="P47" i="94"/>
  <c r="L47" i="94"/>
  <c r="J47" i="94"/>
  <c r="H47" i="94"/>
  <c r="N47" i="94" s="1"/>
  <c r="D47" i="94"/>
  <c r="B47" i="94"/>
  <c r="X46" i="94"/>
  <c r="Z46" i="94" s="1"/>
  <c r="N46" i="94"/>
  <c r="L46" i="94"/>
  <c r="J46" i="94"/>
  <c r="B46" i="94"/>
  <c r="T45" i="94"/>
  <c r="Z45" i="94" s="1"/>
  <c r="P45" i="94"/>
  <c r="X45" i="94" s="1"/>
  <c r="L45" i="94"/>
  <c r="H45" i="94"/>
  <c r="N45" i="94" s="1"/>
  <c r="D45" i="94"/>
  <c r="B45" i="94"/>
  <c r="Z44" i="94"/>
  <c r="X44" i="94"/>
  <c r="N44" i="94"/>
  <c r="L44" i="94"/>
  <c r="B44" i="94"/>
  <c r="Z43" i="94"/>
  <c r="T43" i="94"/>
  <c r="X43" i="94" s="1"/>
  <c r="P43" i="94"/>
  <c r="H43" i="94"/>
  <c r="N43" i="94" s="1"/>
  <c r="D43" i="94"/>
  <c r="L43" i="94" s="1"/>
  <c r="B43" i="94"/>
  <c r="Z42" i="94"/>
  <c r="X42" i="94"/>
  <c r="N42" i="94"/>
  <c r="L42" i="94"/>
  <c r="J42" i="94"/>
  <c r="B42" i="94"/>
  <c r="X41" i="94"/>
  <c r="T41" i="94"/>
  <c r="P41" i="94"/>
  <c r="H41" i="94"/>
  <c r="N41" i="94" s="1"/>
  <c r="D41" i="94"/>
  <c r="L41" i="94" s="1"/>
  <c r="B41" i="94"/>
  <c r="Z40" i="94"/>
  <c r="X40" i="94"/>
  <c r="N40" i="94"/>
  <c r="L40" i="94"/>
  <c r="B40" i="94"/>
  <c r="X39" i="94"/>
  <c r="Z39" i="94" s="1"/>
  <c r="N39" i="94"/>
  <c r="L39" i="94"/>
  <c r="B39" i="94"/>
  <c r="X38" i="94"/>
  <c r="Z38" i="94" s="1"/>
  <c r="N38" i="94"/>
  <c r="L38" i="94"/>
  <c r="B38" i="94"/>
  <c r="X37" i="94"/>
  <c r="Z37" i="94" s="1"/>
  <c r="N37" i="94"/>
  <c r="L37" i="94"/>
  <c r="B37" i="94"/>
  <c r="Z36" i="94"/>
  <c r="X36" i="94"/>
  <c r="N36" i="94"/>
  <c r="L36" i="94"/>
  <c r="B36" i="94"/>
  <c r="X35" i="94"/>
  <c r="Z35" i="94" s="1"/>
  <c r="N35" i="94"/>
  <c r="L35" i="94"/>
  <c r="B35" i="94"/>
  <c r="X34" i="94"/>
  <c r="Z34" i="94" s="1"/>
  <c r="T34" i="94"/>
  <c r="P34" i="94"/>
  <c r="L34" i="94"/>
  <c r="N34" i="94" s="1"/>
  <c r="H34" i="94"/>
  <c r="D34" i="94"/>
  <c r="B34" i="94"/>
  <c r="X33" i="94"/>
  <c r="Z33" i="94" s="1"/>
  <c r="L33" i="94"/>
  <c r="N33" i="94" s="1"/>
  <c r="B33" i="94"/>
  <c r="Z32" i="94"/>
  <c r="X32" i="94"/>
  <c r="N32" i="94"/>
  <c r="L32" i="94"/>
  <c r="J32" i="94"/>
  <c r="B32" i="94"/>
  <c r="Z31" i="94"/>
  <c r="X31" i="94"/>
  <c r="L31" i="94"/>
  <c r="N31" i="94" s="1"/>
  <c r="B31" i="94"/>
  <c r="Z30" i="94"/>
  <c r="X30" i="94"/>
  <c r="N30" i="94"/>
  <c r="L30" i="94"/>
  <c r="B30" i="94"/>
  <c r="X29" i="94"/>
  <c r="Z29" i="94" s="1"/>
  <c r="L29" i="94"/>
  <c r="N29" i="94" s="1"/>
  <c r="B29" i="94"/>
  <c r="Z28" i="94"/>
  <c r="X28" i="94"/>
  <c r="N28" i="94"/>
  <c r="L28" i="94"/>
  <c r="J28" i="94"/>
  <c r="B28" i="94"/>
  <c r="Z27" i="94"/>
  <c r="X27" i="94"/>
  <c r="L27" i="94"/>
  <c r="N27" i="94" s="1"/>
  <c r="B27" i="94"/>
  <c r="Z26" i="94"/>
  <c r="X26" i="94"/>
  <c r="N26" i="94"/>
  <c r="L26" i="94"/>
  <c r="B26" i="94"/>
  <c r="X25" i="94"/>
  <c r="Z25" i="94" s="1"/>
  <c r="L25" i="94"/>
  <c r="N25" i="94" s="1"/>
  <c r="B25" i="94"/>
  <c r="T24" i="94"/>
  <c r="P24" i="94"/>
  <c r="X24" i="94" s="1"/>
  <c r="J24" i="94"/>
  <c r="H24" i="94"/>
  <c r="D24" i="94"/>
  <c r="L24" i="94" s="1"/>
  <c r="B24" i="94"/>
  <c r="T23" i="94"/>
  <c r="P23" i="94"/>
  <c r="H23" i="94"/>
  <c r="D23" i="94"/>
  <c r="L23" i="94" s="1"/>
  <c r="J21" i="94"/>
  <c r="X19" i="94"/>
  <c r="Z19" i="94" s="1"/>
  <c r="L19" i="94"/>
  <c r="N19" i="94" s="1"/>
  <c r="B19" i="94"/>
  <c r="Z18" i="94"/>
  <c r="X18" i="94"/>
  <c r="N18" i="94"/>
  <c r="L18" i="94"/>
  <c r="J18" i="94"/>
  <c r="B18" i="94"/>
  <c r="X17" i="94"/>
  <c r="T17" i="94"/>
  <c r="Z17" i="94" s="1"/>
  <c r="P17" i="94"/>
  <c r="H17" i="94"/>
  <c r="D17" i="94"/>
  <c r="T15" i="94"/>
  <c r="P15" i="94"/>
  <c r="N15" i="94"/>
  <c r="L15" i="94"/>
  <c r="H15" i="94"/>
  <c r="D15" i="94"/>
  <c r="B15" i="94"/>
  <c r="T14" i="94"/>
  <c r="P14" i="94"/>
  <c r="N14" i="94"/>
  <c r="L14" i="94"/>
  <c r="H14" i="94"/>
  <c r="D14" i="94"/>
  <c r="B14" i="94"/>
  <c r="T13" i="94"/>
  <c r="P13" i="94"/>
  <c r="N13" i="94"/>
  <c r="H13" i="94"/>
  <c r="D13" i="94"/>
  <c r="D12" i="94" s="1"/>
  <c r="B13" i="94"/>
  <c r="H12" i="94"/>
  <c r="J54" i="94" s="1"/>
  <c r="D6" i="94"/>
  <c r="D4" i="94"/>
  <c r="F55" i="93"/>
  <c r="Z53" i="93"/>
  <c r="X53" i="93"/>
  <c r="N53" i="93"/>
  <c r="L53" i="93"/>
  <c r="Z49" i="93"/>
  <c r="T49" i="93"/>
  <c r="P49" i="93"/>
  <c r="X49" i="93" s="1"/>
  <c r="N49" i="93"/>
  <c r="H49" i="93"/>
  <c r="D49" i="93"/>
  <c r="L49" i="93" s="1"/>
  <c r="Z47" i="93"/>
  <c r="X47" i="93"/>
  <c r="L47" i="93"/>
  <c r="N47" i="93" s="1"/>
  <c r="B47" i="93"/>
  <c r="T46" i="93"/>
  <c r="P46" i="93"/>
  <c r="L46" i="93"/>
  <c r="H46" i="93"/>
  <c r="D46" i="93"/>
  <c r="B46" i="93"/>
  <c r="X45" i="93"/>
  <c r="Z45" i="93" s="1"/>
  <c r="N45" i="93"/>
  <c r="L45" i="93"/>
  <c r="J45" i="93"/>
  <c r="F45" i="93"/>
  <c r="B45" i="93"/>
  <c r="X44" i="93"/>
  <c r="Z44" i="93" s="1"/>
  <c r="N44" i="93"/>
  <c r="L44" i="93"/>
  <c r="B44" i="93"/>
  <c r="X43" i="93"/>
  <c r="Z43" i="93" s="1"/>
  <c r="N43" i="93"/>
  <c r="L43" i="93"/>
  <c r="B43" i="93"/>
  <c r="T42" i="93"/>
  <c r="P42" i="93"/>
  <c r="H42" i="93"/>
  <c r="N42" i="93" s="1"/>
  <c r="D42" i="93"/>
  <c r="L42" i="93" s="1"/>
  <c r="B42" i="93"/>
  <c r="Z41" i="93"/>
  <c r="X41" i="93"/>
  <c r="N41" i="93"/>
  <c r="L41" i="93"/>
  <c r="B41" i="93"/>
  <c r="X40" i="93"/>
  <c r="T40" i="93"/>
  <c r="P40" i="93"/>
  <c r="N40" i="93"/>
  <c r="H40" i="93"/>
  <c r="L40" i="93" s="1"/>
  <c r="D40" i="93"/>
  <c r="B40" i="93"/>
  <c r="Z39" i="93"/>
  <c r="X39" i="93"/>
  <c r="N39" i="93"/>
  <c r="L39" i="93"/>
  <c r="B39" i="93"/>
  <c r="T38" i="93"/>
  <c r="P38" i="93"/>
  <c r="L38" i="93"/>
  <c r="H38" i="93"/>
  <c r="N38" i="93" s="1"/>
  <c r="D38" i="93"/>
  <c r="B38" i="93"/>
  <c r="X37" i="93"/>
  <c r="Z37" i="93" s="1"/>
  <c r="N37" i="93"/>
  <c r="L37" i="93"/>
  <c r="B37" i="93"/>
  <c r="T36" i="93"/>
  <c r="P36" i="93"/>
  <c r="X36" i="93" s="1"/>
  <c r="H36" i="93"/>
  <c r="N36" i="93" s="1"/>
  <c r="D36" i="93"/>
  <c r="B36" i="93"/>
  <c r="Z35" i="93"/>
  <c r="X35" i="93"/>
  <c r="N35" i="93"/>
  <c r="L35" i="93"/>
  <c r="B35" i="93"/>
  <c r="Z34" i="93"/>
  <c r="X34" i="93"/>
  <c r="T34" i="93"/>
  <c r="P34" i="93"/>
  <c r="H34" i="93"/>
  <c r="N34" i="93" s="1"/>
  <c r="D34" i="93"/>
  <c r="B34" i="93"/>
  <c r="Z33" i="93"/>
  <c r="X33" i="93"/>
  <c r="N33" i="93"/>
  <c r="L33" i="93"/>
  <c r="B33" i="93"/>
  <c r="T32" i="93"/>
  <c r="P32" i="93"/>
  <c r="X32" i="93" s="1"/>
  <c r="H32" i="93"/>
  <c r="N32" i="93" s="1"/>
  <c r="D32" i="93"/>
  <c r="B32" i="93"/>
  <c r="X31" i="93"/>
  <c r="Z31" i="93" s="1"/>
  <c r="N31" i="93"/>
  <c r="L31" i="93"/>
  <c r="B31" i="93"/>
  <c r="X30" i="93"/>
  <c r="Z30" i="93" s="1"/>
  <c r="N30" i="93"/>
  <c r="L30" i="93"/>
  <c r="F30" i="93"/>
  <c r="B30" i="93"/>
  <c r="Z29" i="93"/>
  <c r="X29" i="93"/>
  <c r="N29" i="93"/>
  <c r="L29" i="93"/>
  <c r="F29" i="93"/>
  <c r="B29" i="93"/>
  <c r="X28" i="93"/>
  <c r="T28" i="93"/>
  <c r="P28" i="93"/>
  <c r="H28" i="93"/>
  <c r="N28" i="93" s="1"/>
  <c r="D28" i="93"/>
  <c r="L28" i="93" s="1"/>
  <c r="B28" i="93"/>
  <c r="Z27" i="93"/>
  <c r="X27" i="93"/>
  <c r="N27" i="93"/>
  <c r="L27" i="93"/>
  <c r="B27" i="93"/>
  <c r="Z26" i="93"/>
  <c r="X26" i="93"/>
  <c r="N26" i="93"/>
  <c r="L26" i="93"/>
  <c r="B26" i="93"/>
  <c r="Z25" i="93"/>
  <c r="X25" i="93"/>
  <c r="N25" i="93"/>
  <c r="L25" i="93"/>
  <c r="B25" i="93"/>
  <c r="T24" i="93"/>
  <c r="P24" i="93"/>
  <c r="X24" i="93" s="1"/>
  <c r="H24" i="93"/>
  <c r="D24" i="93"/>
  <c r="B24" i="93"/>
  <c r="T23" i="93"/>
  <c r="Z23" i="93" s="1"/>
  <c r="P23" i="93"/>
  <c r="X23" i="93" s="1"/>
  <c r="N23" i="93"/>
  <c r="H23" i="93"/>
  <c r="D23" i="93"/>
  <c r="L23" i="93" s="1"/>
  <c r="Z19" i="93"/>
  <c r="X19" i="93"/>
  <c r="N19" i="93"/>
  <c r="L19" i="93"/>
  <c r="J19" i="93"/>
  <c r="B19" i="93"/>
  <c r="Z18" i="93"/>
  <c r="X18" i="93"/>
  <c r="N18" i="93"/>
  <c r="L18" i="93"/>
  <c r="B18" i="93"/>
  <c r="T17" i="93"/>
  <c r="P17" i="93"/>
  <c r="X17" i="93" s="1"/>
  <c r="Z17" i="93" s="1"/>
  <c r="N17" i="93"/>
  <c r="J17" i="93"/>
  <c r="H17" i="93"/>
  <c r="D17" i="93"/>
  <c r="L17" i="93" s="1"/>
  <c r="T15" i="93"/>
  <c r="P15" i="93"/>
  <c r="L15" i="93"/>
  <c r="H15" i="93"/>
  <c r="N15" i="93" s="1"/>
  <c r="D15" i="93"/>
  <c r="B15" i="93"/>
  <c r="X14" i="93"/>
  <c r="T14" i="93"/>
  <c r="P14" i="93"/>
  <c r="P12" i="93" s="1"/>
  <c r="L14" i="93"/>
  <c r="H14" i="93"/>
  <c r="N14" i="93" s="1"/>
  <c r="D14" i="93"/>
  <c r="B14" i="93"/>
  <c r="T13" i="93"/>
  <c r="P13" i="93"/>
  <c r="L13" i="93"/>
  <c r="H13" i="93"/>
  <c r="H12" i="93" s="1"/>
  <c r="D13" i="93"/>
  <c r="B13" i="93"/>
  <c r="D12" i="93"/>
  <c r="F26" i="93" s="1"/>
  <c r="D6" i="93"/>
  <c r="D4" i="93"/>
  <c r="X87" i="92"/>
  <c r="Z87" i="92" s="1"/>
  <c r="N87" i="92"/>
  <c r="L87" i="92"/>
  <c r="X83" i="92"/>
  <c r="T83" i="92"/>
  <c r="Z83" i="92" s="1"/>
  <c r="P83" i="92"/>
  <c r="H83" i="92"/>
  <c r="N83" i="92" s="1"/>
  <c r="D83" i="92"/>
  <c r="L83" i="92" s="1"/>
  <c r="X81" i="92"/>
  <c r="Z81" i="92" s="1"/>
  <c r="N81" i="92"/>
  <c r="L81" i="92"/>
  <c r="B81" i="92"/>
  <c r="T80" i="92"/>
  <c r="P80" i="92"/>
  <c r="X80" i="92" s="1"/>
  <c r="Z80" i="92" s="1"/>
  <c r="H80" i="92"/>
  <c r="N80" i="92" s="1"/>
  <c r="D80" i="92"/>
  <c r="B80" i="92"/>
  <c r="X79" i="92"/>
  <c r="Z79" i="92" s="1"/>
  <c r="N79" i="92"/>
  <c r="L79" i="92"/>
  <c r="B79" i="92"/>
  <c r="X78" i="92"/>
  <c r="Z78" i="92" s="1"/>
  <c r="T78" i="92"/>
  <c r="P78" i="92"/>
  <c r="N78" i="92"/>
  <c r="H78" i="92"/>
  <c r="D78" i="92"/>
  <c r="L78" i="92" s="1"/>
  <c r="B78" i="92"/>
  <c r="Z77" i="92"/>
  <c r="X77" i="92"/>
  <c r="L77" i="92"/>
  <c r="N77" i="92" s="1"/>
  <c r="B77" i="92"/>
  <c r="X76" i="92"/>
  <c r="T76" i="92"/>
  <c r="P76" i="92"/>
  <c r="H76" i="92"/>
  <c r="D76" i="92"/>
  <c r="B76" i="92"/>
  <c r="X75" i="92"/>
  <c r="Z75" i="92" s="1"/>
  <c r="N75" i="92"/>
  <c r="L75" i="92"/>
  <c r="B75" i="92"/>
  <c r="Z74" i="92"/>
  <c r="X74" i="92"/>
  <c r="N74" i="92"/>
  <c r="L74" i="92"/>
  <c r="B74" i="92"/>
  <c r="X73" i="92"/>
  <c r="Z73" i="92" s="1"/>
  <c r="N73" i="92"/>
  <c r="L73" i="92"/>
  <c r="B73" i="92"/>
  <c r="Z72" i="92"/>
  <c r="X72" i="92"/>
  <c r="L72" i="92"/>
  <c r="N72" i="92" s="1"/>
  <c r="B72" i="92"/>
  <c r="Z71" i="92"/>
  <c r="X71" i="92"/>
  <c r="N71" i="92"/>
  <c r="L71" i="92"/>
  <c r="B71" i="92"/>
  <c r="Z70" i="92"/>
  <c r="X70" i="92"/>
  <c r="N70" i="92"/>
  <c r="L70" i="92"/>
  <c r="B70" i="92"/>
  <c r="Z69" i="92"/>
  <c r="X69" i="92"/>
  <c r="L69" i="92"/>
  <c r="N69" i="92" s="1"/>
  <c r="B69" i="92"/>
  <c r="Z68" i="92"/>
  <c r="X68" i="92"/>
  <c r="N68" i="92"/>
  <c r="L68" i="92"/>
  <c r="B68" i="92"/>
  <c r="X67" i="92"/>
  <c r="T67" i="92"/>
  <c r="Z67" i="92" s="1"/>
  <c r="P67" i="92"/>
  <c r="L67" i="92"/>
  <c r="N67" i="92" s="1"/>
  <c r="H67" i="92"/>
  <c r="D67" i="92"/>
  <c r="B67" i="92"/>
  <c r="X66" i="92"/>
  <c r="Z66" i="92" s="1"/>
  <c r="N66" i="92"/>
  <c r="L66" i="92"/>
  <c r="B66" i="92"/>
  <c r="Z65" i="92"/>
  <c r="X65" i="92"/>
  <c r="L65" i="92"/>
  <c r="N65" i="92" s="1"/>
  <c r="B65" i="92"/>
  <c r="Z64" i="92"/>
  <c r="X64" i="92"/>
  <c r="N64" i="92"/>
  <c r="L64" i="92"/>
  <c r="B64" i="92"/>
  <c r="T63" i="92"/>
  <c r="P63" i="92"/>
  <c r="X63" i="92" s="1"/>
  <c r="N63" i="92"/>
  <c r="H63" i="92"/>
  <c r="D63" i="92"/>
  <c r="L63" i="92" s="1"/>
  <c r="B63" i="92"/>
  <c r="Z62" i="92"/>
  <c r="X62" i="92"/>
  <c r="N62" i="92"/>
  <c r="L62" i="92"/>
  <c r="B62" i="92"/>
  <c r="X61" i="92"/>
  <c r="Z61" i="92" s="1"/>
  <c r="N61" i="92"/>
  <c r="L61" i="92"/>
  <c r="B61" i="92"/>
  <c r="Z60" i="92"/>
  <c r="X60" i="92"/>
  <c r="N60" i="92"/>
  <c r="L60" i="92"/>
  <c r="B60" i="92"/>
  <c r="X59" i="92"/>
  <c r="Z59" i="92" s="1"/>
  <c r="T59" i="92"/>
  <c r="P59" i="92"/>
  <c r="H59" i="92"/>
  <c r="N59" i="92" s="1"/>
  <c r="D59" i="92"/>
  <c r="L59" i="92" s="1"/>
  <c r="B59" i="92"/>
  <c r="X58" i="92"/>
  <c r="Z58" i="92" s="1"/>
  <c r="N58" i="92"/>
  <c r="L58" i="92"/>
  <c r="B58" i="92"/>
  <c r="X57" i="92"/>
  <c r="T57" i="92"/>
  <c r="P57" i="92"/>
  <c r="H57" i="92"/>
  <c r="D57" i="92"/>
  <c r="L57" i="92" s="1"/>
  <c r="B57" i="92"/>
  <c r="Z56" i="92"/>
  <c r="X56" i="92"/>
  <c r="N56" i="92"/>
  <c r="L56" i="92"/>
  <c r="B56" i="92"/>
  <c r="T55" i="92"/>
  <c r="P55" i="92"/>
  <c r="N55" i="92"/>
  <c r="H55" i="92"/>
  <c r="D55" i="92"/>
  <c r="L55" i="92" s="1"/>
  <c r="B55" i="92"/>
  <c r="Z54" i="92"/>
  <c r="X54" i="92"/>
  <c r="N54" i="92"/>
  <c r="L54" i="92"/>
  <c r="B54" i="92"/>
  <c r="T53" i="92"/>
  <c r="P53" i="92"/>
  <c r="X53" i="92" s="1"/>
  <c r="N53" i="92"/>
  <c r="L53" i="92"/>
  <c r="H53" i="92"/>
  <c r="D53" i="92"/>
  <c r="B53" i="92"/>
  <c r="Z52" i="92"/>
  <c r="X52" i="92"/>
  <c r="N52" i="92"/>
  <c r="L52" i="92"/>
  <c r="B52" i="92"/>
  <c r="T51" i="92"/>
  <c r="P51" i="92"/>
  <c r="X51" i="92" s="1"/>
  <c r="H51" i="92"/>
  <c r="D51" i="92"/>
  <c r="B51" i="92"/>
  <c r="Z50" i="92"/>
  <c r="X50" i="92"/>
  <c r="N50" i="92"/>
  <c r="L50" i="92"/>
  <c r="B50" i="92"/>
  <c r="Z49" i="92"/>
  <c r="T49" i="92"/>
  <c r="P49" i="92"/>
  <c r="X49" i="92" s="1"/>
  <c r="H49" i="92"/>
  <c r="N49" i="92" s="1"/>
  <c r="D49" i="92"/>
  <c r="L49" i="92" s="1"/>
  <c r="B49" i="92"/>
  <c r="Z48" i="92"/>
  <c r="X48" i="92"/>
  <c r="N48" i="92"/>
  <c r="L48" i="92"/>
  <c r="B48" i="92"/>
  <c r="Z47" i="92"/>
  <c r="X47" i="92"/>
  <c r="T47" i="92"/>
  <c r="P47" i="92"/>
  <c r="H47" i="92"/>
  <c r="N47" i="92" s="1"/>
  <c r="D47" i="92"/>
  <c r="L47" i="92" s="1"/>
  <c r="B47" i="92"/>
  <c r="Z46" i="92"/>
  <c r="X46" i="92"/>
  <c r="N46" i="92"/>
  <c r="L46" i="92"/>
  <c r="B46" i="92"/>
  <c r="T45" i="92"/>
  <c r="P45" i="92"/>
  <c r="H45" i="92"/>
  <c r="N45" i="92" s="1"/>
  <c r="D45" i="92"/>
  <c r="L45" i="92" s="1"/>
  <c r="B45" i="92"/>
  <c r="X44" i="92"/>
  <c r="Z44" i="92" s="1"/>
  <c r="N44" i="92"/>
  <c r="L44" i="92"/>
  <c r="B44" i="92"/>
  <c r="T43" i="92"/>
  <c r="P43" i="92"/>
  <c r="N43" i="92"/>
  <c r="H43" i="92"/>
  <c r="D43" i="92"/>
  <c r="L43" i="92" s="1"/>
  <c r="B43" i="92"/>
  <c r="Z42" i="92"/>
  <c r="X42" i="92"/>
  <c r="N42" i="92"/>
  <c r="L42" i="92"/>
  <c r="B42" i="92"/>
  <c r="T41" i="92"/>
  <c r="P41" i="92"/>
  <c r="X41" i="92" s="1"/>
  <c r="N41" i="92"/>
  <c r="L41" i="92"/>
  <c r="H41" i="92"/>
  <c r="D41" i="92"/>
  <c r="B41" i="92"/>
  <c r="Z40" i="92"/>
  <c r="X40" i="92"/>
  <c r="N40" i="92"/>
  <c r="L40" i="92"/>
  <c r="B40" i="92"/>
  <c r="X39" i="92"/>
  <c r="Z39" i="92" s="1"/>
  <c r="L39" i="92"/>
  <c r="N39" i="92" s="1"/>
  <c r="B39" i="92"/>
  <c r="Z38" i="92"/>
  <c r="X38" i="92"/>
  <c r="N38" i="92"/>
  <c r="L38" i="92"/>
  <c r="B38" i="92"/>
  <c r="X37" i="92"/>
  <c r="Z37" i="92" s="1"/>
  <c r="N37" i="92"/>
  <c r="L37" i="92"/>
  <c r="B37" i="92"/>
  <c r="Z36" i="92"/>
  <c r="X36" i="92"/>
  <c r="N36" i="92"/>
  <c r="L36" i="92"/>
  <c r="B36" i="92"/>
  <c r="X35" i="92"/>
  <c r="Z35" i="92" s="1"/>
  <c r="L35" i="92"/>
  <c r="N35" i="92" s="1"/>
  <c r="B35" i="92"/>
  <c r="Z34" i="92"/>
  <c r="X34" i="92"/>
  <c r="T34" i="92"/>
  <c r="P34" i="92"/>
  <c r="H34" i="92"/>
  <c r="D34" i="92"/>
  <c r="L34" i="92" s="1"/>
  <c r="N34" i="92" s="1"/>
  <c r="B34" i="92"/>
  <c r="X33" i="92"/>
  <c r="Z33" i="92" s="1"/>
  <c r="L33" i="92"/>
  <c r="N33" i="92" s="1"/>
  <c r="B33" i="92"/>
  <c r="X32" i="92"/>
  <c r="Z32" i="92" s="1"/>
  <c r="N32" i="92"/>
  <c r="L32" i="92"/>
  <c r="B32" i="92"/>
  <c r="X31" i="92"/>
  <c r="Z31" i="92" s="1"/>
  <c r="L31" i="92"/>
  <c r="N31" i="92" s="1"/>
  <c r="B31" i="92"/>
  <c r="Z30" i="92"/>
  <c r="X30" i="92"/>
  <c r="N30" i="92"/>
  <c r="L30" i="92"/>
  <c r="B30" i="92"/>
  <c r="X29" i="92"/>
  <c r="Z29" i="92" s="1"/>
  <c r="L29" i="92"/>
  <c r="N29" i="92" s="1"/>
  <c r="B29" i="92"/>
  <c r="X28" i="92"/>
  <c r="Z28" i="92" s="1"/>
  <c r="N28" i="92"/>
  <c r="L28" i="92"/>
  <c r="B28" i="92"/>
  <c r="X27" i="92"/>
  <c r="Z27" i="92" s="1"/>
  <c r="L27" i="92"/>
  <c r="N27" i="92" s="1"/>
  <c r="B27" i="92"/>
  <c r="Z26" i="92"/>
  <c r="X26" i="92"/>
  <c r="N26" i="92"/>
  <c r="L26" i="92"/>
  <c r="B26" i="92"/>
  <c r="Z25" i="92"/>
  <c r="X25" i="92"/>
  <c r="L25" i="92"/>
  <c r="N25" i="92" s="1"/>
  <c r="B25" i="92"/>
  <c r="T24" i="92"/>
  <c r="X24" i="92" s="1"/>
  <c r="Z24" i="92" s="1"/>
  <c r="P24" i="92"/>
  <c r="H24" i="92"/>
  <c r="N24" i="92" s="1"/>
  <c r="D24" i="92"/>
  <c r="L24" i="92" s="1"/>
  <c r="B24" i="92"/>
  <c r="T23" i="92"/>
  <c r="P23" i="92"/>
  <c r="H23" i="92"/>
  <c r="D23" i="92"/>
  <c r="Z19" i="92"/>
  <c r="X19" i="92"/>
  <c r="L19" i="92"/>
  <c r="N19" i="92" s="1"/>
  <c r="B19" i="92"/>
  <c r="Z18" i="92"/>
  <c r="X18" i="92"/>
  <c r="L18" i="92"/>
  <c r="N18" i="92" s="1"/>
  <c r="B18" i="92"/>
  <c r="X17" i="92"/>
  <c r="T17" i="92"/>
  <c r="P17" i="92"/>
  <c r="H17" i="92"/>
  <c r="D17" i="92"/>
  <c r="T15" i="92"/>
  <c r="Z15" i="92" s="1"/>
  <c r="P15" i="92"/>
  <c r="X15" i="92" s="1"/>
  <c r="H15" i="92"/>
  <c r="D15" i="92"/>
  <c r="B15" i="92"/>
  <c r="T14" i="92"/>
  <c r="P14" i="92"/>
  <c r="X14" i="92" s="1"/>
  <c r="Z14" i="92" s="1"/>
  <c r="H14" i="92"/>
  <c r="D14" i="92"/>
  <c r="B14" i="92"/>
  <c r="T13" i="92"/>
  <c r="P13" i="92"/>
  <c r="H13" i="92"/>
  <c r="D13" i="92"/>
  <c r="B13" i="92"/>
  <c r="D6" i="92"/>
  <c r="D4" i="92"/>
  <c r="V50" i="91"/>
  <c r="Z48" i="91"/>
  <c r="X48" i="91"/>
  <c r="R48" i="91"/>
  <c r="N48" i="91"/>
  <c r="L48" i="91"/>
  <c r="J48" i="91"/>
  <c r="Z44" i="91"/>
  <c r="T44" i="91"/>
  <c r="R44" i="91"/>
  <c r="P44" i="91"/>
  <c r="X44" i="91" s="1"/>
  <c r="H44" i="91"/>
  <c r="N44" i="91" s="1"/>
  <c r="D44" i="91"/>
  <c r="L44" i="91" s="1"/>
  <c r="Z42" i="91"/>
  <c r="X42" i="91"/>
  <c r="N42" i="91"/>
  <c r="L42" i="91"/>
  <c r="J42" i="91"/>
  <c r="B42" i="91"/>
  <c r="T41" i="91"/>
  <c r="P41" i="91"/>
  <c r="H41" i="91"/>
  <c r="N41" i="91" s="1"/>
  <c r="D41" i="91"/>
  <c r="B41" i="91"/>
  <c r="X40" i="91"/>
  <c r="Z40" i="91" s="1"/>
  <c r="N40" i="91"/>
  <c r="L40" i="91"/>
  <c r="B40" i="91"/>
  <c r="T39" i="91"/>
  <c r="R39" i="91"/>
  <c r="P39" i="91"/>
  <c r="H39" i="91"/>
  <c r="N39" i="91" s="1"/>
  <c r="D39" i="91"/>
  <c r="B39" i="91"/>
  <c r="X38" i="91"/>
  <c r="Z38" i="91" s="1"/>
  <c r="V38" i="91"/>
  <c r="N38" i="91"/>
  <c r="L38" i="91"/>
  <c r="B38" i="91"/>
  <c r="X37" i="91"/>
  <c r="T37" i="91"/>
  <c r="P37" i="91"/>
  <c r="L37" i="91"/>
  <c r="N37" i="91" s="1"/>
  <c r="H37" i="91"/>
  <c r="D37" i="91"/>
  <c r="B37" i="91"/>
  <c r="X36" i="91"/>
  <c r="Z36" i="91" s="1"/>
  <c r="V36" i="91"/>
  <c r="N36" i="91"/>
  <c r="L36" i="91"/>
  <c r="B36" i="91"/>
  <c r="Z35" i="91"/>
  <c r="X35" i="91"/>
  <c r="N35" i="91"/>
  <c r="L35" i="91"/>
  <c r="F35" i="91"/>
  <c r="B35" i="91"/>
  <c r="T34" i="91"/>
  <c r="P34" i="91"/>
  <c r="X34" i="91" s="1"/>
  <c r="Z34" i="91" s="1"/>
  <c r="H34" i="91"/>
  <c r="N34" i="91" s="1"/>
  <c r="D34" i="91"/>
  <c r="L34" i="91" s="1"/>
  <c r="B34" i="91"/>
  <c r="X33" i="91"/>
  <c r="Z33" i="91" s="1"/>
  <c r="N33" i="91"/>
  <c r="L33" i="91"/>
  <c r="B33" i="91"/>
  <c r="X32" i="91"/>
  <c r="Z32" i="91" s="1"/>
  <c r="T32" i="91"/>
  <c r="R32" i="91"/>
  <c r="P32" i="91"/>
  <c r="N32" i="91"/>
  <c r="H32" i="91"/>
  <c r="D32" i="91"/>
  <c r="L32" i="91" s="1"/>
  <c r="B32" i="91"/>
  <c r="X31" i="91"/>
  <c r="Z31" i="91" s="1"/>
  <c r="L31" i="91"/>
  <c r="N31" i="91" s="1"/>
  <c r="F31" i="91"/>
  <c r="B31" i="91"/>
  <c r="T30" i="91"/>
  <c r="P30" i="91"/>
  <c r="J30" i="91"/>
  <c r="H30" i="91"/>
  <c r="F30" i="91"/>
  <c r="D30" i="91"/>
  <c r="L30" i="91" s="1"/>
  <c r="N30" i="91" s="1"/>
  <c r="B30" i="91"/>
  <c r="Z29" i="91"/>
  <c r="X29" i="91"/>
  <c r="L29" i="91"/>
  <c r="N29" i="91" s="1"/>
  <c r="F29" i="91"/>
  <c r="B29" i="91"/>
  <c r="V28" i="91"/>
  <c r="T28" i="91"/>
  <c r="X28" i="91" s="1"/>
  <c r="P28" i="91"/>
  <c r="H28" i="91"/>
  <c r="D28" i="91"/>
  <c r="L28" i="91" s="1"/>
  <c r="N28" i="91" s="1"/>
  <c r="B28" i="91"/>
  <c r="Z27" i="91"/>
  <c r="X27" i="91"/>
  <c r="V27" i="91"/>
  <c r="R27" i="91"/>
  <c r="N27" i="91"/>
  <c r="L27" i="91"/>
  <c r="B27" i="91"/>
  <c r="Z26" i="91"/>
  <c r="X26" i="91"/>
  <c r="V26" i="91"/>
  <c r="N26" i="91"/>
  <c r="L26" i="91"/>
  <c r="J26" i="91"/>
  <c r="F26" i="91"/>
  <c r="B26" i="91"/>
  <c r="X25" i="91"/>
  <c r="Z25" i="91" s="1"/>
  <c r="N25" i="91"/>
  <c r="L25" i="91"/>
  <c r="J25" i="91"/>
  <c r="B25" i="91"/>
  <c r="X24" i="91"/>
  <c r="Z24" i="91" s="1"/>
  <c r="V24" i="91"/>
  <c r="N24" i="91"/>
  <c r="L24" i="91"/>
  <c r="B24" i="91"/>
  <c r="X23" i="91"/>
  <c r="Z23" i="91" s="1"/>
  <c r="V23" i="91"/>
  <c r="N23" i="91"/>
  <c r="L23" i="91"/>
  <c r="F23" i="91"/>
  <c r="B23" i="91"/>
  <c r="Z22" i="91"/>
  <c r="X22" i="91"/>
  <c r="L22" i="91"/>
  <c r="N22" i="91" s="1"/>
  <c r="J22" i="91"/>
  <c r="B22" i="91"/>
  <c r="X21" i="91"/>
  <c r="Z21" i="91" s="1"/>
  <c r="V21" i="91"/>
  <c r="R21" i="91"/>
  <c r="N21" i="91"/>
  <c r="L21" i="91"/>
  <c r="B21" i="91"/>
  <c r="X20" i="91"/>
  <c r="Z20" i="91" s="1"/>
  <c r="N20" i="91"/>
  <c r="L20" i="91"/>
  <c r="F20" i="91"/>
  <c r="B20" i="91"/>
  <c r="T19" i="91"/>
  <c r="P19" i="91"/>
  <c r="X19" i="91" s="1"/>
  <c r="H19" i="91"/>
  <c r="F19" i="91"/>
  <c r="D19" i="91"/>
  <c r="B19" i="91"/>
  <c r="T18" i="91"/>
  <c r="R18" i="91"/>
  <c r="P18" i="91"/>
  <c r="X18" i="91" s="1"/>
  <c r="J18" i="91"/>
  <c r="H18" i="91"/>
  <c r="D18" i="91"/>
  <c r="R16" i="91"/>
  <c r="H16" i="91"/>
  <c r="T14" i="91"/>
  <c r="Z14" i="91" s="1"/>
  <c r="R14" i="91"/>
  <c r="P14" i="91"/>
  <c r="X14" i="91" s="1"/>
  <c r="J14" i="91"/>
  <c r="H14" i="91"/>
  <c r="L14" i="91" s="1"/>
  <c r="D14" i="91"/>
  <c r="T12" i="91"/>
  <c r="V48" i="91" s="1"/>
  <c r="P12" i="91"/>
  <c r="R38" i="91" s="1"/>
  <c r="N12" i="91"/>
  <c r="H12" i="91"/>
  <c r="D12" i="91"/>
  <c r="D6" i="91"/>
  <c r="D4" i="91"/>
  <c r="X85" i="90"/>
  <c r="Z85" i="90" s="1"/>
  <c r="L85" i="90"/>
  <c r="N85" i="90" s="1"/>
  <c r="T81" i="90"/>
  <c r="T80" i="90" s="1"/>
  <c r="P81" i="90"/>
  <c r="P80" i="90" s="1"/>
  <c r="H81" i="90"/>
  <c r="N81" i="90" s="1"/>
  <c r="D81" i="90"/>
  <c r="L81" i="90" s="1"/>
  <c r="B81" i="90"/>
  <c r="X80" i="90"/>
  <c r="V80" i="90"/>
  <c r="H80" i="90"/>
  <c r="N80" i="90" s="1"/>
  <c r="D80" i="90"/>
  <c r="L80" i="90" s="1"/>
  <c r="X78" i="90"/>
  <c r="Z78" i="90" s="1"/>
  <c r="N78" i="90"/>
  <c r="L78" i="90"/>
  <c r="B78" i="90"/>
  <c r="T77" i="90"/>
  <c r="P77" i="90"/>
  <c r="X77" i="90" s="1"/>
  <c r="Z77" i="90" s="1"/>
  <c r="N77" i="90"/>
  <c r="H77" i="90"/>
  <c r="D77" i="90"/>
  <c r="L77" i="90" s="1"/>
  <c r="B77" i="90"/>
  <c r="X76" i="90"/>
  <c r="Z76" i="90" s="1"/>
  <c r="N76" i="90"/>
  <c r="L76" i="90"/>
  <c r="B76" i="90"/>
  <c r="X75" i="90"/>
  <c r="T75" i="90"/>
  <c r="Z75" i="90" s="1"/>
  <c r="P75" i="90"/>
  <c r="L75" i="90"/>
  <c r="N75" i="90" s="1"/>
  <c r="H75" i="90"/>
  <c r="D75" i="90"/>
  <c r="B75" i="90"/>
  <c r="X74" i="90"/>
  <c r="Z74" i="90" s="1"/>
  <c r="N74" i="90"/>
  <c r="L74" i="90"/>
  <c r="B74" i="90"/>
  <c r="Z73" i="90"/>
  <c r="X73" i="90"/>
  <c r="N73" i="90"/>
  <c r="L73" i="90"/>
  <c r="B73" i="90"/>
  <c r="Z72" i="90"/>
  <c r="X72" i="90"/>
  <c r="N72" i="90"/>
  <c r="L72" i="90"/>
  <c r="B72" i="90"/>
  <c r="Z71" i="90"/>
  <c r="X71" i="90"/>
  <c r="N71" i="90"/>
  <c r="L71" i="90"/>
  <c r="B71" i="90"/>
  <c r="X70" i="90"/>
  <c r="Z70" i="90" s="1"/>
  <c r="L70" i="90"/>
  <c r="N70" i="90" s="1"/>
  <c r="B70" i="90"/>
  <c r="Z69" i="90"/>
  <c r="X69" i="90"/>
  <c r="N69" i="90"/>
  <c r="L69" i="90"/>
  <c r="B69" i="90"/>
  <c r="Z68" i="90"/>
  <c r="X68" i="90"/>
  <c r="N68" i="90"/>
  <c r="L68" i="90"/>
  <c r="B68" i="90"/>
  <c r="T67" i="90"/>
  <c r="P67" i="90"/>
  <c r="H67" i="90"/>
  <c r="N67" i="90" s="1"/>
  <c r="D67" i="90"/>
  <c r="L67" i="90" s="1"/>
  <c r="B67" i="90"/>
  <c r="X66" i="90"/>
  <c r="Z66" i="90" s="1"/>
  <c r="N66" i="90"/>
  <c r="L66" i="90"/>
  <c r="B66" i="90"/>
  <c r="Z65" i="90"/>
  <c r="X65" i="90"/>
  <c r="N65" i="90"/>
  <c r="L65" i="90"/>
  <c r="B65" i="90"/>
  <c r="X64" i="90"/>
  <c r="Z64" i="90" s="1"/>
  <c r="N64" i="90"/>
  <c r="L64" i="90"/>
  <c r="B64" i="90"/>
  <c r="T63" i="90"/>
  <c r="P63" i="90"/>
  <c r="X63" i="90" s="1"/>
  <c r="Z63" i="90" s="1"/>
  <c r="N63" i="90"/>
  <c r="H63" i="90"/>
  <c r="D63" i="90"/>
  <c r="L63" i="90" s="1"/>
  <c r="B63" i="90"/>
  <c r="Z62" i="90"/>
  <c r="X62" i="90"/>
  <c r="N62" i="90"/>
  <c r="L62" i="90"/>
  <c r="B62" i="90"/>
  <c r="Z61" i="90"/>
  <c r="X61" i="90"/>
  <c r="T61" i="90"/>
  <c r="P61" i="90"/>
  <c r="L61" i="90"/>
  <c r="H61" i="90"/>
  <c r="N61" i="90" s="1"/>
  <c r="D61" i="90"/>
  <c r="B61" i="90"/>
  <c r="Z60" i="90"/>
  <c r="X60" i="90"/>
  <c r="L60" i="90"/>
  <c r="N60" i="90" s="1"/>
  <c r="B60" i="90"/>
  <c r="Z59" i="90"/>
  <c r="X59" i="90"/>
  <c r="N59" i="90"/>
  <c r="L59" i="90"/>
  <c r="B59" i="90"/>
  <c r="X58" i="90"/>
  <c r="Z58" i="90" s="1"/>
  <c r="N58" i="90"/>
  <c r="L58" i="90"/>
  <c r="B58" i="90"/>
  <c r="T57" i="90"/>
  <c r="Z57" i="90" s="1"/>
  <c r="P57" i="90"/>
  <c r="X57" i="90" s="1"/>
  <c r="H57" i="90"/>
  <c r="D57" i="90"/>
  <c r="B57" i="90"/>
  <c r="X56" i="90"/>
  <c r="Z56" i="90" s="1"/>
  <c r="N56" i="90"/>
  <c r="L56" i="90"/>
  <c r="B56" i="90"/>
  <c r="T55" i="90"/>
  <c r="P55" i="90"/>
  <c r="X55" i="90" s="1"/>
  <c r="Z55" i="90" s="1"/>
  <c r="N55" i="90"/>
  <c r="H55" i="90"/>
  <c r="D55" i="90"/>
  <c r="L55" i="90" s="1"/>
  <c r="B55" i="90"/>
  <c r="Z54" i="90"/>
  <c r="X54" i="90"/>
  <c r="N54" i="90"/>
  <c r="L54" i="90"/>
  <c r="B54" i="90"/>
  <c r="X53" i="90"/>
  <c r="Z53" i="90" s="1"/>
  <c r="T53" i="90"/>
  <c r="P53" i="90"/>
  <c r="L53" i="90"/>
  <c r="H53" i="90"/>
  <c r="N53" i="90" s="1"/>
  <c r="D53" i="90"/>
  <c r="B53" i="90"/>
  <c r="Z52" i="90"/>
  <c r="X52" i="90"/>
  <c r="N52" i="90"/>
  <c r="L52" i="90"/>
  <c r="B52" i="90"/>
  <c r="T51" i="90"/>
  <c r="P51" i="90"/>
  <c r="H51" i="90"/>
  <c r="N51" i="90" s="1"/>
  <c r="D51" i="90"/>
  <c r="L51" i="90" s="1"/>
  <c r="B51" i="90"/>
  <c r="X50" i="90"/>
  <c r="Z50" i="90" s="1"/>
  <c r="N50" i="90"/>
  <c r="L50" i="90"/>
  <c r="B50" i="90"/>
  <c r="T49" i="90"/>
  <c r="P49" i="90"/>
  <c r="X49" i="90" s="1"/>
  <c r="Z49" i="90" s="1"/>
  <c r="H49" i="90"/>
  <c r="D49" i="90"/>
  <c r="L49" i="90" s="1"/>
  <c r="N49" i="90" s="1"/>
  <c r="B49" i="90"/>
  <c r="X48" i="90"/>
  <c r="Z48" i="90" s="1"/>
  <c r="N48" i="90"/>
  <c r="L48" i="90"/>
  <c r="B48" i="90"/>
  <c r="X47" i="90"/>
  <c r="T47" i="90"/>
  <c r="Z47" i="90" s="1"/>
  <c r="P47" i="90"/>
  <c r="N47" i="90"/>
  <c r="L47" i="90"/>
  <c r="H47" i="90"/>
  <c r="D47" i="90"/>
  <c r="B47" i="90"/>
  <c r="Z46" i="90"/>
  <c r="X46" i="90"/>
  <c r="N46" i="90"/>
  <c r="L46" i="90"/>
  <c r="B46" i="90"/>
  <c r="T45" i="90"/>
  <c r="P45" i="90"/>
  <c r="H45" i="90"/>
  <c r="N45" i="90" s="1"/>
  <c r="D45" i="90"/>
  <c r="B45" i="90"/>
  <c r="X44" i="90"/>
  <c r="Z44" i="90" s="1"/>
  <c r="V44" i="90"/>
  <c r="N44" i="90"/>
  <c r="L44" i="90"/>
  <c r="B44" i="90"/>
  <c r="T43" i="90"/>
  <c r="P43" i="90"/>
  <c r="X43" i="90" s="1"/>
  <c r="Z43" i="90" s="1"/>
  <c r="N43" i="90"/>
  <c r="H43" i="90"/>
  <c r="D43" i="90"/>
  <c r="L43" i="90" s="1"/>
  <c r="B43" i="90"/>
  <c r="Z42" i="90"/>
  <c r="X42" i="90"/>
  <c r="N42" i="90"/>
  <c r="L42" i="90"/>
  <c r="B42" i="90"/>
  <c r="Z41" i="90"/>
  <c r="X41" i="90"/>
  <c r="N41" i="90"/>
  <c r="L41" i="90"/>
  <c r="B41" i="90"/>
  <c r="X40" i="90"/>
  <c r="Z40" i="90" s="1"/>
  <c r="N40" i="90"/>
  <c r="L40" i="90"/>
  <c r="B40" i="90"/>
  <c r="X39" i="90"/>
  <c r="Z39" i="90" s="1"/>
  <c r="N39" i="90"/>
  <c r="L39" i="90"/>
  <c r="B39" i="90"/>
  <c r="Z38" i="90"/>
  <c r="X38" i="90"/>
  <c r="L38" i="90"/>
  <c r="N38" i="90" s="1"/>
  <c r="B38" i="90"/>
  <c r="Z37" i="90"/>
  <c r="X37" i="90"/>
  <c r="N37" i="90"/>
  <c r="L37" i="90"/>
  <c r="B37" i="90"/>
  <c r="T36" i="90"/>
  <c r="P36" i="90"/>
  <c r="H36" i="90"/>
  <c r="D36" i="90"/>
  <c r="L36" i="90" s="1"/>
  <c r="N36" i="90" s="1"/>
  <c r="B36" i="90"/>
  <c r="Z35" i="90"/>
  <c r="X35" i="90"/>
  <c r="V35" i="90"/>
  <c r="L35" i="90"/>
  <c r="N35" i="90" s="1"/>
  <c r="B35" i="90"/>
  <c r="X34" i="90"/>
  <c r="Z34" i="90" s="1"/>
  <c r="L34" i="90"/>
  <c r="N34" i="90" s="1"/>
  <c r="B34" i="90"/>
  <c r="X33" i="90"/>
  <c r="Z33" i="90" s="1"/>
  <c r="N33" i="90"/>
  <c r="L33" i="90"/>
  <c r="B33" i="90"/>
  <c r="Z32" i="90"/>
  <c r="X32" i="90"/>
  <c r="L32" i="90"/>
  <c r="N32" i="90" s="1"/>
  <c r="B32" i="90"/>
  <c r="Z31" i="90"/>
  <c r="X31" i="90"/>
  <c r="L31" i="90"/>
  <c r="N31" i="90" s="1"/>
  <c r="B31" i="90"/>
  <c r="X30" i="90"/>
  <c r="Z30" i="90" s="1"/>
  <c r="L30" i="90"/>
  <c r="N30" i="90" s="1"/>
  <c r="B30" i="90"/>
  <c r="X29" i="90"/>
  <c r="Z29" i="90" s="1"/>
  <c r="N29" i="90"/>
  <c r="L29" i="90"/>
  <c r="B29" i="90"/>
  <c r="Z28" i="90"/>
  <c r="X28" i="90"/>
  <c r="L28" i="90"/>
  <c r="N28" i="90" s="1"/>
  <c r="B28" i="90"/>
  <c r="Z27" i="90"/>
  <c r="X27" i="90"/>
  <c r="V27" i="90"/>
  <c r="L27" i="90"/>
  <c r="N27" i="90" s="1"/>
  <c r="B27" i="90"/>
  <c r="X26" i="90"/>
  <c r="T26" i="90"/>
  <c r="Z26" i="90" s="1"/>
  <c r="P26" i="90"/>
  <c r="H26" i="90"/>
  <c r="D26" i="90"/>
  <c r="L26" i="90" s="1"/>
  <c r="N26" i="90" s="1"/>
  <c r="B26" i="90"/>
  <c r="T25" i="90"/>
  <c r="Z25" i="90" s="1"/>
  <c r="P25" i="90"/>
  <c r="X25" i="90" s="1"/>
  <c r="H25" i="90"/>
  <c r="D25" i="90"/>
  <c r="L25" i="90" s="1"/>
  <c r="Z21" i="90"/>
  <c r="X21" i="90"/>
  <c r="N21" i="90"/>
  <c r="L21" i="90"/>
  <c r="B21" i="90"/>
  <c r="X20" i="90"/>
  <c r="Z20" i="90" s="1"/>
  <c r="L20" i="90"/>
  <c r="N20" i="90" s="1"/>
  <c r="B20" i="90"/>
  <c r="T19" i="90"/>
  <c r="Z19" i="90" s="1"/>
  <c r="P19" i="90"/>
  <c r="X19" i="90" s="1"/>
  <c r="H19" i="90"/>
  <c r="D19" i="90"/>
  <c r="L19" i="90" s="1"/>
  <c r="N19" i="90" s="1"/>
  <c r="X17" i="90"/>
  <c r="Z17" i="90" s="1"/>
  <c r="T17" i="90"/>
  <c r="P17" i="90"/>
  <c r="H17" i="90"/>
  <c r="N17" i="90" s="1"/>
  <c r="D17" i="90"/>
  <c r="B17" i="90"/>
  <c r="Z16" i="90"/>
  <c r="X16" i="90"/>
  <c r="T16" i="90"/>
  <c r="P16" i="90"/>
  <c r="N16" i="90"/>
  <c r="H16" i="90"/>
  <c r="D16" i="90"/>
  <c r="L16" i="90" s="1"/>
  <c r="B16" i="90"/>
  <c r="X15" i="90"/>
  <c r="Z15" i="90" s="1"/>
  <c r="T15" i="90"/>
  <c r="P15" i="90"/>
  <c r="N15" i="90"/>
  <c r="L15" i="90"/>
  <c r="H15" i="90"/>
  <c r="D15" i="90"/>
  <c r="B15" i="90"/>
  <c r="T14" i="90"/>
  <c r="P14" i="90"/>
  <c r="X14" i="90" s="1"/>
  <c r="L14" i="90"/>
  <c r="H14" i="90"/>
  <c r="N14" i="90" s="1"/>
  <c r="D14" i="90"/>
  <c r="B14" i="90"/>
  <c r="X13" i="90"/>
  <c r="T13" i="90"/>
  <c r="Z13" i="90" s="1"/>
  <c r="P13" i="90"/>
  <c r="H13" i="90"/>
  <c r="D13" i="90"/>
  <c r="B13" i="90"/>
  <c r="T12" i="90"/>
  <c r="V77" i="90" s="1"/>
  <c r="D6" i="90"/>
  <c r="D4" i="90"/>
  <c r="X65" i="89"/>
  <c r="Z65" i="89" s="1"/>
  <c r="N65" i="89"/>
  <c r="L65" i="89"/>
  <c r="J63" i="89"/>
  <c r="X61" i="89"/>
  <c r="T61" i="89"/>
  <c r="T60" i="89" s="1"/>
  <c r="P61" i="89"/>
  <c r="N61" i="89"/>
  <c r="L61" i="89"/>
  <c r="J61" i="89"/>
  <c r="H61" i="89"/>
  <c r="D61" i="89"/>
  <c r="B61" i="89"/>
  <c r="P60" i="89"/>
  <c r="L60" i="89"/>
  <c r="H60" i="89"/>
  <c r="N60" i="89" s="1"/>
  <c r="D60" i="89"/>
  <c r="Z58" i="89"/>
  <c r="X58" i="89"/>
  <c r="N58" i="89"/>
  <c r="L58" i="89"/>
  <c r="B58" i="89"/>
  <c r="T57" i="89"/>
  <c r="Z57" i="89" s="1"/>
  <c r="P57" i="89"/>
  <c r="X57" i="89" s="1"/>
  <c r="N57" i="89"/>
  <c r="L57" i="89"/>
  <c r="H57" i="89"/>
  <c r="D57" i="89"/>
  <c r="B57" i="89"/>
  <c r="X56" i="89"/>
  <c r="Z56" i="89" s="1"/>
  <c r="N56" i="89"/>
  <c r="L56" i="89"/>
  <c r="B56" i="89"/>
  <c r="Z55" i="89"/>
  <c r="X55" i="89"/>
  <c r="N55" i="89"/>
  <c r="L55" i="89"/>
  <c r="B55" i="89"/>
  <c r="Z54" i="89"/>
  <c r="X54" i="89"/>
  <c r="N54" i="89"/>
  <c r="L54" i="89"/>
  <c r="B54" i="89"/>
  <c r="X53" i="89"/>
  <c r="Z53" i="89" s="1"/>
  <c r="N53" i="89"/>
  <c r="L53" i="89"/>
  <c r="J53" i="89"/>
  <c r="B53" i="89"/>
  <c r="X52" i="89"/>
  <c r="Z52" i="89" s="1"/>
  <c r="N52" i="89"/>
  <c r="L52" i="89"/>
  <c r="B52" i="89"/>
  <c r="T51" i="89"/>
  <c r="P51" i="89"/>
  <c r="X51" i="89" s="1"/>
  <c r="Z51" i="89" s="1"/>
  <c r="L51" i="89"/>
  <c r="H51" i="89"/>
  <c r="N51" i="89" s="1"/>
  <c r="D51" i="89"/>
  <c r="B51" i="89"/>
  <c r="X50" i="89"/>
  <c r="Z50" i="89" s="1"/>
  <c r="R50" i="89"/>
  <c r="N50" i="89"/>
  <c r="L50" i="89"/>
  <c r="B50" i="89"/>
  <c r="T49" i="89"/>
  <c r="P49" i="89"/>
  <c r="X49" i="89" s="1"/>
  <c r="Z49" i="89" s="1"/>
  <c r="N49" i="89"/>
  <c r="L49" i="89"/>
  <c r="H49" i="89"/>
  <c r="D49" i="89"/>
  <c r="B49" i="89"/>
  <c r="X48" i="89"/>
  <c r="Z48" i="89" s="1"/>
  <c r="R48" i="89"/>
  <c r="N48" i="89"/>
  <c r="L48" i="89"/>
  <c r="J48" i="89"/>
  <c r="B48" i="89"/>
  <c r="Z47" i="89"/>
  <c r="X47" i="89"/>
  <c r="T47" i="89"/>
  <c r="P47" i="89"/>
  <c r="J47" i="89"/>
  <c r="H47" i="89"/>
  <c r="N47" i="89" s="1"/>
  <c r="D47" i="89"/>
  <c r="L47" i="89" s="1"/>
  <c r="B47" i="89"/>
  <c r="Z46" i="89"/>
  <c r="X46" i="89"/>
  <c r="N46" i="89"/>
  <c r="L46" i="89"/>
  <c r="B46" i="89"/>
  <c r="X45" i="89"/>
  <c r="Z45" i="89" s="1"/>
  <c r="N45" i="89"/>
  <c r="L45" i="89"/>
  <c r="J45" i="89"/>
  <c r="B45" i="89"/>
  <c r="X44" i="89"/>
  <c r="Z44" i="89" s="1"/>
  <c r="T44" i="89"/>
  <c r="P44" i="89"/>
  <c r="H44" i="89"/>
  <c r="N44" i="89" s="1"/>
  <c r="D44" i="89"/>
  <c r="L44" i="89" s="1"/>
  <c r="B44" i="89"/>
  <c r="Z43" i="89"/>
  <c r="X43" i="89"/>
  <c r="N43" i="89"/>
  <c r="L43" i="89"/>
  <c r="B43" i="89"/>
  <c r="X42" i="89"/>
  <c r="T42" i="89"/>
  <c r="P42" i="89"/>
  <c r="H42" i="89"/>
  <c r="D42" i="89"/>
  <c r="L42" i="89" s="1"/>
  <c r="N42" i="89" s="1"/>
  <c r="B42" i="89"/>
  <c r="Z41" i="89"/>
  <c r="X41" i="89"/>
  <c r="R41" i="89"/>
  <c r="N41" i="89"/>
  <c r="L41" i="89"/>
  <c r="B41" i="89"/>
  <c r="T40" i="89"/>
  <c r="P40" i="89"/>
  <c r="N40" i="89"/>
  <c r="H40" i="89"/>
  <c r="D40" i="89"/>
  <c r="L40" i="89" s="1"/>
  <c r="B40" i="89"/>
  <c r="Z39" i="89"/>
  <c r="X39" i="89"/>
  <c r="N39" i="89"/>
  <c r="L39" i="89"/>
  <c r="B39" i="89"/>
  <c r="T38" i="89"/>
  <c r="Z38" i="89" s="1"/>
  <c r="P38" i="89"/>
  <c r="X38" i="89" s="1"/>
  <c r="L38" i="89"/>
  <c r="N38" i="89" s="1"/>
  <c r="J38" i="89"/>
  <c r="H38" i="89"/>
  <c r="D38" i="89"/>
  <c r="B38" i="89"/>
  <c r="Z37" i="89"/>
  <c r="X37" i="89"/>
  <c r="N37" i="89"/>
  <c r="L37" i="89"/>
  <c r="J37" i="89"/>
  <c r="B37" i="89"/>
  <c r="T36" i="89"/>
  <c r="P36" i="89"/>
  <c r="X36" i="89" s="1"/>
  <c r="Z36" i="89" s="1"/>
  <c r="H36" i="89"/>
  <c r="N36" i="89" s="1"/>
  <c r="D36" i="89"/>
  <c r="B36" i="89"/>
  <c r="Z35" i="89"/>
  <c r="X35" i="89"/>
  <c r="N35" i="89"/>
  <c r="L35" i="89"/>
  <c r="J35" i="89"/>
  <c r="B35" i="89"/>
  <c r="Z34" i="89"/>
  <c r="T34" i="89"/>
  <c r="P34" i="89"/>
  <c r="X34" i="89" s="1"/>
  <c r="H34" i="89"/>
  <c r="N34" i="89" s="1"/>
  <c r="D34" i="89"/>
  <c r="L34" i="89" s="1"/>
  <c r="B34" i="89"/>
  <c r="X33" i="89"/>
  <c r="Z33" i="89" s="1"/>
  <c r="N33" i="89"/>
  <c r="L33" i="89"/>
  <c r="J33" i="89"/>
  <c r="B33" i="89"/>
  <c r="X32" i="89"/>
  <c r="Z32" i="89" s="1"/>
  <c r="T32" i="89"/>
  <c r="P32" i="89"/>
  <c r="H32" i="89"/>
  <c r="N32" i="89" s="1"/>
  <c r="D32" i="89"/>
  <c r="L32" i="89" s="1"/>
  <c r="B32" i="89"/>
  <c r="X31" i="89"/>
  <c r="Z31" i="89" s="1"/>
  <c r="N31" i="89"/>
  <c r="L31" i="89"/>
  <c r="B31" i="89"/>
  <c r="X30" i="89"/>
  <c r="Z30" i="89" s="1"/>
  <c r="R30" i="89"/>
  <c r="N30" i="89"/>
  <c r="L30" i="89"/>
  <c r="B30" i="89"/>
  <c r="Z29" i="89"/>
  <c r="X29" i="89"/>
  <c r="N29" i="89"/>
  <c r="L29" i="89"/>
  <c r="J29" i="89"/>
  <c r="B29" i="89"/>
  <c r="X28" i="89"/>
  <c r="Z28" i="89" s="1"/>
  <c r="N28" i="89"/>
  <c r="L28" i="89"/>
  <c r="F28" i="89"/>
  <c r="B28" i="89"/>
  <c r="Z27" i="89"/>
  <c r="X27" i="89"/>
  <c r="N27" i="89"/>
  <c r="L27" i="89"/>
  <c r="B27" i="89"/>
  <c r="X26" i="89"/>
  <c r="T26" i="89"/>
  <c r="Z26" i="89" s="1"/>
  <c r="R26" i="89"/>
  <c r="P26" i="89"/>
  <c r="N26" i="89"/>
  <c r="H26" i="89"/>
  <c r="D26" i="89"/>
  <c r="L26" i="89" s="1"/>
  <c r="B26" i="89"/>
  <c r="Z25" i="89"/>
  <c r="X25" i="89"/>
  <c r="N25" i="89"/>
  <c r="L25" i="89"/>
  <c r="J25" i="89"/>
  <c r="B25" i="89"/>
  <c r="X24" i="89"/>
  <c r="Z24" i="89" s="1"/>
  <c r="R24" i="89"/>
  <c r="N24" i="89"/>
  <c r="L24" i="89"/>
  <c r="J24" i="89"/>
  <c r="B24" i="89"/>
  <c r="Z23" i="89"/>
  <c r="X23" i="89"/>
  <c r="T23" i="89"/>
  <c r="P23" i="89"/>
  <c r="N23" i="89"/>
  <c r="J23" i="89"/>
  <c r="H23" i="89"/>
  <c r="D23" i="89"/>
  <c r="L23" i="89" s="1"/>
  <c r="B23" i="89"/>
  <c r="T22" i="89"/>
  <c r="P22" i="89"/>
  <c r="X22" i="89" s="1"/>
  <c r="J22" i="89"/>
  <c r="H22" i="89"/>
  <c r="L22" i="89" s="1"/>
  <c r="N22" i="89" s="1"/>
  <c r="D22" i="89"/>
  <c r="P20" i="89"/>
  <c r="J20" i="89"/>
  <c r="X18" i="89"/>
  <c r="Z18" i="89" s="1"/>
  <c r="R18" i="89"/>
  <c r="L18" i="89"/>
  <c r="N18" i="89" s="1"/>
  <c r="F18" i="89"/>
  <c r="B18" i="89"/>
  <c r="X17" i="89"/>
  <c r="Z17" i="89" s="1"/>
  <c r="N17" i="89"/>
  <c r="L17" i="89"/>
  <c r="J17" i="89"/>
  <c r="B17" i="89"/>
  <c r="X16" i="89"/>
  <c r="Z16" i="89" s="1"/>
  <c r="T16" i="89"/>
  <c r="P16" i="89"/>
  <c r="H16" i="89"/>
  <c r="D16" i="89"/>
  <c r="X14" i="89"/>
  <c r="T14" i="89"/>
  <c r="P14" i="89"/>
  <c r="N14" i="89"/>
  <c r="L14" i="89"/>
  <c r="H14" i="89"/>
  <c r="D14" i="89"/>
  <c r="B14" i="89"/>
  <c r="T13" i="89"/>
  <c r="P13" i="89"/>
  <c r="X13" i="89" s="1"/>
  <c r="Z13" i="89" s="1"/>
  <c r="N13" i="89"/>
  <c r="L13" i="89"/>
  <c r="H13" i="89"/>
  <c r="D13" i="89"/>
  <c r="B13" i="89"/>
  <c r="P12" i="89"/>
  <c r="L12" i="89"/>
  <c r="H12" i="89"/>
  <c r="D12" i="89"/>
  <c r="F70" i="89" s="1"/>
  <c r="D6" i="89"/>
  <c r="D4" i="89"/>
  <c r="F53" i="88"/>
  <c r="F50" i="88"/>
  <c r="Z48" i="88"/>
  <c r="X48" i="88"/>
  <c r="N48" i="88"/>
  <c r="L48" i="88"/>
  <c r="F48" i="88"/>
  <c r="V46" i="88"/>
  <c r="X44" i="88"/>
  <c r="Z44" i="88" s="1"/>
  <c r="V44" i="88"/>
  <c r="T44" i="88"/>
  <c r="P44" i="88"/>
  <c r="P43" i="88" s="1"/>
  <c r="H44" i="88"/>
  <c r="D44" i="88"/>
  <c r="B44" i="88"/>
  <c r="Z43" i="88"/>
  <c r="X43" i="88"/>
  <c r="T43" i="88"/>
  <c r="J43" i="88"/>
  <c r="F43" i="88"/>
  <c r="X41" i="88"/>
  <c r="Z41" i="88" s="1"/>
  <c r="N41" i="88"/>
  <c r="L41" i="88"/>
  <c r="B41" i="88"/>
  <c r="X40" i="88"/>
  <c r="T40" i="88"/>
  <c r="R40" i="88"/>
  <c r="P40" i="88"/>
  <c r="H40" i="88"/>
  <c r="D40" i="88"/>
  <c r="L40" i="88" s="1"/>
  <c r="N40" i="88" s="1"/>
  <c r="B40" i="88"/>
  <c r="Z39" i="88"/>
  <c r="X39" i="88"/>
  <c r="V39" i="88"/>
  <c r="L39" i="88"/>
  <c r="N39" i="88" s="1"/>
  <c r="B39" i="88"/>
  <c r="T38" i="88"/>
  <c r="P38" i="88"/>
  <c r="N38" i="88"/>
  <c r="H38" i="88"/>
  <c r="D38" i="88"/>
  <c r="L38" i="88" s="1"/>
  <c r="B38" i="88"/>
  <c r="Z37" i="88"/>
  <c r="X37" i="88"/>
  <c r="V37" i="88"/>
  <c r="N37" i="88"/>
  <c r="L37" i="88"/>
  <c r="B37" i="88"/>
  <c r="T36" i="88"/>
  <c r="P36" i="88"/>
  <c r="N36" i="88"/>
  <c r="L36" i="88"/>
  <c r="H36" i="88"/>
  <c r="D36" i="88"/>
  <c r="B36" i="88"/>
  <c r="Z35" i="88"/>
  <c r="X35" i="88"/>
  <c r="V35" i="88"/>
  <c r="N35" i="88"/>
  <c r="L35" i="88"/>
  <c r="J35" i="88"/>
  <c r="F35" i="88"/>
  <c r="B35" i="88"/>
  <c r="T34" i="88"/>
  <c r="P34" i="88"/>
  <c r="X34" i="88" s="1"/>
  <c r="H34" i="88"/>
  <c r="N34" i="88" s="1"/>
  <c r="F34" i="88"/>
  <c r="D34" i="88"/>
  <c r="B34" i="88"/>
  <c r="Z33" i="88"/>
  <c r="X33" i="88"/>
  <c r="N33" i="88"/>
  <c r="L33" i="88"/>
  <c r="J33" i="88"/>
  <c r="B33" i="88"/>
  <c r="T32" i="88"/>
  <c r="P32" i="88"/>
  <c r="X32" i="88" s="1"/>
  <c r="Z32" i="88" s="1"/>
  <c r="L32" i="88"/>
  <c r="H32" i="88"/>
  <c r="N32" i="88" s="1"/>
  <c r="D32" i="88"/>
  <c r="B32" i="88"/>
  <c r="X31" i="88"/>
  <c r="Z31" i="88" s="1"/>
  <c r="V31" i="88"/>
  <c r="N31" i="88"/>
  <c r="L31" i="88"/>
  <c r="B31" i="88"/>
  <c r="X30" i="88"/>
  <c r="Z30" i="88" s="1"/>
  <c r="V30" i="88"/>
  <c r="L30" i="88"/>
  <c r="N30" i="88" s="1"/>
  <c r="B30" i="88"/>
  <c r="V29" i="88"/>
  <c r="T29" i="88"/>
  <c r="R29" i="88"/>
  <c r="P29" i="88"/>
  <c r="X29" i="88" s="1"/>
  <c r="Z29" i="88" s="1"/>
  <c r="L29" i="88"/>
  <c r="N29" i="88" s="1"/>
  <c r="H29" i="88"/>
  <c r="D29" i="88"/>
  <c r="B29" i="88"/>
  <c r="X28" i="88"/>
  <c r="Z28" i="88" s="1"/>
  <c r="R28" i="88"/>
  <c r="N28" i="88"/>
  <c r="L28" i="88"/>
  <c r="F28" i="88"/>
  <c r="B28" i="88"/>
  <c r="Z27" i="88"/>
  <c r="X27" i="88"/>
  <c r="V27" i="88"/>
  <c r="N27" i="88"/>
  <c r="L27" i="88"/>
  <c r="F27" i="88"/>
  <c r="B27" i="88"/>
  <c r="X26" i="88"/>
  <c r="Z26" i="88" s="1"/>
  <c r="L26" i="88"/>
  <c r="N26" i="88" s="1"/>
  <c r="F26" i="88"/>
  <c r="B26" i="88"/>
  <c r="X25" i="88"/>
  <c r="Z25" i="88" s="1"/>
  <c r="N25" i="88"/>
  <c r="L25" i="88"/>
  <c r="B25" i="88"/>
  <c r="X24" i="88"/>
  <c r="Z24" i="88" s="1"/>
  <c r="N24" i="88"/>
  <c r="L24" i="88"/>
  <c r="F24" i="88"/>
  <c r="B24" i="88"/>
  <c r="Z23" i="88"/>
  <c r="X23" i="88"/>
  <c r="V23" i="88"/>
  <c r="N23" i="88"/>
  <c r="L23" i="88"/>
  <c r="F23" i="88"/>
  <c r="B23" i="88"/>
  <c r="X22" i="88"/>
  <c r="Z22" i="88" s="1"/>
  <c r="L22" i="88"/>
  <c r="N22" i="88" s="1"/>
  <c r="F22" i="88"/>
  <c r="B22" i="88"/>
  <c r="Z21" i="88"/>
  <c r="X21" i="88"/>
  <c r="N21" i="88"/>
  <c r="L21" i="88"/>
  <c r="B21" i="88"/>
  <c r="X20" i="88"/>
  <c r="T20" i="88"/>
  <c r="P20" i="88"/>
  <c r="L20" i="88"/>
  <c r="H20" i="88"/>
  <c r="N20" i="88" s="1"/>
  <c r="D20" i="88"/>
  <c r="B20" i="88"/>
  <c r="V19" i="88"/>
  <c r="T19" i="88"/>
  <c r="P19" i="88"/>
  <c r="H19" i="88"/>
  <c r="N19" i="88" s="1"/>
  <c r="F19" i="88"/>
  <c r="D19" i="88"/>
  <c r="L19" i="88" s="1"/>
  <c r="V17" i="88"/>
  <c r="F17" i="88"/>
  <c r="Z15" i="88"/>
  <c r="X15" i="88"/>
  <c r="V15" i="88"/>
  <c r="N15" i="88"/>
  <c r="L15" i="88"/>
  <c r="B15" i="88"/>
  <c r="T14" i="88"/>
  <c r="P14" i="88"/>
  <c r="N14" i="88"/>
  <c r="H14" i="88"/>
  <c r="L14" i="88" s="1"/>
  <c r="D14" i="88"/>
  <c r="T12" i="88"/>
  <c r="V43" i="88" s="1"/>
  <c r="P12" i="88"/>
  <c r="R39" i="88" s="1"/>
  <c r="L12" i="88"/>
  <c r="H12" i="88"/>
  <c r="D12" i="88"/>
  <c r="F37" i="88" s="1"/>
  <c r="D6" i="88"/>
  <c r="D4" i="88"/>
  <c r="X55" i="87"/>
  <c r="Z55" i="87" s="1"/>
  <c r="L55" i="87"/>
  <c r="N55" i="87" s="1"/>
  <c r="Z51" i="87"/>
  <c r="T51" i="87"/>
  <c r="P51" i="87"/>
  <c r="X51" i="87" s="1"/>
  <c r="H51" i="87"/>
  <c r="N51" i="87" s="1"/>
  <c r="D51" i="87"/>
  <c r="Z49" i="87"/>
  <c r="X49" i="87"/>
  <c r="N49" i="87"/>
  <c r="L49" i="87"/>
  <c r="B49" i="87"/>
  <c r="T48" i="87"/>
  <c r="P48" i="87"/>
  <c r="X48" i="87" s="1"/>
  <c r="Z48" i="87" s="1"/>
  <c r="N48" i="87"/>
  <c r="H48" i="87"/>
  <c r="D48" i="87"/>
  <c r="L48" i="87" s="1"/>
  <c r="B48" i="87"/>
  <c r="X47" i="87"/>
  <c r="Z47" i="87" s="1"/>
  <c r="N47" i="87"/>
  <c r="L47" i="87"/>
  <c r="B47" i="87"/>
  <c r="Z46" i="87"/>
  <c r="X46" i="87"/>
  <c r="N46" i="87"/>
  <c r="L46" i="87"/>
  <c r="B46" i="87"/>
  <c r="T45" i="87"/>
  <c r="P45" i="87"/>
  <c r="H45" i="87"/>
  <c r="N45" i="87" s="1"/>
  <c r="D45" i="87"/>
  <c r="L45" i="87" s="1"/>
  <c r="B45" i="87"/>
  <c r="X44" i="87"/>
  <c r="Z44" i="87" s="1"/>
  <c r="N44" i="87"/>
  <c r="L44" i="87"/>
  <c r="B44" i="87"/>
  <c r="X43" i="87"/>
  <c r="T43" i="87"/>
  <c r="Z43" i="87" s="1"/>
  <c r="P43" i="87"/>
  <c r="H43" i="87"/>
  <c r="N43" i="87" s="1"/>
  <c r="F43" i="87"/>
  <c r="D43" i="87"/>
  <c r="L43" i="87" s="1"/>
  <c r="B43" i="87"/>
  <c r="Z42" i="87"/>
  <c r="X42" i="87"/>
  <c r="N42" i="87"/>
  <c r="L42" i="87"/>
  <c r="B42" i="87"/>
  <c r="T41" i="87"/>
  <c r="P41" i="87"/>
  <c r="H41" i="87"/>
  <c r="N41" i="87" s="1"/>
  <c r="D41" i="87"/>
  <c r="L41" i="87" s="1"/>
  <c r="B41" i="87"/>
  <c r="X40" i="87"/>
  <c r="Z40" i="87" s="1"/>
  <c r="N40" i="87"/>
  <c r="L40" i="87"/>
  <c r="B40" i="87"/>
  <c r="T39" i="87"/>
  <c r="P39" i="87"/>
  <c r="X39" i="87" s="1"/>
  <c r="Z39" i="87" s="1"/>
  <c r="N39" i="87"/>
  <c r="L39" i="87"/>
  <c r="H39" i="87"/>
  <c r="D39" i="87"/>
  <c r="B39" i="87"/>
  <c r="X38" i="87"/>
  <c r="Z38" i="87" s="1"/>
  <c r="N38" i="87"/>
  <c r="L38" i="87"/>
  <c r="B38" i="87"/>
  <c r="X37" i="87"/>
  <c r="T37" i="87"/>
  <c r="Z37" i="87" s="1"/>
  <c r="P37" i="87"/>
  <c r="J37" i="87"/>
  <c r="H37" i="87"/>
  <c r="L37" i="87" s="1"/>
  <c r="D37" i="87"/>
  <c r="B37" i="87"/>
  <c r="X36" i="87"/>
  <c r="Z36" i="87" s="1"/>
  <c r="N36" i="87"/>
  <c r="L36" i="87"/>
  <c r="B36" i="87"/>
  <c r="X35" i="87"/>
  <c r="Z35" i="87" s="1"/>
  <c r="N35" i="87"/>
  <c r="L35" i="87"/>
  <c r="B35" i="87"/>
  <c r="X34" i="87"/>
  <c r="Z34" i="87" s="1"/>
  <c r="N34" i="87"/>
  <c r="L34" i="87"/>
  <c r="B34" i="87"/>
  <c r="Z33" i="87"/>
  <c r="X33" i="87"/>
  <c r="N33" i="87"/>
  <c r="L33" i="87"/>
  <c r="B33" i="87"/>
  <c r="T32" i="87"/>
  <c r="Z32" i="87" s="1"/>
  <c r="P32" i="87"/>
  <c r="X32" i="87" s="1"/>
  <c r="N32" i="87"/>
  <c r="L32" i="87"/>
  <c r="J32" i="87"/>
  <c r="H32" i="87"/>
  <c r="D32" i="87"/>
  <c r="B32" i="87"/>
  <c r="Z31" i="87"/>
  <c r="X31" i="87"/>
  <c r="N31" i="87"/>
  <c r="L31" i="87"/>
  <c r="J31" i="87"/>
  <c r="F31" i="87"/>
  <c r="B31" i="87"/>
  <c r="X30" i="87"/>
  <c r="Z30" i="87" s="1"/>
  <c r="L30" i="87"/>
  <c r="N30" i="87" s="1"/>
  <c r="B30" i="87"/>
  <c r="X29" i="87"/>
  <c r="Z29" i="87" s="1"/>
  <c r="N29" i="87"/>
  <c r="L29" i="87"/>
  <c r="B29" i="87"/>
  <c r="X28" i="87"/>
  <c r="Z28" i="87" s="1"/>
  <c r="N28" i="87"/>
  <c r="L28" i="87"/>
  <c r="B28" i="87"/>
  <c r="Z27" i="87"/>
  <c r="X27" i="87"/>
  <c r="N27" i="87"/>
  <c r="L27" i="87"/>
  <c r="F27" i="87"/>
  <c r="B27" i="87"/>
  <c r="X26" i="87"/>
  <c r="Z26" i="87" s="1"/>
  <c r="N26" i="87"/>
  <c r="L26" i="87"/>
  <c r="B26" i="87"/>
  <c r="Z25" i="87"/>
  <c r="X25" i="87"/>
  <c r="N25" i="87"/>
  <c r="L25" i="87"/>
  <c r="B25" i="87"/>
  <c r="X24" i="87"/>
  <c r="Z24" i="87" s="1"/>
  <c r="N24" i="87"/>
  <c r="L24" i="87"/>
  <c r="B24" i="87"/>
  <c r="T23" i="87"/>
  <c r="P23" i="87"/>
  <c r="X23" i="87" s="1"/>
  <c r="Z23" i="87" s="1"/>
  <c r="L23" i="87"/>
  <c r="N23" i="87" s="1"/>
  <c r="H23" i="87"/>
  <c r="D23" i="87"/>
  <c r="B23" i="87"/>
  <c r="T22" i="87"/>
  <c r="P22" i="87"/>
  <c r="X22" i="87" s="1"/>
  <c r="H22" i="87"/>
  <c r="D22" i="87"/>
  <c r="L22" i="87" s="1"/>
  <c r="N22" i="87" s="1"/>
  <c r="X18" i="87"/>
  <c r="Z18" i="87" s="1"/>
  <c r="R18" i="87"/>
  <c r="N18" i="87"/>
  <c r="L18" i="87"/>
  <c r="J18" i="87"/>
  <c r="B18" i="87"/>
  <c r="X17" i="87"/>
  <c r="Z17" i="87" s="1"/>
  <c r="N17" i="87"/>
  <c r="L17" i="87"/>
  <c r="J17" i="87"/>
  <c r="B17" i="87"/>
  <c r="T16" i="87"/>
  <c r="P16" i="87"/>
  <c r="X16" i="87" s="1"/>
  <c r="Z16" i="87" s="1"/>
  <c r="H16" i="87"/>
  <c r="N16" i="87" s="1"/>
  <c r="D16" i="87"/>
  <c r="L16" i="87" s="1"/>
  <c r="T14" i="87"/>
  <c r="P14" i="87"/>
  <c r="X14" i="87" s="1"/>
  <c r="Z14" i="87" s="1"/>
  <c r="N14" i="87"/>
  <c r="L14" i="87"/>
  <c r="H14" i="87"/>
  <c r="D14" i="87"/>
  <c r="B14" i="87"/>
  <c r="T13" i="87"/>
  <c r="T12" i="87" s="1"/>
  <c r="P13" i="87"/>
  <c r="H13" i="87"/>
  <c r="N13" i="87" s="1"/>
  <c r="D13" i="87"/>
  <c r="D12" i="87" s="1"/>
  <c r="B13" i="87"/>
  <c r="P12" i="87"/>
  <c r="H12" i="87"/>
  <c r="J38" i="87" s="1"/>
  <c r="D6" i="87"/>
  <c r="D4" i="87"/>
  <c r="X89" i="86"/>
  <c r="Z89" i="86" s="1"/>
  <c r="L89" i="86"/>
  <c r="N89" i="86" s="1"/>
  <c r="Z85" i="86"/>
  <c r="T85" i="86"/>
  <c r="P85" i="86"/>
  <c r="X85" i="86" s="1"/>
  <c r="H85" i="86"/>
  <c r="D85" i="86"/>
  <c r="B85" i="86"/>
  <c r="T84" i="86"/>
  <c r="Z84" i="86" s="1"/>
  <c r="X82" i="86"/>
  <c r="Z82" i="86" s="1"/>
  <c r="N82" i="86"/>
  <c r="L82" i="86"/>
  <c r="B82" i="86"/>
  <c r="X81" i="86"/>
  <c r="Z81" i="86" s="1"/>
  <c r="T81" i="86"/>
  <c r="P81" i="86"/>
  <c r="N81" i="86"/>
  <c r="H81" i="86"/>
  <c r="D81" i="86"/>
  <c r="L81" i="86" s="1"/>
  <c r="B81" i="86"/>
  <c r="Z80" i="86"/>
  <c r="X80" i="86"/>
  <c r="L80" i="86"/>
  <c r="N80" i="86" s="1"/>
  <c r="B80" i="86"/>
  <c r="X79" i="86"/>
  <c r="T79" i="86"/>
  <c r="P79" i="86"/>
  <c r="H79" i="86"/>
  <c r="N79" i="86" s="1"/>
  <c r="D79" i="86"/>
  <c r="L79" i="86" s="1"/>
  <c r="B79" i="86"/>
  <c r="Z78" i="86"/>
  <c r="X78" i="86"/>
  <c r="N78" i="86"/>
  <c r="L78" i="86"/>
  <c r="B78" i="86"/>
  <c r="X77" i="86"/>
  <c r="Z77" i="86" s="1"/>
  <c r="N77" i="86"/>
  <c r="L77" i="86"/>
  <c r="B77" i="86"/>
  <c r="X76" i="86"/>
  <c r="Z76" i="86" s="1"/>
  <c r="N76" i="86"/>
  <c r="L76" i="86"/>
  <c r="B76" i="86"/>
  <c r="Z75" i="86"/>
  <c r="X75" i="86"/>
  <c r="N75" i="86"/>
  <c r="L75" i="86"/>
  <c r="B75" i="86"/>
  <c r="Z74" i="86"/>
  <c r="X74" i="86"/>
  <c r="N74" i="86"/>
  <c r="L74" i="86"/>
  <c r="B74" i="86"/>
  <c r="X73" i="86"/>
  <c r="Z73" i="86" s="1"/>
  <c r="N73" i="86"/>
  <c r="L73" i="86"/>
  <c r="B73" i="86"/>
  <c r="X72" i="86"/>
  <c r="Z72" i="86" s="1"/>
  <c r="N72" i="86"/>
  <c r="L72" i="86"/>
  <c r="B72" i="86"/>
  <c r="Z71" i="86"/>
  <c r="X71" i="86"/>
  <c r="N71" i="86"/>
  <c r="L71" i="86"/>
  <c r="B71" i="86"/>
  <c r="Z70" i="86"/>
  <c r="T70" i="86"/>
  <c r="X70" i="86" s="1"/>
  <c r="P70" i="86"/>
  <c r="N70" i="86"/>
  <c r="L70" i="86"/>
  <c r="H70" i="86"/>
  <c r="D70" i="86"/>
  <c r="B70" i="86"/>
  <c r="X69" i="86"/>
  <c r="Z69" i="86" s="1"/>
  <c r="L69" i="86"/>
  <c r="N69" i="86" s="1"/>
  <c r="B69" i="86"/>
  <c r="Z68" i="86"/>
  <c r="X68" i="86"/>
  <c r="N68" i="86"/>
  <c r="L68" i="86"/>
  <c r="B68" i="86"/>
  <c r="T67" i="86"/>
  <c r="Z67" i="86" s="1"/>
  <c r="P67" i="86"/>
  <c r="X67" i="86" s="1"/>
  <c r="L67" i="86"/>
  <c r="N67" i="86" s="1"/>
  <c r="H67" i="86"/>
  <c r="D67" i="86"/>
  <c r="B67" i="86"/>
  <c r="Z66" i="86"/>
  <c r="X66" i="86"/>
  <c r="N66" i="86"/>
  <c r="L66" i="86"/>
  <c r="B66" i="86"/>
  <c r="X65" i="86"/>
  <c r="Z65" i="86" s="1"/>
  <c r="N65" i="86"/>
  <c r="L65" i="86"/>
  <c r="B65" i="86"/>
  <c r="Z64" i="86"/>
  <c r="X64" i="86"/>
  <c r="L64" i="86"/>
  <c r="N64" i="86" s="1"/>
  <c r="B64" i="86"/>
  <c r="T63" i="86"/>
  <c r="P63" i="86"/>
  <c r="H63" i="86"/>
  <c r="D63" i="86"/>
  <c r="B63" i="86"/>
  <c r="Z62" i="86"/>
  <c r="X62" i="86"/>
  <c r="N62" i="86"/>
  <c r="L62" i="86"/>
  <c r="B62" i="86"/>
  <c r="X61" i="86"/>
  <c r="Z61" i="86" s="1"/>
  <c r="N61" i="86"/>
  <c r="L61" i="86"/>
  <c r="B61" i="86"/>
  <c r="X60" i="86"/>
  <c r="Z60" i="86" s="1"/>
  <c r="N60" i="86"/>
  <c r="L60" i="86"/>
  <c r="B60" i="86"/>
  <c r="T59" i="86"/>
  <c r="P59" i="86"/>
  <c r="X59" i="86" s="1"/>
  <c r="Z59" i="86" s="1"/>
  <c r="H59" i="86"/>
  <c r="N59" i="86" s="1"/>
  <c r="D59" i="86"/>
  <c r="B59" i="86"/>
  <c r="X58" i="86"/>
  <c r="Z58" i="86" s="1"/>
  <c r="N58" i="86"/>
  <c r="L58" i="86"/>
  <c r="B58" i="86"/>
  <c r="X57" i="86"/>
  <c r="Z57" i="86" s="1"/>
  <c r="N57" i="86"/>
  <c r="L57" i="86"/>
  <c r="B57" i="86"/>
  <c r="T56" i="86"/>
  <c r="Z56" i="86" s="1"/>
  <c r="P56" i="86"/>
  <c r="X56" i="86" s="1"/>
  <c r="H56" i="86"/>
  <c r="N56" i="86" s="1"/>
  <c r="D56" i="86"/>
  <c r="B56" i="86"/>
  <c r="X55" i="86"/>
  <c r="Z55" i="86" s="1"/>
  <c r="N55" i="86"/>
  <c r="L55" i="86"/>
  <c r="B55" i="86"/>
  <c r="T54" i="86"/>
  <c r="P54" i="86"/>
  <c r="X54" i="86" s="1"/>
  <c r="Z54" i="86" s="1"/>
  <c r="N54" i="86"/>
  <c r="L54" i="86"/>
  <c r="H54" i="86"/>
  <c r="D54" i="86"/>
  <c r="B54" i="86"/>
  <c r="X53" i="86"/>
  <c r="Z53" i="86" s="1"/>
  <c r="N53" i="86"/>
  <c r="L53" i="86"/>
  <c r="B53" i="86"/>
  <c r="X52" i="86"/>
  <c r="Z52" i="86" s="1"/>
  <c r="T52" i="86"/>
  <c r="P52" i="86"/>
  <c r="J52" i="86"/>
  <c r="H52" i="86"/>
  <c r="L52" i="86" s="1"/>
  <c r="D52" i="86"/>
  <c r="B52" i="86"/>
  <c r="X51" i="86"/>
  <c r="Z51" i="86" s="1"/>
  <c r="N51" i="86"/>
  <c r="L51" i="86"/>
  <c r="B51" i="86"/>
  <c r="T50" i="86"/>
  <c r="P50" i="86"/>
  <c r="N50" i="86"/>
  <c r="H50" i="86"/>
  <c r="D50" i="86"/>
  <c r="L50" i="86" s="1"/>
  <c r="B50" i="86"/>
  <c r="X49" i="86"/>
  <c r="Z49" i="86" s="1"/>
  <c r="N49" i="86"/>
  <c r="L49" i="86"/>
  <c r="F49" i="86"/>
  <c r="B49" i="86"/>
  <c r="Z48" i="86"/>
  <c r="X48" i="86"/>
  <c r="T48" i="86"/>
  <c r="P48" i="86"/>
  <c r="N48" i="86"/>
  <c r="H48" i="86"/>
  <c r="D48" i="86"/>
  <c r="L48" i="86" s="1"/>
  <c r="B48" i="86"/>
  <c r="Z47" i="86"/>
  <c r="X47" i="86"/>
  <c r="L47" i="86"/>
  <c r="N47" i="86" s="1"/>
  <c r="B47" i="86"/>
  <c r="Z46" i="86"/>
  <c r="X46" i="86"/>
  <c r="L46" i="86"/>
  <c r="N46" i="86" s="1"/>
  <c r="B46" i="86"/>
  <c r="T45" i="86"/>
  <c r="P45" i="86"/>
  <c r="X45" i="86" s="1"/>
  <c r="H45" i="86"/>
  <c r="D45" i="86"/>
  <c r="L45" i="86" s="1"/>
  <c r="N45" i="86" s="1"/>
  <c r="B45" i="86"/>
  <c r="Z44" i="86"/>
  <c r="X44" i="86"/>
  <c r="N44" i="86"/>
  <c r="L44" i="86"/>
  <c r="B44" i="86"/>
  <c r="X43" i="86"/>
  <c r="T43" i="86"/>
  <c r="Z43" i="86" s="1"/>
  <c r="P43" i="86"/>
  <c r="L43" i="86"/>
  <c r="N43" i="86" s="1"/>
  <c r="H43" i="86"/>
  <c r="D43" i="86"/>
  <c r="B43" i="86"/>
  <c r="Z42" i="86"/>
  <c r="X42" i="86"/>
  <c r="N42" i="86"/>
  <c r="L42" i="86"/>
  <c r="B42" i="86"/>
  <c r="T41" i="86"/>
  <c r="P41" i="86"/>
  <c r="L41" i="86"/>
  <c r="H41" i="86"/>
  <c r="N41" i="86" s="1"/>
  <c r="D41" i="86"/>
  <c r="B41" i="86"/>
  <c r="X40" i="86"/>
  <c r="Z40" i="86" s="1"/>
  <c r="N40" i="86"/>
  <c r="L40" i="86"/>
  <c r="B40" i="86"/>
  <c r="T39" i="86"/>
  <c r="P39" i="86"/>
  <c r="X39" i="86" s="1"/>
  <c r="Z39" i="86" s="1"/>
  <c r="H39" i="86"/>
  <c r="N39" i="86" s="1"/>
  <c r="D39" i="86"/>
  <c r="B39" i="86"/>
  <c r="X38" i="86"/>
  <c r="Z38" i="86" s="1"/>
  <c r="N38" i="86"/>
  <c r="L38" i="86"/>
  <c r="B38" i="86"/>
  <c r="X37" i="86"/>
  <c r="Z37" i="86" s="1"/>
  <c r="L37" i="86"/>
  <c r="N37" i="86" s="1"/>
  <c r="F37" i="86"/>
  <c r="B37" i="86"/>
  <c r="Z36" i="86"/>
  <c r="X36" i="86"/>
  <c r="N36" i="86"/>
  <c r="L36" i="86"/>
  <c r="B36" i="86"/>
  <c r="X35" i="86"/>
  <c r="Z35" i="86" s="1"/>
  <c r="N35" i="86"/>
  <c r="L35" i="86"/>
  <c r="B35" i="86"/>
  <c r="X34" i="86"/>
  <c r="Z34" i="86" s="1"/>
  <c r="N34" i="86"/>
  <c r="L34" i="86"/>
  <c r="B34" i="86"/>
  <c r="X33" i="86"/>
  <c r="Z33" i="86" s="1"/>
  <c r="N33" i="86"/>
  <c r="L33" i="86"/>
  <c r="B33" i="86"/>
  <c r="T32" i="86"/>
  <c r="P32" i="86"/>
  <c r="X32" i="86" s="1"/>
  <c r="Z32" i="86" s="1"/>
  <c r="H32" i="86"/>
  <c r="D32" i="86"/>
  <c r="B32" i="86"/>
  <c r="X31" i="86"/>
  <c r="Z31" i="86" s="1"/>
  <c r="N31" i="86"/>
  <c r="L31" i="86"/>
  <c r="B31" i="86"/>
  <c r="Z30" i="86"/>
  <c r="X30" i="86"/>
  <c r="N30" i="86"/>
  <c r="L30" i="86"/>
  <c r="B30" i="86"/>
  <c r="X29" i="86"/>
  <c r="Z29" i="86" s="1"/>
  <c r="L29" i="86"/>
  <c r="N29" i="86" s="1"/>
  <c r="F29" i="86"/>
  <c r="B29" i="86"/>
  <c r="Z28" i="86"/>
  <c r="X28" i="86"/>
  <c r="L28" i="86"/>
  <c r="N28" i="86" s="1"/>
  <c r="B28" i="86"/>
  <c r="X27" i="86"/>
  <c r="Z27" i="86" s="1"/>
  <c r="N27" i="86"/>
  <c r="L27" i="86"/>
  <c r="B27" i="86"/>
  <c r="Z26" i="86"/>
  <c r="X26" i="86"/>
  <c r="N26" i="86"/>
  <c r="L26" i="86"/>
  <c r="B26" i="86"/>
  <c r="X25" i="86"/>
  <c r="Z25" i="86" s="1"/>
  <c r="L25" i="86"/>
  <c r="N25" i="86" s="1"/>
  <c r="B25" i="86"/>
  <c r="X24" i="86"/>
  <c r="Z24" i="86" s="1"/>
  <c r="L24" i="86"/>
  <c r="N24" i="86" s="1"/>
  <c r="B24" i="86"/>
  <c r="T23" i="86"/>
  <c r="P23" i="86"/>
  <c r="H23" i="86"/>
  <c r="D23" i="86"/>
  <c r="B23" i="86"/>
  <c r="T22" i="86"/>
  <c r="P22" i="86"/>
  <c r="H22" i="86"/>
  <c r="D22" i="86"/>
  <c r="L22" i="86" s="1"/>
  <c r="Z18" i="86"/>
  <c r="X18" i="86"/>
  <c r="L18" i="86"/>
  <c r="N18" i="86" s="1"/>
  <c r="B18" i="86"/>
  <c r="X17" i="86"/>
  <c r="Z17" i="86" s="1"/>
  <c r="N17" i="86"/>
  <c r="L17" i="86"/>
  <c r="B17" i="86"/>
  <c r="X16" i="86"/>
  <c r="T16" i="86"/>
  <c r="P16" i="86"/>
  <c r="H16" i="86"/>
  <c r="D16" i="86"/>
  <c r="L16" i="86" s="1"/>
  <c r="N16" i="86" s="1"/>
  <c r="T14" i="86"/>
  <c r="P14" i="86"/>
  <c r="P12" i="86" s="1"/>
  <c r="H14" i="86"/>
  <c r="N14" i="86" s="1"/>
  <c r="D14" i="86"/>
  <c r="L14" i="86" s="1"/>
  <c r="B14" i="86"/>
  <c r="T13" i="86"/>
  <c r="P13" i="86"/>
  <c r="H13" i="86"/>
  <c r="H12" i="86" s="1"/>
  <c r="D13" i="86"/>
  <c r="B13" i="86"/>
  <c r="D12" i="86"/>
  <c r="F33" i="86" s="1"/>
  <c r="D6" i="86"/>
  <c r="D4" i="86"/>
  <c r="X94" i="85"/>
  <c r="Z94" i="85" s="1"/>
  <c r="L94" i="85"/>
  <c r="N94" i="85" s="1"/>
  <c r="X90" i="85"/>
  <c r="T90" i="85"/>
  <c r="P90" i="85"/>
  <c r="H90" i="85"/>
  <c r="N90" i="85" s="1"/>
  <c r="D90" i="85"/>
  <c r="B90" i="85"/>
  <c r="X89" i="85"/>
  <c r="Z89" i="85" s="1"/>
  <c r="T89" i="85"/>
  <c r="P89" i="85"/>
  <c r="H89" i="85"/>
  <c r="N89" i="85" s="1"/>
  <c r="D89" i="85"/>
  <c r="L89" i="85" s="1"/>
  <c r="X87" i="85"/>
  <c r="Z87" i="85" s="1"/>
  <c r="L87" i="85"/>
  <c r="N87" i="85" s="1"/>
  <c r="B87" i="85"/>
  <c r="T86" i="85"/>
  <c r="R86" i="85"/>
  <c r="P86" i="85"/>
  <c r="X86" i="85" s="1"/>
  <c r="Z86" i="85" s="1"/>
  <c r="H86" i="85"/>
  <c r="D86" i="85"/>
  <c r="L86" i="85" s="1"/>
  <c r="N86" i="85" s="1"/>
  <c r="B86" i="85"/>
  <c r="X85" i="85"/>
  <c r="Z85" i="85" s="1"/>
  <c r="N85" i="85"/>
  <c r="L85" i="85"/>
  <c r="B85" i="85"/>
  <c r="X84" i="85"/>
  <c r="Z84" i="85" s="1"/>
  <c r="T84" i="85"/>
  <c r="R84" i="85"/>
  <c r="P84" i="85"/>
  <c r="N84" i="85"/>
  <c r="L84" i="85"/>
  <c r="H84" i="85"/>
  <c r="D84" i="85"/>
  <c r="B84" i="85"/>
  <c r="X83" i="85"/>
  <c r="Z83" i="85" s="1"/>
  <c r="L83" i="85"/>
  <c r="N83" i="85" s="1"/>
  <c r="B83" i="85"/>
  <c r="T82" i="85"/>
  <c r="P82" i="85"/>
  <c r="H82" i="85"/>
  <c r="L82" i="85" s="1"/>
  <c r="N82" i="85" s="1"/>
  <c r="D82" i="85"/>
  <c r="B82" i="85"/>
  <c r="X81" i="85"/>
  <c r="Z81" i="85" s="1"/>
  <c r="N81" i="85"/>
  <c r="L81" i="85"/>
  <c r="B81" i="85"/>
  <c r="Z80" i="85"/>
  <c r="X80" i="85"/>
  <c r="N80" i="85"/>
  <c r="L80" i="85"/>
  <c r="B80" i="85"/>
  <c r="X79" i="85"/>
  <c r="Z79" i="85" s="1"/>
  <c r="N79" i="85"/>
  <c r="L79" i="85"/>
  <c r="B79" i="85"/>
  <c r="Z78" i="85"/>
  <c r="X78" i="85"/>
  <c r="N78" i="85"/>
  <c r="L78" i="85"/>
  <c r="B78" i="85"/>
  <c r="X77" i="85"/>
  <c r="Z77" i="85" s="1"/>
  <c r="N77" i="85"/>
  <c r="L77" i="85"/>
  <c r="B77" i="85"/>
  <c r="Z76" i="85"/>
  <c r="X76" i="85"/>
  <c r="N76" i="85"/>
  <c r="L76" i="85"/>
  <c r="B76" i="85"/>
  <c r="X75" i="85"/>
  <c r="Z75" i="85" s="1"/>
  <c r="N75" i="85"/>
  <c r="L75" i="85"/>
  <c r="B75" i="85"/>
  <c r="Z74" i="85"/>
  <c r="X74" i="85"/>
  <c r="N74" i="85"/>
  <c r="L74" i="85"/>
  <c r="B74" i="85"/>
  <c r="X73" i="85"/>
  <c r="Z73" i="85" s="1"/>
  <c r="N73" i="85"/>
  <c r="L73" i="85"/>
  <c r="B73" i="85"/>
  <c r="T72" i="85"/>
  <c r="P72" i="85"/>
  <c r="X72" i="85" s="1"/>
  <c r="Z72" i="85" s="1"/>
  <c r="N72" i="85"/>
  <c r="H72" i="85"/>
  <c r="D72" i="85"/>
  <c r="L72" i="85" s="1"/>
  <c r="B72" i="85"/>
  <c r="X71" i="85"/>
  <c r="Z71" i="85" s="1"/>
  <c r="N71" i="85"/>
  <c r="L71" i="85"/>
  <c r="F71" i="85"/>
  <c r="B71" i="85"/>
  <c r="Z70" i="85"/>
  <c r="X70" i="85"/>
  <c r="N70" i="85"/>
  <c r="L70" i="85"/>
  <c r="B70" i="85"/>
  <c r="T69" i="85"/>
  <c r="P69" i="85"/>
  <c r="H69" i="85"/>
  <c r="N69" i="85" s="1"/>
  <c r="D69" i="85"/>
  <c r="L69" i="85" s="1"/>
  <c r="B69" i="85"/>
  <c r="Z68" i="85"/>
  <c r="X68" i="85"/>
  <c r="N68" i="85"/>
  <c r="L68" i="85"/>
  <c r="B68" i="85"/>
  <c r="X67" i="85"/>
  <c r="Z67" i="85" s="1"/>
  <c r="N67" i="85"/>
  <c r="L67" i="85"/>
  <c r="B67" i="85"/>
  <c r="Z66" i="85"/>
  <c r="X66" i="85"/>
  <c r="N66" i="85"/>
  <c r="L66" i="85"/>
  <c r="B66" i="85"/>
  <c r="Z65" i="85"/>
  <c r="X65" i="85"/>
  <c r="L65" i="85"/>
  <c r="N65" i="85" s="1"/>
  <c r="B65" i="85"/>
  <c r="Z64" i="85"/>
  <c r="X64" i="85"/>
  <c r="V64" i="85"/>
  <c r="N64" i="85"/>
  <c r="L64" i="85"/>
  <c r="B64" i="85"/>
  <c r="T63" i="85"/>
  <c r="P63" i="85"/>
  <c r="X63" i="85" s="1"/>
  <c r="N63" i="85"/>
  <c r="L63" i="85"/>
  <c r="H63" i="85"/>
  <c r="D63" i="85"/>
  <c r="B63" i="85"/>
  <c r="Z62" i="85"/>
  <c r="X62" i="85"/>
  <c r="N62" i="85"/>
  <c r="L62" i="85"/>
  <c r="B62" i="85"/>
  <c r="X61" i="85"/>
  <c r="Z61" i="85" s="1"/>
  <c r="N61" i="85"/>
  <c r="L61" i="85"/>
  <c r="F61" i="85"/>
  <c r="B61" i="85"/>
  <c r="Z60" i="85"/>
  <c r="X60" i="85"/>
  <c r="N60" i="85"/>
  <c r="L60" i="85"/>
  <c r="B60" i="85"/>
  <c r="X59" i="85"/>
  <c r="Z59" i="85" s="1"/>
  <c r="N59" i="85"/>
  <c r="L59" i="85"/>
  <c r="B59" i="85"/>
  <c r="Z58" i="85"/>
  <c r="T58" i="85"/>
  <c r="R58" i="85"/>
  <c r="P58" i="85"/>
  <c r="X58" i="85" s="1"/>
  <c r="H58" i="85"/>
  <c r="D58" i="85"/>
  <c r="L58" i="85" s="1"/>
  <c r="N58" i="85" s="1"/>
  <c r="B58" i="85"/>
  <c r="X57" i="85"/>
  <c r="Z57" i="85" s="1"/>
  <c r="N57" i="85"/>
  <c r="L57" i="85"/>
  <c r="B57" i="85"/>
  <c r="X56" i="85"/>
  <c r="Z56" i="85" s="1"/>
  <c r="V56" i="85"/>
  <c r="T56" i="85"/>
  <c r="P56" i="85"/>
  <c r="N56" i="85"/>
  <c r="L56" i="85"/>
  <c r="H56" i="85"/>
  <c r="D56" i="85"/>
  <c r="B56" i="85"/>
  <c r="X55" i="85"/>
  <c r="Z55" i="85" s="1"/>
  <c r="R55" i="85"/>
  <c r="L55" i="85"/>
  <c r="N55" i="85" s="1"/>
  <c r="B55" i="85"/>
  <c r="T54" i="85"/>
  <c r="P54" i="85"/>
  <c r="H54" i="85"/>
  <c r="L54" i="85" s="1"/>
  <c r="N54" i="85" s="1"/>
  <c r="D54" i="85"/>
  <c r="B54" i="85"/>
  <c r="X53" i="85"/>
  <c r="Z53" i="85" s="1"/>
  <c r="R53" i="85"/>
  <c r="N53" i="85"/>
  <c r="L53" i="85"/>
  <c r="F53" i="85"/>
  <c r="B53" i="85"/>
  <c r="T52" i="85"/>
  <c r="P52" i="85"/>
  <c r="X52" i="85" s="1"/>
  <c r="Z52" i="85" s="1"/>
  <c r="N52" i="85"/>
  <c r="H52" i="85"/>
  <c r="D52" i="85"/>
  <c r="L52" i="85" s="1"/>
  <c r="B52" i="85"/>
  <c r="X51" i="85"/>
  <c r="Z51" i="85" s="1"/>
  <c r="L51" i="85"/>
  <c r="N51" i="85" s="1"/>
  <c r="F51" i="85"/>
  <c r="B51" i="85"/>
  <c r="Z50" i="85"/>
  <c r="X50" i="85"/>
  <c r="T50" i="85"/>
  <c r="P50" i="85"/>
  <c r="L50" i="85"/>
  <c r="N50" i="85" s="1"/>
  <c r="H50" i="85"/>
  <c r="F50" i="85"/>
  <c r="D50" i="85"/>
  <c r="B50" i="85"/>
  <c r="Z49" i="85"/>
  <c r="X49" i="85"/>
  <c r="N49" i="85"/>
  <c r="L49" i="85"/>
  <c r="B49" i="85"/>
  <c r="T48" i="85"/>
  <c r="X48" i="85" s="1"/>
  <c r="Z48" i="85" s="1"/>
  <c r="P48" i="85"/>
  <c r="H48" i="85"/>
  <c r="N48" i="85" s="1"/>
  <c r="F48" i="85"/>
  <c r="D48" i="85"/>
  <c r="B48" i="85"/>
  <c r="X47" i="85"/>
  <c r="Z47" i="85" s="1"/>
  <c r="L47" i="85"/>
  <c r="N47" i="85" s="1"/>
  <c r="B47" i="85"/>
  <c r="Z46" i="85"/>
  <c r="X46" i="85"/>
  <c r="N46" i="85"/>
  <c r="L46" i="85"/>
  <c r="B46" i="85"/>
  <c r="T45" i="85"/>
  <c r="P45" i="85"/>
  <c r="L45" i="85"/>
  <c r="N45" i="85" s="1"/>
  <c r="H45" i="85"/>
  <c r="D45" i="85"/>
  <c r="B45" i="85"/>
  <c r="X44" i="85"/>
  <c r="Z44" i="85" s="1"/>
  <c r="N44" i="85"/>
  <c r="L44" i="85"/>
  <c r="B44" i="85"/>
  <c r="T43" i="85"/>
  <c r="Z43" i="85" s="1"/>
  <c r="P43" i="85"/>
  <c r="X43" i="85" s="1"/>
  <c r="H43" i="85"/>
  <c r="D43" i="85"/>
  <c r="B43" i="85"/>
  <c r="Z42" i="85"/>
  <c r="X42" i="85"/>
  <c r="N42" i="85"/>
  <c r="L42" i="85"/>
  <c r="B42" i="85"/>
  <c r="Z41" i="85"/>
  <c r="X41" i="85"/>
  <c r="T41" i="85"/>
  <c r="P41" i="85"/>
  <c r="H41" i="85"/>
  <c r="N41" i="85" s="1"/>
  <c r="D41" i="85"/>
  <c r="L41" i="85" s="1"/>
  <c r="B41" i="85"/>
  <c r="Z40" i="85"/>
  <c r="X40" i="85"/>
  <c r="L40" i="85"/>
  <c r="N40" i="85" s="1"/>
  <c r="B40" i="85"/>
  <c r="X39" i="85"/>
  <c r="Z39" i="85" s="1"/>
  <c r="T39" i="85"/>
  <c r="P39" i="85"/>
  <c r="H39" i="85"/>
  <c r="D39" i="85"/>
  <c r="L39" i="85" s="1"/>
  <c r="B39" i="85"/>
  <c r="Z38" i="85"/>
  <c r="X38" i="85"/>
  <c r="N38" i="85"/>
  <c r="L38" i="85"/>
  <c r="B38" i="85"/>
  <c r="X37" i="85"/>
  <c r="Z37" i="85" s="1"/>
  <c r="R37" i="85"/>
  <c r="N37" i="85"/>
  <c r="L37" i="85"/>
  <c r="B37" i="85"/>
  <c r="X36" i="85"/>
  <c r="Z36" i="85" s="1"/>
  <c r="N36" i="85"/>
  <c r="L36" i="85"/>
  <c r="B36" i="85"/>
  <c r="X35" i="85"/>
  <c r="Z35" i="85" s="1"/>
  <c r="N35" i="85"/>
  <c r="L35" i="85"/>
  <c r="B35" i="85"/>
  <c r="Z34" i="85"/>
  <c r="X34" i="85"/>
  <c r="N34" i="85"/>
  <c r="L34" i="85"/>
  <c r="B34" i="85"/>
  <c r="X33" i="85"/>
  <c r="Z33" i="85" s="1"/>
  <c r="R33" i="85"/>
  <c r="N33" i="85"/>
  <c r="L33" i="85"/>
  <c r="B33" i="85"/>
  <c r="X32" i="85"/>
  <c r="Z32" i="85" s="1"/>
  <c r="T32" i="85"/>
  <c r="R32" i="85"/>
  <c r="P32" i="85"/>
  <c r="L32" i="85"/>
  <c r="N32" i="85" s="1"/>
  <c r="H32" i="85"/>
  <c r="D32" i="85"/>
  <c r="B32" i="85"/>
  <c r="X31" i="85"/>
  <c r="Z31" i="85" s="1"/>
  <c r="R31" i="85"/>
  <c r="L31" i="85"/>
  <c r="N31" i="85" s="1"/>
  <c r="B31" i="85"/>
  <c r="Z30" i="85"/>
  <c r="X30" i="85"/>
  <c r="N30" i="85"/>
  <c r="L30" i="85"/>
  <c r="B30" i="85"/>
  <c r="Z29" i="85"/>
  <c r="X29" i="85"/>
  <c r="N29" i="85"/>
  <c r="L29" i="85"/>
  <c r="B29" i="85"/>
  <c r="Z28" i="85"/>
  <c r="X28" i="85"/>
  <c r="N28" i="85"/>
  <c r="L28" i="85"/>
  <c r="B28" i="85"/>
  <c r="X27" i="85"/>
  <c r="Z27" i="85" s="1"/>
  <c r="R27" i="85"/>
  <c r="L27" i="85"/>
  <c r="N27" i="85" s="1"/>
  <c r="B27" i="85"/>
  <c r="Z26" i="85"/>
  <c r="X26" i="85"/>
  <c r="N26" i="85"/>
  <c r="L26" i="85"/>
  <c r="B26" i="85"/>
  <c r="Z25" i="85"/>
  <c r="X25" i="85"/>
  <c r="L25" i="85"/>
  <c r="N25" i="85" s="1"/>
  <c r="B25" i="85"/>
  <c r="Z24" i="85"/>
  <c r="X24" i="85"/>
  <c r="N24" i="85"/>
  <c r="L24" i="85"/>
  <c r="B24" i="85"/>
  <c r="T23" i="85"/>
  <c r="P23" i="85"/>
  <c r="X23" i="85" s="1"/>
  <c r="N23" i="85"/>
  <c r="L23" i="85"/>
  <c r="H23" i="85"/>
  <c r="D23" i="85"/>
  <c r="B23" i="85"/>
  <c r="T22" i="85"/>
  <c r="P22" i="85"/>
  <c r="X22" i="85" s="1"/>
  <c r="Z22" i="85" s="1"/>
  <c r="H22" i="85"/>
  <c r="D22" i="85"/>
  <c r="L22" i="85" s="1"/>
  <c r="N22" i="85" s="1"/>
  <c r="P20" i="85"/>
  <c r="Z18" i="85"/>
  <c r="X18" i="85"/>
  <c r="R18" i="85"/>
  <c r="L18" i="85"/>
  <c r="N18" i="85" s="1"/>
  <c r="B18" i="85"/>
  <c r="Z17" i="85"/>
  <c r="X17" i="85"/>
  <c r="R17" i="85"/>
  <c r="L17" i="85"/>
  <c r="N17" i="85" s="1"/>
  <c r="B17" i="85"/>
  <c r="T16" i="85"/>
  <c r="P16" i="85"/>
  <c r="X16" i="85" s="1"/>
  <c r="Z16" i="85" s="1"/>
  <c r="H16" i="85"/>
  <c r="D16" i="85"/>
  <c r="T14" i="85"/>
  <c r="P14" i="85"/>
  <c r="X14" i="85" s="1"/>
  <c r="Z14" i="85" s="1"/>
  <c r="H14" i="85"/>
  <c r="D14" i="85"/>
  <c r="B14" i="85"/>
  <c r="X13" i="85"/>
  <c r="T13" i="85"/>
  <c r="T12" i="85" s="1"/>
  <c r="P13" i="85"/>
  <c r="L13" i="85"/>
  <c r="H13" i="85"/>
  <c r="N13" i="85" s="1"/>
  <c r="D13" i="85"/>
  <c r="D12" i="85" s="1"/>
  <c r="F72" i="85" s="1"/>
  <c r="B13" i="85"/>
  <c r="P12" i="85"/>
  <c r="D6" i="85"/>
  <c r="D4" i="85"/>
  <c r="X79" i="84"/>
  <c r="Z79" i="84" s="1"/>
  <c r="L79" i="84"/>
  <c r="N79" i="84" s="1"/>
  <c r="J77" i="84"/>
  <c r="Z75" i="84"/>
  <c r="T75" i="84"/>
  <c r="P75" i="84"/>
  <c r="X75" i="84" s="1"/>
  <c r="N75" i="84"/>
  <c r="H75" i="84"/>
  <c r="D75" i="84"/>
  <c r="L75" i="84" s="1"/>
  <c r="Z73" i="84"/>
  <c r="X73" i="84"/>
  <c r="N73" i="84"/>
  <c r="L73" i="84"/>
  <c r="B73" i="84"/>
  <c r="X72" i="84"/>
  <c r="Z72" i="84" s="1"/>
  <c r="T72" i="84"/>
  <c r="P72" i="84"/>
  <c r="H72" i="84"/>
  <c r="N72" i="84" s="1"/>
  <c r="D72" i="84"/>
  <c r="B72" i="84"/>
  <c r="Z71" i="84"/>
  <c r="X71" i="84"/>
  <c r="N71" i="84"/>
  <c r="L71" i="84"/>
  <c r="B71" i="84"/>
  <c r="T70" i="84"/>
  <c r="R70" i="84"/>
  <c r="P70" i="84"/>
  <c r="H70" i="84"/>
  <c r="N70" i="84" s="1"/>
  <c r="D70" i="84"/>
  <c r="L70" i="84" s="1"/>
  <c r="B70" i="84"/>
  <c r="X69" i="84"/>
  <c r="Z69" i="84" s="1"/>
  <c r="N69" i="84"/>
  <c r="L69" i="84"/>
  <c r="B69" i="84"/>
  <c r="X68" i="84"/>
  <c r="Z68" i="84" s="1"/>
  <c r="N68" i="84"/>
  <c r="L68" i="84"/>
  <c r="B68" i="84"/>
  <c r="Z67" i="84"/>
  <c r="X67" i="84"/>
  <c r="N67" i="84"/>
  <c r="L67" i="84"/>
  <c r="B67" i="84"/>
  <c r="Z66" i="84"/>
  <c r="X66" i="84"/>
  <c r="N66" i="84"/>
  <c r="L66" i="84"/>
  <c r="B66" i="84"/>
  <c r="X65" i="84"/>
  <c r="Z65" i="84" s="1"/>
  <c r="R65" i="84"/>
  <c r="N65" i="84"/>
  <c r="L65" i="84"/>
  <c r="B65" i="84"/>
  <c r="X64" i="84"/>
  <c r="Z64" i="84" s="1"/>
  <c r="N64" i="84"/>
  <c r="L64" i="84"/>
  <c r="B64" i="84"/>
  <c r="Z63" i="84"/>
  <c r="X63" i="84"/>
  <c r="N63" i="84"/>
  <c r="L63" i="84"/>
  <c r="B63" i="84"/>
  <c r="X62" i="84"/>
  <c r="Z62" i="84" s="1"/>
  <c r="T62" i="84"/>
  <c r="P62" i="84"/>
  <c r="N62" i="84"/>
  <c r="L62" i="84"/>
  <c r="H62" i="84"/>
  <c r="D62" i="84"/>
  <c r="B62" i="84"/>
  <c r="Z61" i="84"/>
  <c r="X61" i="84"/>
  <c r="N61" i="84"/>
  <c r="L61" i="84"/>
  <c r="B61" i="84"/>
  <c r="Z60" i="84"/>
  <c r="X60" i="84"/>
  <c r="T60" i="84"/>
  <c r="P60" i="84"/>
  <c r="H60" i="84"/>
  <c r="N60" i="84" s="1"/>
  <c r="D60" i="84"/>
  <c r="L60" i="84" s="1"/>
  <c r="B60" i="84"/>
  <c r="X59" i="84"/>
  <c r="Z59" i="84" s="1"/>
  <c r="N59" i="84"/>
  <c r="L59" i="84"/>
  <c r="B59" i="84"/>
  <c r="T58" i="84"/>
  <c r="P58" i="84"/>
  <c r="X58" i="84" s="1"/>
  <c r="H58" i="84"/>
  <c r="N58" i="84" s="1"/>
  <c r="D58" i="84"/>
  <c r="L58" i="84" s="1"/>
  <c r="B58" i="84"/>
  <c r="Z57" i="84"/>
  <c r="X57" i="84"/>
  <c r="N57" i="84"/>
  <c r="L57" i="84"/>
  <c r="B57" i="84"/>
  <c r="T56" i="84"/>
  <c r="P56" i="84"/>
  <c r="X56" i="84" s="1"/>
  <c r="N56" i="84"/>
  <c r="H56" i="84"/>
  <c r="L56" i="84" s="1"/>
  <c r="D56" i="84"/>
  <c r="B56" i="84"/>
  <c r="Z55" i="84"/>
  <c r="X55" i="84"/>
  <c r="N55" i="84"/>
  <c r="L55" i="84"/>
  <c r="J55" i="84"/>
  <c r="B55" i="84"/>
  <c r="Z54" i="84"/>
  <c r="X54" i="84"/>
  <c r="N54" i="84"/>
  <c r="L54" i="84"/>
  <c r="B54" i="84"/>
  <c r="Z53" i="84"/>
  <c r="V53" i="84"/>
  <c r="T53" i="84"/>
  <c r="P53" i="84"/>
  <c r="X53" i="84" s="1"/>
  <c r="H53" i="84"/>
  <c r="N53" i="84" s="1"/>
  <c r="D53" i="84"/>
  <c r="B53" i="84"/>
  <c r="X52" i="84"/>
  <c r="Z52" i="84" s="1"/>
  <c r="N52" i="84"/>
  <c r="L52" i="84"/>
  <c r="B52" i="84"/>
  <c r="X51" i="84"/>
  <c r="Z51" i="84" s="1"/>
  <c r="T51" i="84"/>
  <c r="P51" i="84"/>
  <c r="N51" i="84"/>
  <c r="J51" i="84"/>
  <c r="H51" i="84"/>
  <c r="D51" i="84"/>
  <c r="L51" i="84" s="1"/>
  <c r="B51" i="84"/>
  <c r="Z50" i="84"/>
  <c r="X50" i="84"/>
  <c r="N50" i="84"/>
  <c r="L50" i="84"/>
  <c r="B50" i="84"/>
  <c r="X49" i="84"/>
  <c r="Z49" i="84" s="1"/>
  <c r="T49" i="84"/>
  <c r="P49" i="84"/>
  <c r="N49" i="84"/>
  <c r="H49" i="84"/>
  <c r="L49" i="84" s="1"/>
  <c r="D49" i="84"/>
  <c r="B49" i="84"/>
  <c r="Z48" i="84"/>
  <c r="X48" i="84"/>
  <c r="V48" i="84"/>
  <c r="N48" i="84"/>
  <c r="L48" i="84"/>
  <c r="B48" i="84"/>
  <c r="Z47" i="84"/>
  <c r="T47" i="84"/>
  <c r="P47" i="84"/>
  <c r="X47" i="84" s="1"/>
  <c r="N47" i="84"/>
  <c r="H47" i="84"/>
  <c r="D47" i="84"/>
  <c r="L47" i="84" s="1"/>
  <c r="B47" i="84"/>
  <c r="X46" i="84"/>
  <c r="Z46" i="84" s="1"/>
  <c r="L46" i="84"/>
  <c r="N46" i="84" s="1"/>
  <c r="B46" i="84"/>
  <c r="X45" i="84"/>
  <c r="Z45" i="84" s="1"/>
  <c r="T45" i="84"/>
  <c r="P45" i="84"/>
  <c r="N45" i="84"/>
  <c r="L45" i="84"/>
  <c r="H45" i="84"/>
  <c r="D45" i="84"/>
  <c r="B45" i="84"/>
  <c r="Z44" i="84"/>
  <c r="X44" i="84"/>
  <c r="R44" i="84"/>
  <c r="N44" i="84"/>
  <c r="L44" i="84"/>
  <c r="B44" i="84"/>
  <c r="T43" i="84"/>
  <c r="X43" i="84" s="1"/>
  <c r="P43" i="84"/>
  <c r="N43" i="84"/>
  <c r="H43" i="84"/>
  <c r="L43" i="84" s="1"/>
  <c r="D43" i="84"/>
  <c r="B43" i="84"/>
  <c r="Z42" i="84"/>
  <c r="X42" i="84"/>
  <c r="N42" i="84"/>
  <c r="L42" i="84"/>
  <c r="B42" i="84"/>
  <c r="T41" i="84"/>
  <c r="P41" i="84"/>
  <c r="X41" i="84" s="1"/>
  <c r="Z41" i="84" s="1"/>
  <c r="H41" i="84"/>
  <c r="N41" i="84" s="1"/>
  <c r="D41" i="84"/>
  <c r="L41" i="84" s="1"/>
  <c r="B41" i="84"/>
  <c r="X40" i="84"/>
  <c r="Z40" i="84" s="1"/>
  <c r="L40" i="84"/>
  <c r="N40" i="84" s="1"/>
  <c r="B40" i="84"/>
  <c r="T39" i="84"/>
  <c r="P39" i="84"/>
  <c r="X39" i="84" s="1"/>
  <c r="Z39" i="84" s="1"/>
  <c r="L39" i="84"/>
  <c r="N39" i="84" s="1"/>
  <c r="H39" i="84"/>
  <c r="D39" i="84"/>
  <c r="B39" i="84"/>
  <c r="X38" i="84"/>
  <c r="Z38" i="84" s="1"/>
  <c r="N38" i="84"/>
  <c r="L38" i="84"/>
  <c r="B38" i="84"/>
  <c r="X37" i="84"/>
  <c r="Z37" i="84" s="1"/>
  <c r="N37" i="84"/>
  <c r="L37" i="84"/>
  <c r="B37" i="84"/>
  <c r="X36" i="84"/>
  <c r="Z36" i="84" s="1"/>
  <c r="N36" i="84"/>
  <c r="L36" i="84"/>
  <c r="B36" i="84"/>
  <c r="X35" i="84"/>
  <c r="Z35" i="84" s="1"/>
  <c r="R35" i="84"/>
  <c r="N35" i="84"/>
  <c r="L35" i="84"/>
  <c r="B35" i="84"/>
  <c r="X34" i="84"/>
  <c r="Z34" i="84" s="1"/>
  <c r="L34" i="84"/>
  <c r="N34" i="84" s="1"/>
  <c r="B34" i="84"/>
  <c r="Z33" i="84"/>
  <c r="X33" i="84"/>
  <c r="N33" i="84"/>
  <c r="L33" i="84"/>
  <c r="B33" i="84"/>
  <c r="T32" i="84"/>
  <c r="P32" i="84"/>
  <c r="H32" i="84"/>
  <c r="D32" i="84"/>
  <c r="L32" i="84" s="1"/>
  <c r="N32" i="84" s="1"/>
  <c r="B32" i="84"/>
  <c r="Z31" i="84"/>
  <c r="X31" i="84"/>
  <c r="V31" i="84"/>
  <c r="L31" i="84"/>
  <c r="N31" i="84" s="1"/>
  <c r="B31" i="84"/>
  <c r="X30" i="84"/>
  <c r="Z30" i="84" s="1"/>
  <c r="R30" i="84"/>
  <c r="L30" i="84"/>
  <c r="N30" i="84" s="1"/>
  <c r="B30" i="84"/>
  <c r="X29" i="84"/>
  <c r="Z29" i="84" s="1"/>
  <c r="N29" i="84"/>
  <c r="L29" i="84"/>
  <c r="J29" i="84"/>
  <c r="B29" i="84"/>
  <c r="Z28" i="84"/>
  <c r="X28" i="84"/>
  <c r="N28" i="84"/>
  <c r="L28" i="84"/>
  <c r="B28" i="84"/>
  <c r="Z27" i="84"/>
  <c r="X27" i="84"/>
  <c r="V27" i="84"/>
  <c r="L27" i="84"/>
  <c r="N27" i="84" s="1"/>
  <c r="B27" i="84"/>
  <c r="X26" i="84"/>
  <c r="Z26" i="84" s="1"/>
  <c r="R26" i="84"/>
  <c r="L26" i="84"/>
  <c r="N26" i="84" s="1"/>
  <c r="B26" i="84"/>
  <c r="X25" i="84"/>
  <c r="Z25" i="84" s="1"/>
  <c r="L25" i="84"/>
  <c r="N25" i="84" s="1"/>
  <c r="J25" i="84"/>
  <c r="B25" i="84"/>
  <c r="Z24" i="84"/>
  <c r="X24" i="84"/>
  <c r="N24" i="84"/>
  <c r="L24" i="84"/>
  <c r="B24" i="84"/>
  <c r="Z23" i="84"/>
  <c r="V23" i="84"/>
  <c r="T23" i="84"/>
  <c r="X23" i="84" s="1"/>
  <c r="P23" i="84"/>
  <c r="L23" i="84"/>
  <c r="H23" i="84"/>
  <c r="N23" i="84" s="1"/>
  <c r="D23" i="84"/>
  <c r="B23" i="84"/>
  <c r="T22" i="84"/>
  <c r="P22" i="84"/>
  <c r="X22" i="84" s="1"/>
  <c r="Z22" i="84" s="1"/>
  <c r="H22" i="84"/>
  <c r="D22" i="84"/>
  <c r="L22" i="84" s="1"/>
  <c r="X18" i="84"/>
  <c r="Z18" i="84" s="1"/>
  <c r="N18" i="84"/>
  <c r="L18" i="84"/>
  <c r="B18" i="84"/>
  <c r="Z17" i="84"/>
  <c r="X17" i="84"/>
  <c r="V17" i="84"/>
  <c r="N17" i="84"/>
  <c r="L17" i="84"/>
  <c r="B17" i="84"/>
  <c r="T16" i="84"/>
  <c r="P16" i="84"/>
  <c r="X16" i="84" s="1"/>
  <c r="L16" i="84"/>
  <c r="N16" i="84" s="1"/>
  <c r="H16" i="84"/>
  <c r="D16" i="84"/>
  <c r="T14" i="84"/>
  <c r="P14" i="84"/>
  <c r="X14" i="84" s="1"/>
  <c r="Z14" i="84" s="1"/>
  <c r="H14" i="84"/>
  <c r="N14" i="84" s="1"/>
  <c r="D14" i="84"/>
  <c r="L14" i="84" s="1"/>
  <c r="B14" i="84"/>
  <c r="T13" i="84"/>
  <c r="P13" i="84"/>
  <c r="P12" i="84" s="1"/>
  <c r="H13" i="84"/>
  <c r="H12" i="84" s="1"/>
  <c r="D13" i="84"/>
  <c r="D12" i="84" s="1"/>
  <c r="B13" i="84"/>
  <c r="X12" i="84"/>
  <c r="T12" i="84"/>
  <c r="D6" i="84"/>
  <c r="D4" i="84"/>
  <c r="X73" i="83"/>
  <c r="Z73" i="83" s="1"/>
  <c r="N73" i="83"/>
  <c r="L73" i="83"/>
  <c r="T69" i="83"/>
  <c r="P69" i="83"/>
  <c r="N69" i="83"/>
  <c r="L69" i="83"/>
  <c r="H69" i="83"/>
  <c r="D69" i="83"/>
  <c r="B69" i="83"/>
  <c r="N68" i="83"/>
  <c r="L68" i="83"/>
  <c r="H68" i="83"/>
  <c r="D68" i="83"/>
  <c r="X66" i="83"/>
  <c r="Z66" i="83" s="1"/>
  <c r="N66" i="83"/>
  <c r="L66" i="83"/>
  <c r="B66" i="83"/>
  <c r="T65" i="83"/>
  <c r="P65" i="83"/>
  <c r="X65" i="83" s="1"/>
  <c r="Z65" i="83" s="1"/>
  <c r="H65" i="83"/>
  <c r="D65" i="83"/>
  <c r="B65" i="83"/>
  <c r="X64" i="83"/>
  <c r="Z64" i="83" s="1"/>
  <c r="N64" i="83"/>
  <c r="L64" i="83"/>
  <c r="B64" i="83"/>
  <c r="Z63" i="83"/>
  <c r="X63" i="83"/>
  <c r="T63" i="83"/>
  <c r="P63" i="83"/>
  <c r="H63" i="83"/>
  <c r="D63" i="83"/>
  <c r="L63" i="83" s="1"/>
  <c r="B63" i="83"/>
  <c r="X62" i="83"/>
  <c r="Z62" i="83" s="1"/>
  <c r="N62" i="83"/>
  <c r="L62" i="83"/>
  <c r="B62" i="83"/>
  <c r="X61" i="83"/>
  <c r="Z61" i="83" s="1"/>
  <c r="N61" i="83"/>
  <c r="L61" i="83"/>
  <c r="B61" i="83"/>
  <c r="Z60" i="83"/>
  <c r="X60" i="83"/>
  <c r="N60" i="83"/>
  <c r="L60" i="83"/>
  <c r="B60" i="83"/>
  <c r="Z59" i="83"/>
  <c r="X59" i="83"/>
  <c r="N59" i="83"/>
  <c r="L59" i="83"/>
  <c r="B59" i="83"/>
  <c r="X58" i="83"/>
  <c r="Z58" i="83" s="1"/>
  <c r="N58" i="83"/>
  <c r="L58" i="83"/>
  <c r="B58" i="83"/>
  <c r="X57" i="83"/>
  <c r="Z57" i="83" s="1"/>
  <c r="N57" i="83"/>
  <c r="L57" i="83"/>
  <c r="B57" i="83"/>
  <c r="T56" i="83"/>
  <c r="P56" i="83"/>
  <c r="X56" i="83" s="1"/>
  <c r="H56" i="83"/>
  <c r="N56" i="83" s="1"/>
  <c r="D56" i="83"/>
  <c r="L56" i="83" s="1"/>
  <c r="B56" i="83"/>
  <c r="X55" i="83"/>
  <c r="Z55" i="83" s="1"/>
  <c r="N55" i="83"/>
  <c r="L55" i="83"/>
  <c r="B55" i="83"/>
  <c r="X54" i="83"/>
  <c r="Z54" i="83" s="1"/>
  <c r="N54" i="83"/>
  <c r="L54" i="83"/>
  <c r="B54" i="83"/>
  <c r="Z53" i="83"/>
  <c r="X53" i="83"/>
  <c r="N53" i="83"/>
  <c r="L53" i="83"/>
  <c r="B53" i="83"/>
  <c r="Z52" i="83"/>
  <c r="X52" i="83"/>
  <c r="T52" i="83"/>
  <c r="P52" i="83"/>
  <c r="H52" i="83"/>
  <c r="N52" i="83" s="1"/>
  <c r="F52" i="83"/>
  <c r="D52" i="83"/>
  <c r="L52" i="83" s="1"/>
  <c r="B52" i="83"/>
  <c r="Z51" i="83"/>
  <c r="X51" i="83"/>
  <c r="N51" i="83"/>
  <c r="L51" i="83"/>
  <c r="B51" i="83"/>
  <c r="X50" i="83"/>
  <c r="Z50" i="83" s="1"/>
  <c r="N50" i="83"/>
  <c r="L50" i="83"/>
  <c r="B50" i="83"/>
  <c r="X49" i="83"/>
  <c r="Z49" i="83" s="1"/>
  <c r="N49" i="83"/>
  <c r="L49" i="83"/>
  <c r="B49" i="83"/>
  <c r="X48" i="83"/>
  <c r="T48" i="83"/>
  <c r="Z48" i="83" s="1"/>
  <c r="P48" i="83"/>
  <c r="N48" i="83"/>
  <c r="L48" i="83"/>
  <c r="J48" i="83"/>
  <c r="H48" i="83"/>
  <c r="D48" i="83"/>
  <c r="B48" i="83"/>
  <c r="Z47" i="83"/>
  <c r="X47" i="83"/>
  <c r="N47" i="83"/>
  <c r="L47" i="83"/>
  <c r="F47" i="83"/>
  <c r="B47" i="83"/>
  <c r="T46" i="83"/>
  <c r="P46" i="83"/>
  <c r="X46" i="83" s="1"/>
  <c r="H46" i="83"/>
  <c r="N46" i="83" s="1"/>
  <c r="D46" i="83"/>
  <c r="L46" i="83" s="1"/>
  <c r="B46" i="83"/>
  <c r="Z45" i="83"/>
  <c r="X45" i="83"/>
  <c r="L45" i="83"/>
  <c r="N45" i="83" s="1"/>
  <c r="F45" i="83"/>
  <c r="B45" i="83"/>
  <c r="X44" i="83"/>
  <c r="Z44" i="83" s="1"/>
  <c r="T44" i="83"/>
  <c r="P44" i="83"/>
  <c r="H44" i="83"/>
  <c r="D44" i="83"/>
  <c r="L44" i="83" s="1"/>
  <c r="B44" i="83"/>
  <c r="Z43" i="83"/>
  <c r="X43" i="83"/>
  <c r="N43" i="83"/>
  <c r="L43" i="83"/>
  <c r="B43" i="83"/>
  <c r="Z42" i="83"/>
  <c r="T42" i="83"/>
  <c r="X42" i="83" s="1"/>
  <c r="P42" i="83"/>
  <c r="L42" i="83"/>
  <c r="H42" i="83"/>
  <c r="N42" i="83" s="1"/>
  <c r="D42" i="83"/>
  <c r="B42" i="83"/>
  <c r="Z41" i="83"/>
  <c r="X41" i="83"/>
  <c r="N41" i="83"/>
  <c r="L41" i="83"/>
  <c r="B41" i="83"/>
  <c r="T40" i="83"/>
  <c r="P40" i="83"/>
  <c r="X40" i="83" s="1"/>
  <c r="H40" i="83"/>
  <c r="N40" i="83" s="1"/>
  <c r="D40" i="83"/>
  <c r="L40" i="83" s="1"/>
  <c r="B40" i="83"/>
  <c r="X39" i="83"/>
  <c r="Z39" i="83" s="1"/>
  <c r="N39" i="83"/>
  <c r="L39" i="83"/>
  <c r="B39" i="83"/>
  <c r="T38" i="83"/>
  <c r="P38" i="83"/>
  <c r="X38" i="83" s="1"/>
  <c r="N38" i="83"/>
  <c r="L38" i="83"/>
  <c r="H38" i="83"/>
  <c r="D38" i="83"/>
  <c r="B38" i="83"/>
  <c r="X37" i="83"/>
  <c r="Z37" i="83" s="1"/>
  <c r="N37" i="83"/>
  <c r="L37" i="83"/>
  <c r="B37" i="83"/>
  <c r="X36" i="83"/>
  <c r="Z36" i="83" s="1"/>
  <c r="N36" i="83"/>
  <c r="L36" i="83"/>
  <c r="J36" i="83"/>
  <c r="F36" i="83"/>
  <c r="B36" i="83"/>
  <c r="Z35" i="83"/>
  <c r="X35" i="83"/>
  <c r="N35" i="83"/>
  <c r="L35" i="83"/>
  <c r="B35" i="83"/>
  <c r="X34" i="83"/>
  <c r="Z34" i="83" s="1"/>
  <c r="L34" i="83"/>
  <c r="N34" i="83" s="1"/>
  <c r="B34" i="83"/>
  <c r="X33" i="83"/>
  <c r="Z33" i="83" s="1"/>
  <c r="N33" i="83"/>
  <c r="L33" i="83"/>
  <c r="B33" i="83"/>
  <c r="X32" i="83"/>
  <c r="T32" i="83"/>
  <c r="Z32" i="83" s="1"/>
  <c r="P32" i="83"/>
  <c r="J32" i="83"/>
  <c r="H32" i="83"/>
  <c r="D32" i="83"/>
  <c r="B32" i="83"/>
  <c r="Z31" i="83"/>
  <c r="X31" i="83"/>
  <c r="L31" i="83"/>
  <c r="N31" i="83" s="1"/>
  <c r="B31" i="83"/>
  <c r="X30" i="83"/>
  <c r="Z30" i="83" s="1"/>
  <c r="L30" i="83"/>
  <c r="N30" i="83" s="1"/>
  <c r="B30" i="83"/>
  <c r="X29" i="83"/>
  <c r="Z29" i="83" s="1"/>
  <c r="N29" i="83"/>
  <c r="L29" i="83"/>
  <c r="B29" i="83"/>
  <c r="Z28" i="83"/>
  <c r="X28" i="83"/>
  <c r="N28" i="83"/>
  <c r="L28" i="83"/>
  <c r="B28" i="83"/>
  <c r="Z27" i="83"/>
  <c r="X27" i="83"/>
  <c r="L27" i="83"/>
  <c r="N27" i="83" s="1"/>
  <c r="B27" i="83"/>
  <c r="X26" i="83"/>
  <c r="Z26" i="83" s="1"/>
  <c r="L26" i="83"/>
  <c r="N26" i="83" s="1"/>
  <c r="B26" i="83"/>
  <c r="X25" i="83"/>
  <c r="Z25" i="83" s="1"/>
  <c r="N25" i="83"/>
  <c r="L25" i="83"/>
  <c r="B25" i="83"/>
  <c r="Z24" i="83"/>
  <c r="X24" i="83"/>
  <c r="L24" i="83"/>
  <c r="N24" i="83" s="1"/>
  <c r="B24" i="83"/>
  <c r="T23" i="83"/>
  <c r="Z23" i="83" s="1"/>
  <c r="P23" i="83"/>
  <c r="X23" i="83" s="1"/>
  <c r="N23" i="83"/>
  <c r="L23" i="83"/>
  <c r="H23" i="83"/>
  <c r="D23" i="83"/>
  <c r="B23" i="83"/>
  <c r="T22" i="83"/>
  <c r="P22" i="83"/>
  <c r="H22" i="83"/>
  <c r="D22" i="83"/>
  <c r="L22" i="83" s="1"/>
  <c r="N22" i="83" s="1"/>
  <c r="X18" i="83"/>
  <c r="Z18" i="83" s="1"/>
  <c r="N18" i="83"/>
  <c r="L18" i="83"/>
  <c r="F18" i="83"/>
  <c r="B18" i="83"/>
  <c r="Z17" i="83"/>
  <c r="X17" i="83"/>
  <c r="N17" i="83"/>
  <c r="L17" i="83"/>
  <c r="B17" i="83"/>
  <c r="Z16" i="83"/>
  <c r="X16" i="83"/>
  <c r="T16" i="83"/>
  <c r="P16" i="83"/>
  <c r="H16" i="83"/>
  <c r="F16" i="83"/>
  <c r="D16" i="83"/>
  <c r="L16" i="83" s="1"/>
  <c r="Z14" i="83"/>
  <c r="X14" i="83"/>
  <c r="T14" i="83"/>
  <c r="P14" i="83"/>
  <c r="L14" i="83"/>
  <c r="H14" i="83"/>
  <c r="N14" i="83" s="1"/>
  <c r="D14" i="83"/>
  <c r="B14" i="83"/>
  <c r="T13" i="83"/>
  <c r="P13" i="83"/>
  <c r="N13" i="83"/>
  <c r="H13" i="83"/>
  <c r="L13" i="83" s="1"/>
  <c r="D13" i="83"/>
  <c r="B13" i="83"/>
  <c r="H12" i="83"/>
  <c r="D12" i="83"/>
  <c r="F59" i="83" s="1"/>
  <c r="D6" i="83"/>
  <c r="D4" i="83"/>
  <c r="J82" i="82"/>
  <c r="J79" i="82"/>
  <c r="X77" i="82"/>
  <c r="Z77" i="82" s="1"/>
  <c r="N77" i="82"/>
  <c r="L77" i="82"/>
  <c r="J77" i="82"/>
  <c r="F77" i="82"/>
  <c r="F75" i="82"/>
  <c r="Z73" i="82"/>
  <c r="X73" i="82"/>
  <c r="T73" i="82"/>
  <c r="P73" i="82"/>
  <c r="H73" i="82"/>
  <c r="N73" i="82" s="1"/>
  <c r="D73" i="82"/>
  <c r="L73" i="82" s="1"/>
  <c r="Z71" i="82"/>
  <c r="X71" i="82"/>
  <c r="N71" i="82"/>
  <c r="L71" i="82"/>
  <c r="B71" i="82"/>
  <c r="T70" i="82"/>
  <c r="P70" i="82"/>
  <c r="N70" i="82"/>
  <c r="H70" i="82"/>
  <c r="D70" i="82"/>
  <c r="L70" i="82" s="1"/>
  <c r="B70" i="82"/>
  <c r="Z69" i="82"/>
  <c r="X69" i="82"/>
  <c r="L69" i="82"/>
  <c r="N69" i="82" s="1"/>
  <c r="B69" i="82"/>
  <c r="T68" i="82"/>
  <c r="P68" i="82"/>
  <c r="N68" i="82"/>
  <c r="L68" i="82"/>
  <c r="H68" i="82"/>
  <c r="D68" i="82"/>
  <c r="B68" i="82"/>
  <c r="Z67" i="82"/>
  <c r="X67" i="82"/>
  <c r="N67" i="82"/>
  <c r="L67" i="82"/>
  <c r="B67" i="82"/>
  <c r="Z66" i="82"/>
  <c r="X66" i="82"/>
  <c r="L66" i="82"/>
  <c r="N66" i="82" s="1"/>
  <c r="J66" i="82"/>
  <c r="F66" i="82"/>
  <c r="B66" i="82"/>
  <c r="X65" i="82"/>
  <c r="Z65" i="82" s="1"/>
  <c r="N65" i="82"/>
  <c r="L65" i="82"/>
  <c r="B65" i="82"/>
  <c r="Z64" i="82"/>
  <c r="X64" i="82"/>
  <c r="N64" i="82"/>
  <c r="L64" i="82"/>
  <c r="B64" i="82"/>
  <c r="Z63" i="82"/>
  <c r="X63" i="82"/>
  <c r="N63" i="82"/>
  <c r="L63" i="82"/>
  <c r="B63" i="82"/>
  <c r="Z62" i="82"/>
  <c r="X62" i="82"/>
  <c r="L62" i="82"/>
  <c r="N62" i="82" s="1"/>
  <c r="J62" i="82"/>
  <c r="F62" i="82"/>
  <c r="B62" i="82"/>
  <c r="X61" i="82"/>
  <c r="T61" i="82"/>
  <c r="Z61" i="82" s="1"/>
  <c r="P61" i="82"/>
  <c r="J61" i="82"/>
  <c r="H61" i="82"/>
  <c r="F61" i="82"/>
  <c r="D61" i="82"/>
  <c r="B61" i="82"/>
  <c r="Z60" i="82"/>
  <c r="X60" i="82"/>
  <c r="N60" i="82"/>
  <c r="L60" i="82"/>
  <c r="B60" i="82"/>
  <c r="X59" i="82"/>
  <c r="Z59" i="82" s="1"/>
  <c r="N59" i="82"/>
  <c r="L59" i="82"/>
  <c r="B59" i="82"/>
  <c r="X58" i="82"/>
  <c r="Z58" i="82" s="1"/>
  <c r="N58" i="82"/>
  <c r="L58" i="82"/>
  <c r="B58" i="82"/>
  <c r="T57" i="82"/>
  <c r="P57" i="82"/>
  <c r="X57" i="82" s="1"/>
  <c r="N57" i="82"/>
  <c r="L57" i="82"/>
  <c r="H57" i="82"/>
  <c r="D57" i="82"/>
  <c r="B57" i="82"/>
  <c r="X56" i="82"/>
  <c r="Z56" i="82" s="1"/>
  <c r="N56" i="82"/>
  <c r="L56" i="82"/>
  <c r="B56" i="82"/>
  <c r="X55" i="82"/>
  <c r="Z55" i="82" s="1"/>
  <c r="N55" i="82"/>
  <c r="L55" i="82"/>
  <c r="B55" i="82"/>
  <c r="Z54" i="82"/>
  <c r="X54" i="82"/>
  <c r="N54" i="82"/>
  <c r="L54" i="82"/>
  <c r="B54" i="82"/>
  <c r="T53" i="82"/>
  <c r="P53" i="82"/>
  <c r="L53" i="82"/>
  <c r="H53" i="82"/>
  <c r="N53" i="82" s="1"/>
  <c r="D53" i="82"/>
  <c r="B53" i="82"/>
  <c r="Z52" i="82"/>
  <c r="X52" i="82"/>
  <c r="N52" i="82"/>
  <c r="L52" i="82"/>
  <c r="B52" i="82"/>
  <c r="T51" i="82"/>
  <c r="P51" i="82"/>
  <c r="X51" i="82" s="1"/>
  <c r="L51" i="82"/>
  <c r="H51" i="82"/>
  <c r="N51" i="82" s="1"/>
  <c r="D51" i="82"/>
  <c r="B51" i="82"/>
  <c r="X50" i="82"/>
  <c r="Z50" i="82" s="1"/>
  <c r="N50" i="82"/>
  <c r="L50" i="82"/>
  <c r="B50" i="82"/>
  <c r="T49" i="82"/>
  <c r="P49" i="82"/>
  <c r="X49" i="82" s="1"/>
  <c r="L49" i="82"/>
  <c r="N49" i="82" s="1"/>
  <c r="H49" i="82"/>
  <c r="D49" i="82"/>
  <c r="B49" i="82"/>
  <c r="X48" i="82"/>
  <c r="Z48" i="82" s="1"/>
  <c r="N48" i="82"/>
  <c r="L48" i="82"/>
  <c r="J48" i="82"/>
  <c r="B48" i="82"/>
  <c r="X47" i="82"/>
  <c r="T47" i="82"/>
  <c r="Z47" i="82" s="1"/>
  <c r="P47" i="82"/>
  <c r="J47" i="82"/>
  <c r="H47" i="82"/>
  <c r="L47" i="82" s="1"/>
  <c r="D47" i="82"/>
  <c r="B47" i="82"/>
  <c r="Z46" i="82"/>
  <c r="X46" i="82"/>
  <c r="L46" i="82"/>
  <c r="N46" i="82" s="1"/>
  <c r="J46" i="82"/>
  <c r="F46" i="82"/>
  <c r="B46" i="82"/>
  <c r="X45" i="82"/>
  <c r="T45" i="82"/>
  <c r="Z45" i="82" s="1"/>
  <c r="P45" i="82"/>
  <c r="J45" i="82"/>
  <c r="H45" i="82"/>
  <c r="F45" i="82"/>
  <c r="D45" i="82"/>
  <c r="B45" i="82"/>
  <c r="Z44" i="82"/>
  <c r="X44" i="82"/>
  <c r="N44" i="82"/>
  <c r="L44" i="82"/>
  <c r="B44" i="82"/>
  <c r="X43" i="82"/>
  <c r="Z43" i="82" s="1"/>
  <c r="T43" i="82"/>
  <c r="P43" i="82"/>
  <c r="H43" i="82"/>
  <c r="N43" i="82" s="1"/>
  <c r="D43" i="82"/>
  <c r="L43" i="82" s="1"/>
  <c r="B43" i="82"/>
  <c r="Z42" i="82"/>
  <c r="X42" i="82"/>
  <c r="N42" i="82"/>
  <c r="L42" i="82"/>
  <c r="B42" i="82"/>
  <c r="X41" i="82"/>
  <c r="Z41" i="82" s="1"/>
  <c r="T41" i="82"/>
  <c r="P41" i="82"/>
  <c r="L41" i="82"/>
  <c r="H41" i="82"/>
  <c r="N41" i="82" s="1"/>
  <c r="D41" i="82"/>
  <c r="B41" i="82"/>
  <c r="Z40" i="82"/>
  <c r="X40" i="82"/>
  <c r="N40" i="82"/>
  <c r="L40" i="82"/>
  <c r="B40" i="82"/>
  <c r="T39" i="82"/>
  <c r="P39" i="82"/>
  <c r="X39" i="82" s="1"/>
  <c r="L39" i="82"/>
  <c r="H39" i="82"/>
  <c r="N39" i="82" s="1"/>
  <c r="D39" i="82"/>
  <c r="B39" i="82"/>
  <c r="X38" i="82"/>
  <c r="Z38" i="82" s="1"/>
  <c r="N38" i="82"/>
  <c r="L38" i="82"/>
  <c r="B38" i="82"/>
  <c r="X37" i="82"/>
  <c r="Z37" i="82" s="1"/>
  <c r="N37" i="82"/>
  <c r="L37" i="82"/>
  <c r="J37" i="82"/>
  <c r="B37" i="82"/>
  <c r="Z36" i="82"/>
  <c r="X36" i="82"/>
  <c r="N36" i="82"/>
  <c r="L36" i="82"/>
  <c r="B36" i="82"/>
  <c r="X35" i="82"/>
  <c r="Z35" i="82" s="1"/>
  <c r="L35" i="82"/>
  <c r="N35" i="82" s="1"/>
  <c r="B35" i="82"/>
  <c r="X34" i="82"/>
  <c r="Z34" i="82" s="1"/>
  <c r="N34" i="82"/>
  <c r="L34" i="82"/>
  <c r="B34" i="82"/>
  <c r="X33" i="82"/>
  <c r="Z33" i="82" s="1"/>
  <c r="N33" i="82"/>
  <c r="L33" i="82"/>
  <c r="J33" i="82"/>
  <c r="F33" i="82"/>
  <c r="B33" i="82"/>
  <c r="T32" i="82"/>
  <c r="P32" i="82"/>
  <c r="X32" i="82" s="1"/>
  <c r="Z32" i="82" s="1"/>
  <c r="J32" i="82"/>
  <c r="H32" i="82"/>
  <c r="F32" i="82"/>
  <c r="D32" i="82"/>
  <c r="B32" i="82"/>
  <c r="X31" i="82"/>
  <c r="Z31" i="82" s="1"/>
  <c r="N31" i="82"/>
  <c r="L31" i="82"/>
  <c r="J31" i="82"/>
  <c r="B31" i="82"/>
  <c r="Z30" i="82"/>
  <c r="X30" i="82"/>
  <c r="N30" i="82"/>
  <c r="L30" i="82"/>
  <c r="B30" i="82"/>
  <c r="X29" i="82"/>
  <c r="Z29" i="82" s="1"/>
  <c r="N29" i="82"/>
  <c r="L29" i="82"/>
  <c r="B29" i="82"/>
  <c r="X28" i="82"/>
  <c r="Z28" i="82" s="1"/>
  <c r="N28" i="82"/>
  <c r="L28" i="82"/>
  <c r="B28" i="82"/>
  <c r="X27" i="82"/>
  <c r="Z27" i="82" s="1"/>
  <c r="N27" i="82"/>
  <c r="L27" i="82"/>
  <c r="J27" i="82"/>
  <c r="B27" i="82"/>
  <c r="Z26" i="82"/>
  <c r="X26" i="82"/>
  <c r="N26" i="82"/>
  <c r="L26" i="82"/>
  <c r="B26" i="82"/>
  <c r="X25" i="82"/>
  <c r="Z25" i="82" s="1"/>
  <c r="N25" i="82"/>
  <c r="L25" i="82"/>
  <c r="B25" i="82"/>
  <c r="X24" i="82"/>
  <c r="Z24" i="82" s="1"/>
  <c r="N24" i="82"/>
  <c r="L24" i="82"/>
  <c r="B24" i="82"/>
  <c r="X23" i="82"/>
  <c r="T23" i="82"/>
  <c r="Z23" i="82" s="1"/>
  <c r="P23" i="82"/>
  <c r="N23" i="82"/>
  <c r="H23" i="82"/>
  <c r="L23" i="82" s="1"/>
  <c r="D23" i="82"/>
  <c r="B23" i="82"/>
  <c r="T22" i="82"/>
  <c r="P22" i="82"/>
  <c r="J22" i="82"/>
  <c r="H22" i="82"/>
  <c r="D22" i="82"/>
  <c r="L22" i="82" s="1"/>
  <c r="N22" i="82" s="1"/>
  <c r="J20" i="82"/>
  <c r="Z18" i="82"/>
  <c r="X18" i="82"/>
  <c r="N18" i="82"/>
  <c r="L18" i="82"/>
  <c r="J18" i="82"/>
  <c r="F18" i="82"/>
  <c r="B18" i="82"/>
  <c r="X17" i="82"/>
  <c r="Z17" i="82" s="1"/>
  <c r="L17" i="82"/>
  <c r="N17" i="82" s="1"/>
  <c r="B17" i="82"/>
  <c r="X16" i="82"/>
  <c r="Z16" i="82" s="1"/>
  <c r="T16" i="82"/>
  <c r="P16" i="82"/>
  <c r="H16" i="82"/>
  <c r="D16" i="82"/>
  <c r="L16" i="82" s="1"/>
  <c r="T14" i="82"/>
  <c r="P14" i="82"/>
  <c r="N14" i="82"/>
  <c r="H14" i="82"/>
  <c r="L14" i="82" s="1"/>
  <c r="D14" i="82"/>
  <c r="B14" i="82"/>
  <c r="T13" i="82"/>
  <c r="P13" i="82"/>
  <c r="N13" i="82"/>
  <c r="L13" i="82"/>
  <c r="H13" i="82"/>
  <c r="D13" i="82"/>
  <c r="B13" i="82"/>
  <c r="H12" i="82"/>
  <c r="J55" i="82" s="1"/>
  <c r="D12" i="82"/>
  <c r="F73" i="82" s="1"/>
  <c r="D6" i="82"/>
  <c r="D4" i="82"/>
  <c r="F104" i="81"/>
  <c r="J101" i="81"/>
  <c r="Z99" i="81"/>
  <c r="X99" i="81"/>
  <c r="N99" i="81"/>
  <c r="L99" i="81"/>
  <c r="F99" i="81"/>
  <c r="X95" i="81"/>
  <c r="Z95" i="81" s="1"/>
  <c r="T95" i="81"/>
  <c r="P95" i="81"/>
  <c r="H95" i="81"/>
  <c r="N95" i="81" s="1"/>
  <c r="D95" i="81"/>
  <c r="B95" i="81"/>
  <c r="X94" i="81"/>
  <c r="Z94" i="81" s="1"/>
  <c r="T94" i="81"/>
  <c r="T93" i="81" s="1"/>
  <c r="P94" i="81"/>
  <c r="P93" i="81" s="1"/>
  <c r="H94" i="81"/>
  <c r="N94" i="81" s="1"/>
  <c r="D94" i="81"/>
  <c r="L94" i="81" s="1"/>
  <c r="B94" i="81"/>
  <c r="X93" i="81"/>
  <c r="H93" i="81"/>
  <c r="Z91" i="81"/>
  <c r="X91" i="81"/>
  <c r="N91" i="81"/>
  <c r="L91" i="81"/>
  <c r="B91" i="81"/>
  <c r="T90" i="81"/>
  <c r="P90" i="81"/>
  <c r="H90" i="81"/>
  <c r="F90" i="81"/>
  <c r="D90" i="81"/>
  <c r="L90" i="81" s="1"/>
  <c r="B90" i="81"/>
  <c r="Z89" i="81"/>
  <c r="X89" i="81"/>
  <c r="N89" i="81"/>
  <c r="L89" i="81"/>
  <c r="B89" i="81"/>
  <c r="Z88" i="81"/>
  <c r="X88" i="81"/>
  <c r="N88" i="81"/>
  <c r="L88" i="81"/>
  <c r="B88" i="81"/>
  <c r="Z87" i="81"/>
  <c r="X87" i="81"/>
  <c r="N87" i="81"/>
  <c r="L87" i="81"/>
  <c r="F87" i="81"/>
  <c r="B87" i="81"/>
  <c r="Z86" i="81"/>
  <c r="X86" i="81"/>
  <c r="T86" i="81"/>
  <c r="P86" i="81"/>
  <c r="J86" i="81"/>
  <c r="H86" i="81"/>
  <c r="F86" i="81"/>
  <c r="D86" i="81"/>
  <c r="B86" i="81"/>
  <c r="Z85" i="81"/>
  <c r="X85" i="81"/>
  <c r="N85" i="81"/>
  <c r="L85" i="81"/>
  <c r="B85" i="81"/>
  <c r="X84" i="81"/>
  <c r="Z84" i="81" s="1"/>
  <c r="T84" i="81"/>
  <c r="P84" i="81"/>
  <c r="H84" i="81"/>
  <c r="N84" i="81" s="1"/>
  <c r="F84" i="81"/>
  <c r="D84" i="81"/>
  <c r="L84" i="81" s="1"/>
  <c r="B84" i="81"/>
  <c r="Z83" i="81"/>
  <c r="X83" i="81"/>
  <c r="N83" i="81"/>
  <c r="L83" i="81"/>
  <c r="F83" i="81"/>
  <c r="B83" i="81"/>
  <c r="T82" i="81"/>
  <c r="P82" i="81"/>
  <c r="H82" i="81"/>
  <c r="D82" i="81"/>
  <c r="L82" i="81" s="1"/>
  <c r="B82" i="81"/>
  <c r="Z81" i="81"/>
  <c r="X81" i="81"/>
  <c r="N81" i="81"/>
  <c r="L81" i="81"/>
  <c r="B81" i="81"/>
  <c r="Z80" i="81"/>
  <c r="X80" i="81"/>
  <c r="N80" i="81"/>
  <c r="L80" i="81"/>
  <c r="J80" i="81"/>
  <c r="B80" i="81"/>
  <c r="Z79" i="81"/>
  <c r="X79" i="81"/>
  <c r="N79" i="81"/>
  <c r="L79" i="81"/>
  <c r="F79" i="81"/>
  <c r="B79" i="81"/>
  <c r="Z78" i="81"/>
  <c r="X78" i="81"/>
  <c r="N78" i="81"/>
  <c r="L78" i="81"/>
  <c r="J78" i="81"/>
  <c r="B78" i="81"/>
  <c r="Z77" i="81"/>
  <c r="X77" i="81"/>
  <c r="N77" i="81"/>
  <c r="L77" i="81"/>
  <c r="B77" i="81"/>
  <c r="Z76" i="81"/>
  <c r="X76" i="81"/>
  <c r="N76" i="81"/>
  <c r="L76" i="81"/>
  <c r="J76" i="81"/>
  <c r="B76" i="81"/>
  <c r="Z75" i="81"/>
  <c r="X75" i="81"/>
  <c r="N75" i="81"/>
  <c r="L75" i="81"/>
  <c r="F75" i="81"/>
  <c r="B75" i="81"/>
  <c r="Z74" i="81"/>
  <c r="X74" i="81"/>
  <c r="N74" i="81"/>
  <c r="L74" i="81"/>
  <c r="B74" i="81"/>
  <c r="Z73" i="81"/>
  <c r="X73" i="81"/>
  <c r="N73" i="81"/>
  <c r="L73" i="81"/>
  <c r="B73" i="81"/>
  <c r="Z72" i="81"/>
  <c r="T72" i="81"/>
  <c r="P72" i="81"/>
  <c r="X72" i="81" s="1"/>
  <c r="N72" i="81"/>
  <c r="L72" i="81"/>
  <c r="H72" i="81"/>
  <c r="D72" i="81"/>
  <c r="B72" i="81"/>
  <c r="Z71" i="81"/>
  <c r="X71" i="81"/>
  <c r="N71" i="81"/>
  <c r="L71" i="81"/>
  <c r="J71" i="81"/>
  <c r="B71" i="81"/>
  <c r="X70" i="81"/>
  <c r="Z70" i="81" s="1"/>
  <c r="N70" i="81"/>
  <c r="L70" i="81"/>
  <c r="J70" i="81"/>
  <c r="F70" i="81"/>
  <c r="B70" i="81"/>
  <c r="T69" i="81"/>
  <c r="P69" i="81"/>
  <c r="X69" i="81" s="1"/>
  <c r="Z69" i="81" s="1"/>
  <c r="N69" i="81"/>
  <c r="H69" i="81"/>
  <c r="F69" i="81"/>
  <c r="D69" i="81"/>
  <c r="L69" i="81" s="1"/>
  <c r="B69" i="81"/>
  <c r="X68" i="81"/>
  <c r="Z68" i="81" s="1"/>
  <c r="N68" i="81"/>
  <c r="L68" i="81"/>
  <c r="J68" i="81"/>
  <c r="F68" i="81"/>
  <c r="B68" i="81"/>
  <c r="X67" i="81"/>
  <c r="Z67" i="81" s="1"/>
  <c r="N67" i="81"/>
  <c r="L67" i="81"/>
  <c r="J67" i="81"/>
  <c r="B67" i="81"/>
  <c r="X66" i="81"/>
  <c r="Z66" i="81" s="1"/>
  <c r="L66" i="81"/>
  <c r="N66" i="81" s="1"/>
  <c r="F66" i="81"/>
  <c r="B66" i="81"/>
  <c r="Z65" i="81"/>
  <c r="X65" i="81"/>
  <c r="L65" i="81"/>
  <c r="N65" i="81" s="1"/>
  <c r="J65" i="81"/>
  <c r="F65" i="81"/>
  <c r="B65" i="81"/>
  <c r="X64" i="81"/>
  <c r="Z64" i="81" s="1"/>
  <c r="N64" i="81"/>
  <c r="L64" i="81"/>
  <c r="J64" i="81"/>
  <c r="B64" i="81"/>
  <c r="X63" i="81"/>
  <c r="Z63" i="81" s="1"/>
  <c r="T63" i="81"/>
  <c r="P63" i="81"/>
  <c r="N63" i="81"/>
  <c r="L63" i="81"/>
  <c r="J63" i="81"/>
  <c r="H63" i="81"/>
  <c r="D63" i="81"/>
  <c r="B63" i="81"/>
  <c r="X62" i="81"/>
  <c r="Z62" i="81" s="1"/>
  <c r="N62" i="81"/>
  <c r="L62" i="81"/>
  <c r="J62" i="81"/>
  <c r="F62" i="81"/>
  <c r="B62" i="81"/>
  <c r="Z61" i="81"/>
  <c r="X61" i="81"/>
  <c r="N61" i="81"/>
  <c r="L61" i="81"/>
  <c r="J61" i="81"/>
  <c r="B61" i="81"/>
  <c r="X60" i="81"/>
  <c r="Z60" i="81" s="1"/>
  <c r="N60" i="81"/>
  <c r="L60" i="81"/>
  <c r="F60" i="81"/>
  <c r="B60" i="81"/>
  <c r="Z59" i="81"/>
  <c r="X59" i="81"/>
  <c r="N59" i="81"/>
  <c r="L59" i="81"/>
  <c r="J59" i="81"/>
  <c r="F59" i="81"/>
  <c r="B59" i="81"/>
  <c r="T58" i="81"/>
  <c r="P58" i="81"/>
  <c r="X58" i="81" s="1"/>
  <c r="H58" i="81"/>
  <c r="F58" i="81"/>
  <c r="D58" i="81"/>
  <c r="L58" i="81" s="1"/>
  <c r="B58" i="81"/>
  <c r="Z57" i="81"/>
  <c r="X57" i="81"/>
  <c r="N57" i="81"/>
  <c r="L57" i="81"/>
  <c r="J57" i="81"/>
  <c r="B57" i="81"/>
  <c r="T56" i="81"/>
  <c r="P56" i="81"/>
  <c r="J56" i="81"/>
  <c r="H56" i="81"/>
  <c r="N56" i="81" s="1"/>
  <c r="F56" i="81"/>
  <c r="D56" i="81"/>
  <c r="L56" i="81" s="1"/>
  <c r="B56" i="81"/>
  <c r="X55" i="81"/>
  <c r="Z55" i="81" s="1"/>
  <c r="N55" i="81"/>
  <c r="L55" i="81"/>
  <c r="B55" i="81"/>
  <c r="X54" i="81"/>
  <c r="Z54" i="81" s="1"/>
  <c r="T54" i="81"/>
  <c r="P54" i="81"/>
  <c r="L54" i="81"/>
  <c r="H54" i="81"/>
  <c r="F54" i="81"/>
  <c r="D54" i="81"/>
  <c r="B54" i="81"/>
  <c r="X53" i="81"/>
  <c r="Z53" i="81" s="1"/>
  <c r="N53" i="81"/>
  <c r="L53" i="81"/>
  <c r="J53" i="81"/>
  <c r="B53" i="81"/>
  <c r="Z52" i="81"/>
  <c r="X52" i="81"/>
  <c r="T52" i="81"/>
  <c r="P52" i="81"/>
  <c r="N52" i="81"/>
  <c r="L52" i="81"/>
  <c r="H52" i="81"/>
  <c r="D52" i="81"/>
  <c r="B52" i="81"/>
  <c r="Z51" i="81"/>
  <c r="X51" i="81"/>
  <c r="N51" i="81"/>
  <c r="L51" i="81"/>
  <c r="J51" i="81"/>
  <c r="B51" i="81"/>
  <c r="T50" i="81"/>
  <c r="Z50" i="81" s="1"/>
  <c r="P50" i="81"/>
  <c r="X50" i="81" s="1"/>
  <c r="N50" i="81"/>
  <c r="L50" i="81"/>
  <c r="H50" i="81"/>
  <c r="D50" i="81"/>
  <c r="B50" i="81"/>
  <c r="Z49" i="81"/>
  <c r="X49" i="81"/>
  <c r="L49" i="81"/>
  <c r="N49" i="81" s="1"/>
  <c r="J49" i="81"/>
  <c r="F49" i="81"/>
  <c r="B49" i="81"/>
  <c r="T48" i="81"/>
  <c r="P48" i="81"/>
  <c r="X48" i="81" s="1"/>
  <c r="J48" i="81"/>
  <c r="H48" i="81"/>
  <c r="F48" i="81"/>
  <c r="D48" i="81"/>
  <c r="B48" i="81"/>
  <c r="Z47" i="81"/>
  <c r="X47" i="81"/>
  <c r="N47" i="81"/>
  <c r="L47" i="81"/>
  <c r="F47" i="81"/>
  <c r="B47" i="81"/>
  <c r="X46" i="81"/>
  <c r="Z46" i="81" s="1"/>
  <c r="T46" i="81"/>
  <c r="P46" i="81"/>
  <c r="J46" i="81"/>
  <c r="H46" i="81"/>
  <c r="F46" i="81"/>
  <c r="D46" i="81"/>
  <c r="B46" i="81"/>
  <c r="Z45" i="81"/>
  <c r="X45" i="81"/>
  <c r="V45" i="81"/>
  <c r="N45" i="81"/>
  <c r="L45" i="81"/>
  <c r="F45" i="81"/>
  <c r="B45" i="81"/>
  <c r="T44" i="81"/>
  <c r="P44" i="81"/>
  <c r="X44" i="81" s="1"/>
  <c r="Z44" i="81" s="1"/>
  <c r="L44" i="81"/>
  <c r="J44" i="81"/>
  <c r="H44" i="81"/>
  <c r="N44" i="81" s="1"/>
  <c r="D44" i="81"/>
  <c r="B44" i="81"/>
  <c r="Z43" i="81"/>
  <c r="X43" i="81"/>
  <c r="N43" i="81"/>
  <c r="L43" i="81"/>
  <c r="J43" i="81"/>
  <c r="F43" i="81"/>
  <c r="B43" i="81"/>
  <c r="Z42" i="81"/>
  <c r="X42" i="81"/>
  <c r="N42" i="81"/>
  <c r="L42" i="81"/>
  <c r="F42" i="81"/>
  <c r="B42" i="81"/>
  <c r="X41" i="81"/>
  <c r="Z41" i="81" s="1"/>
  <c r="N41" i="81"/>
  <c r="L41" i="81"/>
  <c r="F41" i="81"/>
  <c r="B41" i="81"/>
  <c r="X40" i="81"/>
  <c r="T40" i="81"/>
  <c r="P40" i="81"/>
  <c r="N40" i="81"/>
  <c r="L40" i="81"/>
  <c r="J40" i="81"/>
  <c r="H40" i="81"/>
  <c r="D40" i="81"/>
  <c r="B40" i="81"/>
  <c r="Z39" i="81"/>
  <c r="X39" i="81"/>
  <c r="L39" i="81"/>
  <c r="N39" i="81" s="1"/>
  <c r="J39" i="81"/>
  <c r="F39" i="81"/>
  <c r="B39" i="81"/>
  <c r="T38" i="81"/>
  <c r="Z38" i="81" s="1"/>
  <c r="P38" i="81"/>
  <c r="X38" i="81" s="1"/>
  <c r="N38" i="81"/>
  <c r="H38" i="81"/>
  <c r="F38" i="81"/>
  <c r="D38" i="81"/>
  <c r="L38" i="81" s="1"/>
  <c r="B38" i="81"/>
  <c r="Z37" i="81"/>
  <c r="X37" i="81"/>
  <c r="N37" i="81"/>
  <c r="L37" i="81"/>
  <c r="J37" i="81"/>
  <c r="F37" i="81"/>
  <c r="B37" i="81"/>
  <c r="X36" i="81"/>
  <c r="T36" i="81"/>
  <c r="P36" i="81"/>
  <c r="H36" i="81"/>
  <c r="N36" i="81" s="1"/>
  <c r="F36" i="81"/>
  <c r="D36" i="81"/>
  <c r="L36" i="81" s="1"/>
  <c r="B36" i="81"/>
  <c r="X35" i="81"/>
  <c r="Z35" i="81" s="1"/>
  <c r="N35" i="81"/>
  <c r="L35" i="81"/>
  <c r="J35" i="81"/>
  <c r="B35" i="81"/>
  <c r="X34" i="81"/>
  <c r="Z34" i="81" s="1"/>
  <c r="N34" i="81"/>
  <c r="L34" i="81"/>
  <c r="F34" i="81"/>
  <c r="B34" i="81"/>
  <c r="Z33" i="81"/>
  <c r="X33" i="81"/>
  <c r="N33" i="81"/>
  <c r="L33" i="81"/>
  <c r="J33" i="81"/>
  <c r="F33" i="81"/>
  <c r="B33" i="81"/>
  <c r="X32" i="81"/>
  <c r="Z32" i="81" s="1"/>
  <c r="N32" i="81"/>
  <c r="L32" i="81"/>
  <c r="J32" i="81"/>
  <c r="B32" i="81"/>
  <c r="X31" i="81"/>
  <c r="Z31" i="81" s="1"/>
  <c r="N31" i="81"/>
  <c r="L31" i="81"/>
  <c r="J31" i="81"/>
  <c r="F31" i="81"/>
  <c r="B31" i="81"/>
  <c r="X30" i="81"/>
  <c r="Z30" i="81" s="1"/>
  <c r="N30" i="81"/>
  <c r="L30" i="81"/>
  <c r="J30" i="81"/>
  <c r="F30" i="81"/>
  <c r="B30" i="81"/>
  <c r="X29" i="81"/>
  <c r="T29" i="81"/>
  <c r="P29" i="81"/>
  <c r="J29" i="81"/>
  <c r="H29" i="81"/>
  <c r="F29" i="81"/>
  <c r="D29" i="81"/>
  <c r="B29" i="81"/>
  <c r="X28" i="81"/>
  <c r="Z28" i="81" s="1"/>
  <c r="R28" i="81"/>
  <c r="N28" i="81"/>
  <c r="L28" i="81"/>
  <c r="J28" i="81"/>
  <c r="F28" i="81"/>
  <c r="B28" i="81"/>
  <c r="Z27" i="81"/>
  <c r="X27" i="81"/>
  <c r="L27" i="81"/>
  <c r="N27" i="81" s="1"/>
  <c r="J27" i="81"/>
  <c r="F27" i="81"/>
  <c r="B27" i="81"/>
  <c r="X26" i="81"/>
  <c r="Z26" i="81" s="1"/>
  <c r="L26" i="81"/>
  <c r="N26" i="81" s="1"/>
  <c r="J26" i="81"/>
  <c r="F26" i="81"/>
  <c r="B26" i="81"/>
  <c r="Z25" i="81"/>
  <c r="X25" i="81"/>
  <c r="L25" i="81"/>
  <c r="N25" i="81" s="1"/>
  <c r="J25" i="81"/>
  <c r="B25" i="81"/>
  <c r="Z24" i="81"/>
  <c r="X24" i="81"/>
  <c r="N24" i="81"/>
  <c r="L24" i="81"/>
  <c r="J24" i="81"/>
  <c r="F24" i="81"/>
  <c r="B24" i="81"/>
  <c r="Z23" i="81"/>
  <c r="X23" i="81"/>
  <c r="N23" i="81"/>
  <c r="L23" i="81"/>
  <c r="J23" i="81"/>
  <c r="F23" i="81"/>
  <c r="B23" i="81"/>
  <c r="X22" i="81"/>
  <c r="Z22" i="81" s="1"/>
  <c r="L22" i="81"/>
  <c r="N22" i="81" s="1"/>
  <c r="J22" i="81"/>
  <c r="F22" i="81"/>
  <c r="B22" i="81"/>
  <c r="Z21" i="81"/>
  <c r="X21" i="81"/>
  <c r="L21" i="81"/>
  <c r="N21" i="81" s="1"/>
  <c r="J21" i="81"/>
  <c r="B21" i="81"/>
  <c r="Z20" i="81"/>
  <c r="X20" i="81"/>
  <c r="R20" i="81"/>
  <c r="N20" i="81"/>
  <c r="L20" i="81"/>
  <c r="J20" i="81"/>
  <c r="F20" i="81"/>
  <c r="B20" i="81"/>
  <c r="T19" i="81"/>
  <c r="P19" i="81"/>
  <c r="X19" i="81" s="1"/>
  <c r="H19" i="81"/>
  <c r="F19" i="81"/>
  <c r="D19" i="81"/>
  <c r="L19" i="81" s="1"/>
  <c r="N19" i="81" s="1"/>
  <c r="B19" i="81"/>
  <c r="T18" i="81"/>
  <c r="P18" i="81"/>
  <c r="J18" i="81"/>
  <c r="H18" i="81"/>
  <c r="F18" i="81"/>
  <c r="D18" i="81"/>
  <c r="R16" i="81"/>
  <c r="P16" i="81"/>
  <c r="J16" i="81"/>
  <c r="H16" i="81"/>
  <c r="F16" i="81"/>
  <c r="T14" i="81"/>
  <c r="Z14" i="81" s="1"/>
  <c r="P14" i="81"/>
  <c r="J14" i="81"/>
  <c r="H14" i="81"/>
  <c r="N14" i="81" s="1"/>
  <c r="F14" i="81"/>
  <c r="D14" i="81"/>
  <c r="T12" i="81"/>
  <c r="V67" i="81" s="1"/>
  <c r="P12" i="81"/>
  <c r="N12" i="81"/>
  <c r="L12" i="81"/>
  <c r="H12" i="81"/>
  <c r="D12" i="81"/>
  <c r="F93" i="81" s="1"/>
  <c r="D6" i="81"/>
  <c r="D4" i="81"/>
  <c r="X78" i="80"/>
  <c r="Z78" i="80" s="1"/>
  <c r="N78" i="80"/>
  <c r="L78" i="80"/>
  <c r="T74" i="80"/>
  <c r="Z74" i="80" s="1"/>
  <c r="P74" i="80"/>
  <c r="H74" i="80"/>
  <c r="N74" i="80" s="1"/>
  <c r="D74" i="80"/>
  <c r="L74" i="80" s="1"/>
  <c r="Z72" i="80"/>
  <c r="X72" i="80"/>
  <c r="N72" i="80"/>
  <c r="L72" i="80"/>
  <c r="B72" i="80"/>
  <c r="Z71" i="80"/>
  <c r="X71" i="80"/>
  <c r="T71" i="80"/>
  <c r="P71" i="80"/>
  <c r="N71" i="80"/>
  <c r="L71" i="80"/>
  <c r="H71" i="80"/>
  <c r="D71" i="80"/>
  <c r="B71" i="80"/>
  <c r="X70" i="80"/>
  <c r="Z70" i="80" s="1"/>
  <c r="N70" i="80"/>
  <c r="L70" i="80"/>
  <c r="B70" i="80"/>
  <c r="X69" i="80"/>
  <c r="T69" i="80"/>
  <c r="P69" i="80"/>
  <c r="H69" i="80"/>
  <c r="F69" i="80"/>
  <c r="D69" i="80"/>
  <c r="B69" i="80"/>
  <c r="X68" i="80"/>
  <c r="Z68" i="80" s="1"/>
  <c r="N68" i="80"/>
  <c r="L68" i="80"/>
  <c r="F68" i="80"/>
  <c r="B68" i="80"/>
  <c r="T67" i="80"/>
  <c r="P67" i="80"/>
  <c r="N67" i="80"/>
  <c r="H67" i="80"/>
  <c r="D67" i="80"/>
  <c r="L67" i="80" s="1"/>
  <c r="B67" i="80"/>
  <c r="X66" i="80"/>
  <c r="Z66" i="80" s="1"/>
  <c r="N66" i="80"/>
  <c r="L66" i="80"/>
  <c r="B66" i="80"/>
  <c r="X65" i="80"/>
  <c r="Z65" i="80" s="1"/>
  <c r="N65" i="80"/>
  <c r="L65" i="80"/>
  <c r="B65" i="80"/>
  <c r="Z64" i="80"/>
  <c r="X64" i="80"/>
  <c r="N64" i="80"/>
  <c r="L64" i="80"/>
  <c r="B64" i="80"/>
  <c r="X63" i="80"/>
  <c r="Z63" i="80" s="1"/>
  <c r="L63" i="80"/>
  <c r="N63" i="80" s="1"/>
  <c r="F63" i="80"/>
  <c r="B63" i="80"/>
  <c r="X62" i="80"/>
  <c r="Z62" i="80" s="1"/>
  <c r="N62" i="80"/>
  <c r="L62" i="80"/>
  <c r="B62" i="80"/>
  <c r="Z61" i="80"/>
  <c r="X61" i="80"/>
  <c r="N61" i="80"/>
  <c r="L61" i="80"/>
  <c r="F61" i="80"/>
  <c r="B61" i="80"/>
  <c r="T60" i="80"/>
  <c r="P60" i="80"/>
  <c r="H60" i="80"/>
  <c r="D60" i="80"/>
  <c r="B60" i="80"/>
  <c r="X59" i="80"/>
  <c r="Z59" i="80" s="1"/>
  <c r="N59" i="80"/>
  <c r="L59" i="80"/>
  <c r="B59" i="80"/>
  <c r="X58" i="80"/>
  <c r="Z58" i="80" s="1"/>
  <c r="N58" i="80"/>
  <c r="L58" i="80"/>
  <c r="F58" i="80"/>
  <c r="B58" i="80"/>
  <c r="X57" i="80"/>
  <c r="T57" i="80"/>
  <c r="P57" i="80"/>
  <c r="L57" i="80"/>
  <c r="H57" i="80"/>
  <c r="N57" i="80" s="1"/>
  <c r="D57" i="80"/>
  <c r="B57" i="80"/>
  <c r="Z56" i="80"/>
  <c r="X56" i="80"/>
  <c r="N56" i="80"/>
  <c r="L56" i="80"/>
  <c r="B56" i="80"/>
  <c r="Z55" i="80"/>
  <c r="X55" i="80"/>
  <c r="N55" i="80"/>
  <c r="L55" i="80"/>
  <c r="B55" i="80"/>
  <c r="X54" i="80"/>
  <c r="Z54" i="80" s="1"/>
  <c r="N54" i="80"/>
  <c r="L54" i="80"/>
  <c r="F54" i="80"/>
  <c r="B54" i="80"/>
  <c r="T53" i="80"/>
  <c r="P53" i="80"/>
  <c r="H53" i="80"/>
  <c r="N53" i="80" s="1"/>
  <c r="D53" i="80"/>
  <c r="B53" i="80"/>
  <c r="Z52" i="80"/>
  <c r="X52" i="80"/>
  <c r="N52" i="80"/>
  <c r="L52" i="80"/>
  <c r="B52" i="80"/>
  <c r="X51" i="80"/>
  <c r="Z51" i="80" s="1"/>
  <c r="T51" i="80"/>
  <c r="P51" i="80"/>
  <c r="N51" i="80"/>
  <c r="L51" i="80"/>
  <c r="H51" i="80"/>
  <c r="D51" i="80"/>
  <c r="B51" i="80"/>
  <c r="X50" i="80"/>
  <c r="Z50" i="80" s="1"/>
  <c r="L50" i="80"/>
  <c r="N50" i="80" s="1"/>
  <c r="B50" i="80"/>
  <c r="T49" i="80"/>
  <c r="P49" i="80"/>
  <c r="H49" i="80"/>
  <c r="D49" i="80"/>
  <c r="B49" i="80"/>
  <c r="X48" i="80"/>
  <c r="Z48" i="80" s="1"/>
  <c r="N48" i="80"/>
  <c r="L48" i="80"/>
  <c r="B48" i="80"/>
  <c r="T47" i="80"/>
  <c r="P47" i="80"/>
  <c r="N47" i="80"/>
  <c r="H47" i="80"/>
  <c r="F47" i="80"/>
  <c r="D47" i="80"/>
  <c r="B47" i="80"/>
  <c r="X46" i="80"/>
  <c r="Z46" i="80" s="1"/>
  <c r="N46" i="80"/>
  <c r="L46" i="80"/>
  <c r="B46" i="80"/>
  <c r="X45" i="80"/>
  <c r="Z45" i="80" s="1"/>
  <c r="T45" i="80"/>
  <c r="P45" i="80"/>
  <c r="H45" i="80"/>
  <c r="D45" i="80"/>
  <c r="L45" i="80" s="1"/>
  <c r="N45" i="80" s="1"/>
  <c r="B45" i="80"/>
  <c r="Z44" i="80"/>
  <c r="X44" i="80"/>
  <c r="L44" i="80"/>
  <c r="N44" i="80" s="1"/>
  <c r="F44" i="80"/>
  <c r="B44" i="80"/>
  <c r="T43" i="80"/>
  <c r="P43" i="80"/>
  <c r="H43" i="80"/>
  <c r="F43" i="80"/>
  <c r="D43" i="80"/>
  <c r="B43" i="80"/>
  <c r="Z42" i="80"/>
  <c r="X42" i="80"/>
  <c r="N42" i="80"/>
  <c r="L42" i="80"/>
  <c r="B42" i="80"/>
  <c r="T41" i="80"/>
  <c r="P41" i="80"/>
  <c r="H41" i="80"/>
  <c r="N41" i="80" s="1"/>
  <c r="D41" i="80"/>
  <c r="L41" i="80" s="1"/>
  <c r="B41" i="80"/>
  <c r="Z40" i="80"/>
  <c r="X40" i="80"/>
  <c r="N40" i="80"/>
  <c r="L40" i="80"/>
  <c r="B40" i="80"/>
  <c r="X39" i="80"/>
  <c r="Z39" i="80" s="1"/>
  <c r="T39" i="80"/>
  <c r="P39" i="80"/>
  <c r="N39" i="80"/>
  <c r="H39" i="80"/>
  <c r="D39" i="80"/>
  <c r="L39" i="80" s="1"/>
  <c r="B39" i="80"/>
  <c r="Z38" i="80"/>
  <c r="X38" i="80"/>
  <c r="N38" i="80"/>
  <c r="L38" i="80"/>
  <c r="B38" i="80"/>
  <c r="X37" i="80"/>
  <c r="Z37" i="80" s="1"/>
  <c r="N37" i="80"/>
  <c r="L37" i="80"/>
  <c r="B37" i="80"/>
  <c r="X36" i="80"/>
  <c r="Z36" i="80" s="1"/>
  <c r="N36" i="80"/>
  <c r="L36" i="80"/>
  <c r="B36" i="80"/>
  <c r="X35" i="80"/>
  <c r="Z35" i="80" s="1"/>
  <c r="N35" i="80"/>
  <c r="L35" i="80"/>
  <c r="B35" i="80"/>
  <c r="Z34" i="80"/>
  <c r="X34" i="80"/>
  <c r="N34" i="80"/>
  <c r="L34" i="80"/>
  <c r="F34" i="80"/>
  <c r="B34" i="80"/>
  <c r="X33" i="80"/>
  <c r="Z33" i="80" s="1"/>
  <c r="N33" i="80"/>
  <c r="L33" i="80"/>
  <c r="B33" i="80"/>
  <c r="T32" i="80"/>
  <c r="P32" i="80"/>
  <c r="X32" i="80" s="1"/>
  <c r="Z32" i="80" s="1"/>
  <c r="N32" i="80"/>
  <c r="L32" i="80"/>
  <c r="H32" i="80"/>
  <c r="D32" i="80"/>
  <c r="B32" i="80"/>
  <c r="Z31" i="80"/>
  <c r="X31" i="80"/>
  <c r="N31" i="80"/>
  <c r="L31" i="80"/>
  <c r="B31" i="80"/>
  <c r="Z30" i="80"/>
  <c r="X30" i="80"/>
  <c r="N30" i="80"/>
  <c r="L30" i="80"/>
  <c r="B30" i="80"/>
  <c r="Z29" i="80"/>
  <c r="X29" i="80"/>
  <c r="N29" i="80"/>
  <c r="L29" i="80"/>
  <c r="B29" i="80"/>
  <c r="Z28" i="80"/>
  <c r="X28" i="80"/>
  <c r="N28" i="80"/>
  <c r="L28" i="80"/>
  <c r="F28" i="80"/>
  <c r="B28" i="80"/>
  <c r="Z27" i="80"/>
  <c r="X27" i="80"/>
  <c r="N27" i="80"/>
  <c r="L27" i="80"/>
  <c r="B27" i="80"/>
  <c r="Z26" i="80"/>
  <c r="X26" i="80"/>
  <c r="L26" i="80"/>
  <c r="N26" i="80" s="1"/>
  <c r="B26" i="80"/>
  <c r="Z25" i="80"/>
  <c r="X25" i="80"/>
  <c r="N25" i="80"/>
  <c r="L25" i="80"/>
  <c r="B25" i="80"/>
  <c r="Z24" i="80"/>
  <c r="X24" i="80"/>
  <c r="N24" i="80"/>
  <c r="L24" i="80"/>
  <c r="B24" i="80"/>
  <c r="T23" i="80"/>
  <c r="P23" i="80"/>
  <c r="H23" i="80"/>
  <c r="N23" i="80" s="1"/>
  <c r="D23" i="80"/>
  <c r="L23" i="80" s="1"/>
  <c r="B23" i="80"/>
  <c r="T22" i="80"/>
  <c r="P22" i="80"/>
  <c r="H22" i="80"/>
  <c r="D22" i="80"/>
  <c r="F20" i="80"/>
  <c r="X18" i="80"/>
  <c r="Z18" i="80" s="1"/>
  <c r="L18" i="80"/>
  <c r="N18" i="80" s="1"/>
  <c r="B18" i="80"/>
  <c r="Z17" i="80"/>
  <c r="X17" i="80"/>
  <c r="N17" i="80"/>
  <c r="L17" i="80"/>
  <c r="B17" i="80"/>
  <c r="T16" i="80"/>
  <c r="P16" i="80"/>
  <c r="H16" i="80"/>
  <c r="F16" i="80"/>
  <c r="D16" i="80"/>
  <c r="T14" i="80"/>
  <c r="P14" i="80"/>
  <c r="P12" i="80" s="1"/>
  <c r="R59" i="80" s="1"/>
  <c r="N14" i="80"/>
  <c r="H14" i="80"/>
  <c r="D14" i="80"/>
  <c r="L14" i="80" s="1"/>
  <c r="B14" i="80"/>
  <c r="T13" i="80"/>
  <c r="P13" i="80"/>
  <c r="L13" i="80"/>
  <c r="H13" i="80"/>
  <c r="D13" i="80"/>
  <c r="D12" i="80" s="1"/>
  <c r="F78" i="80" s="1"/>
  <c r="B13" i="80"/>
  <c r="D6" i="80"/>
  <c r="D4" i="80"/>
  <c r="X85" i="79"/>
  <c r="Z85" i="79" s="1"/>
  <c r="N85" i="79"/>
  <c r="L85" i="79"/>
  <c r="T81" i="79"/>
  <c r="Z81" i="79" s="1"/>
  <c r="P81" i="79"/>
  <c r="X81" i="79" s="1"/>
  <c r="L81" i="79"/>
  <c r="H81" i="79"/>
  <c r="N81" i="79" s="1"/>
  <c r="D81" i="79"/>
  <c r="Z79" i="79"/>
  <c r="X79" i="79"/>
  <c r="L79" i="79"/>
  <c r="N79" i="79" s="1"/>
  <c r="B79" i="79"/>
  <c r="T78" i="79"/>
  <c r="P78" i="79"/>
  <c r="X78" i="79" s="1"/>
  <c r="Z78" i="79" s="1"/>
  <c r="H78" i="79"/>
  <c r="D78" i="79"/>
  <c r="L78" i="79" s="1"/>
  <c r="N78" i="79" s="1"/>
  <c r="B78" i="79"/>
  <c r="Z77" i="79"/>
  <c r="X77" i="79"/>
  <c r="N77" i="79"/>
  <c r="L77" i="79"/>
  <c r="B77" i="79"/>
  <c r="X76" i="79"/>
  <c r="Z76" i="79" s="1"/>
  <c r="T76" i="79"/>
  <c r="P76" i="79"/>
  <c r="H76" i="79"/>
  <c r="D76" i="79"/>
  <c r="L76" i="79" s="1"/>
  <c r="N76" i="79" s="1"/>
  <c r="B76" i="79"/>
  <c r="Z75" i="79"/>
  <c r="X75" i="79"/>
  <c r="N75" i="79"/>
  <c r="L75" i="79"/>
  <c r="B75" i="79"/>
  <c r="X74" i="79"/>
  <c r="V74" i="79"/>
  <c r="T74" i="79"/>
  <c r="P74" i="79"/>
  <c r="H74" i="79"/>
  <c r="D74" i="79"/>
  <c r="B74" i="79"/>
  <c r="X73" i="79"/>
  <c r="Z73" i="79" s="1"/>
  <c r="N73" i="79"/>
  <c r="L73" i="79"/>
  <c r="B73" i="79"/>
  <c r="Z72" i="79"/>
  <c r="X72" i="79"/>
  <c r="N72" i="79"/>
  <c r="L72" i="79"/>
  <c r="B72" i="79"/>
  <c r="Z71" i="79"/>
  <c r="X71" i="79"/>
  <c r="N71" i="79"/>
  <c r="L71" i="79"/>
  <c r="B71" i="79"/>
  <c r="Z70" i="79"/>
  <c r="X70" i="79"/>
  <c r="N70" i="79"/>
  <c r="L70" i="79"/>
  <c r="B70" i="79"/>
  <c r="X69" i="79"/>
  <c r="Z69" i="79" s="1"/>
  <c r="N69" i="79"/>
  <c r="L69" i="79"/>
  <c r="B69" i="79"/>
  <c r="Z68" i="79"/>
  <c r="X68" i="79"/>
  <c r="N68" i="79"/>
  <c r="L68" i="79"/>
  <c r="B68" i="79"/>
  <c r="Z67" i="79"/>
  <c r="X67" i="79"/>
  <c r="N67" i="79"/>
  <c r="L67" i="79"/>
  <c r="B67" i="79"/>
  <c r="Z66" i="79"/>
  <c r="X66" i="79"/>
  <c r="T66" i="79"/>
  <c r="P66" i="79"/>
  <c r="H66" i="79"/>
  <c r="N66" i="79" s="1"/>
  <c r="D66" i="79"/>
  <c r="L66" i="79" s="1"/>
  <c r="B66" i="79"/>
  <c r="Z65" i="79"/>
  <c r="X65" i="79"/>
  <c r="N65" i="79"/>
  <c r="L65" i="79"/>
  <c r="B65" i="79"/>
  <c r="Z64" i="79"/>
  <c r="X64" i="79"/>
  <c r="N64" i="79"/>
  <c r="L64" i="79"/>
  <c r="B64" i="79"/>
  <c r="T63" i="79"/>
  <c r="P63" i="79"/>
  <c r="X63" i="79" s="1"/>
  <c r="N63" i="79"/>
  <c r="H63" i="79"/>
  <c r="L63" i="79" s="1"/>
  <c r="D63" i="79"/>
  <c r="B63" i="79"/>
  <c r="X62" i="79"/>
  <c r="Z62" i="79" s="1"/>
  <c r="N62" i="79"/>
  <c r="L62" i="79"/>
  <c r="B62" i="79"/>
  <c r="Z61" i="79"/>
  <c r="X61" i="79"/>
  <c r="L61" i="79"/>
  <c r="N61" i="79" s="1"/>
  <c r="B61" i="79"/>
  <c r="X60" i="79"/>
  <c r="Z60" i="79" s="1"/>
  <c r="N60" i="79"/>
  <c r="L60" i="79"/>
  <c r="B60" i="79"/>
  <c r="Z59" i="79"/>
  <c r="X59" i="79"/>
  <c r="T59" i="79"/>
  <c r="P59" i="79"/>
  <c r="H59" i="79"/>
  <c r="D59" i="79"/>
  <c r="L59" i="79" s="1"/>
  <c r="N59" i="79" s="1"/>
  <c r="B59" i="79"/>
  <c r="Z58" i="79"/>
  <c r="X58" i="79"/>
  <c r="N58" i="79"/>
  <c r="L58" i="79"/>
  <c r="B58" i="79"/>
  <c r="Z57" i="79"/>
  <c r="X57" i="79"/>
  <c r="V57" i="79"/>
  <c r="T57" i="79"/>
  <c r="P57" i="79"/>
  <c r="N57" i="79"/>
  <c r="L57" i="79"/>
  <c r="H57" i="79"/>
  <c r="D57" i="79"/>
  <c r="B57" i="79"/>
  <c r="Z56" i="79"/>
  <c r="X56" i="79"/>
  <c r="L56" i="79"/>
  <c r="N56" i="79" s="1"/>
  <c r="B56" i="79"/>
  <c r="Z55" i="79"/>
  <c r="X55" i="79"/>
  <c r="N55" i="79"/>
  <c r="L55" i="79"/>
  <c r="B55" i="79"/>
  <c r="T54" i="79"/>
  <c r="P54" i="79"/>
  <c r="X54" i="79" s="1"/>
  <c r="Z54" i="79" s="1"/>
  <c r="L54" i="79"/>
  <c r="N54" i="79" s="1"/>
  <c r="H54" i="79"/>
  <c r="D54" i="79"/>
  <c r="B54" i="79"/>
  <c r="Z53" i="79"/>
  <c r="X53" i="79"/>
  <c r="N53" i="79"/>
  <c r="L53" i="79"/>
  <c r="B53" i="79"/>
  <c r="T52" i="79"/>
  <c r="P52" i="79"/>
  <c r="H52" i="79"/>
  <c r="D52" i="79"/>
  <c r="B52" i="79"/>
  <c r="Z51" i="79"/>
  <c r="X51" i="79"/>
  <c r="N51" i="79"/>
  <c r="L51" i="79"/>
  <c r="B51" i="79"/>
  <c r="Z50" i="79"/>
  <c r="X50" i="79"/>
  <c r="T50" i="79"/>
  <c r="P50" i="79"/>
  <c r="H50" i="79"/>
  <c r="N50" i="79" s="1"/>
  <c r="D50" i="79"/>
  <c r="L50" i="79" s="1"/>
  <c r="B50" i="79"/>
  <c r="Z49" i="79"/>
  <c r="X49" i="79"/>
  <c r="N49" i="79"/>
  <c r="L49" i="79"/>
  <c r="B49" i="79"/>
  <c r="X48" i="79"/>
  <c r="Z48" i="79" s="1"/>
  <c r="T48" i="79"/>
  <c r="P48" i="79"/>
  <c r="N48" i="79"/>
  <c r="H48" i="79"/>
  <c r="D48" i="79"/>
  <c r="L48" i="79" s="1"/>
  <c r="B48" i="79"/>
  <c r="Z47" i="79"/>
  <c r="X47" i="79"/>
  <c r="N47" i="79"/>
  <c r="L47" i="79"/>
  <c r="B47" i="79"/>
  <c r="X46" i="79"/>
  <c r="V46" i="79"/>
  <c r="T46" i="79"/>
  <c r="P46" i="79"/>
  <c r="H46" i="79"/>
  <c r="N46" i="79" s="1"/>
  <c r="D46" i="79"/>
  <c r="B46" i="79"/>
  <c r="X45" i="79"/>
  <c r="Z45" i="79" s="1"/>
  <c r="N45" i="79"/>
  <c r="L45" i="79"/>
  <c r="B45" i="79"/>
  <c r="X44" i="79"/>
  <c r="Z44" i="79" s="1"/>
  <c r="N44" i="79"/>
  <c r="L44" i="79"/>
  <c r="B44" i="79"/>
  <c r="Z43" i="79"/>
  <c r="X43" i="79"/>
  <c r="T43" i="79"/>
  <c r="P43" i="79"/>
  <c r="N43" i="79"/>
  <c r="L43" i="79"/>
  <c r="H43" i="79"/>
  <c r="D43" i="79"/>
  <c r="B43" i="79"/>
  <c r="X42" i="79"/>
  <c r="Z42" i="79" s="1"/>
  <c r="L42" i="79"/>
  <c r="N42" i="79" s="1"/>
  <c r="B42" i="79"/>
  <c r="T41" i="79"/>
  <c r="X41" i="79" s="1"/>
  <c r="Z41" i="79" s="1"/>
  <c r="P41" i="79"/>
  <c r="H41" i="79"/>
  <c r="D41" i="79"/>
  <c r="B41" i="79"/>
  <c r="X40" i="79"/>
  <c r="Z40" i="79" s="1"/>
  <c r="N40" i="79"/>
  <c r="L40" i="79"/>
  <c r="B40" i="79"/>
  <c r="Z39" i="79"/>
  <c r="X39" i="79"/>
  <c r="T39" i="79"/>
  <c r="P39" i="79"/>
  <c r="N39" i="79"/>
  <c r="H39" i="79"/>
  <c r="D39" i="79"/>
  <c r="L39" i="79" s="1"/>
  <c r="B39" i="79"/>
  <c r="Z38" i="79"/>
  <c r="X38" i="79"/>
  <c r="L38" i="79"/>
  <c r="N38" i="79" s="1"/>
  <c r="B38" i="79"/>
  <c r="Z37" i="79"/>
  <c r="X37" i="79"/>
  <c r="V37" i="79"/>
  <c r="T37" i="79"/>
  <c r="P37" i="79"/>
  <c r="N37" i="79"/>
  <c r="L37" i="79"/>
  <c r="H37" i="79"/>
  <c r="D37" i="79"/>
  <c r="B37" i="79"/>
  <c r="Z36" i="79"/>
  <c r="X36" i="79"/>
  <c r="N36" i="79"/>
  <c r="L36" i="79"/>
  <c r="B36" i="79"/>
  <c r="Z35" i="79"/>
  <c r="X35" i="79"/>
  <c r="V35" i="79"/>
  <c r="N35" i="79"/>
  <c r="L35" i="79"/>
  <c r="B35" i="79"/>
  <c r="X34" i="79"/>
  <c r="Z34" i="79" s="1"/>
  <c r="N34" i="79"/>
  <c r="L34" i="79"/>
  <c r="B34" i="79"/>
  <c r="Z33" i="79"/>
  <c r="X33" i="79"/>
  <c r="N33" i="79"/>
  <c r="L33" i="79"/>
  <c r="B33" i="79"/>
  <c r="X32" i="79"/>
  <c r="Z32" i="79" s="1"/>
  <c r="T32" i="79"/>
  <c r="P32" i="79"/>
  <c r="N32" i="79"/>
  <c r="H32" i="79"/>
  <c r="D32" i="79"/>
  <c r="L32" i="79" s="1"/>
  <c r="B32" i="79"/>
  <c r="Z31" i="79"/>
  <c r="X31" i="79"/>
  <c r="N31" i="79"/>
  <c r="L31" i="79"/>
  <c r="B31" i="79"/>
  <c r="X30" i="79"/>
  <c r="Z30" i="79" s="1"/>
  <c r="N30" i="79"/>
  <c r="L30" i="79"/>
  <c r="B30" i="79"/>
  <c r="Z29" i="79"/>
  <c r="X29" i="79"/>
  <c r="N29" i="79"/>
  <c r="L29" i="79"/>
  <c r="B29" i="79"/>
  <c r="X28" i="79"/>
  <c r="Z28" i="79" s="1"/>
  <c r="L28" i="79"/>
  <c r="N28" i="79" s="1"/>
  <c r="B28" i="79"/>
  <c r="Z27" i="79"/>
  <c r="X27" i="79"/>
  <c r="N27" i="79"/>
  <c r="L27" i="79"/>
  <c r="B27" i="79"/>
  <c r="X26" i="79"/>
  <c r="Z26" i="79" s="1"/>
  <c r="N26" i="79"/>
  <c r="L26" i="79"/>
  <c r="B26" i="79"/>
  <c r="Z25" i="79"/>
  <c r="X25" i="79"/>
  <c r="N25" i="79"/>
  <c r="L25" i="79"/>
  <c r="B25" i="79"/>
  <c r="X24" i="79"/>
  <c r="Z24" i="79" s="1"/>
  <c r="N24" i="79"/>
  <c r="L24" i="79"/>
  <c r="B24" i="79"/>
  <c r="Z23" i="79"/>
  <c r="X23" i="79"/>
  <c r="T23" i="79"/>
  <c r="P23" i="79"/>
  <c r="H23" i="79"/>
  <c r="D23" i="79"/>
  <c r="L23" i="79" s="1"/>
  <c r="N23" i="79" s="1"/>
  <c r="B23" i="79"/>
  <c r="T22" i="79"/>
  <c r="P22" i="79"/>
  <c r="X22" i="79" s="1"/>
  <c r="Z22" i="79" s="1"/>
  <c r="H22" i="79"/>
  <c r="D22" i="79"/>
  <c r="L22" i="79" s="1"/>
  <c r="Z18" i="79"/>
  <c r="X18" i="79"/>
  <c r="L18" i="79"/>
  <c r="N18" i="79" s="1"/>
  <c r="B18" i="79"/>
  <c r="Z17" i="79"/>
  <c r="X17" i="79"/>
  <c r="V17" i="79"/>
  <c r="N17" i="79"/>
  <c r="L17" i="79"/>
  <c r="B17" i="79"/>
  <c r="T16" i="79"/>
  <c r="P16" i="79"/>
  <c r="X16" i="79" s="1"/>
  <c r="N16" i="79"/>
  <c r="L16" i="79"/>
  <c r="H16" i="79"/>
  <c r="D16" i="79"/>
  <c r="T14" i="79"/>
  <c r="P14" i="79"/>
  <c r="N14" i="79"/>
  <c r="L14" i="79"/>
  <c r="H14" i="79"/>
  <c r="D14" i="79"/>
  <c r="B14" i="79"/>
  <c r="T13" i="79"/>
  <c r="T12" i="79" s="1"/>
  <c r="P13" i="79"/>
  <c r="H13" i="79"/>
  <c r="D13" i="79"/>
  <c r="B13" i="79"/>
  <c r="D6" i="79"/>
  <c r="D4" i="79"/>
  <c r="Z32" i="78"/>
  <c r="X32" i="78"/>
  <c r="L32" i="78"/>
  <c r="N32" i="78" s="1"/>
  <c r="T28" i="78"/>
  <c r="Z28" i="78" s="1"/>
  <c r="P28" i="78"/>
  <c r="N28" i="78"/>
  <c r="L28" i="78"/>
  <c r="H28" i="78"/>
  <c r="D28" i="78"/>
  <c r="X26" i="78"/>
  <c r="Z26" i="78" s="1"/>
  <c r="N26" i="78"/>
  <c r="L26" i="78"/>
  <c r="B26" i="78"/>
  <c r="Z25" i="78"/>
  <c r="X25" i="78"/>
  <c r="T25" i="78"/>
  <c r="P25" i="78"/>
  <c r="N25" i="78"/>
  <c r="L25" i="78"/>
  <c r="J25" i="78"/>
  <c r="H25" i="78"/>
  <c r="D25" i="78"/>
  <c r="B25" i="78"/>
  <c r="X24" i="78"/>
  <c r="Z24" i="78" s="1"/>
  <c r="N24" i="78"/>
  <c r="L24" i="78"/>
  <c r="J24" i="78"/>
  <c r="F24" i="78"/>
  <c r="B24" i="78"/>
  <c r="T23" i="78"/>
  <c r="X23" i="78" s="1"/>
  <c r="Z23" i="78" s="1"/>
  <c r="P23" i="78"/>
  <c r="J23" i="78"/>
  <c r="H23" i="78"/>
  <c r="N23" i="78" s="1"/>
  <c r="F23" i="78"/>
  <c r="D23" i="78"/>
  <c r="L23" i="78" s="1"/>
  <c r="B23" i="78"/>
  <c r="X22" i="78"/>
  <c r="Z22" i="78" s="1"/>
  <c r="N22" i="78"/>
  <c r="L22" i="78"/>
  <c r="F22" i="78"/>
  <c r="B22" i="78"/>
  <c r="Z21" i="78"/>
  <c r="X21" i="78"/>
  <c r="T21" i="78"/>
  <c r="P21" i="78"/>
  <c r="N21" i="78"/>
  <c r="H21" i="78"/>
  <c r="D21" i="78"/>
  <c r="L21" i="78" s="1"/>
  <c r="B21" i="78"/>
  <c r="T20" i="78"/>
  <c r="P20" i="78"/>
  <c r="X20" i="78" s="1"/>
  <c r="Z20" i="78" s="1"/>
  <c r="H20" i="78"/>
  <c r="N20" i="78" s="1"/>
  <c r="D20" i="78"/>
  <c r="H18" i="78"/>
  <c r="F18" i="78"/>
  <c r="D18" i="78"/>
  <c r="Z16" i="78"/>
  <c r="X16" i="78"/>
  <c r="N16" i="78"/>
  <c r="L16" i="78"/>
  <c r="B16" i="78"/>
  <c r="Z15" i="78"/>
  <c r="X15" i="78"/>
  <c r="V15" i="78"/>
  <c r="T15" i="78"/>
  <c r="P15" i="78"/>
  <c r="N15" i="78"/>
  <c r="L15" i="78"/>
  <c r="H15" i="78"/>
  <c r="D15" i="78"/>
  <c r="T13" i="78"/>
  <c r="T12" i="78" s="1"/>
  <c r="P13" i="78"/>
  <c r="N13" i="78"/>
  <c r="H13" i="78"/>
  <c r="D13" i="78"/>
  <c r="L13" i="78" s="1"/>
  <c r="B13" i="78"/>
  <c r="P12" i="78"/>
  <c r="R26" i="78" s="1"/>
  <c r="N12" i="78"/>
  <c r="L12" i="78"/>
  <c r="H12" i="78"/>
  <c r="J30" i="78" s="1"/>
  <c r="D12" i="78"/>
  <c r="F26" i="78" s="1"/>
  <c r="D6" i="78"/>
  <c r="D4" i="78"/>
  <c r="X130" i="77"/>
  <c r="Z130" i="77" s="1"/>
  <c r="L130" i="77"/>
  <c r="N130" i="77" s="1"/>
  <c r="Z126" i="77"/>
  <c r="T126" i="77"/>
  <c r="P126" i="77"/>
  <c r="X126" i="77" s="1"/>
  <c r="H126" i="77"/>
  <c r="N126" i="77" s="1"/>
  <c r="D126" i="77"/>
  <c r="Z124" i="77"/>
  <c r="X124" i="77"/>
  <c r="L124" i="77"/>
  <c r="N124" i="77" s="1"/>
  <c r="B124" i="77"/>
  <c r="X123" i="77"/>
  <c r="Z123" i="77" s="1"/>
  <c r="T123" i="77"/>
  <c r="P123" i="77"/>
  <c r="N123" i="77"/>
  <c r="L123" i="77"/>
  <c r="H123" i="77"/>
  <c r="D123" i="77"/>
  <c r="B123" i="77"/>
  <c r="Z122" i="77"/>
  <c r="X122" i="77"/>
  <c r="N122" i="77"/>
  <c r="L122" i="77"/>
  <c r="B122" i="77"/>
  <c r="T121" i="77"/>
  <c r="P121" i="77"/>
  <c r="N121" i="77"/>
  <c r="H121" i="77"/>
  <c r="L121" i="77" s="1"/>
  <c r="D121" i="77"/>
  <c r="B121" i="77"/>
  <c r="X120" i="77"/>
  <c r="Z120" i="77" s="1"/>
  <c r="N120" i="77"/>
  <c r="L120" i="77"/>
  <c r="B120" i="77"/>
  <c r="T119" i="77"/>
  <c r="P119" i="77"/>
  <c r="X119" i="77" s="1"/>
  <c r="Z119" i="77" s="1"/>
  <c r="N119" i="77"/>
  <c r="L119" i="77"/>
  <c r="H119" i="77"/>
  <c r="D119" i="77"/>
  <c r="B119" i="77"/>
  <c r="Z118" i="77"/>
  <c r="X118" i="77"/>
  <c r="N118" i="77"/>
  <c r="L118" i="77"/>
  <c r="B118" i="77"/>
  <c r="Z117" i="77"/>
  <c r="X117" i="77"/>
  <c r="T117" i="77"/>
  <c r="P117" i="77"/>
  <c r="L117" i="77"/>
  <c r="N117" i="77" s="1"/>
  <c r="H117" i="77"/>
  <c r="D117" i="77"/>
  <c r="B117" i="77"/>
  <c r="X116" i="77"/>
  <c r="Z116" i="77" s="1"/>
  <c r="N116" i="77"/>
  <c r="L116" i="77"/>
  <c r="B116" i="77"/>
  <c r="Z115" i="77"/>
  <c r="X115" i="77"/>
  <c r="N115" i="77"/>
  <c r="L115" i="77"/>
  <c r="B115" i="77"/>
  <c r="Z114" i="77"/>
  <c r="X114" i="77"/>
  <c r="L114" i="77"/>
  <c r="N114" i="77" s="1"/>
  <c r="B114" i="77"/>
  <c r="X113" i="77"/>
  <c r="Z113" i="77" s="1"/>
  <c r="N113" i="77"/>
  <c r="L113" i="77"/>
  <c r="B113" i="77"/>
  <c r="Z112" i="77"/>
  <c r="X112" i="77"/>
  <c r="N112" i="77"/>
  <c r="L112" i="77"/>
  <c r="B112" i="77"/>
  <c r="Z111" i="77"/>
  <c r="X111" i="77"/>
  <c r="N111" i="77"/>
  <c r="L111" i="77"/>
  <c r="B111" i="77"/>
  <c r="X110" i="77"/>
  <c r="Z110" i="77" s="1"/>
  <c r="T110" i="77"/>
  <c r="P110" i="77"/>
  <c r="H110" i="77"/>
  <c r="D110" i="77"/>
  <c r="L110" i="77" s="1"/>
  <c r="N110" i="77" s="1"/>
  <c r="B110" i="77"/>
  <c r="Z109" i="77"/>
  <c r="X109" i="77"/>
  <c r="N109" i="77"/>
  <c r="L109" i="77"/>
  <c r="B109" i="77"/>
  <c r="X108" i="77"/>
  <c r="Z108" i="77" s="1"/>
  <c r="N108" i="77"/>
  <c r="L108" i="77"/>
  <c r="B108" i="77"/>
  <c r="T107" i="77"/>
  <c r="P107" i="77"/>
  <c r="X107" i="77" s="1"/>
  <c r="Z107" i="77" s="1"/>
  <c r="N107" i="77"/>
  <c r="L107" i="77"/>
  <c r="H107" i="77"/>
  <c r="D107" i="77"/>
  <c r="B107" i="77"/>
  <c r="X106" i="77"/>
  <c r="Z106" i="77" s="1"/>
  <c r="N106" i="77"/>
  <c r="L106" i="77"/>
  <c r="B106" i="77"/>
  <c r="Z105" i="77"/>
  <c r="X105" i="77"/>
  <c r="L105" i="77"/>
  <c r="N105" i="77" s="1"/>
  <c r="B105" i="77"/>
  <c r="Z104" i="77"/>
  <c r="X104" i="77"/>
  <c r="N104" i="77"/>
  <c r="L104" i="77"/>
  <c r="B104" i="77"/>
  <c r="Z103" i="77"/>
  <c r="X103" i="77"/>
  <c r="T103" i="77"/>
  <c r="P103" i="77"/>
  <c r="N103" i="77"/>
  <c r="L103" i="77"/>
  <c r="H103" i="77"/>
  <c r="D103" i="77"/>
  <c r="B103" i="77"/>
  <c r="Z102" i="77"/>
  <c r="X102" i="77"/>
  <c r="N102" i="77"/>
  <c r="L102" i="77"/>
  <c r="B102" i="77"/>
  <c r="X101" i="77"/>
  <c r="Z101" i="77" s="1"/>
  <c r="N101" i="77"/>
  <c r="L101" i="77"/>
  <c r="B101" i="77"/>
  <c r="Z100" i="77"/>
  <c r="X100" i="77"/>
  <c r="N100" i="77"/>
  <c r="L100" i="77"/>
  <c r="B100" i="77"/>
  <c r="T99" i="77"/>
  <c r="X99" i="77" s="1"/>
  <c r="Z99" i="77" s="1"/>
  <c r="P99" i="77"/>
  <c r="H99" i="77"/>
  <c r="N99" i="77" s="1"/>
  <c r="D99" i="77"/>
  <c r="B99" i="77"/>
  <c r="X98" i="77"/>
  <c r="Z98" i="77" s="1"/>
  <c r="N98" i="77"/>
  <c r="L98" i="77"/>
  <c r="B98" i="77"/>
  <c r="Z97" i="77"/>
  <c r="X97" i="77"/>
  <c r="T97" i="77"/>
  <c r="P97" i="77"/>
  <c r="H97" i="77"/>
  <c r="D97" i="77"/>
  <c r="L97" i="77" s="1"/>
  <c r="N97" i="77" s="1"/>
  <c r="B97" i="77"/>
  <c r="Z96" i="77"/>
  <c r="X96" i="77"/>
  <c r="N96" i="77"/>
  <c r="L96" i="77"/>
  <c r="B96" i="77"/>
  <c r="X95" i="77"/>
  <c r="T95" i="77"/>
  <c r="Z95" i="77" s="1"/>
  <c r="P95" i="77"/>
  <c r="N95" i="77"/>
  <c r="L95" i="77"/>
  <c r="H95" i="77"/>
  <c r="D95" i="77"/>
  <c r="B95" i="77"/>
  <c r="X94" i="77"/>
  <c r="Z94" i="77" s="1"/>
  <c r="L94" i="77"/>
  <c r="N94" i="77" s="1"/>
  <c r="B94" i="77"/>
  <c r="T93" i="77"/>
  <c r="P93" i="77"/>
  <c r="X93" i="77" s="1"/>
  <c r="H93" i="77"/>
  <c r="L93" i="77" s="1"/>
  <c r="N93" i="77" s="1"/>
  <c r="D93" i="77"/>
  <c r="B93" i="77"/>
  <c r="X92" i="77"/>
  <c r="Z92" i="77" s="1"/>
  <c r="N92" i="77"/>
  <c r="L92" i="77"/>
  <c r="B92" i="77"/>
  <c r="T91" i="77"/>
  <c r="P91" i="77"/>
  <c r="X91" i="77" s="1"/>
  <c r="Z91" i="77" s="1"/>
  <c r="L91" i="77"/>
  <c r="N91" i="77" s="1"/>
  <c r="H91" i="77"/>
  <c r="D91" i="77"/>
  <c r="B91" i="77"/>
  <c r="X90" i="77"/>
  <c r="Z90" i="77" s="1"/>
  <c r="N90" i="77"/>
  <c r="L90" i="77"/>
  <c r="B90" i="77"/>
  <c r="Z89" i="77"/>
  <c r="X89" i="77"/>
  <c r="T89" i="77"/>
  <c r="P89" i="77"/>
  <c r="H89" i="77"/>
  <c r="N89" i="77" s="1"/>
  <c r="D89" i="77"/>
  <c r="B89" i="77"/>
  <c r="X88" i="77"/>
  <c r="Z88" i="77" s="1"/>
  <c r="N88" i="77"/>
  <c r="L88" i="77"/>
  <c r="B88" i="77"/>
  <c r="T87" i="77"/>
  <c r="X87" i="77" s="1"/>
  <c r="Z87" i="77" s="1"/>
  <c r="P87" i="77"/>
  <c r="H87" i="77"/>
  <c r="N87" i="77" s="1"/>
  <c r="D87" i="77"/>
  <c r="B87" i="77"/>
  <c r="Z86" i="77"/>
  <c r="X86" i="77"/>
  <c r="N86" i="77"/>
  <c r="L86" i="77"/>
  <c r="B86" i="77"/>
  <c r="Z85" i="77"/>
  <c r="X85" i="77"/>
  <c r="N85" i="77"/>
  <c r="L85" i="77"/>
  <c r="B85" i="77"/>
  <c r="T84" i="77"/>
  <c r="P84" i="77"/>
  <c r="H84" i="77"/>
  <c r="N84" i="77" s="1"/>
  <c r="D84" i="77"/>
  <c r="B84" i="77"/>
  <c r="X83" i="77"/>
  <c r="Z83" i="77" s="1"/>
  <c r="N83" i="77"/>
  <c r="L83" i="77"/>
  <c r="B83" i="77"/>
  <c r="T82" i="77"/>
  <c r="P82" i="77"/>
  <c r="N82" i="77"/>
  <c r="H82" i="77"/>
  <c r="D82" i="77"/>
  <c r="L82" i="77" s="1"/>
  <c r="B82" i="77"/>
  <c r="X81" i="77"/>
  <c r="Z81" i="77" s="1"/>
  <c r="N81" i="77"/>
  <c r="L81" i="77"/>
  <c r="B81" i="77"/>
  <c r="T80" i="77"/>
  <c r="P80" i="77"/>
  <c r="X80" i="77" s="1"/>
  <c r="Z80" i="77" s="1"/>
  <c r="N80" i="77"/>
  <c r="L80" i="77"/>
  <c r="H80" i="77"/>
  <c r="D80" i="77"/>
  <c r="B80" i="77"/>
  <c r="Z79" i="77"/>
  <c r="X79" i="77"/>
  <c r="N79" i="77"/>
  <c r="L79" i="77"/>
  <c r="B79" i="77"/>
  <c r="T78" i="77"/>
  <c r="P78" i="77"/>
  <c r="L78" i="77"/>
  <c r="H78" i="77"/>
  <c r="D78" i="77"/>
  <c r="B78" i="77"/>
  <c r="Z77" i="77"/>
  <c r="X77" i="77"/>
  <c r="N77" i="77"/>
  <c r="L77" i="77"/>
  <c r="B77" i="77"/>
  <c r="Z76" i="77"/>
  <c r="X76" i="77"/>
  <c r="L76" i="77"/>
  <c r="N76" i="77" s="1"/>
  <c r="B76" i="77"/>
  <c r="Z75" i="77"/>
  <c r="X75" i="77"/>
  <c r="N75" i="77"/>
  <c r="L75" i="77"/>
  <c r="B75" i="77"/>
  <c r="X74" i="77"/>
  <c r="Z74" i="77" s="1"/>
  <c r="N74" i="77"/>
  <c r="L74" i="77"/>
  <c r="B74" i="77"/>
  <c r="Z73" i="77"/>
  <c r="X73" i="77"/>
  <c r="N73" i="77"/>
  <c r="L73" i="77"/>
  <c r="B73" i="77"/>
  <c r="Z72" i="77"/>
  <c r="X72" i="77"/>
  <c r="L72" i="77"/>
  <c r="N72" i="77" s="1"/>
  <c r="B72" i="77"/>
  <c r="Z71" i="77"/>
  <c r="X71" i="77"/>
  <c r="T71" i="77"/>
  <c r="P71" i="77"/>
  <c r="N71" i="77"/>
  <c r="L71" i="77"/>
  <c r="H71" i="77"/>
  <c r="D71" i="77"/>
  <c r="B71" i="77"/>
  <c r="Z70" i="77"/>
  <c r="X70" i="77"/>
  <c r="N70" i="77"/>
  <c r="L70" i="77"/>
  <c r="B70" i="77"/>
  <c r="X69" i="77"/>
  <c r="Z69" i="77" s="1"/>
  <c r="N69" i="77"/>
  <c r="L69" i="77"/>
  <c r="B69" i="77"/>
  <c r="X68" i="77"/>
  <c r="Z68" i="77" s="1"/>
  <c r="L68" i="77"/>
  <c r="N68" i="77" s="1"/>
  <c r="B68" i="77"/>
  <c r="Z67" i="77"/>
  <c r="X67" i="77"/>
  <c r="N67" i="77"/>
  <c r="L67" i="77"/>
  <c r="B67" i="77"/>
  <c r="X66" i="77"/>
  <c r="Z66" i="77" s="1"/>
  <c r="L66" i="77"/>
  <c r="N66" i="77" s="1"/>
  <c r="B66" i="77"/>
  <c r="X65" i="77"/>
  <c r="Z65" i="77" s="1"/>
  <c r="L65" i="77"/>
  <c r="N65" i="77" s="1"/>
  <c r="B65" i="77"/>
  <c r="X64" i="77"/>
  <c r="Z64" i="77" s="1"/>
  <c r="L64" i="77"/>
  <c r="N64" i="77" s="1"/>
  <c r="B64" i="77"/>
  <c r="Z63" i="77"/>
  <c r="X63" i="77"/>
  <c r="N63" i="77"/>
  <c r="L63" i="77"/>
  <c r="B63" i="77"/>
  <c r="Z62" i="77"/>
  <c r="X62" i="77"/>
  <c r="T62" i="77"/>
  <c r="P62" i="77"/>
  <c r="H62" i="77"/>
  <c r="D62" i="77"/>
  <c r="L62" i="77" s="1"/>
  <c r="N62" i="77" s="1"/>
  <c r="B62" i="77"/>
  <c r="T61" i="77"/>
  <c r="P61" i="77"/>
  <c r="X61" i="77" s="1"/>
  <c r="Z61" i="77" s="1"/>
  <c r="H61" i="77"/>
  <c r="D61" i="77"/>
  <c r="L61" i="77" s="1"/>
  <c r="N61" i="77" s="1"/>
  <c r="Z57" i="77"/>
  <c r="X57" i="77"/>
  <c r="N57" i="77"/>
  <c r="L57" i="77"/>
  <c r="B57" i="77"/>
  <c r="X56" i="77"/>
  <c r="Z56" i="77" s="1"/>
  <c r="N56" i="77"/>
  <c r="L56" i="77"/>
  <c r="B56" i="77"/>
  <c r="Z55" i="77"/>
  <c r="X55" i="77"/>
  <c r="L55" i="77"/>
  <c r="N55" i="77" s="1"/>
  <c r="B55" i="77"/>
  <c r="X54" i="77"/>
  <c r="Z54" i="77" s="1"/>
  <c r="N54" i="77"/>
  <c r="L54" i="77"/>
  <c r="B54" i="77"/>
  <c r="X53" i="77"/>
  <c r="Z53" i="77" s="1"/>
  <c r="N53" i="77"/>
  <c r="L53" i="77"/>
  <c r="B53" i="77"/>
  <c r="Z52" i="77"/>
  <c r="X52" i="77"/>
  <c r="N52" i="77"/>
  <c r="L52" i="77"/>
  <c r="B52" i="77"/>
  <c r="Z51" i="77"/>
  <c r="X51" i="77"/>
  <c r="N51" i="77"/>
  <c r="L51" i="77"/>
  <c r="B51" i="77"/>
  <c r="X50" i="77"/>
  <c r="Z50" i="77" s="1"/>
  <c r="N50" i="77"/>
  <c r="L50" i="77"/>
  <c r="B50" i="77"/>
  <c r="X49" i="77"/>
  <c r="Z49" i="77" s="1"/>
  <c r="N49" i="77"/>
  <c r="L49" i="77"/>
  <c r="B49" i="77"/>
  <c r="X48" i="77"/>
  <c r="Z48" i="77" s="1"/>
  <c r="N48" i="77"/>
  <c r="L48" i="77"/>
  <c r="B48" i="77"/>
  <c r="Z47" i="77"/>
  <c r="X47" i="77"/>
  <c r="N47" i="77"/>
  <c r="L47" i="77"/>
  <c r="B47" i="77"/>
  <c r="X46" i="77"/>
  <c r="Z46" i="77" s="1"/>
  <c r="L46" i="77"/>
  <c r="N46" i="77" s="1"/>
  <c r="B46" i="77"/>
  <c r="Z45" i="77"/>
  <c r="X45" i="77"/>
  <c r="N45" i="77"/>
  <c r="L45" i="77"/>
  <c r="B45" i="77"/>
  <c r="X44" i="77"/>
  <c r="Z44" i="77" s="1"/>
  <c r="N44" i="77"/>
  <c r="L44" i="77"/>
  <c r="B44" i="77"/>
  <c r="Z43" i="77"/>
  <c r="X43" i="77"/>
  <c r="N43" i="77"/>
  <c r="L43" i="77"/>
  <c r="B43" i="77"/>
  <c r="X42" i="77"/>
  <c r="Z42" i="77" s="1"/>
  <c r="N42" i="77"/>
  <c r="L42" i="77"/>
  <c r="B42" i="77"/>
  <c r="Z41" i="77"/>
  <c r="X41" i="77"/>
  <c r="N41" i="77"/>
  <c r="L41" i="77"/>
  <c r="B41" i="77"/>
  <c r="X40" i="77"/>
  <c r="T40" i="77"/>
  <c r="P40" i="77"/>
  <c r="H40" i="77"/>
  <c r="D40" i="77"/>
  <c r="X38" i="77"/>
  <c r="T38" i="77"/>
  <c r="P38" i="77"/>
  <c r="N38" i="77"/>
  <c r="L38" i="77"/>
  <c r="H38" i="77"/>
  <c r="D38" i="77"/>
  <c r="B38" i="77"/>
  <c r="T37" i="77"/>
  <c r="P37" i="77"/>
  <c r="X37" i="77" s="1"/>
  <c r="Z37" i="77" s="1"/>
  <c r="L37" i="77"/>
  <c r="H37" i="77"/>
  <c r="N37" i="77" s="1"/>
  <c r="D37" i="77"/>
  <c r="B37" i="77"/>
  <c r="T36" i="77"/>
  <c r="P36" i="77"/>
  <c r="X36" i="77" s="1"/>
  <c r="H36" i="77"/>
  <c r="N36" i="77" s="1"/>
  <c r="D36" i="77"/>
  <c r="L36" i="77" s="1"/>
  <c r="B36" i="77"/>
  <c r="X35" i="77"/>
  <c r="Z35" i="77" s="1"/>
  <c r="T35" i="77"/>
  <c r="P35" i="77"/>
  <c r="H35" i="77"/>
  <c r="N35" i="77" s="1"/>
  <c r="D35" i="77"/>
  <c r="B35" i="77"/>
  <c r="T34" i="77"/>
  <c r="P34" i="77"/>
  <c r="X34" i="77" s="1"/>
  <c r="N34" i="77"/>
  <c r="L34" i="77"/>
  <c r="H34" i="77"/>
  <c r="D34" i="77"/>
  <c r="B34" i="77"/>
  <c r="T33" i="77"/>
  <c r="P33" i="77"/>
  <c r="X33" i="77" s="1"/>
  <c r="Z33" i="77" s="1"/>
  <c r="N33" i="77"/>
  <c r="H33" i="77"/>
  <c r="D33" i="77"/>
  <c r="L33" i="77" s="1"/>
  <c r="B33" i="77"/>
  <c r="T32" i="77"/>
  <c r="Z32" i="77" s="1"/>
  <c r="P32" i="77"/>
  <c r="X32" i="77" s="1"/>
  <c r="H32" i="77"/>
  <c r="N32" i="77" s="1"/>
  <c r="D32" i="77"/>
  <c r="L32" i="77" s="1"/>
  <c r="B32" i="77"/>
  <c r="Z31" i="77"/>
  <c r="X31" i="77"/>
  <c r="T31" i="77"/>
  <c r="P31" i="77"/>
  <c r="H31" i="77"/>
  <c r="N31" i="77" s="1"/>
  <c r="D31" i="77"/>
  <c r="B31" i="77"/>
  <c r="T30" i="77"/>
  <c r="Z30" i="77" s="1"/>
  <c r="P30" i="77"/>
  <c r="X30" i="77" s="1"/>
  <c r="N30" i="77"/>
  <c r="L30" i="77"/>
  <c r="H30" i="77"/>
  <c r="D30" i="77"/>
  <c r="B30" i="77"/>
  <c r="T29" i="77"/>
  <c r="P29" i="77"/>
  <c r="X29" i="77" s="1"/>
  <c r="Z29" i="77" s="1"/>
  <c r="N29" i="77"/>
  <c r="H29" i="77"/>
  <c r="L29" i="77" s="1"/>
  <c r="D29" i="77"/>
  <c r="B29" i="77"/>
  <c r="T28" i="77"/>
  <c r="Z28" i="77" s="1"/>
  <c r="P28" i="77"/>
  <c r="X28" i="77" s="1"/>
  <c r="H28" i="77"/>
  <c r="N28" i="77" s="1"/>
  <c r="D28" i="77"/>
  <c r="L28" i="77" s="1"/>
  <c r="B28" i="77"/>
  <c r="T27" i="77"/>
  <c r="P27" i="77"/>
  <c r="H27" i="77"/>
  <c r="N27" i="77" s="1"/>
  <c r="D27" i="77"/>
  <c r="B27" i="77"/>
  <c r="T26" i="77"/>
  <c r="Z26" i="77" s="1"/>
  <c r="P26" i="77"/>
  <c r="X26" i="77" s="1"/>
  <c r="N26" i="77"/>
  <c r="L26" i="77"/>
  <c r="H26" i="77"/>
  <c r="D26" i="77"/>
  <c r="B26" i="77"/>
  <c r="T25" i="77"/>
  <c r="P25" i="77"/>
  <c r="X25" i="77" s="1"/>
  <c r="Z25" i="77" s="1"/>
  <c r="H25" i="77"/>
  <c r="N25" i="77" s="1"/>
  <c r="D25" i="77"/>
  <c r="B25" i="77"/>
  <c r="T24" i="77"/>
  <c r="Z24" i="77" s="1"/>
  <c r="P24" i="77"/>
  <c r="X24" i="77" s="1"/>
  <c r="H24" i="77"/>
  <c r="N24" i="77" s="1"/>
  <c r="D24" i="77"/>
  <c r="L24" i="77" s="1"/>
  <c r="B24" i="77"/>
  <c r="X23" i="77"/>
  <c r="Z23" i="77" s="1"/>
  <c r="T23" i="77"/>
  <c r="P23" i="77"/>
  <c r="H23" i="77"/>
  <c r="N23" i="77" s="1"/>
  <c r="D23" i="77"/>
  <c r="B23" i="77"/>
  <c r="X22" i="77"/>
  <c r="T22" i="77"/>
  <c r="P22" i="77"/>
  <c r="N22" i="77"/>
  <c r="L22" i="77"/>
  <c r="H22" i="77"/>
  <c r="D22" i="77"/>
  <c r="B22" i="77"/>
  <c r="T21" i="77"/>
  <c r="P21" i="77"/>
  <c r="X21" i="77" s="1"/>
  <c r="Z21" i="77" s="1"/>
  <c r="L21" i="77"/>
  <c r="H21" i="77"/>
  <c r="N21" i="77" s="1"/>
  <c r="D21" i="77"/>
  <c r="B21" i="77"/>
  <c r="T20" i="77"/>
  <c r="P20" i="77"/>
  <c r="X20" i="77" s="1"/>
  <c r="H20" i="77"/>
  <c r="N20" i="77" s="1"/>
  <c r="D20" i="77"/>
  <c r="L20" i="77" s="1"/>
  <c r="B20" i="77"/>
  <c r="Z19" i="77"/>
  <c r="X19" i="77"/>
  <c r="T19" i="77"/>
  <c r="P19" i="77"/>
  <c r="H19" i="77"/>
  <c r="D19" i="77"/>
  <c r="B19" i="77"/>
  <c r="T18" i="77"/>
  <c r="P18" i="77"/>
  <c r="X18" i="77" s="1"/>
  <c r="N18" i="77"/>
  <c r="L18" i="77"/>
  <c r="H18" i="77"/>
  <c r="D18" i="77"/>
  <c r="B18" i="77"/>
  <c r="Z17" i="77"/>
  <c r="T17" i="77"/>
  <c r="P17" i="77"/>
  <c r="X17" i="77" s="1"/>
  <c r="H17" i="77"/>
  <c r="N17" i="77" s="1"/>
  <c r="D17" i="77"/>
  <c r="L17" i="77" s="1"/>
  <c r="B17" i="77"/>
  <c r="T16" i="77"/>
  <c r="P16" i="77"/>
  <c r="X16" i="77" s="1"/>
  <c r="H16" i="77"/>
  <c r="N16" i="77" s="1"/>
  <c r="D16" i="77"/>
  <c r="L16" i="77" s="1"/>
  <c r="B16" i="77"/>
  <c r="Z15" i="77"/>
  <c r="X15" i="77"/>
  <c r="T15" i="77"/>
  <c r="P15" i="77"/>
  <c r="H15" i="77"/>
  <c r="D15" i="77"/>
  <c r="B15" i="77"/>
  <c r="T14" i="77"/>
  <c r="P14" i="77"/>
  <c r="X14" i="77" s="1"/>
  <c r="N14" i="77"/>
  <c r="L14" i="77"/>
  <c r="H14" i="77"/>
  <c r="D14" i="77"/>
  <c r="B14" i="77"/>
  <c r="Z13" i="77"/>
  <c r="T13" i="77"/>
  <c r="P13" i="77"/>
  <c r="X13" i="77" s="1"/>
  <c r="H13" i="77"/>
  <c r="D13" i="77"/>
  <c r="B13" i="77"/>
  <c r="P12" i="77"/>
  <c r="D6" i="77"/>
  <c r="D4" i="77"/>
  <c r="X84" i="76"/>
  <c r="Z84" i="76" s="1"/>
  <c r="L84" i="76"/>
  <c r="N84" i="76" s="1"/>
  <c r="T80" i="76"/>
  <c r="Z80" i="76" s="1"/>
  <c r="P80" i="76"/>
  <c r="X80" i="76" s="1"/>
  <c r="J80" i="76"/>
  <c r="H80" i="76"/>
  <c r="D80" i="76"/>
  <c r="X78" i="76"/>
  <c r="Z78" i="76" s="1"/>
  <c r="N78" i="76"/>
  <c r="L78" i="76"/>
  <c r="B78" i="76"/>
  <c r="T77" i="76"/>
  <c r="R77" i="76"/>
  <c r="P77" i="76"/>
  <c r="X77" i="76" s="1"/>
  <c r="Z77" i="76" s="1"/>
  <c r="L77" i="76"/>
  <c r="N77" i="76" s="1"/>
  <c r="H77" i="76"/>
  <c r="D77" i="76"/>
  <c r="B77" i="76"/>
  <c r="X76" i="76"/>
  <c r="Z76" i="76" s="1"/>
  <c r="N76" i="76"/>
  <c r="L76" i="76"/>
  <c r="J76" i="76"/>
  <c r="B76" i="76"/>
  <c r="X75" i="76"/>
  <c r="Z75" i="76" s="1"/>
  <c r="T75" i="76"/>
  <c r="P75" i="76"/>
  <c r="H75" i="76"/>
  <c r="F75" i="76"/>
  <c r="D75" i="76"/>
  <c r="B75" i="76"/>
  <c r="X74" i="76"/>
  <c r="Z74" i="76" s="1"/>
  <c r="L74" i="76"/>
  <c r="N74" i="76" s="1"/>
  <c r="B74" i="76"/>
  <c r="T73" i="76"/>
  <c r="P73" i="76"/>
  <c r="J73" i="76"/>
  <c r="H73" i="76"/>
  <c r="D73" i="76"/>
  <c r="B73" i="76"/>
  <c r="X72" i="76"/>
  <c r="Z72" i="76" s="1"/>
  <c r="N72" i="76"/>
  <c r="L72" i="76"/>
  <c r="B72" i="76"/>
  <c r="Z71" i="76"/>
  <c r="X71" i="76"/>
  <c r="N71" i="76"/>
  <c r="L71" i="76"/>
  <c r="B71" i="76"/>
  <c r="X70" i="76"/>
  <c r="Z70" i="76" s="1"/>
  <c r="R70" i="76"/>
  <c r="N70" i="76"/>
  <c r="L70" i="76"/>
  <c r="B70" i="76"/>
  <c r="Z69" i="76"/>
  <c r="X69" i="76"/>
  <c r="N69" i="76"/>
  <c r="L69" i="76"/>
  <c r="B69" i="76"/>
  <c r="X68" i="76"/>
  <c r="Z68" i="76" s="1"/>
  <c r="V68" i="76"/>
  <c r="N68" i="76"/>
  <c r="L68" i="76"/>
  <c r="B68" i="76"/>
  <c r="T67" i="76"/>
  <c r="P67" i="76"/>
  <c r="X67" i="76" s="1"/>
  <c r="Z67" i="76" s="1"/>
  <c r="N67" i="76"/>
  <c r="H67" i="76"/>
  <c r="D67" i="76"/>
  <c r="L67" i="76" s="1"/>
  <c r="B67" i="76"/>
  <c r="Z66" i="76"/>
  <c r="X66" i="76"/>
  <c r="N66" i="76"/>
  <c r="L66" i="76"/>
  <c r="B66" i="76"/>
  <c r="Z65" i="76"/>
  <c r="X65" i="76"/>
  <c r="T65" i="76"/>
  <c r="P65" i="76"/>
  <c r="N65" i="76"/>
  <c r="L65" i="76"/>
  <c r="H65" i="76"/>
  <c r="D65" i="76"/>
  <c r="B65" i="76"/>
  <c r="Z64" i="76"/>
  <c r="X64" i="76"/>
  <c r="N64" i="76"/>
  <c r="L64" i="76"/>
  <c r="B64" i="76"/>
  <c r="Z63" i="76"/>
  <c r="X63" i="76"/>
  <c r="N63" i="76"/>
  <c r="L63" i="76"/>
  <c r="J63" i="76"/>
  <c r="B63" i="76"/>
  <c r="Z62" i="76"/>
  <c r="X62" i="76"/>
  <c r="N62" i="76"/>
  <c r="L62" i="76"/>
  <c r="B62" i="76"/>
  <c r="Z61" i="76"/>
  <c r="T61" i="76"/>
  <c r="R61" i="76"/>
  <c r="P61" i="76"/>
  <c r="X61" i="76" s="1"/>
  <c r="H61" i="76"/>
  <c r="D61" i="76"/>
  <c r="L61" i="76" s="1"/>
  <c r="B61" i="76"/>
  <c r="X60" i="76"/>
  <c r="Z60" i="76" s="1"/>
  <c r="N60" i="76"/>
  <c r="L60" i="76"/>
  <c r="F60" i="76"/>
  <c r="B60" i="76"/>
  <c r="Z59" i="76"/>
  <c r="X59" i="76"/>
  <c r="N59" i="76"/>
  <c r="L59" i="76"/>
  <c r="B59" i="76"/>
  <c r="X58" i="76"/>
  <c r="Z58" i="76" s="1"/>
  <c r="N58" i="76"/>
  <c r="L58" i="76"/>
  <c r="B58" i="76"/>
  <c r="T57" i="76"/>
  <c r="P57" i="76"/>
  <c r="X57" i="76" s="1"/>
  <c r="Z57" i="76" s="1"/>
  <c r="N57" i="76"/>
  <c r="L57" i="76"/>
  <c r="J57" i="76"/>
  <c r="H57" i="76"/>
  <c r="F57" i="76"/>
  <c r="D57" i="76"/>
  <c r="B57" i="76"/>
  <c r="X56" i="76"/>
  <c r="Z56" i="76" s="1"/>
  <c r="N56" i="76"/>
  <c r="L56" i="76"/>
  <c r="B56" i="76"/>
  <c r="Z55" i="76"/>
  <c r="X55" i="76"/>
  <c r="T55" i="76"/>
  <c r="P55" i="76"/>
  <c r="H55" i="76"/>
  <c r="L55" i="76" s="1"/>
  <c r="N55" i="76" s="1"/>
  <c r="D55" i="76"/>
  <c r="B55" i="76"/>
  <c r="Z54" i="76"/>
  <c r="X54" i="76"/>
  <c r="L54" i="76"/>
  <c r="N54" i="76" s="1"/>
  <c r="B54" i="76"/>
  <c r="T53" i="76"/>
  <c r="X53" i="76" s="1"/>
  <c r="P53" i="76"/>
  <c r="J53" i="76"/>
  <c r="H53" i="76"/>
  <c r="D53" i="76"/>
  <c r="L53" i="76" s="1"/>
  <c r="B53" i="76"/>
  <c r="X52" i="76"/>
  <c r="Z52" i="76" s="1"/>
  <c r="N52" i="76"/>
  <c r="L52" i="76"/>
  <c r="B52" i="76"/>
  <c r="X51" i="76"/>
  <c r="Z51" i="76" s="1"/>
  <c r="T51" i="76"/>
  <c r="P51" i="76"/>
  <c r="N51" i="76"/>
  <c r="H51" i="76"/>
  <c r="D51" i="76"/>
  <c r="L51" i="76" s="1"/>
  <c r="B51" i="76"/>
  <c r="X50" i="76"/>
  <c r="Z50" i="76" s="1"/>
  <c r="L50" i="76"/>
  <c r="N50" i="76" s="1"/>
  <c r="B50" i="76"/>
  <c r="T49" i="76"/>
  <c r="P49" i="76"/>
  <c r="L49" i="76"/>
  <c r="N49" i="76" s="1"/>
  <c r="H49" i="76"/>
  <c r="D49" i="76"/>
  <c r="B49" i="76"/>
  <c r="Z48" i="76"/>
  <c r="X48" i="76"/>
  <c r="N48" i="76"/>
  <c r="L48" i="76"/>
  <c r="B48" i="76"/>
  <c r="T47" i="76"/>
  <c r="P47" i="76"/>
  <c r="H47" i="76"/>
  <c r="N47" i="76" s="1"/>
  <c r="D47" i="76"/>
  <c r="B47" i="76"/>
  <c r="X46" i="76"/>
  <c r="Z46" i="76" s="1"/>
  <c r="N46" i="76"/>
  <c r="L46" i="76"/>
  <c r="B46" i="76"/>
  <c r="Z45" i="76"/>
  <c r="X45" i="76"/>
  <c r="L45" i="76"/>
  <c r="N45" i="76" s="1"/>
  <c r="B45" i="76"/>
  <c r="V44" i="76"/>
  <c r="T44" i="76"/>
  <c r="P44" i="76"/>
  <c r="H44" i="76"/>
  <c r="D44" i="76"/>
  <c r="L44" i="76" s="1"/>
  <c r="B44" i="76"/>
  <c r="Z43" i="76"/>
  <c r="X43" i="76"/>
  <c r="N43" i="76"/>
  <c r="L43" i="76"/>
  <c r="B43" i="76"/>
  <c r="T42" i="76"/>
  <c r="P42" i="76"/>
  <c r="X42" i="76" s="1"/>
  <c r="Z42" i="76" s="1"/>
  <c r="H42" i="76"/>
  <c r="N42" i="76" s="1"/>
  <c r="D42" i="76"/>
  <c r="B42" i="76"/>
  <c r="Z41" i="76"/>
  <c r="X41" i="76"/>
  <c r="N41" i="76"/>
  <c r="L41" i="76"/>
  <c r="B41" i="76"/>
  <c r="T40" i="76"/>
  <c r="X40" i="76" s="1"/>
  <c r="Z40" i="76" s="1"/>
  <c r="P40" i="76"/>
  <c r="N40" i="76"/>
  <c r="H40" i="76"/>
  <c r="D40" i="76"/>
  <c r="L40" i="76" s="1"/>
  <c r="B40" i="76"/>
  <c r="Z39" i="76"/>
  <c r="X39" i="76"/>
  <c r="N39" i="76"/>
  <c r="L39" i="76"/>
  <c r="B39" i="76"/>
  <c r="T38" i="76"/>
  <c r="P38" i="76"/>
  <c r="X38" i="76" s="1"/>
  <c r="N38" i="76"/>
  <c r="L38" i="76"/>
  <c r="J38" i="76"/>
  <c r="H38" i="76"/>
  <c r="F38" i="76"/>
  <c r="D38" i="76"/>
  <c r="B38" i="76"/>
  <c r="Z37" i="76"/>
  <c r="X37" i="76"/>
  <c r="N37" i="76"/>
  <c r="L37" i="76"/>
  <c r="J37" i="76"/>
  <c r="F37" i="76"/>
  <c r="B37" i="76"/>
  <c r="Z36" i="76"/>
  <c r="X36" i="76"/>
  <c r="N36" i="76"/>
  <c r="L36" i="76"/>
  <c r="B36" i="76"/>
  <c r="Z35" i="76"/>
  <c r="X35" i="76"/>
  <c r="N35" i="76"/>
  <c r="L35" i="76"/>
  <c r="B35" i="76"/>
  <c r="X34" i="76"/>
  <c r="Z34" i="76" s="1"/>
  <c r="R34" i="76"/>
  <c r="N34" i="76"/>
  <c r="L34" i="76"/>
  <c r="B34" i="76"/>
  <c r="Z33" i="76"/>
  <c r="X33" i="76"/>
  <c r="N33" i="76"/>
  <c r="L33" i="76"/>
  <c r="J33" i="76"/>
  <c r="F33" i="76"/>
  <c r="B33" i="76"/>
  <c r="Z32" i="76"/>
  <c r="T32" i="76"/>
  <c r="P32" i="76"/>
  <c r="X32" i="76" s="1"/>
  <c r="H32" i="76"/>
  <c r="D32" i="76"/>
  <c r="B32" i="76"/>
  <c r="Z31" i="76"/>
  <c r="X31" i="76"/>
  <c r="N31" i="76"/>
  <c r="L31" i="76"/>
  <c r="B31" i="76"/>
  <c r="Z30" i="76"/>
  <c r="X30" i="76"/>
  <c r="N30" i="76"/>
  <c r="L30" i="76"/>
  <c r="B30" i="76"/>
  <c r="Z29" i="76"/>
  <c r="X29" i="76"/>
  <c r="R29" i="76"/>
  <c r="L29" i="76"/>
  <c r="N29" i="76" s="1"/>
  <c r="B29" i="76"/>
  <c r="X28" i="76"/>
  <c r="Z28" i="76" s="1"/>
  <c r="L28" i="76"/>
  <c r="N28" i="76" s="1"/>
  <c r="J28" i="76"/>
  <c r="B28" i="76"/>
  <c r="Z27" i="76"/>
  <c r="X27" i="76"/>
  <c r="N27" i="76"/>
  <c r="L27" i="76"/>
  <c r="B27" i="76"/>
  <c r="Z26" i="76"/>
  <c r="X26" i="76"/>
  <c r="N26" i="76"/>
  <c r="L26" i="76"/>
  <c r="B26" i="76"/>
  <c r="Z25" i="76"/>
  <c r="X25" i="76"/>
  <c r="L25" i="76"/>
  <c r="N25" i="76" s="1"/>
  <c r="B25" i="76"/>
  <c r="X24" i="76"/>
  <c r="Z24" i="76" s="1"/>
  <c r="L24" i="76"/>
  <c r="N24" i="76" s="1"/>
  <c r="J24" i="76"/>
  <c r="B24" i="76"/>
  <c r="Z23" i="76"/>
  <c r="X23" i="76"/>
  <c r="T23" i="76"/>
  <c r="P23" i="76"/>
  <c r="J23" i="76"/>
  <c r="H23" i="76"/>
  <c r="D23" i="76"/>
  <c r="L23" i="76" s="1"/>
  <c r="B23" i="76"/>
  <c r="T22" i="76"/>
  <c r="P22" i="76"/>
  <c r="J22" i="76"/>
  <c r="H22" i="76"/>
  <c r="F22" i="76"/>
  <c r="D22" i="76"/>
  <c r="L22" i="76" s="1"/>
  <c r="N22" i="76" s="1"/>
  <c r="Z18" i="76"/>
  <c r="X18" i="76"/>
  <c r="R18" i="76"/>
  <c r="L18" i="76"/>
  <c r="N18" i="76" s="1"/>
  <c r="F18" i="76"/>
  <c r="B18" i="76"/>
  <c r="X17" i="76"/>
  <c r="Z17" i="76" s="1"/>
  <c r="N17" i="76"/>
  <c r="L17" i="76"/>
  <c r="J17" i="76"/>
  <c r="B17" i="76"/>
  <c r="X16" i="76"/>
  <c r="Z16" i="76" s="1"/>
  <c r="V16" i="76"/>
  <c r="T16" i="76"/>
  <c r="R16" i="76"/>
  <c r="P16" i="76"/>
  <c r="H16" i="76"/>
  <c r="D16" i="76"/>
  <c r="X14" i="76"/>
  <c r="T14" i="76"/>
  <c r="P14" i="76"/>
  <c r="N14" i="76"/>
  <c r="L14" i="76"/>
  <c r="H14" i="76"/>
  <c r="H12" i="76" s="1"/>
  <c r="D14" i="76"/>
  <c r="B14" i="76"/>
  <c r="T13" i="76"/>
  <c r="T12" i="76" s="1"/>
  <c r="V55" i="76" s="1"/>
  <c r="P13" i="76"/>
  <c r="N13" i="76"/>
  <c r="L13" i="76"/>
  <c r="H13" i="76"/>
  <c r="D13" i="76"/>
  <c r="B13" i="76"/>
  <c r="P12" i="76"/>
  <c r="R63" i="76" s="1"/>
  <c r="D12" i="76"/>
  <c r="D6" i="76"/>
  <c r="D4" i="76"/>
  <c r="Z29" i="75"/>
  <c r="X29" i="75"/>
  <c r="L29" i="75"/>
  <c r="N29" i="75" s="1"/>
  <c r="X25" i="75"/>
  <c r="T25" i="75"/>
  <c r="Z25" i="75" s="1"/>
  <c r="P25" i="75"/>
  <c r="H25" i="75"/>
  <c r="N25" i="75" s="1"/>
  <c r="D25" i="75"/>
  <c r="L25" i="75" s="1"/>
  <c r="X23" i="75"/>
  <c r="T23" i="75"/>
  <c r="Z23" i="75" s="1"/>
  <c r="P23" i="75"/>
  <c r="H23" i="75"/>
  <c r="N23" i="75" s="1"/>
  <c r="D23" i="75"/>
  <c r="L23" i="75" s="1"/>
  <c r="X19" i="75"/>
  <c r="Z19" i="75" s="1"/>
  <c r="N19" i="75"/>
  <c r="L19" i="75"/>
  <c r="B19" i="75"/>
  <c r="Z18" i="75"/>
  <c r="X18" i="75"/>
  <c r="N18" i="75"/>
  <c r="L18" i="75"/>
  <c r="B18" i="75"/>
  <c r="T17" i="75"/>
  <c r="P17" i="75"/>
  <c r="X17" i="75" s="1"/>
  <c r="L17" i="75"/>
  <c r="H17" i="75"/>
  <c r="D17" i="75"/>
  <c r="T15" i="75"/>
  <c r="P15" i="75"/>
  <c r="X15" i="75" s="1"/>
  <c r="Z15" i="75" s="1"/>
  <c r="H15" i="75"/>
  <c r="D15" i="75"/>
  <c r="L15" i="75" s="1"/>
  <c r="N15" i="75" s="1"/>
  <c r="B15" i="75"/>
  <c r="X14" i="75"/>
  <c r="T14" i="75"/>
  <c r="P14" i="75"/>
  <c r="P12" i="75" s="1"/>
  <c r="H14" i="75"/>
  <c r="D14" i="75"/>
  <c r="B14" i="75"/>
  <c r="X13" i="75"/>
  <c r="T13" i="75"/>
  <c r="P13" i="75"/>
  <c r="N13" i="75"/>
  <c r="L13" i="75"/>
  <c r="H13" i="75"/>
  <c r="H12" i="75" s="1"/>
  <c r="J17" i="75" s="1"/>
  <c r="D13" i="75"/>
  <c r="B13" i="75"/>
  <c r="D12" i="75"/>
  <c r="D6" i="75"/>
  <c r="D4" i="75"/>
  <c r="Z76" i="74"/>
  <c r="X76" i="74"/>
  <c r="N76" i="74"/>
  <c r="L76" i="74"/>
  <c r="J76" i="74"/>
  <c r="X72" i="74"/>
  <c r="T72" i="74"/>
  <c r="Z72" i="74" s="1"/>
  <c r="P72" i="74"/>
  <c r="N72" i="74"/>
  <c r="H72" i="74"/>
  <c r="D72" i="74"/>
  <c r="L72" i="74" s="1"/>
  <c r="X70" i="74"/>
  <c r="Z70" i="74" s="1"/>
  <c r="N70" i="74"/>
  <c r="L70" i="74"/>
  <c r="J70" i="74"/>
  <c r="B70" i="74"/>
  <c r="X69" i="74"/>
  <c r="Z69" i="74" s="1"/>
  <c r="T69" i="74"/>
  <c r="R69" i="74"/>
  <c r="P69" i="74"/>
  <c r="H69" i="74"/>
  <c r="D69" i="74"/>
  <c r="B69" i="74"/>
  <c r="Z68" i="74"/>
  <c r="X68" i="74"/>
  <c r="N68" i="74"/>
  <c r="L68" i="74"/>
  <c r="B68" i="74"/>
  <c r="T67" i="74"/>
  <c r="R67" i="74"/>
  <c r="P67" i="74"/>
  <c r="N67" i="74"/>
  <c r="H67" i="74"/>
  <c r="D67" i="74"/>
  <c r="L67" i="74" s="1"/>
  <c r="B67" i="74"/>
  <c r="Z66" i="74"/>
  <c r="X66" i="74"/>
  <c r="R66" i="74"/>
  <c r="L66" i="74"/>
  <c r="N66" i="74" s="1"/>
  <c r="B66" i="74"/>
  <c r="X65" i="74"/>
  <c r="T65" i="74"/>
  <c r="P65" i="74"/>
  <c r="N65" i="74"/>
  <c r="J65" i="74"/>
  <c r="H65" i="74"/>
  <c r="D65" i="74"/>
  <c r="L65" i="74" s="1"/>
  <c r="B65" i="74"/>
  <c r="Z64" i="74"/>
  <c r="X64" i="74"/>
  <c r="N64" i="74"/>
  <c r="L64" i="74"/>
  <c r="B64" i="74"/>
  <c r="Z63" i="74"/>
  <c r="X63" i="74"/>
  <c r="L63" i="74"/>
  <c r="N63" i="74" s="1"/>
  <c r="B63" i="74"/>
  <c r="X62" i="74"/>
  <c r="Z62" i="74" s="1"/>
  <c r="N62" i="74"/>
  <c r="L62" i="74"/>
  <c r="J62" i="74"/>
  <c r="B62" i="74"/>
  <c r="X61" i="74"/>
  <c r="Z61" i="74" s="1"/>
  <c r="N61" i="74"/>
  <c r="L61" i="74"/>
  <c r="B61" i="74"/>
  <c r="Z60" i="74"/>
  <c r="X60" i="74"/>
  <c r="N60" i="74"/>
  <c r="L60" i="74"/>
  <c r="B60" i="74"/>
  <c r="Z59" i="74"/>
  <c r="X59" i="74"/>
  <c r="N59" i="74"/>
  <c r="L59" i="74"/>
  <c r="B59" i="74"/>
  <c r="X58" i="74"/>
  <c r="Z58" i="74" s="1"/>
  <c r="N58" i="74"/>
  <c r="L58" i="74"/>
  <c r="J58" i="74"/>
  <c r="B58" i="74"/>
  <c r="X57" i="74"/>
  <c r="Z57" i="74" s="1"/>
  <c r="T57" i="74"/>
  <c r="P57" i="74"/>
  <c r="H57" i="74"/>
  <c r="D57" i="74"/>
  <c r="B57" i="74"/>
  <c r="X56" i="74"/>
  <c r="Z56" i="74" s="1"/>
  <c r="R56" i="74"/>
  <c r="N56" i="74"/>
  <c r="L56" i="74"/>
  <c r="B56" i="74"/>
  <c r="X55" i="74"/>
  <c r="Z55" i="74" s="1"/>
  <c r="N55" i="74"/>
  <c r="L55" i="74"/>
  <c r="J55" i="74"/>
  <c r="B55" i="74"/>
  <c r="Z54" i="74"/>
  <c r="X54" i="74"/>
  <c r="N54" i="74"/>
  <c r="L54" i="74"/>
  <c r="J54" i="74"/>
  <c r="B54" i="74"/>
  <c r="T53" i="74"/>
  <c r="P53" i="74"/>
  <c r="X53" i="74" s="1"/>
  <c r="Z53" i="74" s="1"/>
  <c r="H53" i="74"/>
  <c r="D53" i="74"/>
  <c r="B53" i="74"/>
  <c r="Z52" i="74"/>
  <c r="X52" i="74"/>
  <c r="N52" i="74"/>
  <c r="L52" i="74"/>
  <c r="B52" i="74"/>
  <c r="Z51" i="74"/>
  <c r="X51" i="74"/>
  <c r="N51" i="74"/>
  <c r="L51" i="74"/>
  <c r="B51" i="74"/>
  <c r="T50" i="74"/>
  <c r="P50" i="74"/>
  <c r="N50" i="74"/>
  <c r="L50" i="74"/>
  <c r="H50" i="74"/>
  <c r="D50" i="74"/>
  <c r="B50" i="74"/>
  <c r="X49" i="74"/>
  <c r="Z49" i="74" s="1"/>
  <c r="V49" i="74"/>
  <c r="N49" i="74"/>
  <c r="L49" i="74"/>
  <c r="B49" i="74"/>
  <c r="Z48" i="74"/>
  <c r="T48" i="74"/>
  <c r="P48" i="74"/>
  <c r="X48" i="74" s="1"/>
  <c r="L48" i="74"/>
  <c r="H48" i="74"/>
  <c r="D48" i="74"/>
  <c r="B48" i="74"/>
  <c r="X47" i="74"/>
  <c r="Z47" i="74" s="1"/>
  <c r="R47" i="74"/>
  <c r="N47" i="74"/>
  <c r="L47" i="74"/>
  <c r="J47" i="74"/>
  <c r="B47" i="74"/>
  <c r="T46" i="74"/>
  <c r="P46" i="74"/>
  <c r="X46" i="74" s="1"/>
  <c r="H46" i="74"/>
  <c r="D46" i="74"/>
  <c r="B46" i="74"/>
  <c r="X45" i="74"/>
  <c r="Z45" i="74" s="1"/>
  <c r="L45" i="74"/>
  <c r="N45" i="74" s="1"/>
  <c r="J45" i="74"/>
  <c r="B45" i="74"/>
  <c r="Z44" i="74"/>
  <c r="X44" i="74"/>
  <c r="T44" i="74"/>
  <c r="P44" i="74"/>
  <c r="J44" i="74"/>
  <c r="H44" i="74"/>
  <c r="D44" i="74"/>
  <c r="L44" i="74" s="1"/>
  <c r="B44" i="74"/>
  <c r="Z43" i="74"/>
  <c r="X43" i="74"/>
  <c r="N43" i="74"/>
  <c r="L43" i="74"/>
  <c r="B43" i="74"/>
  <c r="X42" i="74"/>
  <c r="T42" i="74"/>
  <c r="Z42" i="74" s="1"/>
  <c r="P42" i="74"/>
  <c r="N42" i="74"/>
  <c r="H42" i="74"/>
  <c r="D42" i="74"/>
  <c r="L42" i="74" s="1"/>
  <c r="B42" i="74"/>
  <c r="Z41" i="74"/>
  <c r="X41" i="74"/>
  <c r="N41" i="74"/>
  <c r="L41" i="74"/>
  <c r="B41" i="74"/>
  <c r="T40" i="74"/>
  <c r="P40" i="74"/>
  <c r="J40" i="74"/>
  <c r="H40" i="74"/>
  <c r="N40" i="74" s="1"/>
  <c r="D40" i="74"/>
  <c r="L40" i="74" s="1"/>
  <c r="B40" i="74"/>
  <c r="Z39" i="74"/>
  <c r="X39" i="74"/>
  <c r="N39" i="74"/>
  <c r="L39" i="74"/>
  <c r="B39" i="74"/>
  <c r="T38" i="74"/>
  <c r="P38" i="74"/>
  <c r="N38" i="74"/>
  <c r="L38" i="74"/>
  <c r="H38" i="74"/>
  <c r="D38" i="74"/>
  <c r="B38" i="74"/>
  <c r="X37" i="74"/>
  <c r="Z37" i="74" s="1"/>
  <c r="N37" i="74"/>
  <c r="L37" i="74"/>
  <c r="B37" i="74"/>
  <c r="Z36" i="74"/>
  <c r="X36" i="74"/>
  <c r="N36" i="74"/>
  <c r="L36" i="74"/>
  <c r="B36" i="74"/>
  <c r="Z35" i="74"/>
  <c r="X35" i="74"/>
  <c r="R35" i="74"/>
  <c r="N35" i="74"/>
  <c r="L35" i="74"/>
  <c r="B35" i="74"/>
  <c r="X34" i="74"/>
  <c r="Z34" i="74" s="1"/>
  <c r="N34" i="74"/>
  <c r="L34" i="74"/>
  <c r="J34" i="74"/>
  <c r="B34" i="74"/>
  <c r="X33" i="74"/>
  <c r="Z33" i="74" s="1"/>
  <c r="N33" i="74"/>
  <c r="L33" i="74"/>
  <c r="B33" i="74"/>
  <c r="Z32" i="74"/>
  <c r="T32" i="74"/>
  <c r="P32" i="74"/>
  <c r="X32" i="74" s="1"/>
  <c r="L32" i="74"/>
  <c r="H32" i="74"/>
  <c r="N32" i="74" s="1"/>
  <c r="D32" i="74"/>
  <c r="B32" i="74"/>
  <c r="X31" i="74"/>
  <c r="Z31" i="74" s="1"/>
  <c r="R31" i="74"/>
  <c r="N31" i="74"/>
  <c r="L31" i="74"/>
  <c r="J31" i="74"/>
  <c r="B31" i="74"/>
  <c r="Z30" i="74"/>
  <c r="X30" i="74"/>
  <c r="N30" i="74"/>
  <c r="L30" i="74"/>
  <c r="J30" i="74"/>
  <c r="B30" i="74"/>
  <c r="Z29" i="74"/>
  <c r="X29" i="74"/>
  <c r="L29" i="74"/>
  <c r="N29" i="74" s="1"/>
  <c r="B29" i="74"/>
  <c r="Z28" i="74"/>
  <c r="X28" i="74"/>
  <c r="N28" i="74"/>
  <c r="L28" i="74"/>
  <c r="B28" i="74"/>
  <c r="X27" i="74"/>
  <c r="Z27" i="74" s="1"/>
  <c r="R27" i="74"/>
  <c r="N27" i="74"/>
  <c r="L27" i="74"/>
  <c r="J27" i="74"/>
  <c r="B27" i="74"/>
  <c r="Z26" i="74"/>
  <c r="X26" i="74"/>
  <c r="N26" i="74"/>
  <c r="L26" i="74"/>
  <c r="J26" i="74"/>
  <c r="B26" i="74"/>
  <c r="Z25" i="74"/>
  <c r="X25" i="74"/>
  <c r="L25" i="74"/>
  <c r="N25" i="74" s="1"/>
  <c r="B25" i="74"/>
  <c r="Z24" i="74"/>
  <c r="X24" i="74"/>
  <c r="N24" i="74"/>
  <c r="L24" i="74"/>
  <c r="B24" i="74"/>
  <c r="T23" i="74"/>
  <c r="R23" i="74"/>
  <c r="P23" i="74"/>
  <c r="N23" i="74"/>
  <c r="H23" i="74"/>
  <c r="D23" i="74"/>
  <c r="L23" i="74" s="1"/>
  <c r="B23" i="74"/>
  <c r="T22" i="74"/>
  <c r="P22" i="74"/>
  <c r="H22" i="74"/>
  <c r="D22" i="74"/>
  <c r="Z18" i="74"/>
  <c r="X18" i="74"/>
  <c r="L18" i="74"/>
  <c r="N18" i="74" s="1"/>
  <c r="B18" i="74"/>
  <c r="X17" i="74"/>
  <c r="Z17" i="74" s="1"/>
  <c r="L17" i="74"/>
  <c r="N17" i="74" s="1"/>
  <c r="J17" i="74"/>
  <c r="B17" i="74"/>
  <c r="Z16" i="74"/>
  <c r="X16" i="74"/>
  <c r="T16" i="74"/>
  <c r="P16" i="74"/>
  <c r="J16" i="74"/>
  <c r="H16" i="74"/>
  <c r="D16" i="74"/>
  <c r="L16" i="74" s="1"/>
  <c r="Z14" i="74"/>
  <c r="X14" i="74"/>
  <c r="T14" i="74"/>
  <c r="P14" i="74"/>
  <c r="N14" i="74"/>
  <c r="L14" i="74"/>
  <c r="H14" i="74"/>
  <c r="D14" i="74"/>
  <c r="B14" i="74"/>
  <c r="T13" i="74"/>
  <c r="T12" i="74" s="1"/>
  <c r="V50" i="74" s="1"/>
  <c r="P13" i="74"/>
  <c r="X13" i="74" s="1"/>
  <c r="N13" i="74"/>
  <c r="H13" i="74"/>
  <c r="D13" i="74"/>
  <c r="B13" i="74"/>
  <c r="P12" i="74"/>
  <c r="R57" i="74" s="1"/>
  <c r="H12" i="74"/>
  <c r="J67" i="74" s="1"/>
  <c r="D6" i="74"/>
  <c r="D4" i="74"/>
  <c r="Z73" i="73"/>
  <c r="X73" i="73"/>
  <c r="N73" i="73"/>
  <c r="L73" i="73"/>
  <c r="J71" i="73"/>
  <c r="Z69" i="73"/>
  <c r="T69" i="73"/>
  <c r="P69" i="73"/>
  <c r="X69" i="73" s="1"/>
  <c r="H69" i="73"/>
  <c r="N69" i="73" s="1"/>
  <c r="D69" i="73"/>
  <c r="Z67" i="73"/>
  <c r="X67" i="73"/>
  <c r="N67" i="73"/>
  <c r="L67" i="73"/>
  <c r="B67" i="73"/>
  <c r="Z66" i="73"/>
  <c r="T66" i="73"/>
  <c r="P66" i="73"/>
  <c r="X66" i="73" s="1"/>
  <c r="H66" i="73"/>
  <c r="N66" i="73" s="1"/>
  <c r="D66" i="73"/>
  <c r="L66" i="73" s="1"/>
  <c r="B66" i="73"/>
  <c r="X65" i="73"/>
  <c r="Z65" i="73" s="1"/>
  <c r="L65" i="73"/>
  <c r="N65" i="73" s="1"/>
  <c r="J65" i="73"/>
  <c r="B65" i="73"/>
  <c r="X64" i="73"/>
  <c r="Z64" i="73" s="1"/>
  <c r="T64" i="73"/>
  <c r="P64" i="73"/>
  <c r="H64" i="73"/>
  <c r="D64" i="73"/>
  <c r="B64" i="73"/>
  <c r="Z63" i="73"/>
  <c r="X63" i="73"/>
  <c r="R63" i="73"/>
  <c r="N63" i="73"/>
  <c r="L63" i="73"/>
  <c r="B63" i="73"/>
  <c r="Z62" i="73"/>
  <c r="X62" i="73"/>
  <c r="N62" i="73"/>
  <c r="L62" i="73"/>
  <c r="B62" i="73"/>
  <c r="X61" i="73"/>
  <c r="Z61" i="73" s="1"/>
  <c r="V61" i="73"/>
  <c r="N61" i="73"/>
  <c r="L61" i="73"/>
  <c r="B61" i="73"/>
  <c r="Z60" i="73"/>
  <c r="X60" i="73"/>
  <c r="N60" i="73"/>
  <c r="L60" i="73"/>
  <c r="B60" i="73"/>
  <c r="Z59" i="73"/>
  <c r="X59" i="73"/>
  <c r="R59" i="73"/>
  <c r="N59" i="73"/>
  <c r="L59" i="73"/>
  <c r="B59" i="73"/>
  <c r="T58" i="73"/>
  <c r="P58" i="73"/>
  <c r="H58" i="73"/>
  <c r="D58" i="73"/>
  <c r="L58" i="73" s="1"/>
  <c r="N58" i="73" s="1"/>
  <c r="B58" i="73"/>
  <c r="Z57" i="73"/>
  <c r="X57" i="73"/>
  <c r="N57" i="73"/>
  <c r="L57" i="73"/>
  <c r="B57" i="73"/>
  <c r="X56" i="73"/>
  <c r="Z56" i="73" s="1"/>
  <c r="L56" i="73"/>
  <c r="N56" i="73" s="1"/>
  <c r="J56" i="73"/>
  <c r="B56" i="73"/>
  <c r="Z55" i="73"/>
  <c r="X55" i="73"/>
  <c r="N55" i="73"/>
  <c r="L55" i="73"/>
  <c r="B55" i="73"/>
  <c r="T54" i="73"/>
  <c r="P54" i="73"/>
  <c r="X54" i="73" s="1"/>
  <c r="Z54" i="73" s="1"/>
  <c r="H54" i="73"/>
  <c r="D54" i="73"/>
  <c r="L54" i="73" s="1"/>
  <c r="B54" i="73"/>
  <c r="X53" i="73"/>
  <c r="Z53" i="73" s="1"/>
  <c r="N53" i="73"/>
  <c r="L53" i="73"/>
  <c r="B53" i="73"/>
  <c r="X52" i="73"/>
  <c r="Z52" i="73" s="1"/>
  <c r="T52" i="73"/>
  <c r="P52" i="73"/>
  <c r="H52" i="73"/>
  <c r="N52" i="73" s="1"/>
  <c r="D52" i="73"/>
  <c r="L52" i="73" s="1"/>
  <c r="B52" i="73"/>
  <c r="Z51" i="73"/>
  <c r="X51" i="73"/>
  <c r="N51" i="73"/>
  <c r="L51" i="73"/>
  <c r="B51" i="73"/>
  <c r="Z50" i="73"/>
  <c r="X50" i="73"/>
  <c r="R50" i="73"/>
  <c r="N50" i="73"/>
  <c r="L50" i="73"/>
  <c r="J50" i="73"/>
  <c r="B50" i="73"/>
  <c r="X49" i="73"/>
  <c r="Z49" i="73" s="1"/>
  <c r="N49" i="73"/>
  <c r="L49" i="73"/>
  <c r="B49" i="73"/>
  <c r="T48" i="73"/>
  <c r="P48" i="73"/>
  <c r="X48" i="73" s="1"/>
  <c r="Z48" i="73" s="1"/>
  <c r="H48" i="73"/>
  <c r="D48" i="73"/>
  <c r="B48" i="73"/>
  <c r="Z47" i="73"/>
  <c r="X47" i="73"/>
  <c r="N47" i="73"/>
  <c r="L47" i="73"/>
  <c r="B47" i="73"/>
  <c r="V46" i="73"/>
  <c r="T46" i="73"/>
  <c r="P46" i="73"/>
  <c r="X46" i="73" s="1"/>
  <c r="Z46" i="73" s="1"/>
  <c r="L46" i="73"/>
  <c r="H46" i="73"/>
  <c r="N46" i="73" s="1"/>
  <c r="D46" i="73"/>
  <c r="B46" i="73"/>
  <c r="X45" i="73"/>
  <c r="Z45" i="73" s="1"/>
  <c r="N45" i="73"/>
  <c r="L45" i="73"/>
  <c r="B45" i="73"/>
  <c r="X44" i="73"/>
  <c r="Z44" i="73" s="1"/>
  <c r="V44" i="73"/>
  <c r="T44" i="73"/>
  <c r="R44" i="73"/>
  <c r="P44" i="73"/>
  <c r="H44" i="73"/>
  <c r="D44" i="73"/>
  <c r="L44" i="73" s="1"/>
  <c r="B44" i="73"/>
  <c r="X43" i="73"/>
  <c r="Z43" i="73" s="1"/>
  <c r="R43" i="73"/>
  <c r="N43" i="73"/>
  <c r="L43" i="73"/>
  <c r="B43" i="73"/>
  <c r="T42" i="73"/>
  <c r="R42" i="73"/>
  <c r="P42" i="73"/>
  <c r="N42" i="73"/>
  <c r="H42" i="73"/>
  <c r="D42" i="73"/>
  <c r="L42" i="73" s="1"/>
  <c r="B42" i="73"/>
  <c r="Z41" i="73"/>
  <c r="X41" i="73"/>
  <c r="R41" i="73"/>
  <c r="N41" i="73"/>
  <c r="L41" i="73"/>
  <c r="B41" i="73"/>
  <c r="X40" i="73"/>
  <c r="T40" i="73"/>
  <c r="P40" i="73"/>
  <c r="N40" i="73"/>
  <c r="H40" i="73"/>
  <c r="D40" i="73"/>
  <c r="L40" i="73" s="1"/>
  <c r="B40" i="73"/>
  <c r="Z39" i="73"/>
  <c r="X39" i="73"/>
  <c r="N39" i="73"/>
  <c r="L39" i="73"/>
  <c r="B39" i="73"/>
  <c r="T38" i="73"/>
  <c r="P38" i="73"/>
  <c r="N38" i="73"/>
  <c r="L38" i="73"/>
  <c r="J38" i="73"/>
  <c r="H38" i="73"/>
  <c r="D38" i="73"/>
  <c r="B38" i="73"/>
  <c r="X37" i="73"/>
  <c r="Z37" i="73" s="1"/>
  <c r="N37" i="73"/>
  <c r="L37" i="73"/>
  <c r="J37" i="73"/>
  <c r="B37" i="73"/>
  <c r="Z36" i="73"/>
  <c r="X36" i="73"/>
  <c r="N36" i="73"/>
  <c r="L36" i="73"/>
  <c r="B36" i="73"/>
  <c r="Z35" i="73"/>
  <c r="X35" i="73"/>
  <c r="N35" i="73"/>
  <c r="L35" i="73"/>
  <c r="B35" i="73"/>
  <c r="X34" i="73"/>
  <c r="Z34" i="73" s="1"/>
  <c r="R34" i="73"/>
  <c r="N34" i="73"/>
  <c r="L34" i="73"/>
  <c r="J34" i="73"/>
  <c r="B34" i="73"/>
  <c r="X33" i="73"/>
  <c r="Z33" i="73" s="1"/>
  <c r="N33" i="73"/>
  <c r="L33" i="73"/>
  <c r="J33" i="73"/>
  <c r="B33" i="73"/>
  <c r="T32" i="73"/>
  <c r="P32" i="73"/>
  <c r="X32" i="73" s="1"/>
  <c r="Z32" i="73" s="1"/>
  <c r="H32" i="73"/>
  <c r="F32" i="73"/>
  <c r="D32" i="73"/>
  <c r="B32" i="73"/>
  <c r="Z31" i="73"/>
  <c r="X31" i="73"/>
  <c r="N31" i="73"/>
  <c r="L31" i="73"/>
  <c r="B31" i="73"/>
  <c r="Z30" i="73"/>
  <c r="X30" i="73"/>
  <c r="V30" i="73"/>
  <c r="N30" i="73"/>
  <c r="L30" i="73"/>
  <c r="B30" i="73"/>
  <c r="Z29" i="73"/>
  <c r="X29" i="73"/>
  <c r="N29" i="73"/>
  <c r="L29" i="73"/>
  <c r="B29" i="73"/>
  <c r="X28" i="73"/>
  <c r="Z28" i="73" s="1"/>
  <c r="N28" i="73"/>
  <c r="L28" i="73"/>
  <c r="J28" i="73"/>
  <c r="B28" i="73"/>
  <c r="Z27" i="73"/>
  <c r="X27" i="73"/>
  <c r="N27" i="73"/>
  <c r="L27" i="73"/>
  <c r="B27" i="73"/>
  <c r="Z26" i="73"/>
  <c r="X26" i="73"/>
  <c r="V26" i="73"/>
  <c r="N26" i="73"/>
  <c r="L26" i="73"/>
  <c r="F26" i="73"/>
  <c r="B26" i="73"/>
  <c r="X25" i="73"/>
  <c r="Z25" i="73" s="1"/>
  <c r="R25" i="73"/>
  <c r="N25" i="73"/>
  <c r="L25" i="73"/>
  <c r="B25" i="73"/>
  <c r="X24" i="73"/>
  <c r="Z24" i="73" s="1"/>
  <c r="N24" i="73"/>
  <c r="L24" i="73"/>
  <c r="J24" i="73"/>
  <c r="B24" i="73"/>
  <c r="T23" i="73"/>
  <c r="P23" i="73"/>
  <c r="X23" i="73" s="1"/>
  <c r="Z23" i="73" s="1"/>
  <c r="J23" i="73"/>
  <c r="H23" i="73"/>
  <c r="N23" i="73" s="1"/>
  <c r="D23" i="73"/>
  <c r="L23" i="73" s="1"/>
  <c r="B23" i="73"/>
  <c r="T22" i="73"/>
  <c r="P22" i="73"/>
  <c r="X22" i="73" s="1"/>
  <c r="J22" i="73"/>
  <c r="H22" i="73"/>
  <c r="D22" i="73"/>
  <c r="L22" i="73" s="1"/>
  <c r="F20" i="73"/>
  <c r="Z18" i="73"/>
  <c r="X18" i="73"/>
  <c r="R18" i="73"/>
  <c r="L18" i="73"/>
  <c r="N18" i="73" s="1"/>
  <c r="B18" i="73"/>
  <c r="X17" i="73"/>
  <c r="Z17" i="73" s="1"/>
  <c r="N17" i="73"/>
  <c r="L17" i="73"/>
  <c r="J17" i="73"/>
  <c r="B17" i="73"/>
  <c r="X16" i="73"/>
  <c r="T16" i="73"/>
  <c r="R16" i="73"/>
  <c r="P16" i="73"/>
  <c r="H16" i="73"/>
  <c r="D16" i="73"/>
  <c r="X14" i="73"/>
  <c r="T14" i="73"/>
  <c r="P14" i="73"/>
  <c r="N14" i="73"/>
  <c r="L14" i="73"/>
  <c r="H14" i="73"/>
  <c r="D14" i="73"/>
  <c r="B14" i="73"/>
  <c r="T13" i="73"/>
  <c r="T12" i="73" s="1"/>
  <c r="P13" i="73"/>
  <c r="N13" i="73"/>
  <c r="L13" i="73"/>
  <c r="H13" i="73"/>
  <c r="H12" i="73" s="1"/>
  <c r="J69" i="73" s="1"/>
  <c r="D13" i="73"/>
  <c r="B13" i="73"/>
  <c r="P12" i="73"/>
  <c r="R52" i="73" s="1"/>
  <c r="D12" i="73"/>
  <c r="F48" i="73" s="1"/>
  <c r="D6" i="73"/>
  <c r="D4" i="73"/>
  <c r="Z67" i="72"/>
  <c r="X67" i="72"/>
  <c r="L67" i="72"/>
  <c r="N67" i="72" s="1"/>
  <c r="X63" i="72"/>
  <c r="T63" i="72"/>
  <c r="P63" i="72"/>
  <c r="H63" i="72"/>
  <c r="D63" i="72"/>
  <c r="L63" i="72" s="1"/>
  <c r="B63" i="72"/>
  <c r="X62" i="72"/>
  <c r="T62" i="72"/>
  <c r="P62" i="72"/>
  <c r="H62" i="72"/>
  <c r="N62" i="72" s="1"/>
  <c r="D62" i="72"/>
  <c r="L62" i="72" s="1"/>
  <c r="B62" i="72"/>
  <c r="T61" i="72"/>
  <c r="X61" i="72" s="1"/>
  <c r="Z61" i="72" s="1"/>
  <c r="P61" i="72"/>
  <c r="H61" i="72"/>
  <c r="D61" i="72"/>
  <c r="L61" i="72" s="1"/>
  <c r="B61" i="72"/>
  <c r="X60" i="72"/>
  <c r="T60" i="72"/>
  <c r="P60" i="72"/>
  <c r="N60" i="72"/>
  <c r="H60" i="72"/>
  <c r="D60" i="72"/>
  <c r="L60" i="72" s="1"/>
  <c r="B60" i="72"/>
  <c r="T59" i="72"/>
  <c r="P59" i="72"/>
  <c r="H59" i="72"/>
  <c r="D59" i="72"/>
  <c r="B59" i="72"/>
  <c r="Z56" i="72"/>
  <c r="X56" i="72"/>
  <c r="N56" i="72"/>
  <c r="L56" i="72"/>
  <c r="B56" i="72"/>
  <c r="Z55" i="72"/>
  <c r="T55" i="72"/>
  <c r="X55" i="72" s="1"/>
  <c r="P55" i="72"/>
  <c r="H55" i="72"/>
  <c r="D55" i="72"/>
  <c r="L55" i="72" s="1"/>
  <c r="B55" i="72"/>
  <c r="X54" i="72"/>
  <c r="Z54" i="72" s="1"/>
  <c r="L54" i="72"/>
  <c r="N54" i="72" s="1"/>
  <c r="B54" i="72"/>
  <c r="X53" i="72"/>
  <c r="Z53" i="72" s="1"/>
  <c r="N53" i="72"/>
  <c r="L53" i="72"/>
  <c r="B53" i="72"/>
  <c r="T52" i="72"/>
  <c r="P52" i="72"/>
  <c r="X52" i="72" s="1"/>
  <c r="Z52" i="72" s="1"/>
  <c r="L52" i="72"/>
  <c r="N52" i="72" s="1"/>
  <c r="H52" i="72"/>
  <c r="D52" i="72"/>
  <c r="B52" i="72"/>
  <c r="X51" i="72"/>
  <c r="Z51" i="72" s="1"/>
  <c r="N51" i="72"/>
  <c r="L51" i="72"/>
  <c r="B51" i="72"/>
  <c r="T50" i="72"/>
  <c r="P50" i="72"/>
  <c r="L50" i="72"/>
  <c r="H50" i="72"/>
  <c r="N50" i="72" s="1"/>
  <c r="D50" i="72"/>
  <c r="B50" i="72"/>
  <c r="X49" i="72"/>
  <c r="Z49" i="72" s="1"/>
  <c r="N49" i="72"/>
  <c r="L49" i="72"/>
  <c r="B49" i="72"/>
  <c r="T48" i="72"/>
  <c r="P48" i="72"/>
  <c r="X48" i="72" s="1"/>
  <c r="Z48" i="72" s="1"/>
  <c r="H48" i="72"/>
  <c r="N48" i="72" s="1"/>
  <c r="D48" i="72"/>
  <c r="B48" i="72"/>
  <c r="Z47" i="72"/>
  <c r="X47" i="72"/>
  <c r="L47" i="72"/>
  <c r="N47" i="72" s="1"/>
  <c r="B47" i="72"/>
  <c r="X46" i="72"/>
  <c r="Z46" i="72" s="1"/>
  <c r="L46" i="72"/>
  <c r="N46" i="72" s="1"/>
  <c r="B46" i="72"/>
  <c r="X45" i="72"/>
  <c r="T45" i="72"/>
  <c r="Z45" i="72" s="1"/>
  <c r="P45" i="72"/>
  <c r="H45" i="72"/>
  <c r="D45" i="72"/>
  <c r="B45" i="72"/>
  <c r="X44" i="72"/>
  <c r="Z44" i="72" s="1"/>
  <c r="N44" i="72"/>
  <c r="L44" i="72"/>
  <c r="B44" i="72"/>
  <c r="T43" i="72"/>
  <c r="P43" i="72"/>
  <c r="N43" i="72"/>
  <c r="H43" i="72"/>
  <c r="D43" i="72"/>
  <c r="L43" i="72" s="1"/>
  <c r="B43" i="72"/>
  <c r="Z42" i="72"/>
  <c r="X42" i="72"/>
  <c r="V42" i="72"/>
  <c r="N42" i="72"/>
  <c r="L42" i="72"/>
  <c r="B42" i="72"/>
  <c r="T41" i="72"/>
  <c r="Z41" i="72" s="1"/>
  <c r="P41" i="72"/>
  <c r="X41" i="72" s="1"/>
  <c r="N41" i="72"/>
  <c r="H41" i="72"/>
  <c r="L41" i="72" s="1"/>
  <c r="D41" i="72"/>
  <c r="B41" i="72"/>
  <c r="Z40" i="72"/>
  <c r="X40" i="72"/>
  <c r="N40" i="72"/>
  <c r="L40" i="72"/>
  <c r="B40" i="72"/>
  <c r="Z39" i="72"/>
  <c r="X39" i="72"/>
  <c r="N39" i="72"/>
  <c r="L39" i="72"/>
  <c r="B39" i="72"/>
  <c r="X38" i="72"/>
  <c r="Z38" i="72" s="1"/>
  <c r="N38" i="72"/>
  <c r="L38" i="72"/>
  <c r="B38" i="72"/>
  <c r="X37" i="72"/>
  <c r="Z37" i="72" s="1"/>
  <c r="N37" i="72"/>
  <c r="L37" i="72"/>
  <c r="B37" i="72"/>
  <c r="Z36" i="72"/>
  <c r="X36" i="72"/>
  <c r="N36" i="72"/>
  <c r="L36" i="72"/>
  <c r="B36" i="72"/>
  <c r="T35" i="72"/>
  <c r="P35" i="72"/>
  <c r="H35" i="72"/>
  <c r="N35" i="72" s="1"/>
  <c r="D35" i="72"/>
  <c r="L35" i="72" s="1"/>
  <c r="B35" i="72"/>
  <c r="X34" i="72"/>
  <c r="Z34" i="72" s="1"/>
  <c r="N34" i="72"/>
  <c r="L34" i="72"/>
  <c r="B34" i="72"/>
  <c r="Z33" i="72"/>
  <c r="X33" i="72"/>
  <c r="N33" i="72"/>
  <c r="L33" i="72"/>
  <c r="B33" i="72"/>
  <c r="X32" i="72"/>
  <c r="Z32" i="72" s="1"/>
  <c r="N32" i="72"/>
  <c r="L32" i="72"/>
  <c r="B32" i="72"/>
  <c r="X31" i="72"/>
  <c r="Z31" i="72" s="1"/>
  <c r="N31" i="72"/>
  <c r="L31" i="72"/>
  <c r="B31" i="72"/>
  <c r="X30" i="72"/>
  <c r="Z30" i="72" s="1"/>
  <c r="N30" i="72"/>
  <c r="L30" i="72"/>
  <c r="B30" i="72"/>
  <c r="X29" i="72"/>
  <c r="Z29" i="72" s="1"/>
  <c r="N29" i="72"/>
  <c r="L29" i="72"/>
  <c r="B29" i="72"/>
  <c r="Z28" i="72"/>
  <c r="X28" i="72"/>
  <c r="N28" i="72"/>
  <c r="L28" i="72"/>
  <c r="B28" i="72"/>
  <c r="T27" i="72"/>
  <c r="P27" i="72"/>
  <c r="N27" i="72"/>
  <c r="H27" i="72"/>
  <c r="D27" i="72"/>
  <c r="L27" i="72" s="1"/>
  <c r="B27" i="72"/>
  <c r="T26" i="72"/>
  <c r="P26" i="72"/>
  <c r="H26" i="72"/>
  <c r="D26" i="72"/>
  <c r="X22" i="72"/>
  <c r="Z22" i="72" s="1"/>
  <c r="N22" i="72"/>
  <c r="L22" i="72"/>
  <c r="B22" i="72"/>
  <c r="X21" i="72"/>
  <c r="Z21" i="72" s="1"/>
  <c r="L21" i="72"/>
  <c r="N21" i="72" s="1"/>
  <c r="B21" i="72"/>
  <c r="Z20" i="72"/>
  <c r="X20" i="72"/>
  <c r="N20" i="72"/>
  <c r="L20" i="72"/>
  <c r="B20" i="72"/>
  <c r="Z19" i="72"/>
  <c r="X19" i="72"/>
  <c r="N19" i="72"/>
  <c r="L19" i="72"/>
  <c r="B19" i="72"/>
  <c r="X18" i="72"/>
  <c r="Z18" i="72" s="1"/>
  <c r="L18" i="72"/>
  <c r="N18" i="72" s="1"/>
  <c r="B18" i="72"/>
  <c r="X17" i="72"/>
  <c r="Z17" i="72" s="1"/>
  <c r="T17" i="72"/>
  <c r="P17" i="72"/>
  <c r="H17" i="72"/>
  <c r="D17" i="72"/>
  <c r="L17" i="72" s="1"/>
  <c r="N17" i="72" s="1"/>
  <c r="T15" i="72"/>
  <c r="P15" i="72"/>
  <c r="L15" i="72"/>
  <c r="H15" i="72"/>
  <c r="D15" i="72"/>
  <c r="B15" i="72"/>
  <c r="T14" i="72"/>
  <c r="P14" i="72"/>
  <c r="X14" i="72" s="1"/>
  <c r="Z14" i="72" s="1"/>
  <c r="N14" i="72"/>
  <c r="L14" i="72"/>
  <c r="H14" i="72"/>
  <c r="D14" i="72"/>
  <c r="B14" i="72"/>
  <c r="T13" i="72"/>
  <c r="T12" i="72" s="1"/>
  <c r="P13" i="72"/>
  <c r="H13" i="72"/>
  <c r="D13" i="72"/>
  <c r="B13" i="72"/>
  <c r="D6" i="72"/>
  <c r="D4" i="72"/>
  <c r="Z116" i="71"/>
  <c r="X116" i="71"/>
  <c r="L116" i="71"/>
  <c r="N116" i="71" s="1"/>
  <c r="T112" i="71"/>
  <c r="P112" i="71"/>
  <c r="H112" i="71"/>
  <c r="D112" i="71"/>
  <c r="L112" i="71" s="1"/>
  <c r="B112" i="71"/>
  <c r="X111" i="71"/>
  <c r="T111" i="71"/>
  <c r="P111" i="71"/>
  <c r="N111" i="71"/>
  <c r="H111" i="71"/>
  <c r="D111" i="71"/>
  <c r="L111" i="71" s="1"/>
  <c r="B111" i="71"/>
  <c r="Z110" i="71"/>
  <c r="X110" i="71"/>
  <c r="T110" i="71"/>
  <c r="P110" i="71"/>
  <c r="N110" i="71"/>
  <c r="H110" i="71"/>
  <c r="D110" i="71"/>
  <c r="L110" i="71" s="1"/>
  <c r="B110" i="71"/>
  <c r="X109" i="71"/>
  <c r="Z109" i="71" s="1"/>
  <c r="T109" i="71"/>
  <c r="P109" i="71"/>
  <c r="H109" i="71"/>
  <c r="H108" i="71" s="1"/>
  <c r="D109" i="71"/>
  <c r="B109" i="71"/>
  <c r="P108" i="71"/>
  <c r="D108" i="71"/>
  <c r="L108" i="71" s="1"/>
  <c r="Z106" i="71"/>
  <c r="X106" i="71"/>
  <c r="N106" i="71"/>
  <c r="L106" i="71"/>
  <c r="B106" i="71"/>
  <c r="T105" i="71"/>
  <c r="P105" i="71"/>
  <c r="N105" i="71"/>
  <c r="H105" i="71"/>
  <c r="D105" i="71"/>
  <c r="L105" i="71" s="1"/>
  <c r="B105" i="71"/>
  <c r="X104" i="71"/>
  <c r="Z104" i="71" s="1"/>
  <c r="N104" i="71"/>
  <c r="L104" i="71"/>
  <c r="B104" i="71"/>
  <c r="X103" i="71"/>
  <c r="T103" i="71"/>
  <c r="P103" i="71"/>
  <c r="N103" i="71"/>
  <c r="L103" i="71"/>
  <c r="H103" i="71"/>
  <c r="D103" i="71"/>
  <c r="B103" i="71"/>
  <c r="Z102" i="71"/>
  <c r="X102" i="71"/>
  <c r="N102" i="71"/>
  <c r="L102" i="71"/>
  <c r="B102" i="71"/>
  <c r="Z101" i="71"/>
  <c r="T101" i="71"/>
  <c r="P101" i="71"/>
  <c r="X101" i="71" s="1"/>
  <c r="L101" i="71"/>
  <c r="N101" i="71" s="1"/>
  <c r="H101" i="71"/>
  <c r="D101" i="71"/>
  <c r="B101" i="71"/>
  <c r="Z100" i="71"/>
  <c r="X100" i="71"/>
  <c r="N100" i="71"/>
  <c r="L100" i="71"/>
  <c r="B100" i="71"/>
  <c r="Z99" i="71"/>
  <c r="X99" i="71"/>
  <c r="N99" i="71"/>
  <c r="L99" i="71"/>
  <c r="B99" i="71"/>
  <c r="X98" i="71"/>
  <c r="Z98" i="71" s="1"/>
  <c r="N98" i="71"/>
  <c r="L98" i="71"/>
  <c r="B98" i="71"/>
  <c r="Z97" i="71"/>
  <c r="X97" i="71"/>
  <c r="N97" i="71"/>
  <c r="L97" i="71"/>
  <c r="B97" i="71"/>
  <c r="Z96" i="71"/>
  <c r="X96" i="71"/>
  <c r="N96" i="71"/>
  <c r="L96" i="71"/>
  <c r="B96" i="71"/>
  <c r="T95" i="71"/>
  <c r="P95" i="71"/>
  <c r="X95" i="71" s="1"/>
  <c r="Z95" i="71" s="1"/>
  <c r="H95" i="71"/>
  <c r="N95" i="71" s="1"/>
  <c r="D95" i="71"/>
  <c r="B95" i="71"/>
  <c r="Z94" i="71"/>
  <c r="X94" i="71"/>
  <c r="N94" i="71"/>
  <c r="L94" i="71"/>
  <c r="B94" i="71"/>
  <c r="Z93" i="71"/>
  <c r="X93" i="71"/>
  <c r="N93" i="71"/>
  <c r="L93" i="71"/>
  <c r="B93" i="71"/>
  <c r="X92" i="71"/>
  <c r="T92" i="71"/>
  <c r="P92" i="71"/>
  <c r="N92" i="71"/>
  <c r="L92" i="71"/>
  <c r="H92" i="71"/>
  <c r="D92" i="71"/>
  <c r="B92" i="71"/>
  <c r="Z91" i="71"/>
  <c r="X91" i="71"/>
  <c r="N91" i="71"/>
  <c r="L91" i="71"/>
  <c r="B91" i="71"/>
  <c r="Z90" i="71"/>
  <c r="X90" i="71"/>
  <c r="N90" i="71"/>
  <c r="L90" i="71"/>
  <c r="B90" i="71"/>
  <c r="T89" i="71"/>
  <c r="P89" i="71"/>
  <c r="H89" i="71"/>
  <c r="N89" i="71" s="1"/>
  <c r="D89" i="71"/>
  <c r="B89" i="71"/>
  <c r="Z88" i="71"/>
  <c r="X88" i="71"/>
  <c r="N88" i="71"/>
  <c r="L88" i="71"/>
  <c r="B88" i="71"/>
  <c r="Z87" i="71"/>
  <c r="T87" i="71"/>
  <c r="P87" i="71"/>
  <c r="X87" i="71" s="1"/>
  <c r="H87" i="71"/>
  <c r="N87" i="71" s="1"/>
  <c r="D87" i="71"/>
  <c r="B87" i="71"/>
  <c r="X86" i="71"/>
  <c r="Z86" i="71" s="1"/>
  <c r="N86" i="71"/>
  <c r="L86" i="71"/>
  <c r="B86" i="71"/>
  <c r="X85" i="71"/>
  <c r="Z85" i="71" s="1"/>
  <c r="T85" i="71"/>
  <c r="P85" i="71"/>
  <c r="H85" i="71"/>
  <c r="D85" i="71"/>
  <c r="L85" i="71" s="1"/>
  <c r="B85" i="71"/>
  <c r="Z84" i="71"/>
  <c r="X84" i="71"/>
  <c r="N84" i="71"/>
  <c r="L84" i="71"/>
  <c r="B84" i="71"/>
  <c r="X83" i="71"/>
  <c r="Z83" i="71" s="1"/>
  <c r="N83" i="71"/>
  <c r="L83" i="71"/>
  <c r="B83" i="71"/>
  <c r="T82" i="71"/>
  <c r="P82" i="71"/>
  <c r="H82" i="71"/>
  <c r="L82" i="71" s="1"/>
  <c r="D82" i="71"/>
  <c r="B82" i="71"/>
  <c r="X81" i="71"/>
  <c r="Z81" i="71" s="1"/>
  <c r="L81" i="71"/>
  <c r="N81" i="71" s="1"/>
  <c r="B81" i="71"/>
  <c r="T80" i="71"/>
  <c r="P80" i="71"/>
  <c r="X80" i="71" s="1"/>
  <c r="N80" i="71"/>
  <c r="L80" i="71"/>
  <c r="H80" i="71"/>
  <c r="D80" i="71"/>
  <c r="B80" i="71"/>
  <c r="X79" i="71"/>
  <c r="Z79" i="71" s="1"/>
  <c r="L79" i="71"/>
  <c r="N79" i="71" s="1"/>
  <c r="B79" i="71"/>
  <c r="X78" i="71"/>
  <c r="T78" i="71"/>
  <c r="P78" i="71"/>
  <c r="H78" i="71"/>
  <c r="D78" i="71"/>
  <c r="B78" i="71"/>
  <c r="Z77" i="71"/>
  <c r="X77" i="71"/>
  <c r="N77" i="71"/>
  <c r="L77" i="71"/>
  <c r="B77" i="71"/>
  <c r="T76" i="71"/>
  <c r="X76" i="71" s="1"/>
  <c r="P76" i="71"/>
  <c r="N76" i="71"/>
  <c r="H76" i="71"/>
  <c r="D76" i="71"/>
  <c r="L76" i="71" s="1"/>
  <c r="B76" i="71"/>
  <c r="Z75" i="71"/>
  <c r="X75" i="71"/>
  <c r="L75" i="71"/>
  <c r="N75" i="71" s="1"/>
  <c r="B75" i="71"/>
  <c r="X74" i="71"/>
  <c r="Z74" i="71" s="1"/>
  <c r="N74" i="71"/>
  <c r="L74" i="71"/>
  <c r="B74" i="71"/>
  <c r="X73" i="71"/>
  <c r="Z73" i="71" s="1"/>
  <c r="N73" i="71"/>
  <c r="L73" i="71"/>
  <c r="B73" i="71"/>
  <c r="Z72" i="71"/>
  <c r="X72" i="71"/>
  <c r="L72" i="71"/>
  <c r="N72" i="71" s="1"/>
  <c r="B72" i="71"/>
  <c r="Z71" i="71"/>
  <c r="X71" i="71"/>
  <c r="L71" i="71"/>
  <c r="N71" i="71" s="1"/>
  <c r="B71" i="71"/>
  <c r="X70" i="71"/>
  <c r="Z70" i="71" s="1"/>
  <c r="T70" i="71"/>
  <c r="P70" i="71"/>
  <c r="H70" i="71"/>
  <c r="D70" i="71"/>
  <c r="L70" i="71" s="1"/>
  <c r="N70" i="71" s="1"/>
  <c r="B70" i="71"/>
  <c r="X69" i="71"/>
  <c r="Z69" i="71" s="1"/>
  <c r="N69" i="71"/>
  <c r="L69" i="71"/>
  <c r="B69" i="71"/>
  <c r="X68" i="71"/>
  <c r="Z68" i="71" s="1"/>
  <c r="N68" i="71"/>
  <c r="L68" i="71"/>
  <c r="B68" i="71"/>
  <c r="X67" i="71"/>
  <c r="Z67" i="71" s="1"/>
  <c r="L67" i="71"/>
  <c r="N67" i="71" s="1"/>
  <c r="B67" i="71"/>
  <c r="X66" i="71"/>
  <c r="Z66" i="71" s="1"/>
  <c r="N66" i="71"/>
  <c r="L66" i="71"/>
  <c r="B66" i="71"/>
  <c r="X65" i="71"/>
  <c r="Z65" i="71" s="1"/>
  <c r="N65" i="71"/>
  <c r="L65" i="71"/>
  <c r="B65" i="71"/>
  <c r="X64" i="71"/>
  <c r="Z64" i="71" s="1"/>
  <c r="N64" i="71"/>
  <c r="L64" i="71"/>
  <c r="B64" i="71"/>
  <c r="X63" i="71"/>
  <c r="Z63" i="71" s="1"/>
  <c r="L63" i="71"/>
  <c r="N63" i="71" s="1"/>
  <c r="B63" i="71"/>
  <c r="X62" i="71"/>
  <c r="Z62" i="71" s="1"/>
  <c r="N62" i="71"/>
  <c r="L62" i="71"/>
  <c r="B62" i="71"/>
  <c r="X61" i="71"/>
  <c r="Z61" i="71" s="1"/>
  <c r="N61" i="71"/>
  <c r="L61" i="71"/>
  <c r="B61" i="71"/>
  <c r="T60" i="71"/>
  <c r="X60" i="71" s="1"/>
  <c r="P60" i="71"/>
  <c r="L60" i="71"/>
  <c r="H60" i="71"/>
  <c r="D60" i="71"/>
  <c r="B60" i="71"/>
  <c r="X59" i="71"/>
  <c r="Z59" i="71" s="1"/>
  <c r="T59" i="71"/>
  <c r="P59" i="71"/>
  <c r="H59" i="71"/>
  <c r="D59" i="71"/>
  <c r="X55" i="71"/>
  <c r="Z55" i="71" s="1"/>
  <c r="N55" i="71"/>
  <c r="L55" i="71"/>
  <c r="B55" i="71"/>
  <c r="Z54" i="71"/>
  <c r="X54" i="71"/>
  <c r="N54" i="71"/>
  <c r="L54" i="71"/>
  <c r="B54" i="71"/>
  <c r="Z53" i="71"/>
  <c r="X53" i="71"/>
  <c r="L53" i="71"/>
  <c r="N53" i="71" s="1"/>
  <c r="B53" i="71"/>
  <c r="Z52" i="71"/>
  <c r="X52" i="71"/>
  <c r="N52" i="71"/>
  <c r="L52" i="71"/>
  <c r="B52" i="71"/>
  <c r="X51" i="71"/>
  <c r="Z51" i="71" s="1"/>
  <c r="N51" i="71"/>
  <c r="L51" i="71"/>
  <c r="B51" i="71"/>
  <c r="Z50" i="71"/>
  <c r="X50" i="71"/>
  <c r="N50" i="71"/>
  <c r="L50" i="71"/>
  <c r="B50" i="71"/>
  <c r="Z49" i="71"/>
  <c r="X49" i="71"/>
  <c r="L49" i="71"/>
  <c r="N49" i="71" s="1"/>
  <c r="B49" i="71"/>
  <c r="Z48" i="71"/>
  <c r="X48" i="71"/>
  <c r="N48" i="71"/>
  <c r="L48" i="71"/>
  <c r="B48" i="71"/>
  <c r="X47" i="71"/>
  <c r="Z47" i="71" s="1"/>
  <c r="N47" i="71"/>
  <c r="L47" i="71"/>
  <c r="B47" i="71"/>
  <c r="Z46" i="71"/>
  <c r="X46" i="71"/>
  <c r="N46" i="71"/>
  <c r="L46" i="71"/>
  <c r="B46" i="71"/>
  <c r="Z45" i="71"/>
  <c r="X45" i="71"/>
  <c r="L45" i="71"/>
  <c r="N45" i="71" s="1"/>
  <c r="B45" i="71"/>
  <c r="Z44" i="71"/>
  <c r="X44" i="71"/>
  <c r="N44" i="71"/>
  <c r="L44" i="71"/>
  <c r="B44" i="71"/>
  <c r="X43" i="71"/>
  <c r="Z43" i="71" s="1"/>
  <c r="N43" i="71"/>
  <c r="L43" i="71"/>
  <c r="B43" i="71"/>
  <c r="Z42" i="71"/>
  <c r="X42" i="71"/>
  <c r="N42" i="71"/>
  <c r="L42" i="71"/>
  <c r="B42" i="71"/>
  <c r="Z41" i="71"/>
  <c r="X41" i="71"/>
  <c r="L41" i="71"/>
  <c r="N41" i="71" s="1"/>
  <c r="B41" i="71"/>
  <c r="Z40" i="71"/>
  <c r="X40" i="71"/>
  <c r="N40" i="71"/>
  <c r="L40" i="71"/>
  <c r="B40" i="71"/>
  <c r="T39" i="71"/>
  <c r="X39" i="71" s="1"/>
  <c r="P39" i="71"/>
  <c r="H39" i="71"/>
  <c r="D39" i="71"/>
  <c r="X37" i="71"/>
  <c r="T37" i="71"/>
  <c r="P37" i="71"/>
  <c r="H37" i="71"/>
  <c r="N37" i="71" s="1"/>
  <c r="D37" i="71"/>
  <c r="B37" i="71"/>
  <c r="T36" i="71"/>
  <c r="P36" i="71"/>
  <c r="X36" i="71" s="1"/>
  <c r="Z36" i="71" s="1"/>
  <c r="H36" i="71"/>
  <c r="N36" i="71" s="1"/>
  <c r="D36" i="71"/>
  <c r="L36" i="71" s="1"/>
  <c r="B36" i="71"/>
  <c r="T35" i="71"/>
  <c r="P35" i="71"/>
  <c r="X35" i="71" s="1"/>
  <c r="Z35" i="71" s="1"/>
  <c r="H35" i="71"/>
  <c r="N35" i="71" s="1"/>
  <c r="D35" i="71"/>
  <c r="B35" i="71"/>
  <c r="T34" i="71"/>
  <c r="P34" i="71"/>
  <c r="X34" i="71" s="1"/>
  <c r="Z34" i="71" s="1"/>
  <c r="H34" i="71"/>
  <c r="N34" i="71" s="1"/>
  <c r="D34" i="71"/>
  <c r="B34" i="71"/>
  <c r="Z33" i="71"/>
  <c r="X33" i="71"/>
  <c r="T33" i="71"/>
  <c r="P33" i="71"/>
  <c r="H33" i="71"/>
  <c r="N33" i="71" s="1"/>
  <c r="D33" i="71"/>
  <c r="B33" i="71"/>
  <c r="Z32" i="71"/>
  <c r="T32" i="71"/>
  <c r="P32" i="71"/>
  <c r="X32" i="71" s="1"/>
  <c r="L32" i="71"/>
  <c r="H32" i="71"/>
  <c r="N32" i="71" s="1"/>
  <c r="D32" i="71"/>
  <c r="B32" i="71"/>
  <c r="T31" i="71"/>
  <c r="P31" i="71"/>
  <c r="X31" i="71" s="1"/>
  <c r="Z31" i="71" s="1"/>
  <c r="H31" i="71"/>
  <c r="N31" i="71" s="1"/>
  <c r="D31" i="71"/>
  <c r="L31" i="71" s="1"/>
  <c r="B31" i="71"/>
  <c r="T30" i="71"/>
  <c r="P30" i="71"/>
  <c r="X30" i="71" s="1"/>
  <c r="Z30" i="71" s="1"/>
  <c r="H30" i="71"/>
  <c r="D30" i="71"/>
  <c r="B30" i="71"/>
  <c r="T29" i="71"/>
  <c r="P29" i="71"/>
  <c r="X29" i="71" s="1"/>
  <c r="Z29" i="71" s="1"/>
  <c r="N29" i="71"/>
  <c r="H29" i="71"/>
  <c r="D29" i="71"/>
  <c r="L29" i="71" s="1"/>
  <c r="B29" i="71"/>
  <c r="Z28" i="71"/>
  <c r="T28" i="71"/>
  <c r="P28" i="71"/>
  <c r="X28" i="71" s="1"/>
  <c r="L28" i="71"/>
  <c r="H28" i="71"/>
  <c r="N28" i="71" s="1"/>
  <c r="D28" i="71"/>
  <c r="B28" i="71"/>
  <c r="Z27" i="71"/>
  <c r="T27" i="71"/>
  <c r="P27" i="71"/>
  <c r="X27" i="71" s="1"/>
  <c r="H27" i="71"/>
  <c r="N27" i="71" s="1"/>
  <c r="D27" i="71"/>
  <c r="B27" i="71"/>
  <c r="T26" i="71"/>
  <c r="P26" i="71"/>
  <c r="X26" i="71" s="1"/>
  <c r="Z26" i="71" s="1"/>
  <c r="H26" i="71"/>
  <c r="D26" i="71"/>
  <c r="L26" i="71" s="1"/>
  <c r="B26" i="71"/>
  <c r="T25" i="71"/>
  <c r="Z25" i="71" s="1"/>
  <c r="P25" i="71"/>
  <c r="X25" i="71" s="1"/>
  <c r="H25" i="71"/>
  <c r="D25" i="71"/>
  <c r="B25" i="71"/>
  <c r="T24" i="71"/>
  <c r="P24" i="71"/>
  <c r="X24" i="71" s="1"/>
  <c r="Z24" i="71" s="1"/>
  <c r="N24" i="71"/>
  <c r="H24" i="71"/>
  <c r="D24" i="71"/>
  <c r="B24" i="71"/>
  <c r="Z23" i="71"/>
  <c r="T23" i="71"/>
  <c r="P23" i="71"/>
  <c r="X23" i="71" s="1"/>
  <c r="H23" i="71"/>
  <c r="D23" i="71"/>
  <c r="B23" i="71"/>
  <c r="X22" i="71"/>
  <c r="Z22" i="71" s="1"/>
  <c r="T22" i="71"/>
  <c r="P22" i="71"/>
  <c r="H22" i="71"/>
  <c r="D22" i="71"/>
  <c r="B22" i="71"/>
  <c r="T21" i="71"/>
  <c r="Z21" i="71" s="1"/>
  <c r="P21" i="71"/>
  <c r="X21" i="71" s="1"/>
  <c r="H21" i="71"/>
  <c r="D21" i="71"/>
  <c r="L21" i="71" s="1"/>
  <c r="B21" i="71"/>
  <c r="T20" i="71"/>
  <c r="P20" i="71"/>
  <c r="X20" i="71" s="1"/>
  <c r="Z20" i="71" s="1"/>
  <c r="H20" i="71"/>
  <c r="D20" i="71"/>
  <c r="L20" i="71" s="1"/>
  <c r="N20" i="71" s="1"/>
  <c r="B20" i="71"/>
  <c r="T19" i="71"/>
  <c r="P19" i="71"/>
  <c r="X19" i="71" s="1"/>
  <c r="Z19" i="71" s="1"/>
  <c r="H19" i="71"/>
  <c r="D19" i="71"/>
  <c r="L19" i="71" s="1"/>
  <c r="B19" i="71"/>
  <c r="Z18" i="71"/>
  <c r="X18" i="71"/>
  <c r="T18" i="71"/>
  <c r="P18" i="71"/>
  <c r="H18" i="71"/>
  <c r="D18" i="71"/>
  <c r="B18" i="71"/>
  <c r="Z17" i="71"/>
  <c r="X17" i="71"/>
  <c r="T17" i="71"/>
  <c r="P17" i="71"/>
  <c r="N17" i="71"/>
  <c r="H17" i="71"/>
  <c r="D17" i="71"/>
  <c r="B17" i="71"/>
  <c r="T16" i="71"/>
  <c r="P16" i="71"/>
  <c r="X16" i="71" s="1"/>
  <c r="Z16" i="71" s="1"/>
  <c r="H16" i="71"/>
  <c r="D16" i="71"/>
  <c r="B16" i="71"/>
  <c r="Z15" i="71"/>
  <c r="T15" i="71"/>
  <c r="P15" i="71"/>
  <c r="X15" i="71" s="1"/>
  <c r="H15" i="71"/>
  <c r="D15" i="71"/>
  <c r="B15" i="71"/>
  <c r="T14" i="71"/>
  <c r="P14" i="71"/>
  <c r="X14" i="71" s="1"/>
  <c r="Z14" i="71" s="1"/>
  <c r="H14" i="71"/>
  <c r="D14" i="71"/>
  <c r="L14" i="71" s="1"/>
  <c r="B14" i="71"/>
  <c r="Z13" i="71"/>
  <c r="X13" i="71"/>
  <c r="T13" i="71"/>
  <c r="P13" i="71"/>
  <c r="N13" i="71"/>
  <c r="H13" i="71"/>
  <c r="D13" i="71"/>
  <c r="B13" i="71"/>
  <c r="D6" i="71"/>
  <c r="D4" i="71"/>
  <c r="Z88" i="70"/>
  <c r="X88" i="70"/>
  <c r="L88" i="70"/>
  <c r="N88" i="70" s="1"/>
  <c r="Z84" i="70"/>
  <c r="X84" i="70"/>
  <c r="T84" i="70"/>
  <c r="T83" i="70" s="1"/>
  <c r="P84" i="70"/>
  <c r="H84" i="70"/>
  <c r="D84" i="70"/>
  <c r="B84" i="70"/>
  <c r="Z83" i="70"/>
  <c r="P83" i="70"/>
  <c r="X83" i="70" s="1"/>
  <c r="H83" i="70"/>
  <c r="D83" i="70"/>
  <c r="Z81" i="70"/>
  <c r="X81" i="70"/>
  <c r="N81" i="70"/>
  <c r="L81" i="70"/>
  <c r="B81" i="70"/>
  <c r="T80" i="70"/>
  <c r="P80" i="70"/>
  <c r="N80" i="70"/>
  <c r="H80" i="70"/>
  <c r="D80" i="70"/>
  <c r="L80" i="70" s="1"/>
  <c r="B80" i="70"/>
  <c r="X79" i="70"/>
  <c r="Z79" i="70" s="1"/>
  <c r="N79" i="70"/>
  <c r="L79" i="70"/>
  <c r="B79" i="70"/>
  <c r="T78" i="70"/>
  <c r="P78" i="70"/>
  <c r="X78" i="70" s="1"/>
  <c r="N78" i="70"/>
  <c r="L78" i="70"/>
  <c r="H78" i="70"/>
  <c r="D78" i="70"/>
  <c r="B78" i="70"/>
  <c r="X77" i="70"/>
  <c r="Z77" i="70" s="1"/>
  <c r="N77" i="70"/>
  <c r="L77" i="70"/>
  <c r="B77" i="70"/>
  <c r="T76" i="70"/>
  <c r="P76" i="70"/>
  <c r="X76" i="70" s="1"/>
  <c r="H76" i="70"/>
  <c r="L76" i="70" s="1"/>
  <c r="D76" i="70"/>
  <c r="B76" i="70"/>
  <c r="X75" i="70"/>
  <c r="Z75" i="70" s="1"/>
  <c r="L75" i="70"/>
  <c r="N75" i="70" s="1"/>
  <c r="B75" i="70"/>
  <c r="Z74" i="70"/>
  <c r="X74" i="70"/>
  <c r="L74" i="70"/>
  <c r="N74" i="70" s="1"/>
  <c r="B74" i="70"/>
  <c r="Z73" i="70"/>
  <c r="X73" i="70"/>
  <c r="L73" i="70"/>
  <c r="N73" i="70" s="1"/>
  <c r="B73" i="70"/>
  <c r="X72" i="70"/>
  <c r="Z72" i="70" s="1"/>
  <c r="N72" i="70"/>
  <c r="L72" i="70"/>
  <c r="B72" i="70"/>
  <c r="Z71" i="70"/>
  <c r="X71" i="70"/>
  <c r="N71" i="70"/>
  <c r="L71" i="70"/>
  <c r="B71" i="70"/>
  <c r="Z70" i="70"/>
  <c r="X70" i="70"/>
  <c r="N70" i="70"/>
  <c r="L70" i="70"/>
  <c r="B70" i="70"/>
  <c r="Z69" i="70"/>
  <c r="T69" i="70"/>
  <c r="P69" i="70"/>
  <c r="X69" i="70" s="1"/>
  <c r="H69" i="70"/>
  <c r="D69" i="70"/>
  <c r="B69" i="70"/>
  <c r="X68" i="70"/>
  <c r="Z68" i="70" s="1"/>
  <c r="N68" i="70"/>
  <c r="L68" i="70"/>
  <c r="B68" i="70"/>
  <c r="X67" i="70"/>
  <c r="Z67" i="70" s="1"/>
  <c r="T67" i="70"/>
  <c r="P67" i="70"/>
  <c r="H67" i="70"/>
  <c r="D67" i="70"/>
  <c r="L67" i="70" s="1"/>
  <c r="B67" i="70"/>
  <c r="X66" i="70"/>
  <c r="Z66" i="70" s="1"/>
  <c r="N66" i="70"/>
  <c r="L66" i="70"/>
  <c r="B66" i="70"/>
  <c r="Z65" i="70"/>
  <c r="X65" i="70"/>
  <c r="N65" i="70"/>
  <c r="L65" i="70"/>
  <c r="B65" i="70"/>
  <c r="Z64" i="70"/>
  <c r="X64" i="70"/>
  <c r="N64" i="70"/>
  <c r="L64" i="70"/>
  <c r="B64" i="70"/>
  <c r="Z63" i="70"/>
  <c r="T63" i="70"/>
  <c r="P63" i="70"/>
  <c r="X63" i="70" s="1"/>
  <c r="N63" i="70"/>
  <c r="L63" i="70"/>
  <c r="H63" i="70"/>
  <c r="D63" i="70"/>
  <c r="B63" i="70"/>
  <c r="Z62" i="70"/>
  <c r="X62" i="70"/>
  <c r="N62" i="70"/>
  <c r="L62" i="70"/>
  <c r="B62" i="70"/>
  <c r="T61" i="70"/>
  <c r="P61" i="70"/>
  <c r="X61" i="70" s="1"/>
  <c r="Z61" i="70" s="1"/>
  <c r="H61" i="70"/>
  <c r="N61" i="70" s="1"/>
  <c r="D61" i="70"/>
  <c r="B61" i="70"/>
  <c r="Z60" i="70"/>
  <c r="X60" i="70"/>
  <c r="N60" i="70"/>
  <c r="L60" i="70"/>
  <c r="B60" i="70"/>
  <c r="Z59" i="70"/>
  <c r="X59" i="70"/>
  <c r="N59" i="70"/>
  <c r="L59" i="70"/>
  <c r="B59" i="70"/>
  <c r="T58" i="70"/>
  <c r="P58" i="70"/>
  <c r="X58" i="70" s="1"/>
  <c r="N58" i="70"/>
  <c r="L58" i="70"/>
  <c r="H58" i="70"/>
  <c r="D58" i="70"/>
  <c r="B58" i="70"/>
  <c r="Z57" i="70"/>
  <c r="X57" i="70"/>
  <c r="N57" i="70"/>
  <c r="L57" i="70"/>
  <c r="B57" i="70"/>
  <c r="T56" i="70"/>
  <c r="P56" i="70"/>
  <c r="N56" i="70"/>
  <c r="L56" i="70"/>
  <c r="H56" i="70"/>
  <c r="D56" i="70"/>
  <c r="B56" i="70"/>
  <c r="X55" i="70"/>
  <c r="Z55" i="70" s="1"/>
  <c r="N55" i="70"/>
  <c r="L55" i="70"/>
  <c r="B55" i="70"/>
  <c r="T54" i="70"/>
  <c r="Z54" i="70" s="1"/>
  <c r="P54" i="70"/>
  <c r="X54" i="70" s="1"/>
  <c r="N54" i="70"/>
  <c r="L54" i="70"/>
  <c r="H54" i="70"/>
  <c r="D54" i="70"/>
  <c r="B54" i="70"/>
  <c r="X53" i="70"/>
  <c r="Z53" i="70" s="1"/>
  <c r="L53" i="70"/>
  <c r="N53" i="70" s="1"/>
  <c r="B53" i="70"/>
  <c r="X52" i="70"/>
  <c r="T52" i="70"/>
  <c r="Z52" i="70" s="1"/>
  <c r="P52" i="70"/>
  <c r="H52" i="70"/>
  <c r="D52" i="70"/>
  <c r="L52" i="70" s="1"/>
  <c r="B52" i="70"/>
  <c r="Z51" i="70"/>
  <c r="X51" i="70"/>
  <c r="N51" i="70"/>
  <c r="L51" i="70"/>
  <c r="B51" i="70"/>
  <c r="Z50" i="70"/>
  <c r="T50" i="70"/>
  <c r="X50" i="70" s="1"/>
  <c r="P50" i="70"/>
  <c r="N50" i="70"/>
  <c r="H50" i="70"/>
  <c r="D50" i="70"/>
  <c r="B50" i="70"/>
  <c r="Z49" i="70"/>
  <c r="X49" i="70"/>
  <c r="N49" i="70"/>
  <c r="L49" i="70"/>
  <c r="B49" i="70"/>
  <c r="Z48" i="70"/>
  <c r="X48" i="70"/>
  <c r="N48" i="70"/>
  <c r="L48" i="70"/>
  <c r="B48" i="70"/>
  <c r="X47" i="70"/>
  <c r="Z47" i="70" s="1"/>
  <c r="N47" i="70"/>
  <c r="L47" i="70"/>
  <c r="B47" i="70"/>
  <c r="Z46" i="70"/>
  <c r="X46" i="70"/>
  <c r="L46" i="70"/>
  <c r="N46" i="70" s="1"/>
  <c r="B46" i="70"/>
  <c r="Z45" i="70"/>
  <c r="T45" i="70"/>
  <c r="P45" i="70"/>
  <c r="X45" i="70" s="1"/>
  <c r="H45" i="70"/>
  <c r="D45" i="70"/>
  <c r="B45" i="70"/>
  <c r="X44" i="70"/>
  <c r="Z44" i="70" s="1"/>
  <c r="N44" i="70"/>
  <c r="L44" i="70"/>
  <c r="B44" i="70"/>
  <c r="X43" i="70"/>
  <c r="Z43" i="70" s="1"/>
  <c r="N43" i="70"/>
  <c r="L43" i="70"/>
  <c r="B43" i="70"/>
  <c r="X42" i="70"/>
  <c r="Z42" i="70" s="1"/>
  <c r="N42" i="70"/>
  <c r="L42" i="70"/>
  <c r="B42" i="70"/>
  <c r="X41" i="70"/>
  <c r="Z41" i="70" s="1"/>
  <c r="N41" i="70"/>
  <c r="L41" i="70"/>
  <c r="B41" i="70"/>
  <c r="X40" i="70"/>
  <c r="Z40" i="70" s="1"/>
  <c r="N40" i="70"/>
  <c r="L40" i="70"/>
  <c r="B40" i="70"/>
  <c r="Z39" i="70"/>
  <c r="X39" i="70"/>
  <c r="N39" i="70"/>
  <c r="L39" i="70"/>
  <c r="B39" i="70"/>
  <c r="X38" i="70"/>
  <c r="Z38" i="70" s="1"/>
  <c r="L38" i="70"/>
  <c r="N38" i="70" s="1"/>
  <c r="B38" i="70"/>
  <c r="X37" i="70"/>
  <c r="Z37" i="70" s="1"/>
  <c r="L37" i="70"/>
  <c r="N37" i="70" s="1"/>
  <c r="B37" i="70"/>
  <c r="X36" i="70"/>
  <c r="T36" i="70"/>
  <c r="Z36" i="70" s="1"/>
  <c r="P36" i="70"/>
  <c r="L36" i="70"/>
  <c r="H36" i="70"/>
  <c r="D36" i="70"/>
  <c r="B36" i="70"/>
  <c r="T35" i="70"/>
  <c r="P35" i="70"/>
  <c r="X35" i="70" s="1"/>
  <c r="H35" i="70"/>
  <c r="D35" i="70"/>
  <c r="T31" i="70"/>
  <c r="Z31" i="70" s="1"/>
  <c r="P31" i="70"/>
  <c r="X31" i="70" s="1"/>
  <c r="N31" i="70"/>
  <c r="L31" i="70"/>
  <c r="H31" i="70"/>
  <c r="D31" i="70"/>
  <c r="T29" i="70"/>
  <c r="P29" i="70"/>
  <c r="X29" i="70" s="1"/>
  <c r="Z29" i="70" s="1"/>
  <c r="H29" i="70"/>
  <c r="N29" i="70" s="1"/>
  <c r="D29" i="70"/>
  <c r="L29" i="70" s="1"/>
  <c r="B29" i="70"/>
  <c r="Z28" i="70"/>
  <c r="X28" i="70"/>
  <c r="T28" i="70"/>
  <c r="P28" i="70"/>
  <c r="H28" i="70"/>
  <c r="N28" i="70" s="1"/>
  <c r="D28" i="70"/>
  <c r="B28" i="70"/>
  <c r="Z27" i="70"/>
  <c r="X27" i="70"/>
  <c r="T27" i="70"/>
  <c r="P27" i="70"/>
  <c r="N27" i="70"/>
  <c r="H27" i="70"/>
  <c r="L27" i="70" s="1"/>
  <c r="D27" i="70"/>
  <c r="B27" i="70"/>
  <c r="Z26" i="70"/>
  <c r="T26" i="70"/>
  <c r="P26" i="70"/>
  <c r="X26" i="70" s="1"/>
  <c r="L26" i="70"/>
  <c r="H26" i="70"/>
  <c r="N26" i="70" s="1"/>
  <c r="D26" i="70"/>
  <c r="B26" i="70"/>
  <c r="Z25" i="70"/>
  <c r="T25" i="70"/>
  <c r="P25" i="70"/>
  <c r="X25" i="70" s="1"/>
  <c r="H25" i="70"/>
  <c r="N25" i="70" s="1"/>
  <c r="D25" i="70"/>
  <c r="L25" i="70" s="1"/>
  <c r="B25" i="70"/>
  <c r="T24" i="70"/>
  <c r="P24" i="70"/>
  <c r="X24" i="70" s="1"/>
  <c r="Z24" i="70" s="1"/>
  <c r="H24" i="70"/>
  <c r="N24" i="70" s="1"/>
  <c r="D24" i="70"/>
  <c r="L24" i="70" s="1"/>
  <c r="B24" i="70"/>
  <c r="Z23" i="70"/>
  <c r="X23" i="70"/>
  <c r="T23" i="70"/>
  <c r="P23" i="70"/>
  <c r="N23" i="70"/>
  <c r="H23" i="70"/>
  <c r="L23" i="70" s="1"/>
  <c r="D23" i="70"/>
  <c r="B23" i="70"/>
  <c r="Z22" i="70"/>
  <c r="T22" i="70"/>
  <c r="P22" i="70"/>
  <c r="X22" i="70" s="1"/>
  <c r="N22" i="70"/>
  <c r="L22" i="70"/>
  <c r="H22" i="70"/>
  <c r="D22" i="70"/>
  <c r="B22" i="70"/>
  <c r="Z21" i="70"/>
  <c r="T21" i="70"/>
  <c r="P21" i="70"/>
  <c r="X21" i="70" s="1"/>
  <c r="H21" i="70"/>
  <c r="N21" i="70" s="1"/>
  <c r="D21" i="70"/>
  <c r="B21" i="70"/>
  <c r="X20" i="70"/>
  <c r="Z20" i="70" s="1"/>
  <c r="T20" i="70"/>
  <c r="P20" i="70"/>
  <c r="H20" i="70"/>
  <c r="N20" i="70" s="1"/>
  <c r="D20" i="70"/>
  <c r="L20" i="70" s="1"/>
  <c r="B20" i="70"/>
  <c r="T19" i="70"/>
  <c r="Z19" i="70" s="1"/>
  <c r="P19" i="70"/>
  <c r="H19" i="70"/>
  <c r="L19" i="70" s="1"/>
  <c r="D19" i="70"/>
  <c r="B19" i="70"/>
  <c r="Z18" i="70"/>
  <c r="T18" i="70"/>
  <c r="P18" i="70"/>
  <c r="X18" i="70" s="1"/>
  <c r="N18" i="70"/>
  <c r="H18" i="70"/>
  <c r="D18" i="70"/>
  <c r="L18" i="70" s="1"/>
  <c r="B18" i="70"/>
  <c r="T17" i="70"/>
  <c r="P17" i="70"/>
  <c r="X17" i="70" s="1"/>
  <c r="Z17" i="70" s="1"/>
  <c r="H17" i="70"/>
  <c r="N17" i="70" s="1"/>
  <c r="D17" i="70"/>
  <c r="B17" i="70"/>
  <c r="X16" i="70"/>
  <c r="Z16" i="70" s="1"/>
  <c r="T16" i="70"/>
  <c r="P16" i="70"/>
  <c r="H16" i="70"/>
  <c r="D16" i="70"/>
  <c r="B16" i="70"/>
  <c r="X15" i="70"/>
  <c r="T15" i="70"/>
  <c r="Z15" i="70" s="1"/>
  <c r="P15" i="70"/>
  <c r="H15" i="70"/>
  <c r="L15" i="70" s="1"/>
  <c r="D15" i="70"/>
  <c r="B15" i="70"/>
  <c r="T14" i="70"/>
  <c r="P14" i="70"/>
  <c r="X14" i="70" s="1"/>
  <c r="Z14" i="70" s="1"/>
  <c r="H14" i="70"/>
  <c r="D14" i="70"/>
  <c r="L14" i="70" s="1"/>
  <c r="B14" i="70"/>
  <c r="Z13" i="70"/>
  <c r="T13" i="70"/>
  <c r="P13" i="70"/>
  <c r="X13" i="70" s="1"/>
  <c r="H13" i="70"/>
  <c r="N13" i="70" s="1"/>
  <c r="D13" i="70"/>
  <c r="B13" i="70"/>
  <c r="H12" i="70"/>
  <c r="J83" i="70" s="1"/>
  <c r="D6" i="70"/>
  <c r="D4" i="70"/>
  <c r="Z142" i="69"/>
  <c r="X142" i="69"/>
  <c r="L142" i="69"/>
  <c r="N142" i="69" s="1"/>
  <c r="Z138" i="69"/>
  <c r="T138" i="69"/>
  <c r="P138" i="69"/>
  <c r="X138" i="69" s="1"/>
  <c r="N138" i="69"/>
  <c r="H138" i="69"/>
  <c r="L138" i="69" s="1"/>
  <c r="D138" i="69"/>
  <c r="B138" i="69"/>
  <c r="T137" i="69"/>
  <c r="P137" i="69"/>
  <c r="X137" i="69" s="1"/>
  <c r="H137" i="69"/>
  <c r="D137" i="69"/>
  <c r="B137" i="69"/>
  <c r="T136" i="69"/>
  <c r="Z136" i="69" s="1"/>
  <c r="P136" i="69"/>
  <c r="N136" i="69"/>
  <c r="L136" i="69"/>
  <c r="H136" i="69"/>
  <c r="D136" i="69"/>
  <c r="B136" i="69"/>
  <c r="V135" i="69"/>
  <c r="T135" i="69"/>
  <c r="H135" i="69"/>
  <c r="Z133" i="69"/>
  <c r="X133" i="69"/>
  <c r="N133" i="69"/>
  <c r="L133" i="69"/>
  <c r="B133" i="69"/>
  <c r="Z132" i="69"/>
  <c r="X132" i="69"/>
  <c r="N132" i="69"/>
  <c r="L132" i="69"/>
  <c r="B132" i="69"/>
  <c r="Z131" i="69"/>
  <c r="T131" i="69"/>
  <c r="P131" i="69"/>
  <c r="X131" i="69" s="1"/>
  <c r="N131" i="69"/>
  <c r="L131" i="69"/>
  <c r="H131" i="69"/>
  <c r="D131" i="69"/>
  <c r="B131" i="69"/>
  <c r="X130" i="69"/>
  <c r="Z130" i="69" s="1"/>
  <c r="N130" i="69"/>
  <c r="L130" i="69"/>
  <c r="B130" i="69"/>
  <c r="Z129" i="69"/>
  <c r="T129" i="69"/>
  <c r="P129" i="69"/>
  <c r="X129" i="69" s="1"/>
  <c r="H129" i="69"/>
  <c r="N129" i="69" s="1"/>
  <c r="D129" i="69"/>
  <c r="L129" i="69" s="1"/>
  <c r="B129" i="69"/>
  <c r="X128" i="69"/>
  <c r="Z128" i="69" s="1"/>
  <c r="N128" i="69"/>
  <c r="L128" i="69"/>
  <c r="B128" i="69"/>
  <c r="X127" i="69"/>
  <c r="Z127" i="69" s="1"/>
  <c r="T127" i="69"/>
  <c r="P127" i="69"/>
  <c r="H127" i="69"/>
  <c r="D127" i="69"/>
  <c r="L127" i="69" s="1"/>
  <c r="B127" i="69"/>
  <c r="X126" i="69"/>
  <c r="Z126" i="69" s="1"/>
  <c r="N126" i="69"/>
  <c r="L126" i="69"/>
  <c r="B126" i="69"/>
  <c r="X125" i="69"/>
  <c r="Z125" i="69" s="1"/>
  <c r="N125" i="69"/>
  <c r="L125" i="69"/>
  <c r="B125" i="69"/>
  <c r="Z124" i="69"/>
  <c r="X124" i="69"/>
  <c r="N124" i="69"/>
  <c r="L124" i="69"/>
  <c r="B124" i="69"/>
  <c r="Z123" i="69"/>
  <c r="X123" i="69"/>
  <c r="N123" i="69"/>
  <c r="L123" i="69"/>
  <c r="B123" i="69"/>
  <c r="X122" i="69"/>
  <c r="Z122" i="69" s="1"/>
  <c r="L122" i="69"/>
  <c r="N122" i="69" s="1"/>
  <c r="B122" i="69"/>
  <c r="T121" i="69"/>
  <c r="P121" i="69"/>
  <c r="H121" i="69"/>
  <c r="D121" i="69"/>
  <c r="B121" i="69"/>
  <c r="X120" i="69"/>
  <c r="Z120" i="69" s="1"/>
  <c r="N120" i="69"/>
  <c r="L120" i="69"/>
  <c r="B120" i="69"/>
  <c r="X119" i="69"/>
  <c r="Z119" i="69" s="1"/>
  <c r="N119" i="69"/>
  <c r="L119" i="69"/>
  <c r="B119" i="69"/>
  <c r="T118" i="69"/>
  <c r="P118" i="69"/>
  <c r="X118" i="69" s="1"/>
  <c r="N118" i="69"/>
  <c r="H118" i="69"/>
  <c r="D118" i="69"/>
  <c r="L118" i="69" s="1"/>
  <c r="B118" i="69"/>
  <c r="X117" i="69"/>
  <c r="Z117" i="69" s="1"/>
  <c r="N117" i="69"/>
  <c r="L117" i="69"/>
  <c r="B117" i="69"/>
  <c r="X116" i="69"/>
  <c r="Z116" i="69" s="1"/>
  <c r="N116" i="69"/>
  <c r="L116" i="69"/>
  <c r="B116" i="69"/>
  <c r="X115" i="69"/>
  <c r="Z115" i="69" s="1"/>
  <c r="T115" i="69"/>
  <c r="P115" i="69"/>
  <c r="H115" i="69"/>
  <c r="D115" i="69"/>
  <c r="L115" i="69" s="1"/>
  <c r="B115" i="69"/>
  <c r="X114" i="69"/>
  <c r="Z114" i="69" s="1"/>
  <c r="N114" i="69"/>
  <c r="L114" i="69"/>
  <c r="B114" i="69"/>
  <c r="T113" i="69"/>
  <c r="X113" i="69" s="1"/>
  <c r="P113" i="69"/>
  <c r="H113" i="69"/>
  <c r="N113" i="69" s="1"/>
  <c r="D113" i="69"/>
  <c r="B113" i="69"/>
  <c r="X112" i="69"/>
  <c r="Z112" i="69" s="1"/>
  <c r="L112" i="69"/>
  <c r="N112" i="69" s="1"/>
  <c r="B112" i="69"/>
  <c r="X111" i="69"/>
  <c r="T111" i="69"/>
  <c r="P111" i="69"/>
  <c r="N111" i="69"/>
  <c r="H111" i="69"/>
  <c r="D111" i="69"/>
  <c r="L111" i="69" s="1"/>
  <c r="B111" i="69"/>
  <c r="Z110" i="69"/>
  <c r="X110" i="69"/>
  <c r="N110" i="69"/>
  <c r="L110" i="69"/>
  <c r="B110" i="69"/>
  <c r="X109" i="69"/>
  <c r="Z109" i="69" s="1"/>
  <c r="L109" i="69"/>
  <c r="N109" i="69" s="1"/>
  <c r="B109" i="69"/>
  <c r="X108" i="69"/>
  <c r="Z108" i="69" s="1"/>
  <c r="T108" i="69"/>
  <c r="P108" i="69"/>
  <c r="L108" i="69"/>
  <c r="N108" i="69" s="1"/>
  <c r="H108" i="69"/>
  <c r="D108" i="69"/>
  <c r="B108" i="69"/>
  <c r="Z107" i="69"/>
  <c r="X107" i="69"/>
  <c r="N107" i="69"/>
  <c r="L107" i="69"/>
  <c r="B107" i="69"/>
  <c r="X106" i="69"/>
  <c r="Z106" i="69" s="1"/>
  <c r="N106" i="69"/>
  <c r="L106" i="69"/>
  <c r="B106" i="69"/>
  <c r="T105" i="69"/>
  <c r="P105" i="69"/>
  <c r="H105" i="69"/>
  <c r="D105" i="69"/>
  <c r="B105" i="69"/>
  <c r="X104" i="69"/>
  <c r="Z104" i="69" s="1"/>
  <c r="N104" i="69"/>
  <c r="L104" i="69"/>
  <c r="B104" i="69"/>
  <c r="T103" i="69"/>
  <c r="P103" i="69"/>
  <c r="X103" i="69" s="1"/>
  <c r="N103" i="69"/>
  <c r="H103" i="69"/>
  <c r="D103" i="69"/>
  <c r="L103" i="69" s="1"/>
  <c r="B103" i="69"/>
  <c r="X102" i="69"/>
  <c r="Z102" i="69" s="1"/>
  <c r="N102" i="69"/>
  <c r="L102" i="69"/>
  <c r="B102" i="69"/>
  <c r="X101" i="69"/>
  <c r="Z101" i="69" s="1"/>
  <c r="N101" i="69"/>
  <c r="L101" i="69"/>
  <c r="B101" i="69"/>
  <c r="Z100" i="69"/>
  <c r="X100" i="69"/>
  <c r="T100" i="69"/>
  <c r="P100" i="69"/>
  <c r="N100" i="69"/>
  <c r="L100" i="69"/>
  <c r="H100" i="69"/>
  <c r="D100" i="69"/>
  <c r="B100" i="69"/>
  <c r="X99" i="69"/>
  <c r="Z99" i="69" s="1"/>
  <c r="N99" i="69"/>
  <c r="L99" i="69"/>
  <c r="B99" i="69"/>
  <c r="X98" i="69"/>
  <c r="T98" i="69"/>
  <c r="P98" i="69"/>
  <c r="N98" i="69"/>
  <c r="H98" i="69"/>
  <c r="D98" i="69"/>
  <c r="L98" i="69" s="1"/>
  <c r="B98" i="69"/>
  <c r="X97" i="69"/>
  <c r="Z97" i="69" s="1"/>
  <c r="N97" i="69"/>
  <c r="L97" i="69"/>
  <c r="B97" i="69"/>
  <c r="X96" i="69"/>
  <c r="Z96" i="69" s="1"/>
  <c r="L96" i="69"/>
  <c r="N96" i="69" s="1"/>
  <c r="B96" i="69"/>
  <c r="X95" i="69"/>
  <c r="Z95" i="69" s="1"/>
  <c r="N95" i="69"/>
  <c r="L95" i="69"/>
  <c r="B95" i="69"/>
  <c r="Z94" i="69"/>
  <c r="X94" i="69"/>
  <c r="N94" i="69"/>
  <c r="L94" i="69"/>
  <c r="B94" i="69"/>
  <c r="X93" i="69"/>
  <c r="Z93" i="69" s="1"/>
  <c r="N93" i="69"/>
  <c r="L93" i="69"/>
  <c r="B93" i="69"/>
  <c r="Z92" i="69"/>
  <c r="X92" i="69"/>
  <c r="N92" i="69"/>
  <c r="L92" i="69"/>
  <c r="B92" i="69"/>
  <c r="T91" i="69"/>
  <c r="P91" i="69"/>
  <c r="X91" i="69" s="1"/>
  <c r="Z91" i="69" s="1"/>
  <c r="L91" i="69"/>
  <c r="N91" i="69" s="1"/>
  <c r="H91" i="69"/>
  <c r="D91" i="69"/>
  <c r="B91" i="69"/>
  <c r="X90" i="69"/>
  <c r="Z90" i="69" s="1"/>
  <c r="L90" i="69"/>
  <c r="N90" i="69" s="1"/>
  <c r="B90" i="69"/>
  <c r="Z89" i="69"/>
  <c r="X89" i="69"/>
  <c r="L89" i="69"/>
  <c r="N89" i="69" s="1"/>
  <c r="B89" i="69"/>
  <c r="Z88" i="69"/>
  <c r="X88" i="69"/>
  <c r="N88" i="69"/>
  <c r="L88" i="69"/>
  <c r="B88" i="69"/>
  <c r="X87" i="69"/>
  <c r="Z87" i="69" s="1"/>
  <c r="L87" i="69"/>
  <c r="N87" i="69" s="1"/>
  <c r="B87" i="69"/>
  <c r="X86" i="69"/>
  <c r="Z86" i="69" s="1"/>
  <c r="L86" i="69"/>
  <c r="N86" i="69" s="1"/>
  <c r="B86" i="69"/>
  <c r="Z85" i="69"/>
  <c r="X85" i="69"/>
  <c r="L85" i="69"/>
  <c r="N85" i="69" s="1"/>
  <c r="B85" i="69"/>
  <c r="Z84" i="69"/>
  <c r="X84" i="69"/>
  <c r="L84" i="69"/>
  <c r="N84" i="69" s="1"/>
  <c r="B84" i="69"/>
  <c r="X83" i="69"/>
  <c r="Z83" i="69" s="1"/>
  <c r="L83" i="69"/>
  <c r="N83" i="69" s="1"/>
  <c r="B83" i="69"/>
  <c r="T82" i="69"/>
  <c r="P82" i="69"/>
  <c r="X82" i="69" s="1"/>
  <c r="Z82" i="69" s="1"/>
  <c r="H82" i="69"/>
  <c r="N82" i="69" s="1"/>
  <c r="D82" i="69"/>
  <c r="L82" i="69" s="1"/>
  <c r="B82" i="69"/>
  <c r="T81" i="69"/>
  <c r="P81" i="69"/>
  <c r="H81" i="69"/>
  <c r="D81" i="69"/>
  <c r="X77" i="69"/>
  <c r="Z77" i="69" s="1"/>
  <c r="N77" i="69"/>
  <c r="L77" i="69"/>
  <c r="B77" i="69"/>
  <c r="X76" i="69"/>
  <c r="Z76" i="69" s="1"/>
  <c r="N76" i="69"/>
  <c r="L76" i="69"/>
  <c r="B76" i="69"/>
  <c r="X75" i="69"/>
  <c r="Z75" i="69" s="1"/>
  <c r="N75" i="69"/>
  <c r="L75" i="69"/>
  <c r="B75" i="69"/>
  <c r="X74" i="69"/>
  <c r="Z74" i="69" s="1"/>
  <c r="V74" i="69"/>
  <c r="L74" i="69"/>
  <c r="N74" i="69" s="1"/>
  <c r="B74" i="69"/>
  <c r="X73" i="69"/>
  <c r="Z73" i="69" s="1"/>
  <c r="N73" i="69"/>
  <c r="L73" i="69"/>
  <c r="B73" i="69"/>
  <c r="Z72" i="69"/>
  <c r="X72" i="69"/>
  <c r="N72" i="69"/>
  <c r="L72" i="69"/>
  <c r="B72" i="69"/>
  <c r="Z71" i="69"/>
  <c r="X71" i="69"/>
  <c r="N71" i="69"/>
  <c r="L71" i="69"/>
  <c r="B71" i="69"/>
  <c r="Z70" i="69"/>
  <c r="X70" i="69"/>
  <c r="V70" i="69"/>
  <c r="N70" i="69"/>
  <c r="L70" i="69"/>
  <c r="B70" i="69"/>
  <c r="Z69" i="69"/>
  <c r="X69" i="69"/>
  <c r="N69" i="69"/>
  <c r="L69" i="69"/>
  <c r="B69" i="69"/>
  <c r="Z68" i="69"/>
  <c r="X68" i="69"/>
  <c r="N68" i="69"/>
  <c r="L68" i="69"/>
  <c r="B68" i="69"/>
  <c r="X67" i="69"/>
  <c r="Z67" i="69" s="1"/>
  <c r="N67" i="69"/>
  <c r="L67" i="69"/>
  <c r="B67" i="69"/>
  <c r="X66" i="69"/>
  <c r="Z66" i="69" s="1"/>
  <c r="L66" i="69"/>
  <c r="N66" i="69" s="1"/>
  <c r="B66" i="69"/>
  <c r="X65" i="69"/>
  <c r="Z65" i="69" s="1"/>
  <c r="L65" i="69"/>
  <c r="N65" i="69" s="1"/>
  <c r="B65" i="69"/>
  <c r="X64" i="69"/>
  <c r="Z64" i="69" s="1"/>
  <c r="V64" i="69"/>
  <c r="N64" i="69"/>
  <c r="L64" i="69"/>
  <c r="B64" i="69"/>
  <c r="X63" i="69"/>
  <c r="Z63" i="69" s="1"/>
  <c r="N63" i="69"/>
  <c r="L63" i="69"/>
  <c r="B63" i="69"/>
  <c r="X62" i="69"/>
  <c r="Z62" i="69" s="1"/>
  <c r="L62" i="69"/>
  <c r="N62" i="69" s="1"/>
  <c r="B62" i="69"/>
  <c r="X61" i="69"/>
  <c r="Z61" i="69" s="1"/>
  <c r="L61" i="69"/>
  <c r="N61" i="69" s="1"/>
  <c r="B61" i="69"/>
  <c r="X60" i="69"/>
  <c r="Z60" i="69" s="1"/>
  <c r="N60" i="69"/>
  <c r="L60" i="69"/>
  <c r="B60" i="69"/>
  <c r="X59" i="69"/>
  <c r="Z59" i="69" s="1"/>
  <c r="N59" i="69"/>
  <c r="L59" i="69"/>
  <c r="B59" i="69"/>
  <c r="Z58" i="69"/>
  <c r="X58" i="69"/>
  <c r="N58" i="69"/>
  <c r="L58" i="69"/>
  <c r="B58" i="69"/>
  <c r="Z57" i="69"/>
  <c r="X57" i="69"/>
  <c r="N57" i="69"/>
  <c r="L57" i="69"/>
  <c r="B57" i="69"/>
  <c r="Z56" i="69"/>
  <c r="X56" i="69"/>
  <c r="N56" i="69"/>
  <c r="L56" i="69"/>
  <c r="B56" i="69"/>
  <c r="Z55" i="69"/>
  <c r="X55" i="69"/>
  <c r="N55" i="69"/>
  <c r="L55" i="69"/>
  <c r="B55" i="69"/>
  <c r="Z54" i="69"/>
  <c r="X54" i="69"/>
  <c r="V54" i="69"/>
  <c r="N54" i="69"/>
  <c r="L54" i="69"/>
  <c r="B54" i="69"/>
  <c r="Z53" i="69"/>
  <c r="X53" i="69"/>
  <c r="N53" i="69"/>
  <c r="L53" i="69"/>
  <c r="B53" i="69"/>
  <c r="Z52" i="69"/>
  <c r="X52" i="69"/>
  <c r="T52" i="69"/>
  <c r="P52" i="69"/>
  <c r="H52" i="69"/>
  <c r="D52" i="69"/>
  <c r="L52" i="69" s="1"/>
  <c r="N52" i="69" s="1"/>
  <c r="X50" i="69"/>
  <c r="Z50" i="69" s="1"/>
  <c r="T50" i="69"/>
  <c r="P50" i="69"/>
  <c r="N50" i="69"/>
  <c r="H50" i="69"/>
  <c r="D50" i="69"/>
  <c r="L50" i="69" s="1"/>
  <c r="B50" i="69"/>
  <c r="T49" i="69"/>
  <c r="P49" i="69"/>
  <c r="X49" i="69" s="1"/>
  <c r="N49" i="69"/>
  <c r="H49" i="69"/>
  <c r="D49" i="69"/>
  <c r="L49" i="69" s="1"/>
  <c r="B49" i="69"/>
  <c r="X48" i="69"/>
  <c r="Z48" i="69" s="1"/>
  <c r="T48" i="69"/>
  <c r="P48" i="69"/>
  <c r="H48" i="69"/>
  <c r="D48" i="69"/>
  <c r="L48" i="69" s="1"/>
  <c r="B48" i="69"/>
  <c r="T47" i="69"/>
  <c r="P47" i="69"/>
  <c r="X47" i="69" s="1"/>
  <c r="N47" i="69"/>
  <c r="L47" i="69"/>
  <c r="H47" i="69"/>
  <c r="D47" i="69"/>
  <c r="B47" i="69"/>
  <c r="T46" i="69"/>
  <c r="P46" i="69"/>
  <c r="H46" i="69"/>
  <c r="N46" i="69" s="1"/>
  <c r="D46" i="69"/>
  <c r="L46" i="69" s="1"/>
  <c r="B46" i="69"/>
  <c r="T45" i="69"/>
  <c r="P45" i="69"/>
  <c r="L45" i="69"/>
  <c r="N45" i="69" s="1"/>
  <c r="H45" i="69"/>
  <c r="D45" i="69"/>
  <c r="B45" i="69"/>
  <c r="T44" i="69"/>
  <c r="P44" i="69"/>
  <c r="H44" i="69"/>
  <c r="D44" i="69"/>
  <c r="L44" i="69" s="1"/>
  <c r="B44" i="69"/>
  <c r="X43" i="69"/>
  <c r="T43" i="69"/>
  <c r="P43" i="69"/>
  <c r="N43" i="69"/>
  <c r="L43" i="69"/>
  <c r="H43" i="69"/>
  <c r="D43" i="69"/>
  <c r="B43" i="69"/>
  <c r="X42" i="69"/>
  <c r="T42" i="69"/>
  <c r="Z42" i="69" s="1"/>
  <c r="P42" i="69"/>
  <c r="H42" i="69"/>
  <c r="D42" i="69"/>
  <c r="L42" i="69" s="1"/>
  <c r="N42" i="69" s="1"/>
  <c r="B42" i="69"/>
  <c r="T41" i="69"/>
  <c r="Z41" i="69" s="1"/>
  <c r="P41" i="69"/>
  <c r="X41" i="69" s="1"/>
  <c r="N41" i="69"/>
  <c r="H41" i="69"/>
  <c r="D41" i="69"/>
  <c r="L41" i="69" s="1"/>
  <c r="B41" i="69"/>
  <c r="Z40" i="69"/>
  <c r="X40" i="69"/>
  <c r="T40" i="69"/>
  <c r="P40" i="69"/>
  <c r="H40" i="69"/>
  <c r="N40" i="69" s="1"/>
  <c r="D40" i="69"/>
  <c r="L40" i="69" s="1"/>
  <c r="B40" i="69"/>
  <c r="T39" i="69"/>
  <c r="Z39" i="69" s="1"/>
  <c r="P39" i="69"/>
  <c r="X39" i="69" s="1"/>
  <c r="N39" i="69"/>
  <c r="L39" i="69"/>
  <c r="H39" i="69"/>
  <c r="D39" i="69"/>
  <c r="B39" i="69"/>
  <c r="T38" i="69"/>
  <c r="P38" i="69"/>
  <c r="L38" i="69"/>
  <c r="H38" i="69"/>
  <c r="N38" i="69" s="1"/>
  <c r="D38" i="69"/>
  <c r="B38" i="69"/>
  <c r="T37" i="69"/>
  <c r="P37" i="69"/>
  <c r="H37" i="69"/>
  <c r="D37" i="69"/>
  <c r="L37" i="69" s="1"/>
  <c r="N37" i="69" s="1"/>
  <c r="B37" i="69"/>
  <c r="X36" i="69"/>
  <c r="T36" i="69"/>
  <c r="Z36" i="69" s="1"/>
  <c r="P36" i="69"/>
  <c r="L36" i="69"/>
  <c r="H36" i="69"/>
  <c r="D36" i="69"/>
  <c r="B36" i="69"/>
  <c r="T35" i="69"/>
  <c r="P35" i="69"/>
  <c r="X35" i="69" s="1"/>
  <c r="N35" i="69"/>
  <c r="L35" i="69"/>
  <c r="H35" i="69"/>
  <c r="D35" i="69"/>
  <c r="B35" i="69"/>
  <c r="Z34" i="69"/>
  <c r="X34" i="69"/>
  <c r="T34" i="69"/>
  <c r="P34" i="69"/>
  <c r="H34" i="69"/>
  <c r="D34" i="69"/>
  <c r="L34" i="69" s="1"/>
  <c r="B34" i="69"/>
  <c r="T33" i="69"/>
  <c r="P33" i="69"/>
  <c r="L33" i="69"/>
  <c r="N33" i="69" s="1"/>
  <c r="H33" i="69"/>
  <c r="D33" i="69"/>
  <c r="B33" i="69"/>
  <c r="T32" i="69"/>
  <c r="Z32" i="69" s="1"/>
  <c r="P32" i="69"/>
  <c r="H32" i="69"/>
  <c r="N32" i="69" s="1"/>
  <c r="D32" i="69"/>
  <c r="L32" i="69" s="1"/>
  <c r="B32" i="69"/>
  <c r="X31" i="69"/>
  <c r="T31" i="69"/>
  <c r="Z31" i="69" s="1"/>
  <c r="P31" i="69"/>
  <c r="N31" i="69"/>
  <c r="L31" i="69"/>
  <c r="H31" i="69"/>
  <c r="D31" i="69"/>
  <c r="B31" i="69"/>
  <c r="X30" i="69"/>
  <c r="T30" i="69"/>
  <c r="Z30" i="69" s="1"/>
  <c r="P30" i="69"/>
  <c r="N30" i="69"/>
  <c r="H30" i="69"/>
  <c r="D30" i="69"/>
  <c r="L30" i="69" s="1"/>
  <c r="B30" i="69"/>
  <c r="T29" i="69"/>
  <c r="Z29" i="69" s="1"/>
  <c r="P29" i="69"/>
  <c r="X29" i="69" s="1"/>
  <c r="N29" i="69"/>
  <c r="H29" i="69"/>
  <c r="D29" i="69"/>
  <c r="L29" i="69" s="1"/>
  <c r="B29" i="69"/>
  <c r="Z28" i="69"/>
  <c r="X28" i="69"/>
  <c r="T28" i="69"/>
  <c r="P28" i="69"/>
  <c r="H28" i="69"/>
  <c r="N28" i="69" s="1"/>
  <c r="D28" i="69"/>
  <c r="L28" i="69" s="1"/>
  <c r="B28" i="69"/>
  <c r="T27" i="69"/>
  <c r="Z27" i="69" s="1"/>
  <c r="P27" i="69"/>
  <c r="X27" i="69" s="1"/>
  <c r="N27" i="69"/>
  <c r="L27" i="69"/>
  <c r="H27" i="69"/>
  <c r="D27" i="69"/>
  <c r="B27" i="69"/>
  <c r="T26" i="69"/>
  <c r="Z26" i="69" s="1"/>
  <c r="P26" i="69"/>
  <c r="L26" i="69"/>
  <c r="H26" i="69"/>
  <c r="N26" i="69" s="1"/>
  <c r="D26" i="69"/>
  <c r="B26" i="69"/>
  <c r="T25" i="69"/>
  <c r="Z25" i="69" s="1"/>
  <c r="P25" i="69"/>
  <c r="N25" i="69"/>
  <c r="H25" i="69"/>
  <c r="D25" i="69"/>
  <c r="L25" i="69" s="1"/>
  <c r="B25" i="69"/>
  <c r="X24" i="69"/>
  <c r="T24" i="69"/>
  <c r="Z24" i="69" s="1"/>
  <c r="P24" i="69"/>
  <c r="L24" i="69"/>
  <c r="H24" i="69"/>
  <c r="D24" i="69"/>
  <c r="B24" i="69"/>
  <c r="T23" i="69"/>
  <c r="P23" i="69"/>
  <c r="X23" i="69" s="1"/>
  <c r="N23" i="69"/>
  <c r="L23" i="69"/>
  <c r="H23" i="69"/>
  <c r="D23" i="69"/>
  <c r="B23" i="69"/>
  <c r="Z22" i="69"/>
  <c r="X22" i="69"/>
  <c r="T22" i="69"/>
  <c r="P22" i="69"/>
  <c r="H22" i="69"/>
  <c r="N22" i="69" s="1"/>
  <c r="D22" i="69"/>
  <c r="L22" i="69" s="1"/>
  <c r="B22" i="69"/>
  <c r="T21" i="69"/>
  <c r="P21" i="69"/>
  <c r="L21" i="69"/>
  <c r="H21" i="69"/>
  <c r="N21" i="69" s="1"/>
  <c r="D21" i="69"/>
  <c r="B21" i="69"/>
  <c r="T20" i="69"/>
  <c r="P20" i="69"/>
  <c r="H20" i="69"/>
  <c r="D20" i="69"/>
  <c r="L20" i="69" s="1"/>
  <c r="B20" i="69"/>
  <c r="T19" i="69"/>
  <c r="P19" i="69"/>
  <c r="X19" i="69" s="1"/>
  <c r="Z19" i="69" s="1"/>
  <c r="N19" i="69"/>
  <c r="L19" i="69"/>
  <c r="H19" i="69"/>
  <c r="D19" i="69"/>
  <c r="B19" i="69"/>
  <c r="Z18" i="69"/>
  <c r="T18" i="69"/>
  <c r="P18" i="69"/>
  <c r="X18" i="69" s="1"/>
  <c r="H18" i="69"/>
  <c r="N18" i="69" s="1"/>
  <c r="D18" i="69"/>
  <c r="L18" i="69" s="1"/>
  <c r="B18" i="69"/>
  <c r="T17" i="69"/>
  <c r="Z17" i="69" s="1"/>
  <c r="P17" i="69"/>
  <c r="X17" i="69" s="1"/>
  <c r="L17" i="69"/>
  <c r="H17" i="69"/>
  <c r="N17" i="69" s="1"/>
  <c r="D17" i="69"/>
  <c r="B17" i="69"/>
  <c r="T16" i="69"/>
  <c r="Z16" i="69" s="1"/>
  <c r="P16" i="69"/>
  <c r="H16" i="69"/>
  <c r="N16" i="69" s="1"/>
  <c r="D16" i="69"/>
  <c r="B16" i="69"/>
  <c r="Z15" i="69"/>
  <c r="T15" i="69"/>
  <c r="P15" i="69"/>
  <c r="X15" i="69" s="1"/>
  <c r="N15" i="69"/>
  <c r="L15" i="69"/>
  <c r="H15" i="69"/>
  <c r="D15" i="69"/>
  <c r="B15" i="69"/>
  <c r="Z14" i="69"/>
  <c r="X14" i="69"/>
  <c r="T14" i="69"/>
  <c r="P14" i="69"/>
  <c r="H14" i="69"/>
  <c r="N14" i="69" s="1"/>
  <c r="D14" i="69"/>
  <c r="L14" i="69" s="1"/>
  <c r="B14" i="69"/>
  <c r="T13" i="69"/>
  <c r="Z13" i="69" s="1"/>
  <c r="P13" i="69"/>
  <c r="H13" i="69"/>
  <c r="D13" i="69"/>
  <c r="B13" i="69"/>
  <c r="T12" i="69"/>
  <c r="V83" i="69" s="1"/>
  <c r="D6" i="69"/>
  <c r="D4" i="69"/>
  <c r="X90" i="68"/>
  <c r="Z90" i="68" s="1"/>
  <c r="R90" i="68"/>
  <c r="N90" i="68"/>
  <c r="L90" i="68"/>
  <c r="X86" i="68"/>
  <c r="T86" i="68"/>
  <c r="Z86" i="68" s="1"/>
  <c r="P86" i="68"/>
  <c r="N86" i="68"/>
  <c r="L86" i="68"/>
  <c r="H86" i="68"/>
  <c r="D86" i="68"/>
  <c r="X84" i="68"/>
  <c r="Z84" i="68" s="1"/>
  <c r="N84" i="68"/>
  <c r="L84" i="68"/>
  <c r="B84" i="68"/>
  <c r="X83" i="68"/>
  <c r="T83" i="68"/>
  <c r="Z83" i="68" s="1"/>
  <c r="P83" i="68"/>
  <c r="H83" i="68"/>
  <c r="N83" i="68" s="1"/>
  <c r="D83" i="68"/>
  <c r="L83" i="68" s="1"/>
  <c r="B83" i="68"/>
  <c r="Z82" i="68"/>
  <c r="X82" i="68"/>
  <c r="N82" i="68"/>
  <c r="L82" i="68"/>
  <c r="B82" i="68"/>
  <c r="X81" i="68"/>
  <c r="Z81" i="68" s="1"/>
  <c r="T81" i="68"/>
  <c r="P81" i="68"/>
  <c r="N81" i="68"/>
  <c r="H81" i="68"/>
  <c r="D81" i="68"/>
  <c r="L81" i="68" s="1"/>
  <c r="B81" i="68"/>
  <c r="Z80" i="68"/>
  <c r="X80" i="68"/>
  <c r="L80" i="68"/>
  <c r="N80" i="68" s="1"/>
  <c r="B80" i="68"/>
  <c r="X79" i="68"/>
  <c r="Z79" i="68" s="1"/>
  <c r="N79" i="68"/>
  <c r="L79" i="68"/>
  <c r="B79" i="68"/>
  <c r="T78" i="68"/>
  <c r="Z78" i="68" s="1"/>
  <c r="P78" i="68"/>
  <c r="X78" i="68" s="1"/>
  <c r="N78" i="68"/>
  <c r="H78" i="68"/>
  <c r="D78" i="68"/>
  <c r="L78" i="68" s="1"/>
  <c r="B78" i="68"/>
  <c r="X77" i="68"/>
  <c r="Z77" i="68" s="1"/>
  <c r="N77" i="68"/>
  <c r="L77" i="68"/>
  <c r="B77" i="68"/>
  <c r="X76" i="68"/>
  <c r="T76" i="68"/>
  <c r="Z76" i="68" s="1"/>
  <c r="P76" i="68"/>
  <c r="N76" i="68"/>
  <c r="L76" i="68"/>
  <c r="J76" i="68"/>
  <c r="H76" i="68"/>
  <c r="D76" i="68"/>
  <c r="B76" i="68"/>
  <c r="Z75" i="68"/>
  <c r="X75" i="68"/>
  <c r="N75" i="68"/>
  <c r="L75" i="68"/>
  <c r="B75" i="68"/>
  <c r="T74" i="68"/>
  <c r="P74" i="68"/>
  <c r="N74" i="68"/>
  <c r="H74" i="68"/>
  <c r="L74" i="68" s="1"/>
  <c r="D74" i="68"/>
  <c r="B74" i="68"/>
  <c r="Z73" i="68"/>
  <c r="X73" i="68"/>
  <c r="N73" i="68"/>
  <c r="L73" i="68"/>
  <c r="B73" i="68"/>
  <c r="Z72" i="68"/>
  <c r="X72" i="68"/>
  <c r="L72" i="68"/>
  <c r="N72" i="68" s="1"/>
  <c r="B72" i="68"/>
  <c r="T71" i="68"/>
  <c r="P71" i="68"/>
  <c r="H71" i="68"/>
  <c r="D71" i="68"/>
  <c r="L71" i="68" s="1"/>
  <c r="B71" i="68"/>
  <c r="X70" i="68"/>
  <c r="Z70" i="68" s="1"/>
  <c r="N70" i="68"/>
  <c r="L70" i="68"/>
  <c r="B70" i="68"/>
  <c r="T69" i="68"/>
  <c r="P69" i="68"/>
  <c r="X69" i="68" s="1"/>
  <c r="H69" i="68"/>
  <c r="N69" i="68" s="1"/>
  <c r="D69" i="68"/>
  <c r="L69" i="68" s="1"/>
  <c r="B69" i="68"/>
  <c r="Z68" i="68"/>
  <c r="X68" i="68"/>
  <c r="N68" i="68"/>
  <c r="L68" i="68"/>
  <c r="B68" i="68"/>
  <c r="Z67" i="68"/>
  <c r="X67" i="68"/>
  <c r="N67" i="68"/>
  <c r="L67" i="68"/>
  <c r="B67" i="68"/>
  <c r="Z66" i="68"/>
  <c r="X66" i="68"/>
  <c r="N66" i="68"/>
  <c r="L66" i="68"/>
  <c r="B66" i="68"/>
  <c r="X65" i="68"/>
  <c r="Z65" i="68" s="1"/>
  <c r="T65" i="68"/>
  <c r="P65" i="68"/>
  <c r="H65" i="68"/>
  <c r="D65" i="68"/>
  <c r="L65" i="68" s="1"/>
  <c r="N65" i="68" s="1"/>
  <c r="B65" i="68"/>
  <c r="Z64" i="68"/>
  <c r="X64" i="68"/>
  <c r="L64" i="68"/>
  <c r="N64" i="68" s="1"/>
  <c r="B64" i="68"/>
  <c r="X63" i="68"/>
  <c r="Z63" i="68" s="1"/>
  <c r="R63" i="68"/>
  <c r="L63" i="68"/>
  <c r="N63" i="68" s="1"/>
  <c r="B63" i="68"/>
  <c r="Z62" i="68"/>
  <c r="X62" i="68"/>
  <c r="L62" i="68"/>
  <c r="N62" i="68" s="1"/>
  <c r="B62" i="68"/>
  <c r="Z61" i="68"/>
  <c r="X61" i="68"/>
  <c r="L61" i="68"/>
  <c r="N61" i="68" s="1"/>
  <c r="B61" i="68"/>
  <c r="Z60" i="68"/>
  <c r="X60" i="68"/>
  <c r="L60" i="68"/>
  <c r="N60" i="68" s="1"/>
  <c r="B60" i="68"/>
  <c r="X59" i="68"/>
  <c r="Z59" i="68" s="1"/>
  <c r="R59" i="68"/>
  <c r="L59" i="68"/>
  <c r="N59" i="68" s="1"/>
  <c r="B59" i="68"/>
  <c r="Z58" i="68"/>
  <c r="X58" i="68"/>
  <c r="L58" i="68"/>
  <c r="N58" i="68" s="1"/>
  <c r="J58" i="68"/>
  <c r="B58" i="68"/>
  <c r="Z57" i="68"/>
  <c r="X57" i="68"/>
  <c r="L57" i="68"/>
  <c r="N57" i="68" s="1"/>
  <c r="B57" i="68"/>
  <c r="Z56" i="68"/>
  <c r="X56" i="68"/>
  <c r="L56" i="68"/>
  <c r="N56" i="68" s="1"/>
  <c r="B56" i="68"/>
  <c r="T55" i="68"/>
  <c r="P55" i="68"/>
  <c r="H55" i="68"/>
  <c r="N55" i="68" s="1"/>
  <c r="D55" i="68"/>
  <c r="L55" i="68" s="1"/>
  <c r="B55" i="68"/>
  <c r="T54" i="68"/>
  <c r="P54" i="68"/>
  <c r="H54" i="68"/>
  <c r="D54" i="68"/>
  <c r="L54" i="68" s="1"/>
  <c r="X50" i="68"/>
  <c r="Z50" i="68" s="1"/>
  <c r="L50" i="68"/>
  <c r="N50" i="68" s="1"/>
  <c r="B50" i="68"/>
  <c r="X49" i="68"/>
  <c r="Z49" i="68" s="1"/>
  <c r="N49" i="68"/>
  <c r="L49" i="68"/>
  <c r="B49" i="68"/>
  <c r="X48" i="68"/>
  <c r="Z48" i="68" s="1"/>
  <c r="N48" i="68"/>
  <c r="L48" i="68"/>
  <c r="B48" i="68"/>
  <c r="X47" i="68"/>
  <c r="Z47" i="68" s="1"/>
  <c r="N47" i="68"/>
  <c r="L47" i="68"/>
  <c r="B47" i="68"/>
  <c r="X46" i="68"/>
  <c r="Z46" i="68" s="1"/>
  <c r="N46" i="68"/>
  <c r="L46" i="68"/>
  <c r="B46" i="68"/>
  <c r="X45" i="68"/>
  <c r="Z45" i="68" s="1"/>
  <c r="L45" i="68"/>
  <c r="N45" i="68" s="1"/>
  <c r="B45" i="68"/>
  <c r="X44" i="68"/>
  <c r="Z44" i="68" s="1"/>
  <c r="N44" i="68"/>
  <c r="L44" i="68"/>
  <c r="B44" i="68"/>
  <c r="X43" i="68"/>
  <c r="Z43" i="68" s="1"/>
  <c r="N43" i="68"/>
  <c r="L43" i="68"/>
  <c r="B43" i="68"/>
  <c r="X42" i="68"/>
  <c r="Z42" i="68" s="1"/>
  <c r="N42" i="68"/>
  <c r="L42" i="68"/>
  <c r="B42" i="68"/>
  <c r="X41" i="68"/>
  <c r="Z41" i="68" s="1"/>
  <c r="N41" i="68"/>
  <c r="L41" i="68"/>
  <c r="B41" i="68"/>
  <c r="X40" i="68"/>
  <c r="Z40" i="68" s="1"/>
  <c r="N40" i="68"/>
  <c r="L40" i="68"/>
  <c r="B40" i="68"/>
  <c r="X39" i="68"/>
  <c r="Z39" i="68" s="1"/>
  <c r="N39" i="68"/>
  <c r="L39" i="68"/>
  <c r="B39" i="68"/>
  <c r="X38" i="68"/>
  <c r="Z38" i="68" s="1"/>
  <c r="L38" i="68"/>
  <c r="N38" i="68" s="1"/>
  <c r="B38" i="68"/>
  <c r="X37" i="68"/>
  <c r="Z37" i="68" s="1"/>
  <c r="N37" i="68"/>
  <c r="L37" i="68"/>
  <c r="B37" i="68"/>
  <c r="X36" i="68"/>
  <c r="Z36" i="68" s="1"/>
  <c r="N36" i="68"/>
  <c r="L36" i="68"/>
  <c r="B36" i="68"/>
  <c r="T35" i="68"/>
  <c r="P35" i="68"/>
  <c r="X35" i="68" s="1"/>
  <c r="Z35" i="68" s="1"/>
  <c r="H35" i="68"/>
  <c r="N35" i="68" s="1"/>
  <c r="D35" i="68"/>
  <c r="L35" i="68" s="1"/>
  <c r="T33" i="68"/>
  <c r="P33" i="68"/>
  <c r="N33" i="68"/>
  <c r="H33" i="68"/>
  <c r="D33" i="68"/>
  <c r="L33" i="68" s="1"/>
  <c r="B33" i="68"/>
  <c r="T32" i="68"/>
  <c r="P32" i="68"/>
  <c r="N32" i="68"/>
  <c r="H32" i="68"/>
  <c r="D32" i="68"/>
  <c r="B32" i="68"/>
  <c r="T31" i="68"/>
  <c r="P31" i="68"/>
  <c r="N31" i="68"/>
  <c r="L31" i="68"/>
  <c r="H31" i="68"/>
  <c r="D31" i="68"/>
  <c r="B31" i="68"/>
  <c r="X30" i="68"/>
  <c r="T30" i="68"/>
  <c r="P30" i="68"/>
  <c r="N30" i="68"/>
  <c r="L30" i="68"/>
  <c r="H30" i="68"/>
  <c r="D30" i="68"/>
  <c r="B30" i="68"/>
  <c r="T29" i="68"/>
  <c r="P29" i="68"/>
  <c r="N29" i="68"/>
  <c r="H29" i="68"/>
  <c r="D29" i="68"/>
  <c r="L29" i="68" s="1"/>
  <c r="B29" i="68"/>
  <c r="T28" i="68"/>
  <c r="P28" i="68"/>
  <c r="N28" i="68"/>
  <c r="H28" i="68"/>
  <c r="D28" i="68"/>
  <c r="L28" i="68" s="1"/>
  <c r="B28" i="68"/>
  <c r="T27" i="68"/>
  <c r="P27" i="68"/>
  <c r="N27" i="68"/>
  <c r="L27" i="68"/>
  <c r="H27" i="68"/>
  <c r="D27" i="68"/>
  <c r="B27" i="68"/>
  <c r="X26" i="68"/>
  <c r="T26" i="68"/>
  <c r="P26" i="68"/>
  <c r="L26" i="68"/>
  <c r="N26" i="68" s="1"/>
  <c r="H26" i="68"/>
  <c r="D26" i="68"/>
  <c r="B26" i="68"/>
  <c r="T25" i="68"/>
  <c r="P25" i="68"/>
  <c r="N25" i="68"/>
  <c r="H25" i="68"/>
  <c r="D25" i="68"/>
  <c r="L25" i="68" s="1"/>
  <c r="B25" i="68"/>
  <c r="T24" i="68"/>
  <c r="P24" i="68"/>
  <c r="N24" i="68"/>
  <c r="H24" i="68"/>
  <c r="D24" i="68"/>
  <c r="L24" i="68" s="1"/>
  <c r="B24" i="68"/>
  <c r="T23" i="68"/>
  <c r="P23" i="68"/>
  <c r="L23" i="68"/>
  <c r="N23" i="68" s="1"/>
  <c r="H23" i="68"/>
  <c r="D23" i="68"/>
  <c r="B23" i="68"/>
  <c r="X22" i="68"/>
  <c r="T22" i="68"/>
  <c r="Z22" i="68" s="1"/>
  <c r="P22" i="68"/>
  <c r="L22" i="68"/>
  <c r="N22" i="68" s="1"/>
  <c r="H22" i="68"/>
  <c r="D22" i="68"/>
  <c r="B22" i="68"/>
  <c r="T21" i="68"/>
  <c r="P21" i="68"/>
  <c r="N21" i="68"/>
  <c r="H21" i="68"/>
  <c r="D21" i="68"/>
  <c r="L21" i="68" s="1"/>
  <c r="B21" i="68"/>
  <c r="T20" i="68"/>
  <c r="P20" i="68"/>
  <c r="N20" i="68"/>
  <c r="H20" i="68"/>
  <c r="D20" i="68"/>
  <c r="L20" i="68" s="1"/>
  <c r="B20" i="68"/>
  <c r="T19" i="68"/>
  <c r="P19" i="68"/>
  <c r="N19" i="68"/>
  <c r="L19" i="68"/>
  <c r="H19" i="68"/>
  <c r="D19" i="68"/>
  <c r="B19" i="68"/>
  <c r="X18" i="68"/>
  <c r="T18" i="68"/>
  <c r="Z18" i="68" s="1"/>
  <c r="P18" i="68"/>
  <c r="L18" i="68"/>
  <c r="N18" i="68" s="1"/>
  <c r="H18" i="68"/>
  <c r="D18" i="68"/>
  <c r="B18" i="68"/>
  <c r="T17" i="68"/>
  <c r="P17" i="68"/>
  <c r="N17" i="68"/>
  <c r="H17" i="68"/>
  <c r="D17" i="68"/>
  <c r="L17" i="68" s="1"/>
  <c r="B17" i="68"/>
  <c r="T16" i="68"/>
  <c r="P16" i="68"/>
  <c r="H16" i="68"/>
  <c r="D16" i="68"/>
  <c r="L16" i="68" s="1"/>
  <c r="N16" i="68" s="1"/>
  <c r="B16" i="68"/>
  <c r="T15" i="68"/>
  <c r="P15" i="68"/>
  <c r="N15" i="68"/>
  <c r="L15" i="68"/>
  <c r="H15" i="68"/>
  <c r="D15" i="68"/>
  <c r="B15" i="68"/>
  <c r="X14" i="68"/>
  <c r="T14" i="68"/>
  <c r="P14" i="68"/>
  <c r="P12" i="68" s="1"/>
  <c r="R66" i="68" s="1"/>
  <c r="N14" i="68"/>
  <c r="L14" i="68"/>
  <c r="H14" i="68"/>
  <c r="D14" i="68"/>
  <c r="B14" i="68"/>
  <c r="T13" i="68"/>
  <c r="P13" i="68"/>
  <c r="N13" i="68"/>
  <c r="H13" i="68"/>
  <c r="H12" i="68" s="1"/>
  <c r="J71" i="68" s="1"/>
  <c r="D13" i="68"/>
  <c r="L13" i="68" s="1"/>
  <c r="B13" i="68"/>
  <c r="D6" i="68"/>
  <c r="D4" i="68"/>
  <c r="X77" i="67"/>
  <c r="Z77" i="67" s="1"/>
  <c r="N77" i="67"/>
  <c r="L77" i="67"/>
  <c r="T73" i="67"/>
  <c r="Z73" i="67" s="1"/>
  <c r="P73" i="67"/>
  <c r="X73" i="67" s="1"/>
  <c r="N73" i="67"/>
  <c r="H73" i="67"/>
  <c r="D73" i="67"/>
  <c r="L73" i="67" s="1"/>
  <c r="X71" i="67"/>
  <c r="Z71" i="67" s="1"/>
  <c r="N71" i="67"/>
  <c r="L71" i="67"/>
  <c r="B71" i="67"/>
  <c r="T70" i="67"/>
  <c r="Z70" i="67" s="1"/>
  <c r="P70" i="67"/>
  <c r="X70" i="67" s="1"/>
  <c r="L70" i="67"/>
  <c r="H70" i="67"/>
  <c r="N70" i="67" s="1"/>
  <c r="D70" i="67"/>
  <c r="B70" i="67"/>
  <c r="X69" i="67"/>
  <c r="Z69" i="67" s="1"/>
  <c r="N69" i="67"/>
  <c r="L69" i="67"/>
  <c r="B69" i="67"/>
  <c r="X68" i="67"/>
  <c r="Z68" i="67" s="1"/>
  <c r="T68" i="67"/>
  <c r="P68" i="67"/>
  <c r="H68" i="67"/>
  <c r="D68" i="67"/>
  <c r="B68" i="67"/>
  <c r="Z67" i="67"/>
  <c r="X67" i="67"/>
  <c r="N67" i="67"/>
  <c r="L67" i="67"/>
  <c r="B67" i="67"/>
  <c r="Z66" i="67"/>
  <c r="X66" i="67"/>
  <c r="L66" i="67"/>
  <c r="N66" i="67" s="1"/>
  <c r="B66" i="67"/>
  <c r="Z65" i="67"/>
  <c r="X65" i="67"/>
  <c r="N65" i="67"/>
  <c r="L65" i="67"/>
  <c r="B65" i="67"/>
  <c r="Z64" i="67"/>
  <c r="X64" i="67"/>
  <c r="N64" i="67"/>
  <c r="L64" i="67"/>
  <c r="B64" i="67"/>
  <c r="Z63" i="67"/>
  <c r="X63" i="67"/>
  <c r="N63" i="67"/>
  <c r="L63" i="67"/>
  <c r="B63" i="67"/>
  <c r="Z62" i="67"/>
  <c r="X62" i="67"/>
  <c r="R62" i="67"/>
  <c r="N62" i="67"/>
  <c r="L62" i="67"/>
  <c r="B62" i="67"/>
  <c r="T61" i="67"/>
  <c r="P61" i="67"/>
  <c r="X61" i="67" s="1"/>
  <c r="H61" i="67"/>
  <c r="D61" i="67"/>
  <c r="B61" i="67"/>
  <c r="X60" i="67"/>
  <c r="Z60" i="67" s="1"/>
  <c r="N60" i="67"/>
  <c r="L60" i="67"/>
  <c r="B60" i="67"/>
  <c r="T59" i="67"/>
  <c r="P59" i="67"/>
  <c r="X59" i="67" s="1"/>
  <c r="N59" i="67"/>
  <c r="L59" i="67"/>
  <c r="H59" i="67"/>
  <c r="D59" i="67"/>
  <c r="B59" i="67"/>
  <c r="Z58" i="67"/>
  <c r="X58" i="67"/>
  <c r="N58" i="67"/>
  <c r="L58" i="67"/>
  <c r="B58" i="67"/>
  <c r="X57" i="67"/>
  <c r="Z57" i="67" s="1"/>
  <c r="R57" i="67"/>
  <c r="N57" i="67"/>
  <c r="L57" i="67"/>
  <c r="B57" i="67"/>
  <c r="X56" i="67"/>
  <c r="Z56" i="67" s="1"/>
  <c r="N56" i="67"/>
  <c r="L56" i="67"/>
  <c r="B56" i="67"/>
  <c r="Z55" i="67"/>
  <c r="T55" i="67"/>
  <c r="X55" i="67" s="1"/>
  <c r="P55" i="67"/>
  <c r="H55" i="67"/>
  <c r="N55" i="67" s="1"/>
  <c r="D55" i="67"/>
  <c r="B55" i="67"/>
  <c r="Z54" i="67"/>
  <c r="X54" i="67"/>
  <c r="R54" i="67"/>
  <c r="N54" i="67"/>
  <c r="L54" i="67"/>
  <c r="B54" i="67"/>
  <c r="T53" i="67"/>
  <c r="P53" i="67"/>
  <c r="X53" i="67" s="1"/>
  <c r="N53" i="67"/>
  <c r="H53" i="67"/>
  <c r="D53" i="67"/>
  <c r="B53" i="67"/>
  <c r="X52" i="67"/>
  <c r="Z52" i="67" s="1"/>
  <c r="N52" i="67"/>
  <c r="L52" i="67"/>
  <c r="B52" i="67"/>
  <c r="T51" i="67"/>
  <c r="P51" i="67"/>
  <c r="X51" i="67" s="1"/>
  <c r="H51" i="67"/>
  <c r="D51" i="67"/>
  <c r="L51" i="67" s="1"/>
  <c r="N51" i="67" s="1"/>
  <c r="B51" i="67"/>
  <c r="Z50" i="67"/>
  <c r="X50" i="67"/>
  <c r="N50" i="67"/>
  <c r="L50" i="67"/>
  <c r="B50" i="67"/>
  <c r="T49" i="67"/>
  <c r="P49" i="67"/>
  <c r="L49" i="67"/>
  <c r="H49" i="67"/>
  <c r="N49" i="67" s="1"/>
  <c r="D49" i="67"/>
  <c r="B49" i="67"/>
  <c r="Z48" i="67"/>
  <c r="X48" i="67"/>
  <c r="L48" i="67"/>
  <c r="N48" i="67" s="1"/>
  <c r="B48" i="67"/>
  <c r="T47" i="67"/>
  <c r="P47" i="67"/>
  <c r="L47" i="67"/>
  <c r="H47" i="67"/>
  <c r="N47" i="67" s="1"/>
  <c r="D47" i="67"/>
  <c r="B47" i="67"/>
  <c r="X46" i="67"/>
  <c r="Z46" i="67" s="1"/>
  <c r="N46" i="67"/>
  <c r="L46" i="67"/>
  <c r="B46" i="67"/>
  <c r="T45" i="67"/>
  <c r="P45" i="67"/>
  <c r="X45" i="67" s="1"/>
  <c r="N45" i="67"/>
  <c r="L45" i="67"/>
  <c r="H45" i="67"/>
  <c r="D45" i="67"/>
  <c r="B45" i="67"/>
  <c r="X44" i="67"/>
  <c r="Z44" i="67" s="1"/>
  <c r="N44" i="67"/>
  <c r="L44" i="67"/>
  <c r="B44" i="67"/>
  <c r="T43" i="67"/>
  <c r="P43" i="67"/>
  <c r="X43" i="67" s="1"/>
  <c r="Z43" i="67" s="1"/>
  <c r="L43" i="67"/>
  <c r="H43" i="67"/>
  <c r="N43" i="67" s="1"/>
  <c r="D43" i="67"/>
  <c r="B43" i="67"/>
  <c r="Z42" i="67"/>
  <c r="X42" i="67"/>
  <c r="N42" i="67"/>
  <c r="L42" i="67"/>
  <c r="B42" i="67"/>
  <c r="X41" i="67"/>
  <c r="Z41" i="67" s="1"/>
  <c r="N41" i="67"/>
  <c r="L41" i="67"/>
  <c r="B41" i="67"/>
  <c r="Z40" i="67"/>
  <c r="X40" i="67"/>
  <c r="N40" i="67"/>
  <c r="L40" i="67"/>
  <c r="B40" i="67"/>
  <c r="X39" i="67"/>
  <c r="Z39" i="67" s="1"/>
  <c r="N39" i="67"/>
  <c r="L39" i="67"/>
  <c r="B39" i="67"/>
  <c r="Z38" i="67"/>
  <c r="X38" i="67"/>
  <c r="N38" i="67"/>
  <c r="L38" i="67"/>
  <c r="B38" i="67"/>
  <c r="X37" i="67"/>
  <c r="Z37" i="67" s="1"/>
  <c r="N37" i="67"/>
  <c r="L37" i="67"/>
  <c r="F37" i="67"/>
  <c r="B37" i="67"/>
  <c r="T36" i="67"/>
  <c r="P36" i="67"/>
  <c r="X36" i="67" s="1"/>
  <c r="Z36" i="67" s="1"/>
  <c r="N36" i="67"/>
  <c r="L36" i="67"/>
  <c r="H36" i="67"/>
  <c r="D36" i="67"/>
  <c r="B36" i="67"/>
  <c r="X35" i="67"/>
  <c r="Z35" i="67" s="1"/>
  <c r="N35" i="67"/>
  <c r="L35" i="67"/>
  <c r="B35" i="67"/>
  <c r="Z34" i="67"/>
  <c r="X34" i="67"/>
  <c r="N34" i="67"/>
  <c r="L34" i="67"/>
  <c r="B34" i="67"/>
  <c r="Z33" i="67"/>
  <c r="X33" i="67"/>
  <c r="R33" i="67"/>
  <c r="L33" i="67"/>
  <c r="N33" i="67" s="1"/>
  <c r="B33" i="67"/>
  <c r="X32" i="67"/>
  <c r="Z32" i="67" s="1"/>
  <c r="L32" i="67"/>
  <c r="N32" i="67" s="1"/>
  <c r="B32" i="67"/>
  <c r="X31" i="67"/>
  <c r="Z31" i="67" s="1"/>
  <c r="N31" i="67"/>
  <c r="L31" i="67"/>
  <c r="B31" i="67"/>
  <c r="Z30" i="67"/>
  <c r="X30" i="67"/>
  <c r="N30" i="67"/>
  <c r="L30" i="67"/>
  <c r="B30" i="67"/>
  <c r="Z29" i="67"/>
  <c r="X29" i="67"/>
  <c r="R29" i="67"/>
  <c r="L29" i="67"/>
  <c r="N29" i="67" s="1"/>
  <c r="B29" i="67"/>
  <c r="X28" i="67"/>
  <c r="Z28" i="67" s="1"/>
  <c r="L28" i="67"/>
  <c r="N28" i="67" s="1"/>
  <c r="J28" i="67"/>
  <c r="B28" i="67"/>
  <c r="X27" i="67"/>
  <c r="T27" i="67"/>
  <c r="Z27" i="67" s="1"/>
  <c r="P27" i="67"/>
  <c r="H27" i="67"/>
  <c r="D27" i="67"/>
  <c r="B27" i="67"/>
  <c r="T26" i="67"/>
  <c r="P26" i="67"/>
  <c r="H26" i="67"/>
  <c r="D26" i="67"/>
  <c r="L26" i="67" s="1"/>
  <c r="Z22" i="67"/>
  <c r="X22" i="67"/>
  <c r="L22" i="67"/>
  <c r="N22" i="67" s="1"/>
  <c r="B22" i="67"/>
  <c r="X21" i="67"/>
  <c r="Z21" i="67" s="1"/>
  <c r="L21" i="67"/>
  <c r="N21" i="67" s="1"/>
  <c r="B21" i="67"/>
  <c r="T20" i="67"/>
  <c r="P20" i="67"/>
  <c r="X20" i="67" s="1"/>
  <c r="H20" i="67"/>
  <c r="D20" i="67"/>
  <c r="L20" i="67" s="1"/>
  <c r="T18" i="67"/>
  <c r="P18" i="67"/>
  <c r="H18" i="67"/>
  <c r="L18" i="67" s="1"/>
  <c r="N18" i="67" s="1"/>
  <c r="D18" i="67"/>
  <c r="B18" i="67"/>
  <c r="T17" i="67"/>
  <c r="X17" i="67" s="1"/>
  <c r="Z17" i="67" s="1"/>
  <c r="P17" i="67"/>
  <c r="L17" i="67"/>
  <c r="N17" i="67" s="1"/>
  <c r="H17" i="67"/>
  <c r="D17" i="67"/>
  <c r="B17" i="67"/>
  <c r="T16" i="67"/>
  <c r="P16" i="67"/>
  <c r="X16" i="67" s="1"/>
  <c r="Z16" i="67" s="1"/>
  <c r="N16" i="67"/>
  <c r="L16" i="67"/>
  <c r="H16" i="67"/>
  <c r="D16" i="67"/>
  <c r="B16" i="67"/>
  <c r="T15" i="67"/>
  <c r="P15" i="67"/>
  <c r="H15" i="67"/>
  <c r="D15" i="67"/>
  <c r="L15" i="67" s="1"/>
  <c r="B15" i="67"/>
  <c r="T14" i="67"/>
  <c r="P14" i="67"/>
  <c r="L14" i="67"/>
  <c r="N14" i="67" s="1"/>
  <c r="H14" i="67"/>
  <c r="D14" i="67"/>
  <c r="B14" i="67"/>
  <c r="T13" i="67"/>
  <c r="P13" i="67"/>
  <c r="L13" i="67"/>
  <c r="N13" i="67" s="1"/>
  <c r="H13" i="67"/>
  <c r="H12" i="67" s="1"/>
  <c r="D13" i="67"/>
  <c r="D12" i="67" s="1"/>
  <c r="B13" i="67"/>
  <c r="P12" i="67"/>
  <c r="R75" i="67" s="1"/>
  <c r="D6" i="67"/>
  <c r="D4" i="67"/>
  <c r="X125" i="66"/>
  <c r="Z125" i="66" s="1"/>
  <c r="L125" i="66"/>
  <c r="N125" i="66" s="1"/>
  <c r="T121" i="66"/>
  <c r="P121" i="66"/>
  <c r="X121" i="66" s="1"/>
  <c r="H121" i="66"/>
  <c r="D121" i="66"/>
  <c r="L121" i="66" s="1"/>
  <c r="B121" i="66"/>
  <c r="X120" i="66"/>
  <c r="T120" i="66"/>
  <c r="Z120" i="66" s="1"/>
  <c r="P120" i="66"/>
  <c r="P118" i="66" s="1"/>
  <c r="H120" i="66"/>
  <c r="N120" i="66" s="1"/>
  <c r="D120" i="66"/>
  <c r="B120" i="66"/>
  <c r="T119" i="66"/>
  <c r="X119" i="66" s="1"/>
  <c r="Z119" i="66" s="1"/>
  <c r="P119" i="66"/>
  <c r="L119" i="66"/>
  <c r="H119" i="66"/>
  <c r="N119" i="66" s="1"/>
  <c r="D119" i="66"/>
  <c r="B119" i="66"/>
  <c r="D118" i="66"/>
  <c r="X116" i="66"/>
  <c r="Z116" i="66" s="1"/>
  <c r="N116" i="66"/>
  <c r="L116" i="66"/>
  <c r="B116" i="66"/>
  <c r="T115" i="66"/>
  <c r="P115" i="66"/>
  <c r="X115" i="66" s="1"/>
  <c r="H115" i="66"/>
  <c r="N115" i="66" s="1"/>
  <c r="D115" i="66"/>
  <c r="L115" i="66" s="1"/>
  <c r="B115" i="66"/>
  <c r="X114" i="66"/>
  <c r="Z114" i="66" s="1"/>
  <c r="N114" i="66"/>
  <c r="L114" i="66"/>
  <c r="B114" i="66"/>
  <c r="X113" i="66"/>
  <c r="Z113" i="66" s="1"/>
  <c r="T113" i="66"/>
  <c r="P113" i="66"/>
  <c r="N113" i="66"/>
  <c r="L113" i="66"/>
  <c r="H113" i="66"/>
  <c r="D113" i="66"/>
  <c r="B113" i="66"/>
  <c r="Z112" i="66"/>
  <c r="X112" i="66"/>
  <c r="L112" i="66"/>
  <c r="N112" i="66" s="1"/>
  <c r="B112" i="66"/>
  <c r="X111" i="66"/>
  <c r="Z111" i="66" s="1"/>
  <c r="N111" i="66"/>
  <c r="L111" i="66"/>
  <c r="B111" i="66"/>
  <c r="Z110" i="66"/>
  <c r="X110" i="66"/>
  <c r="T110" i="66"/>
  <c r="P110" i="66"/>
  <c r="H110" i="66"/>
  <c r="D110" i="66"/>
  <c r="L110" i="66" s="1"/>
  <c r="B110" i="66"/>
  <c r="Z109" i="66"/>
  <c r="X109" i="66"/>
  <c r="L109" i="66"/>
  <c r="N109" i="66" s="1"/>
  <c r="B109" i="66"/>
  <c r="X108" i="66"/>
  <c r="Z108" i="66" s="1"/>
  <c r="L108" i="66"/>
  <c r="N108" i="66" s="1"/>
  <c r="B108" i="66"/>
  <c r="X107" i="66"/>
  <c r="Z107" i="66" s="1"/>
  <c r="N107" i="66"/>
  <c r="L107" i="66"/>
  <c r="B107" i="66"/>
  <c r="T106" i="66"/>
  <c r="P106" i="66"/>
  <c r="X106" i="66" s="1"/>
  <c r="Z106" i="66" s="1"/>
  <c r="L106" i="66"/>
  <c r="H106" i="66"/>
  <c r="N106" i="66" s="1"/>
  <c r="D106" i="66"/>
  <c r="B106" i="66"/>
  <c r="X105" i="66"/>
  <c r="Z105" i="66" s="1"/>
  <c r="N105" i="66"/>
  <c r="L105" i="66"/>
  <c r="B105" i="66"/>
  <c r="X104" i="66"/>
  <c r="Z104" i="66" s="1"/>
  <c r="N104" i="66"/>
  <c r="L104" i="66"/>
  <c r="F104" i="66"/>
  <c r="B104" i="66"/>
  <c r="X103" i="66"/>
  <c r="Z103" i="66" s="1"/>
  <c r="T103" i="66"/>
  <c r="P103" i="66"/>
  <c r="L103" i="66"/>
  <c r="N103" i="66" s="1"/>
  <c r="H103" i="66"/>
  <c r="F103" i="66"/>
  <c r="D103" i="66"/>
  <c r="B103" i="66"/>
  <c r="Z102" i="66"/>
  <c r="X102" i="66"/>
  <c r="N102" i="66"/>
  <c r="L102" i="66"/>
  <c r="B102" i="66"/>
  <c r="Z101" i="66"/>
  <c r="X101" i="66"/>
  <c r="N101" i="66"/>
  <c r="L101" i="66"/>
  <c r="B101" i="66"/>
  <c r="T100" i="66"/>
  <c r="P100" i="66"/>
  <c r="X100" i="66" s="1"/>
  <c r="N100" i="66"/>
  <c r="L100" i="66"/>
  <c r="H100" i="66"/>
  <c r="D100" i="66"/>
  <c r="B100" i="66"/>
  <c r="Z99" i="66"/>
  <c r="X99" i="66"/>
  <c r="N99" i="66"/>
  <c r="L99" i="66"/>
  <c r="B99" i="66"/>
  <c r="Z98" i="66"/>
  <c r="X98" i="66"/>
  <c r="L98" i="66"/>
  <c r="N98" i="66" s="1"/>
  <c r="B98" i="66"/>
  <c r="T97" i="66"/>
  <c r="P97" i="66"/>
  <c r="X97" i="66" s="1"/>
  <c r="H97" i="66"/>
  <c r="N97" i="66" s="1"/>
  <c r="D97" i="66"/>
  <c r="L97" i="66" s="1"/>
  <c r="B97" i="66"/>
  <c r="X96" i="66"/>
  <c r="Z96" i="66" s="1"/>
  <c r="N96" i="66"/>
  <c r="L96" i="66"/>
  <c r="F96" i="66"/>
  <c r="B96" i="66"/>
  <c r="X95" i="66"/>
  <c r="Z95" i="66" s="1"/>
  <c r="T95" i="66"/>
  <c r="P95" i="66"/>
  <c r="L95" i="66"/>
  <c r="N95" i="66" s="1"/>
  <c r="H95" i="66"/>
  <c r="F95" i="66"/>
  <c r="D95" i="66"/>
  <c r="B95" i="66"/>
  <c r="Z94" i="66"/>
  <c r="X94" i="66"/>
  <c r="N94" i="66"/>
  <c r="L94" i="66"/>
  <c r="B94" i="66"/>
  <c r="Z93" i="66"/>
  <c r="X93" i="66"/>
  <c r="N93" i="66"/>
  <c r="L93" i="66"/>
  <c r="B93" i="66"/>
  <c r="T92" i="66"/>
  <c r="P92" i="66"/>
  <c r="N92" i="66"/>
  <c r="L92" i="66"/>
  <c r="H92" i="66"/>
  <c r="D92" i="66"/>
  <c r="B92" i="66"/>
  <c r="X91" i="66"/>
  <c r="Z91" i="66" s="1"/>
  <c r="L91" i="66"/>
  <c r="N91" i="66" s="1"/>
  <c r="B91" i="66"/>
  <c r="T90" i="66"/>
  <c r="P90" i="66"/>
  <c r="X90" i="66" s="1"/>
  <c r="Z90" i="66" s="1"/>
  <c r="L90" i="66"/>
  <c r="H90" i="66"/>
  <c r="N90" i="66" s="1"/>
  <c r="D90" i="66"/>
  <c r="B90" i="66"/>
  <c r="X89" i="66"/>
  <c r="Z89" i="66" s="1"/>
  <c r="N89" i="66"/>
  <c r="L89" i="66"/>
  <c r="F89" i="66"/>
  <c r="B89" i="66"/>
  <c r="T88" i="66"/>
  <c r="P88" i="66"/>
  <c r="L88" i="66"/>
  <c r="H88" i="66"/>
  <c r="N88" i="66" s="1"/>
  <c r="F88" i="66"/>
  <c r="D88" i="66"/>
  <c r="B88" i="66"/>
  <c r="X87" i="66"/>
  <c r="Z87" i="66" s="1"/>
  <c r="N87" i="66"/>
  <c r="L87" i="66"/>
  <c r="B87" i="66"/>
  <c r="Z86" i="66"/>
  <c r="X86" i="66"/>
  <c r="N86" i="66"/>
  <c r="L86" i="66"/>
  <c r="B86" i="66"/>
  <c r="Z85" i="66"/>
  <c r="T85" i="66"/>
  <c r="P85" i="66"/>
  <c r="X85" i="66" s="1"/>
  <c r="L85" i="66"/>
  <c r="H85" i="66"/>
  <c r="N85" i="66" s="1"/>
  <c r="D85" i="66"/>
  <c r="B85" i="66"/>
  <c r="X84" i="66"/>
  <c r="Z84" i="66" s="1"/>
  <c r="N84" i="66"/>
  <c r="L84" i="66"/>
  <c r="B84" i="66"/>
  <c r="T83" i="66"/>
  <c r="Z83" i="66" s="1"/>
  <c r="P83" i="66"/>
  <c r="X83" i="66" s="1"/>
  <c r="H83" i="66"/>
  <c r="N83" i="66" s="1"/>
  <c r="D83" i="66"/>
  <c r="L83" i="66" s="1"/>
  <c r="B83" i="66"/>
  <c r="Z82" i="66"/>
  <c r="X82" i="66"/>
  <c r="N82" i="66"/>
  <c r="L82" i="66"/>
  <c r="B82" i="66"/>
  <c r="X81" i="66"/>
  <c r="Z81" i="66" s="1"/>
  <c r="N81" i="66"/>
  <c r="L81" i="66"/>
  <c r="F81" i="66"/>
  <c r="B81" i="66"/>
  <c r="X80" i="66"/>
  <c r="Z80" i="66" s="1"/>
  <c r="N80" i="66"/>
  <c r="L80" i="66"/>
  <c r="F80" i="66"/>
  <c r="B80" i="66"/>
  <c r="X79" i="66"/>
  <c r="Z79" i="66" s="1"/>
  <c r="L79" i="66"/>
  <c r="N79" i="66" s="1"/>
  <c r="B79" i="66"/>
  <c r="X78" i="66"/>
  <c r="Z78" i="66" s="1"/>
  <c r="N78" i="66"/>
  <c r="L78" i="66"/>
  <c r="B78" i="66"/>
  <c r="X77" i="66"/>
  <c r="Z77" i="66" s="1"/>
  <c r="N77" i="66"/>
  <c r="L77" i="66"/>
  <c r="F77" i="66"/>
  <c r="B77" i="66"/>
  <c r="Z76" i="66"/>
  <c r="X76" i="66"/>
  <c r="N76" i="66"/>
  <c r="L76" i="66"/>
  <c r="F76" i="66"/>
  <c r="B76" i="66"/>
  <c r="X75" i="66"/>
  <c r="Z75" i="66" s="1"/>
  <c r="T75" i="66"/>
  <c r="P75" i="66"/>
  <c r="L75" i="66"/>
  <c r="H75" i="66"/>
  <c r="N75" i="66" s="1"/>
  <c r="F75" i="66"/>
  <c r="D75" i="66"/>
  <c r="B75" i="66"/>
  <c r="Z74" i="66"/>
  <c r="X74" i="66"/>
  <c r="N74" i="66"/>
  <c r="L74" i="66"/>
  <c r="B74" i="66"/>
  <c r="Z73" i="66"/>
  <c r="X73" i="66"/>
  <c r="N73" i="66"/>
  <c r="L73" i="66"/>
  <c r="B73" i="66"/>
  <c r="Z72" i="66"/>
  <c r="X72" i="66"/>
  <c r="L72" i="66"/>
  <c r="N72" i="66" s="1"/>
  <c r="B72" i="66"/>
  <c r="X71" i="66"/>
  <c r="Z71" i="66" s="1"/>
  <c r="L71" i="66"/>
  <c r="N71" i="66" s="1"/>
  <c r="B71" i="66"/>
  <c r="Z70" i="66"/>
  <c r="X70" i="66"/>
  <c r="N70" i="66"/>
  <c r="L70" i="66"/>
  <c r="B70" i="66"/>
  <c r="Z69" i="66"/>
  <c r="X69" i="66"/>
  <c r="N69" i="66"/>
  <c r="L69" i="66"/>
  <c r="B69" i="66"/>
  <c r="Z68" i="66"/>
  <c r="X68" i="66"/>
  <c r="L68" i="66"/>
  <c r="N68" i="66" s="1"/>
  <c r="B68" i="66"/>
  <c r="X67" i="66"/>
  <c r="Z67" i="66" s="1"/>
  <c r="L67" i="66"/>
  <c r="N67" i="66" s="1"/>
  <c r="B67" i="66"/>
  <c r="Z66" i="66"/>
  <c r="X66" i="66"/>
  <c r="N66" i="66"/>
  <c r="L66" i="66"/>
  <c r="B66" i="66"/>
  <c r="T65" i="66"/>
  <c r="P65" i="66"/>
  <c r="X65" i="66" s="1"/>
  <c r="Z65" i="66" s="1"/>
  <c r="L65" i="66"/>
  <c r="H65" i="66"/>
  <c r="N65" i="66" s="1"/>
  <c r="D65" i="66"/>
  <c r="B65" i="66"/>
  <c r="X64" i="66"/>
  <c r="T64" i="66"/>
  <c r="P64" i="66"/>
  <c r="H64" i="66"/>
  <c r="D64" i="66"/>
  <c r="D62" i="66"/>
  <c r="X60" i="66"/>
  <c r="Z60" i="66" s="1"/>
  <c r="N60" i="66"/>
  <c r="L60" i="66"/>
  <c r="B60" i="66"/>
  <c r="Z59" i="66"/>
  <c r="X59" i="66"/>
  <c r="N59" i="66"/>
  <c r="L59" i="66"/>
  <c r="B59" i="66"/>
  <c r="Z58" i="66"/>
  <c r="X58" i="66"/>
  <c r="N58" i="66"/>
  <c r="L58" i="66"/>
  <c r="B58" i="66"/>
  <c r="Z57" i="66"/>
  <c r="X57" i="66"/>
  <c r="L57" i="66"/>
  <c r="N57" i="66" s="1"/>
  <c r="B57" i="66"/>
  <c r="X56" i="66"/>
  <c r="Z56" i="66" s="1"/>
  <c r="L56" i="66"/>
  <c r="N56" i="66" s="1"/>
  <c r="B56" i="66"/>
  <c r="Z55" i="66"/>
  <c r="X55" i="66"/>
  <c r="N55" i="66"/>
  <c r="L55" i="66"/>
  <c r="B55" i="66"/>
  <c r="Z54" i="66"/>
  <c r="X54" i="66"/>
  <c r="L54" i="66"/>
  <c r="N54" i="66" s="1"/>
  <c r="B54" i="66"/>
  <c r="Z53" i="66"/>
  <c r="X53" i="66"/>
  <c r="L53" i="66"/>
  <c r="N53" i="66" s="1"/>
  <c r="B53" i="66"/>
  <c r="X52" i="66"/>
  <c r="Z52" i="66" s="1"/>
  <c r="L52" i="66"/>
  <c r="N52" i="66" s="1"/>
  <c r="B52" i="66"/>
  <c r="X51" i="66"/>
  <c r="Z51" i="66" s="1"/>
  <c r="N51" i="66"/>
  <c r="L51" i="66"/>
  <c r="B51" i="66"/>
  <c r="Z50" i="66"/>
  <c r="X50" i="66"/>
  <c r="L50" i="66"/>
  <c r="N50" i="66" s="1"/>
  <c r="B50" i="66"/>
  <c r="Z49" i="66"/>
  <c r="X49" i="66"/>
  <c r="L49" i="66"/>
  <c r="N49" i="66" s="1"/>
  <c r="B49" i="66"/>
  <c r="X48" i="66"/>
  <c r="Z48" i="66" s="1"/>
  <c r="L48" i="66"/>
  <c r="N48" i="66" s="1"/>
  <c r="B48" i="66"/>
  <c r="X47" i="66"/>
  <c r="Z47" i="66" s="1"/>
  <c r="N47" i="66"/>
  <c r="L47" i="66"/>
  <c r="B47" i="66"/>
  <c r="Z46" i="66"/>
  <c r="X46" i="66"/>
  <c r="L46" i="66"/>
  <c r="N46" i="66" s="1"/>
  <c r="B46" i="66"/>
  <c r="Z45" i="66"/>
  <c r="X45" i="66"/>
  <c r="L45" i="66"/>
  <c r="N45" i="66" s="1"/>
  <c r="B45" i="66"/>
  <c r="Z44" i="66"/>
  <c r="X44" i="66"/>
  <c r="N44" i="66"/>
  <c r="L44" i="66"/>
  <c r="B44" i="66"/>
  <c r="T43" i="66"/>
  <c r="P43" i="66"/>
  <c r="X43" i="66" s="1"/>
  <c r="H43" i="66"/>
  <c r="D43" i="66"/>
  <c r="L43" i="66" s="1"/>
  <c r="T41" i="66"/>
  <c r="P41" i="66"/>
  <c r="L41" i="66"/>
  <c r="N41" i="66" s="1"/>
  <c r="H41" i="66"/>
  <c r="D41" i="66"/>
  <c r="B41" i="66"/>
  <c r="T40" i="66"/>
  <c r="P40" i="66"/>
  <c r="X40" i="66" s="1"/>
  <c r="Z40" i="66" s="1"/>
  <c r="L40" i="66"/>
  <c r="N40" i="66" s="1"/>
  <c r="H40" i="66"/>
  <c r="D40" i="66"/>
  <c r="B40" i="66"/>
  <c r="T39" i="66"/>
  <c r="Z39" i="66" s="1"/>
  <c r="P39" i="66"/>
  <c r="X39" i="66" s="1"/>
  <c r="L39" i="66"/>
  <c r="H39" i="66"/>
  <c r="N39" i="66" s="1"/>
  <c r="D39" i="66"/>
  <c r="B39" i="66"/>
  <c r="T38" i="66"/>
  <c r="P38" i="66"/>
  <c r="H38" i="66"/>
  <c r="N38" i="66" s="1"/>
  <c r="D38" i="66"/>
  <c r="B38" i="66"/>
  <c r="T37" i="66"/>
  <c r="P37" i="66"/>
  <c r="N37" i="66"/>
  <c r="L37" i="66"/>
  <c r="H37" i="66"/>
  <c r="D37" i="66"/>
  <c r="B37" i="66"/>
  <c r="T36" i="66"/>
  <c r="P36" i="66"/>
  <c r="X36" i="66" s="1"/>
  <c r="Z36" i="66" s="1"/>
  <c r="L36" i="66"/>
  <c r="H36" i="66"/>
  <c r="N36" i="66" s="1"/>
  <c r="D36" i="66"/>
  <c r="B36" i="66"/>
  <c r="T35" i="66"/>
  <c r="Z35" i="66" s="1"/>
  <c r="P35" i="66"/>
  <c r="X35" i="66" s="1"/>
  <c r="N35" i="66"/>
  <c r="L35" i="66"/>
  <c r="H35" i="66"/>
  <c r="D35" i="66"/>
  <c r="B35" i="66"/>
  <c r="T34" i="66"/>
  <c r="P34" i="66"/>
  <c r="H34" i="66"/>
  <c r="N34" i="66" s="1"/>
  <c r="D34" i="66"/>
  <c r="B34" i="66"/>
  <c r="T33" i="66"/>
  <c r="P33" i="66"/>
  <c r="L33" i="66"/>
  <c r="N33" i="66" s="1"/>
  <c r="H33" i="66"/>
  <c r="D33" i="66"/>
  <c r="B33" i="66"/>
  <c r="T32" i="66"/>
  <c r="X32" i="66" s="1"/>
  <c r="Z32" i="66" s="1"/>
  <c r="P32" i="66"/>
  <c r="N32" i="66"/>
  <c r="L32" i="66"/>
  <c r="H32" i="66"/>
  <c r="D32" i="66"/>
  <c r="B32" i="66"/>
  <c r="T31" i="66"/>
  <c r="Z31" i="66" s="1"/>
  <c r="P31" i="66"/>
  <c r="X31" i="66" s="1"/>
  <c r="N31" i="66"/>
  <c r="L31" i="66"/>
  <c r="H31" i="66"/>
  <c r="D31" i="66"/>
  <c r="B31" i="66"/>
  <c r="T30" i="66"/>
  <c r="P30" i="66"/>
  <c r="H30" i="66"/>
  <c r="D30" i="66"/>
  <c r="B30" i="66"/>
  <c r="T29" i="66"/>
  <c r="P29" i="66"/>
  <c r="L29" i="66"/>
  <c r="N29" i="66" s="1"/>
  <c r="H29" i="66"/>
  <c r="D29" i="66"/>
  <c r="B29" i="66"/>
  <c r="T28" i="66"/>
  <c r="X28" i="66" s="1"/>
  <c r="Z28" i="66" s="1"/>
  <c r="P28" i="66"/>
  <c r="L28" i="66"/>
  <c r="N28" i="66" s="1"/>
  <c r="H28" i="66"/>
  <c r="D28" i="66"/>
  <c r="B28" i="66"/>
  <c r="T27" i="66"/>
  <c r="Z27" i="66" s="1"/>
  <c r="P27" i="66"/>
  <c r="X27" i="66" s="1"/>
  <c r="L27" i="66"/>
  <c r="H27" i="66"/>
  <c r="N27" i="66" s="1"/>
  <c r="D27" i="66"/>
  <c r="B27" i="66"/>
  <c r="T26" i="66"/>
  <c r="P26" i="66"/>
  <c r="H26" i="66"/>
  <c r="D26" i="66"/>
  <c r="B26" i="66"/>
  <c r="T25" i="66"/>
  <c r="P25" i="66"/>
  <c r="L25" i="66"/>
  <c r="N25" i="66" s="1"/>
  <c r="H25" i="66"/>
  <c r="D25" i="66"/>
  <c r="B25" i="66"/>
  <c r="T24" i="66"/>
  <c r="X24" i="66" s="1"/>
  <c r="Z24" i="66" s="1"/>
  <c r="P24" i="66"/>
  <c r="L24" i="66"/>
  <c r="H24" i="66"/>
  <c r="N24" i="66" s="1"/>
  <c r="D24" i="66"/>
  <c r="B24" i="66"/>
  <c r="T23" i="66"/>
  <c r="Z23" i="66" s="1"/>
  <c r="P23" i="66"/>
  <c r="X23" i="66" s="1"/>
  <c r="L23" i="66"/>
  <c r="N23" i="66" s="1"/>
  <c r="H23" i="66"/>
  <c r="D23" i="66"/>
  <c r="B23" i="66"/>
  <c r="T22" i="66"/>
  <c r="P22" i="66"/>
  <c r="H22" i="66"/>
  <c r="D22" i="66"/>
  <c r="B22" i="66"/>
  <c r="T21" i="66"/>
  <c r="P21" i="66"/>
  <c r="N21" i="66"/>
  <c r="L21" i="66"/>
  <c r="H21" i="66"/>
  <c r="D21" i="66"/>
  <c r="B21" i="66"/>
  <c r="T20" i="66"/>
  <c r="X20" i="66" s="1"/>
  <c r="Z20" i="66" s="1"/>
  <c r="P20" i="66"/>
  <c r="N20" i="66"/>
  <c r="L20" i="66"/>
  <c r="H20" i="66"/>
  <c r="D20" i="66"/>
  <c r="B20" i="66"/>
  <c r="T19" i="66"/>
  <c r="Z19" i="66" s="1"/>
  <c r="P19" i="66"/>
  <c r="X19" i="66" s="1"/>
  <c r="L19" i="66"/>
  <c r="N19" i="66" s="1"/>
  <c r="H19" i="66"/>
  <c r="D19" i="66"/>
  <c r="B19" i="66"/>
  <c r="T18" i="66"/>
  <c r="P18" i="66"/>
  <c r="H18" i="66"/>
  <c r="N18" i="66" s="1"/>
  <c r="D18" i="66"/>
  <c r="B18" i="66"/>
  <c r="T17" i="66"/>
  <c r="P17" i="66"/>
  <c r="N17" i="66"/>
  <c r="L17" i="66"/>
  <c r="H17" i="66"/>
  <c r="D17" i="66"/>
  <c r="B17" i="66"/>
  <c r="T16" i="66"/>
  <c r="X16" i="66" s="1"/>
  <c r="Z16" i="66" s="1"/>
  <c r="P16" i="66"/>
  <c r="N16" i="66"/>
  <c r="L16" i="66"/>
  <c r="H16" i="66"/>
  <c r="D16" i="66"/>
  <c r="B16" i="66"/>
  <c r="T15" i="66"/>
  <c r="P15" i="66"/>
  <c r="X15" i="66" s="1"/>
  <c r="L15" i="66"/>
  <c r="N15" i="66" s="1"/>
  <c r="H15" i="66"/>
  <c r="D15" i="66"/>
  <c r="B15" i="66"/>
  <c r="T14" i="66"/>
  <c r="P14" i="66"/>
  <c r="H14" i="66"/>
  <c r="D14" i="66"/>
  <c r="B14" i="66"/>
  <c r="T13" i="66"/>
  <c r="P13" i="66"/>
  <c r="N13" i="66"/>
  <c r="L13" i="66"/>
  <c r="H13" i="66"/>
  <c r="H12" i="66" s="1"/>
  <c r="J97" i="66" s="1"/>
  <c r="D13" i="66"/>
  <c r="B13" i="66"/>
  <c r="D12" i="66"/>
  <c r="F111" i="66" s="1"/>
  <c r="D6" i="66"/>
  <c r="D4" i="66"/>
  <c r="X70" i="65"/>
  <c r="Z70" i="65" s="1"/>
  <c r="N70" i="65"/>
  <c r="L70" i="65"/>
  <c r="X66" i="65"/>
  <c r="T66" i="65"/>
  <c r="Z66" i="65" s="1"/>
  <c r="P66" i="65"/>
  <c r="N66" i="65"/>
  <c r="H66" i="65"/>
  <c r="D66" i="65"/>
  <c r="L66" i="65" s="1"/>
  <c r="X64" i="65"/>
  <c r="Z64" i="65" s="1"/>
  <c r="L64" i="65"/>
  <c r="N64" i="65" s="1"/>
  <c r="B64" i="65"/>
  <c r="T63" i="65"/>
  <c r="P63" i="65"/>
  <c r="X63" i="65" s="1"/>
  <c r="Z63" i="65" s="1"/>
  <c r="H63" i="65"/>
  <c r="N63" i="65" s="1"/>
  <c r="D63" i="65"/>
  <c r="L63" i="65" s="1"/>
  <c r="B63" i="65"/>
  <c r="X62" i="65"/>
  <c r="Z62" i="65" s="1"/>
  <c r="N62" i="65"/>
  <c r="L62" i="65"/>
  <c r="B62" i="65"/>
  <c r="X61" i="65"/>
  <c r="Z61" i="65" s="1"/>
  <c r="N61" i="65"/>
  <c r="L61" i="65"/>
  <c r="B61" i="65"/>
  <c r="X60" i="65"/>
  <c r="Z60" i="65" s="1"/>
  <c r="N60" i="65"/>
  <c r="L60" i="65"/>
  <c r="F60" i="65"/>
  <c r="B60" i="65"/>
  <c r="X59" i="65"/>
  <c r="Z59" i="65" s="1"/>
  <c r="T59" i="65"/>
  <c r="P59" i="65"/>
  <c r="L59" i="65"/>
  <c r="H59" i="65"/>
  <c r="N59" i="65" s="1"/>
  <c r="F59" i="65"/>
  <c r="D59" i="65"/>
  <c r="B59" i="65"/>
  <c r="Z58" i="65"/>
  <c r="X58" i="65"/>
  <c r="N58" i="65"/>
  <c r="L58" i="65"/>
  <c r="B58" i="65"/>
  <c r="Z57" i="65"/>
  <c r="X57" i="65"/>
  <c r="R57" i="65"/>
  <c r="N57" i="65"/>
  <c r="L57" i="65"/>
  <c r="B57" i="65"/>
  <c r="Z56" i="65"/>
  <c r="X56" i="65"/>
  <c r="R56" i="65"/>
  <c r="N56" i="65"/>
  <c r="L56" i="65"/>
  <c r="B56" i="65"/>
  <c r="X55" i="65"/>
  <c r="T55" i="65"/>
  <c r="Z55" i="65" s="1"/>
  <c r="P55" i="65"/>
  <c r="H55" i="65"/>
  <c r="D55" i="65"/>
  <c r="L55" i="65" s="1"/>
  <c r="N55" i="65" s="1"/>
  <c r="B55" i="65"/>
  <c r="Z54" i="65"/>
  <c r="X54" i="65"/>
  <c r="N54" i="65"/>
  <c r="L54" i="65"/>
  <c r="B54" i="65"/>
  <c r="X53" i="65"/>
  <c r="Z53" i="65" s="1"/>
  <c r="N53" i="65"/>
  <c r="L53" i="65"/>
  <c r="B53" i="65"/>
  <c r="X52" i="65"/>
  <c r="T52" i="65"/>
  <c r="Z52" i="65" s="1"/>
  <c r="P52" i="65"/>
  <c r="N52" i="65"/>
  <c r="H52" i="65"/>
  <c r="D52" i="65"/>
  <c r="L52" i="65" s="1"/>
  <c r="B52" i="65"/>
  <c r="X51" i="65"/>
  <c r="Z51" i="65" s="1"/>
  <c r="N51" i="65"/>
  <c r="L51" i="65"/>
  <c r="B51" i="65"/>
  <c r="X50" i="65"/>
  <c r="T50" i="65"/>
  <c r="Z50" i="65" s="1"/>
  <c r="R50" i="65"/>
  <c r="P50" i="65"/>
  <c r="H50" i="65"/>
  <c r="N50" i="65" s="1"/>
  <c r="D50" i="65"/>
  <c r="L50" i="65" s="1"/>
  <c r="B50" i="65"/>
  <c r="Z49" i="65"/>
  <c r="X49" i="65"/>
  <c r="R49" i="65"/>
  <c r="N49" i="65"/>
  <c r="L49" i="65"/>
  <c r="B49" i="65"/>
  <c r="T48" i="65"/>
  <c r="P48" i="65"/>
  <c r="N48" i="65"/>
  <c r="H48" i="65"/>
  <c r="D48" i="65"/>
  <c r="L48" i="65" s="1"/>
  <c r="B48" i="65"/>
  <c r="Z47" i="65"/>
  <c r="X47" i="65"/>
  <c r="N47" i="65"/>
  <c r="L47" i="65"/>
  <c r="B47" i="65"/>
  <c r="T46" i="65"/>
  <c r="P46" i="65"/>
  <c r="X46" i="65" s="1"/>
  <c r="Z46" i="65" s="1"/>
  <c r="L46" i="65"/>
  <c r="H46" i="65"/>
  <c r="N46" i="65" s="1"/>
  <c r="D46" i="65"/>
  <c r="B46" i="65"/>
  <c r="Z45" i="65"/>
  <c r="X45" i="65"/>
  <c r="N45" i="65"/>
  <c r="L45" i="65"/>
  <c r="B45" i="65"/>
  <c r="X44" i="65"/>
  <c r="T44" i="65"/>
  <c r="Z44" i="65" s="1"/>
  <c r="P44" i="65"/>
  <c r="L44" i="65"/>
  <c r="H44" i="65"/>
  <c r="D44" i="65"/>
  <c r="B44" i="65"/>
  <c r="X43" i="65"/>
  <c r="Z43" i="65" s="1"/>
  <c r="N43" i="65"/>
  <c r="L43" i="65"/>
  <c r="B43" i="65"/>
  <c r="T42" i="65"/>
  <c r="P42" i="65"/>
  <c r="X42" i="65" s="1"/>
  <c r="Z42" i="65" s="1"/>
  <c r="H42" i="65"/>
  <c r="N42" i="65" s="1"/>
  <c r="D42" i="65"/>
  <c r="L42" i="65" s="1"/>
  <c r="B42" i="65"/>
  <c r="X41" i="65"/>
  <c r="Z41" i="65" s="1"/>
  <c r="N41" i="65"/>
  <c r="L41" i="65"/>
  <c r="B41" i="65"/>
  <c r="X40" i="65"/>
  <c r="T40" i="65"/>
  <c r="Z40" i="65" s="1"/>
  <c r="P40" i="65"/>
  <c r="N40" i="65"/>
  <c r="H40" i="65"/>
  <c r="D40" i="65"/>
  <c r="L40" i="65" s="1"/>
  <c r="B40" i="65"/>
  <c r="X39" i="65"/>
  <c r="Z39" i="65" s="1"/>
  <c r="N39" i="65"/>
  <c r="L39" i="65"/>
  <c r="B39" i="65"/>
  <c r="X38" i="65"/>
  <c r="T38" i="65"/>
  <c r="R38" i="65"/>
  <c r="P38" i="65"/>
  <c r="L38" i="65"/>
  <c r="H38" i="65"/>
  <c r="N38" i="65" s="1"/>
  <c r="D38" i="65"/>
  <c r="B38" i="65"/>
  <c r="Z37" i="65"/>
  <c r="X37" i="65"/>
  <c r="R37" i="65"/>
  <c r="N37" i="65"/>
  <c r="L37" i="65"/>
  <c r="B37" i="65"/>
  <c r="X36" i="65"/>
  <c r="Z36" i="65" s="1"/>
  <c r="R36" i="65"/>
  <c r="N36" i="65"/>
  <c r="L36" i="65"/>
  <c r="B36" i="65"/>
  <c r="X35" i="65"/>
  <c r="Z35" i="65" s="1"/>
  <c r="N35" i="65"/>
  <c r="L35" i="65"/>
  <c r="J35" i="65"/>
  <c r="B35" i="65"/>
  <c r="Z34" i="65"/>
  <c r="X34" i="65"/>
  <c r="N34" i="65"/>
  <c r="L34" i="65"/>
  <c r="B34" i="65"/>
  <c r="Z33" i="65"/>
  <c r="X33" i="65"/>
  <c r="R33" i="65"/>
  <c r="N33" i="65"/>
  <c r="L33" i="65"/>
  <c r="B33" i="65"/>
  <c r="T32" i="65"/>
  <c r="P32" i="65"/>
  <c r="N32" i="65"/>
  <c r="H32" i="65"/>
  <c r="D32" i="65"/>
  <c r="L32" i="65" s="1"/>
  <c r="B32" i="65"/>
  <c r="X31" i="65"/>
  <c r="Z31" i="65" s="1"/>
  <c r="N31" i="65"/>
  <c r="L31" i="65"/>
  <c r="B31" i="65"/>
  <c r="Z30" i="65"/>
  <c r="X30" i="65"/>
  <c r="N30" i="65"/>
  <c r="L30" i="65"/>
  <c r="B30" i="65"/>
  <c r="Z29" i="65"/>
  <c r="X29" i="65"/>
  <c r="N29" i="65"/>
  <c r="L29" i="65"/>
  <c r="B29" i="65"/>
  <c r="X28" i="65"/>
  <c r="Z28" i="65" s="1"/>
  <c r="N28" i="65"/>
  <c r="L28" i="65"/>
  <c r="B28" i="65"/>
  <c r="X27" i="65"/>
  <c r="Z27" i="65" s="1"/>
  <c r="N27" i="65"/>
  <c r="L27" i="65"/>
  <c r="B27" i="65"/>
  <c r="Z26" i="65"/>
  <c r="X26" i="65"/>
  <c r="N26" i="65"/>
  <c r="L26" i="65"/>
  <c r="B26" i="65"/>
  <c r="X25" i="65"/>
  <c r="Z25" i="65" s="1"/>
  <c r="N25" i="65"/>
  <c r="L25" i="65"/>
  <c r="B25" i="65"/>
  <c r="X24" i="65"/>
  <c r="Z24" i="65" s="1"/>
  <c r="N24" i="65"/>
  <c r="L24" i="65"/>
  <c r="B24" i="65"/>
  <c r="T23" i="65"/>
  <c r="Z23" i="65" s="1"/>
  <c r="P23" i="65"/>
  <c r="X23" i="65" s="1"/>
  <c r="H23" i="65"/>
  <c r="N23" i="65" s="1"/>
  <c r="D23" i="65"/>
  <c r="L23" i="65" s="1"/>
  <c r="B23" i="65"/>
  <c r="T22" i="65"/>
  <c r="R22" i="65"/>
  <c r="P22" i="65"/>
  <c r="H22" i="65"/>
  <c r="D22" i="65"/>
  <c r="L22" i="65" s="1"/>
  <c r="R20" i="65"/>
  <c r="X18" i="65"/>
  <c r="Z18" i="65" s="1"/>
  <c r="N18" i="65"/>
  <c r="L18" i="65"/>
  <c r="B18" i="65"/>
  <c r="Z17" i="65"/>
  <c r="X17" i="65"/>
  <c r="N17" i="65"/>
  <c r="L17" i="65"/>
  <c r="B17" i="65"/>
  <c r="T16" i="65"/>
  <c r="Z16" i="65" s="1"/>
  <c r="P16" i="65"/>
  <c r="X16" i="65" s="1"/>
  <c r="L16" i="65"/>
  <c r="H16" i="65"/>
  <c r="D16" i="65"/>
  <c r="T14" i="65"/>
  <c r="Z14" i="65" s="1"/>
  <c r="P14" i="65"/>
  <c r="X14" i="65" s="1"/>
  <c r="N14" i="65"/>
  <c r="H14" i="65"/>
  <c r="D14" i="65"/>
  <c r="L14" i="65" s="1"/>
  <c r="B14" i="65"/>
  <c r="X13" i="65"/>
  <c r="Z13" i="65" s="1"/>
  <c r="T13" i="65"/>
  <c r="T12" i="65" s="1"/>
  <c r="V31" i="65" s="1"/>
  <c r="P13" i="65"/>
  <c r="L13" i="65"/>
  <c r="H13" i="65"/>
  <c r="H12" i="65" s="1"/>
  <c r="D13" i="65"/>
  <c r="D12" i="65" s="1"/>
  <c r="B13" i="65"/>
  <c r="P12" i="65"/>
  <c r="R48" i="65" s="1"/>
  <c r="D6" i="65"/>
  <c r="D4" i="65"/>
  <c r="X123" i="64"/>
  <c r="Z123" i="64" s="1"/>
  <c r="L123" i="64"/>
  <c r="N123" i="64" s="1"/>
  <c r="T119" i="64"/>
  <c r="P119" i="64"/>
  <c r="X119" i="64" s="1"/>
  <c r="L119" i="64"/>
  <c r="H119" i="64"/>
  <c r="N119" i="64" s="1"/>
  <c r="D119" i="64"/>
  <c r="D118" i="64" s="1"/>
  <c r="L118" i="64" s="1"/>
  <c r="B119" i="64"/>
  <c r="N118" i="64"/>
  <c r="H118" i="64"/>
  <c r="X116" i="64"/>
  <c r="Z116" i="64" s="1"/>
  <c r="N116" i="64"/>
  <c r="L116" i="64"/>
  <c r="B116" i="64"/>
  <c r="T115" i="64"/>
  <c r="P115" i="64"/>
  <c r="X115" i="64" s="1"/>
  <c r="Z115" i="64" s="1"/>
  <c r="H115" i="64"/>
  <c r="N115" i="64" s="1"/>
  <c r="D115" i="64"/>
  <c r="L115" i="64" s="1"/>
  <c r="B115" i="64"/>
  <c r="X114" i="64"/>
  <c r="Z114" i="64" s="1"/>
  <c r="N114" i="64"/>
  <c r="L114" i="64"/>
  <c r="B114" i="64"/>
  <c r="X113" i="64"/>
  <c r="T113" i="64"/>
  <c r="Z113" i="64" s="1"/>
  <c r="P113" i="64"/>
  <c r="H113" i="64"/>
  <c r="N113" i="64" s="1"/>
  <c r="D113" i="64"/>
  <c r="L113" i="64" s="1"/>
  <c r="B113" i="64"/>
  <c r="X112" i="64"/>
  <c r="Z112" i="64" s="1"/>
  <c r="N112" i="64"/>
  <c r="L112" i="64"/>
  <c r="B112" i="64"/>
  <c r="X111" i="64"/>
  <c r="Z111" i="64" s="1"/>
  <c r="N111" i="64"/>
  <c r="L111" i="64"/>
  <c r="B111" i="64"/>
  <c r="Z110" i="64"/>
  <c r="X110" i="64"/>
  <c r="N110" i="64"/>
  <c r="L110" i="64"/>
  <c r="B110" i="64"/>
  <c r="Z109" i="64"/>
  <c r="X109" i="64"/>
  <c r="N109" i="64"/>
  <c r="L109" i="64"/>
  <c r="B109" i="64"/>
  <c r="X108" i="64"/>
  <c r="Z108" i="64" s="1"/>
  <c r="T108" i="64"/>
  <c r="P108" i="64"/>
  <c r="H108" i="64"/>
  <c r="N108" i="64" s="1"/>
  <c r="D108" i="64"/>
  <c r="L108" i="64" s="1"/>
  <c r="B108" i="64"/>
  <c r="Z107" i="64"/>
  <c r="X107" i="64"/>
  <c r="N107" i="64"/>
  <c r="L107" i="64"/>
  <c r="B107" i="64"/>
  <c r="Z106" i="64"/>
  <c r="X106" i="64"/>
  <c r="N106" i="64"/>
  <c r="L106" i="64"/>
  <c r="B106" i="64"/>
  <c r="T105" i="64"/>
  <c r="P105" i="64"/>
  <c r="H105" i="64"/>
  <c r="D105" i="64"/>
  <c r="L105" i="64" s="1"/>
  <c r="N105" i="64" s="1"/>
  <c r="B105" i="64"/>
  <c r="X104" i="64"/>
  <c r="Z104" i="64" s="1"/>
  <c r="N104" i="64"/>
  <c r="L104" i="64"/>
  <c r="B104" i="64"/>
  <c r="X103" i="64"/>
  <c r="Z103" i="64" s="1"/>
  <c r="N103" i="64"/>
  <c r="L103" i="64"/>
  <c r="B103" i="64"/>
  <c r="T102" i="64"/>
  <c r="P102" i="64"/>
  <c r="X102" i="64" s="1"/>
  <c r="H102" i="64"/>
  <c r="N102" i="64" s="1"/>
  <c r="D102" i="64"/>
  <c r="L102" i="64" s="1"/>
  <c r="B102" i="64"/>
  <c r="X101" i="64"/>
  <c r="Z101" i="64" s="1"/>
  <c r="N101" i="64"/>
  <c r="L101" i="64"/>
  <c r="B101" i="64"/>
  <c r="X100" i="64"/>
  <c r="Z100" i="64" s="1"/>
  <c r="T100" i="64"/>
  <c r="P100" i="64"/>
  <c r="H100" i="64"/>
  <c r="N100" i="64" s="1"/>
  <c r="D100" i="64"/>
  <c r="L100" i="64" s="1"/>
  <c r="B100" i="64"/>
  <c r="Z99" i="64"/>
  <c r="X99" i="64"/>
  <c r="N99" i="64"/>
  <c r="L99" i="64"/>
  <c r="B99" i="64"/>
  <c r="T98" i="64"/>
  <c r="X98" i="64" s="1"/>
  <c r="Z98" i="64" s="1"/>
  <c r="P98" i="64"/>
  <c r="H98" i="64"/>
  <c r="N98" i="64" s="1"/>
  <c r="D98" i="64"/>
  <c r="L98" i="64" s="1"/>
  <c r="B98" i="64"/>
  <c r="Z97" i="64"/>
  <c r="X97" i="64"/>
  <c r="N97" i="64"/>
  <c r="L97" i="64"/>
  <c r="B97" i="64"/>
  <c r="X96" i="64"/>
  <c r="Z96" i="64" s="1"/>
  <c r="N96" i="64"/>
  <c r="L96" i="64"/>
  <c r="B96" i="64"/>
  <c r="T95" i="64"/>
  <c r="P95" i="64"/>
  <c r="X95" i="64" s="1"/>
  <c r="L95" i="64"/>
  <c r="H95" i="64"/>
  <c r="N95" i="64" s="1"/>
  <c r="D95" i="64"/>
  <c r="B95" i="64"/>
  <c r="X94" i="64"/>
  <c r="Z94" i="64" s="1"/>
  <c r="N94" i="64"/>
  <c r="L94" i="64"/>
  <c r="B94" i="64"/>
  <c r="X93" i="64"/>
  <c r="T93" i="64"/>
  <c r="Z93" i="64" s="1"/>
  <c r="P93" i="64"/>
  <c r="L93" i="64"/>
  <c r="H93" i="64"/>
  <c r="N93" i="64" s="1"/>
  <c r="D93" i="64"/>
  <c r="B93" i="64"/>
  <c r="Z92" i="64"/>
  <c r="X92" i="64"/>
  <c r="N92" i="64"/>
  <c r="L92" i="64"/>
  <c r="B92" i="64"/>
  <c r="Z91" i="64"/>
  <c r="X91" i="64"/>
  <c r="T91" i="64"/>
  <c r="P91" i="64"/>
  <c r="H91" i="64"/>
  <c r="N91" i="64" s="1"/>
  <c r="D91" i="64"/>
  <c r="L91" i="64" s="1"/>
  <c r="B91" i="64"/>
  <c r="Z90" i="64"/>
  <c r="X90" i="64"/>
  <c r="N90" i="64"/>
  <c r="L90" i="64"/>
  <c r="B90" i="64"/>
  <c r="X89" i="64"/>
  <c r="Z89" i="64" s="1"/>
  <c r="N89" i="64"/>
  <c r="L89" i="64"/>
  <c r="B89" i="64"/>
  <c r="X88" i="64"/>
  <c r="Z88" i="64" s="1"/>
  <c r="N88" i="64"/>
  <c r="L88" i="64"/>
  <c r="B88" i="64"/>
  <c r="Z87" i="64"/>
  <c r="X87" i="64"/>
  <c r="N87" i="64"/>
  <c r="L87" i="64"/>
  <c r="B87" i="64"/>
  <c r="T86" i="64"/>
  <c r="P86" i="64"/>
  <c r="X86" i="64" s="1"/>
  <c r="Z86" i="64" s="1"/>
  <c r="H86" i="64"/>
  <c r="N86" i="64" s="1"/>
  <c r="D86" i="64"/>
  <c r="L86" i="64" s="1"/>
  <c r="B86" i="64"/>
  <c r="X85" i="64"/>
  <c r="Z85" i="64" s="1"/>
  <c r="N85" i="64"/>
  <c r="L85" i="64"/>
  <c r="B85" i="64"/>
  <c r="X84" i="64"/>
  <c r="Z84" i="64" s="1"/>
  <c r="N84" i="64"/>
  <c r="L84" i="64"/>
  <c r="B84" i="64"/>
  <c r="X83" i="64"/>
  <c r="Z83" i="64" s="1"/>
  <c r="N83" i="64"/>
  <c r="L83" i="64"/>
  <c r="B83" i="64"/>
  <c r="X82" i="64"/>
  <c r="Z82" i="64" s="1"/>
  <c r="N82" i="64"/>
  <c r="L82" i="64"/>
  <c r="B82" i="64"/>
  <c r="X81" i="64"/>
  <c r="Z81" i="64" s="1"/>
  <c r="N81" i="64"/>
  <c r="L81" i="64"/>
  <c r="B81" i="64"/>
  <c r="X80" i="64"/>
  <c r="Z80" i="64" s="1"/>
  <c r="N80" i="64"/>
  <c r="L80" i="64"/>
  <c r="B80" i="64"/>
  <c r="X79" i="64"/>
  <c r="Z79" i="64" s="1"/>
  <c r="N79" i="64"/>
  <c r="L79" i="64"/>
  <c r="B79" i="64"/>
  <c r="X78" i="64"/>
  <c r="Z78" i="64" s="1"/>
  <c r="N78" i="64"/>
  <c r="L78" i="64"/>
  <c r="B78" i="64"/>
  <c r="T77" i="64"/>
  <c r="Z77" i="64" s="1"/>
  <c r="P77" i="64"/>
  <c r="X77" i="64" s="1"/>
  <c r="L77" i="64"/>
  <c r="H77" i="64"/>
  <c r="N77" i="64" s="1"/>
  <c r="D77" i="64"/>
  <c r="B77" i="64"/>
  <c r="T76" i="64"/>
  <c r="P76" i="64"/>
  <c r="H76" i="64"/>
  <c r="D76" i="64"/>
  <c r="X72" i="64"/>
  <c r="Z72" i="64" s="1"/>
  <c r="L72" i="64"/>
  <c r="N72" i="64" s="1"/>
  <c r="B72" i="64"/>
  <c r="Z71" i="64"/>
  <c r="X71" i="64"/>
  <c r="N71" i="64"/>
  <c r="L71" i="64"/>
  <c r="B71" i="64"/>
  <c r="Z70" i="64"/>
  <c r="X70" i="64"/>
  <c r="N70" i="64"/>
  <c r="L70" i="64"/>
  <c r="B70" i="64"/>
  <c r="Z69" i="64"/>
  <c r="X69" i="64"/>
  <c r="N69" i="64"/>
  <c r="L69" i="64"/>
  <c r="B69" i="64"/>
  <c r="X68" i="64"/>
  <c r="Z68" i="64" s="1"/>
  <c r="L68" i="64"/>
  <c r="N68" i="64" s="1"/>
  <c r="B68" i="64"/>
  <c r="Z67" i="64"/>
  <c r="X67" i="64"/>
  <c r="N67" i="64"/>
  <c r="L67" i="64"/>
  <c r="B67" i="64"/>
  <c r="Z66" i="64"/>
  <c r="X66" i="64"/>
  <c r="N66" i="64"/>
  <c r="L66" i="64"/>
  <c r="B66" i="64"/>
  <c r="Z65" i="64"/>
  <c r="X65" i="64"/>
  <c r="N65" i="64"/>
  <c r="L65" i="64"/>
  <c r="B65" i="64"/>
  <c r="X64" i="64"/>
  <c r="Z64" i="64" s="1"/>
  <c r="N64" i="64"/>
  <c r="L64" i="64"/>
  <c r="B64" i="64"/>
  <c r="Z63" i="64"/>
  <c r="X63" i="64"/>
  <c r="N63" i="64"/>
  <c r="L63" i="64"/>
  <c r="B63" i="64"/>
  <c r="Z62" i="64"/>
  <c r="X62" i="64"/>
  <c r="N62" i="64"/>
  <c r="L62" i="64"/>
  <c r="B62" i="64"/>
  <c r="Z61" i="64"/>
  <c r="X61" i="64"/>
  <c r="N61" i="64"/>
  <c r="L61" i="64"/>
  <c r="B61" i="64"/>
  <c r="X60" i="64"/>
  <c r="Z60" i="64" s="1"/>
  <c r="L60" i="64"/>
  <c r="N60" i="64" s="1"/>
  <c r="B60" i="64"/>
  <c r="Z59" i="64"/>
  <c r="X59" i="64"/>
  <c r="N59" i="64"/>
  <c r="L59" i="64"/>
  <c r="B59" i="64"/>
  <c r="Z58" i="64"/>
  <c r="X58" i="64"/>
  <c r="N58" i="64"/>
  <c r="L58" i="64"/>
  <c r="B58" i="64"/>
  <c r="Z57" i="64"/>
  <c r="X57" i="64"/>
  <c r="L57" i="64"/>
  <c r="N57" i="64" s="1"/>
  <c r="B57" i="64"/>
  <c r="X56" i="64"/>
  <c r="Z56" i="64" s="1"/>
  <c r="L56" i="64"/>
  <c r="N56" i="64" s="1"/>
  <c r="B56" i="64"/>
  <c r="Z55" i="64"/>
  <c r="X55" i="64"/>
  <c r="L55" i="64"/>
  <c r="N55" i="64" s="1"/>
  <c r="B55" i="64"/>
  <c r="Z54" i="64"/>
  <c r="X54" i="64"/>
  <c r="N54" i="64"/>
  <c r="L54" i="64"/>
  <c r="B54" i="64"/>
  <c r="X53" i="64"/>
  <c r="Z53" i="64" s="1"/>
  <c r="N53" i="64"/>
  <c r="L53" i="64"/>
  <c r="B53" i="64"/>
  <c r="Z52" i="64"/>
  <c r="X52" i="64"/>
  <c r="N52" i="64"/>
  <c r="L52" i="64"/>
  <c r="B52" i="64"/>
  <c r="Z51" i="64"/>
  <c r="T51" i="64"/>
  <c r="P51" i="64"/>
  <c r="X51" i="64" s="1"/>
  <c r="H51" i="64"/>
  <c r="D51" i="64"/>
  <c r="L51" i="64" s="1"/>
  <c r="T49" i="64"/>
  <c r="X49" i="64" s="1"/>
  <c r="Z49" i="64" s="1"/>
  <c r="P49" i="64"/>
  <c r="L49" i="64"/>
  <c r="H49" i="64"/>
  <c r="N49" i="64" s="1"/>
  <c r="D49" i="64"/>
  <c r="B49" i="64"/>
  <c r="Z48" i="64"/>
  <c r="T48" i="64"/>
  <c r="P48" i="64"/>
  <c r="X48" i="64" s="1"/>
  <c r="N48" i="64"/>
  <c r="L48" i="64"/>
  <c r="H48" i="64"/>
  <c r="D48" i="64"/>
  <c r="B48" i="64"/>
  <c r="T47" i="64"/>
  <c r="P47" i="64"/>
  <c r="X47" i="64" s="1"/>
  <c r="L47" i="64"/>
  <c r="H47" i="64"/>
  <c r="N47" i="64" s="1"/>
  <c r="D47" i="64"/>
  <c r="B47" i="64"/>
  <c r="T46" i="64"/>
  <c r="P46" i="64"/>
  <c r="X46" i="64" s="1"/>
  <c r="H46" i="64"/>
  <c r="D46" i="64"/>
  <c r="B46" i="64"/>
  <c r="Z45" i="64"/>
  <c r="T45" i="64"/>
  <c r="X45" i="64" s="1"/>
  <c r="P45" i="64"/>
  <c r="N45" i="64"/>
  <c r="L45" i="64"/>
  <c r="H45" i="64"/>
  <c r="D45" i="64"/>
  <c r="B45" i="64"/>
  <c r="T44" i="64"/>
  <c r="P44" i="64"/>
  <c r="N44" i="64"/>
  <c r="L44" i="64"/>
  <c r="H44" i="64"/>
  <c r="D44" i="64"/>
  <c r="B44" i="64"/>
  <c r="T43" i="64"/>
  <c r="P43" i="64"/>
  <c r="X43" i="64" s="1"/>
  <c r="H43" i="64"/>
  <c r="N43" i="64" s="1"/>
  <c r="D43" i="64"/>
  <c r="B43" i="64"/>
  <c r="T42" i="64"/>
  <c r="P42" i="64"/>
  <c r="X42" i="64" s="1"/>
  <c r="H42" i="64"/>
  <c r="D42" i="64"/>
  <c r="B42" i="64"/>
  <c r="Z41" i="64"/>
  <c r="T41" i="64"/>
  <c r="X41" i="64" s="1"/>
  <c r="P41" i="64"/>
  <c r="N41" i="64"/>
  <c r="L41" i="64"/>
  <c r="H41" i="64"/>
  <c r="D41" i="64"/>
  <c r="B41" i="64"/>
  <c r="T40" i="64"/>
  <c r="P40" i="64"/>
  <c r="N40" i="64"/>
  <c r="L40" i="64"/>
  <c r="H40" i="64"/>
  <c r="D40" i="64"/>
  <c r="B40" i="64"/>
  <c r="T39" i="64"/>
  <c r="P39" i="64"/>
  <c r="X39" i="64" s="1"/>
  <c r="L39" i="64"/>
  <c r="H39" i="64"/>
  <c r="N39" i="64" s="1"/>
  <c r="D39" i="64"/>
  <c r="B39" i="64"/>
  <c r="T38" i="64"/>
  <c r="P38" i="64"/>
  <c r="X38" i="64" s="1"/>
  <c r="H38" i="64"/>
  <c r="D38" i="64"/>
  <c r="B38" i="64"/>
  <c r="T37" i="64"/>
  <c r="X37" i="64" s="1"/>
  <c r="Z37" i="64" s="1"/>
  <c r="P37" i="64"/>
  <c r="N37" i="64"/>
  <c r="L37" i="64"/>
  <c r="H37" i="64"/>
  <c r="D37" i="64"/>
  <c r="B37" i="64"/>
  <c r="T36" i="64"/>
  <c r="P36" i="64"/>
  <c r="N36" i="64"/>
  <c r="L36" i="64"/>
  <c r="H36" i="64"/>
  <c r="D36" i="64"/>
  <c r="B36" i="64"/>
  <c r="T35" i="64"/>
  <c r="P35" i="64"/>
  <c r="X35" i="64" s="1"/>
  <c r="L35" i="64"/>
  <c r="H35" i="64"/>
  <c r="N35" i="64" s="1"/>
  <c r="D35" i="64"/>
  <c r="B35" i="64"/>
  <c r="T34" i="64"/>
  <c r="P34" i="64"/>
  <c r="X34" i="64" s="1"/>
  <c r="H34" i="64"/>
  <c r="N34" i="64" s="1"/>
  <c r="D34" i="64"/>
  <c r="B34" i="64"/>
  <c r="T33" i="64"/>
  <c r="X33" i="64" s="1"/>
  <c r="P33" i="64"/>
  <c r="L33" i="64"/>
  <c r="H33" i="64"/>
  <c r="N33" i="64" s="1"/>
  <c r="D33" i="64"/>
  <c r="B33" i="64"/>
  <c r="Z32" i="64"/>
  <c r="T32" i="64"/>
  <c r="P32" i="64"/>
  <c r="X32" i="64" s="1"/>
  <c r="N32" i="64"/>
  <c r="L32" i="64"/>
  <c r="H32" i="64"/>
  <c r="D32" i="64"/>
  <c r="B32" i="64"/>
  <c r="T31" i="64"/>
  <c r="P31" i="64"/>
  <c r="X31" i="64" s="1"/>
  <c r="L31" i="64"/>
  <c r="H31" i="64"/>
  <c r="N31" i="64" s="1"/>
  <c r="D31" i="64"/>
  <c r="B31" i="64"/>
  <c r="T30" i="64"/>
  <c r="P30" i="64"/>
  <c r="X30" i="64" s="1"/>
  <c r="L30" i="64"/>
  <c r="H30" i="64"/>
  <c r="N30" i="64" s="1"/>
  <c r="D30" i="64"/>
  <c r="B30" i="64"/>
  <c r="T29" i="64"/>
  <c r="P29" i="64"/>
  <c r="L29" i="64"/>
  <c r="H29" i="64"/>
  <c r="N29" i="64" s="1"/>
  <c r="D29" i="64"/>
  <c r="B29" i="64"/>
  <c r="T28" i="64"/>
  <c r="P28" i="64"/>
  <c r="N28" i="64"/>
  <c r="L28" i="64"/>
  <c r="H28" i="64"/>
  <c r="D28" i="64"/>
  <c r="B28" i="64"/>
  <c r="T27" i="64"/>
  <c r="P27" i="64"/>
  <c r="X27" i="64" s="1"/>
  <c r="H27" i="64"/>
  <c r="N27" i="64" s="1"/>
  <c r="D27" i="64"/>
  <c r="B27" i="64"/>
  <c r="T26" i="64"/>
  <c r="P26" i="64"/>
  <c r="X26" i="64" s="1"/>
  <c r="L26" i="64"/>
  <c r="H26" i="64"/>
  <c r="N26" i="64" s="1"/>
  <c r="D26" i="64"/>
  <c r="B26" i="64"/>
  <c r="T25" i="64"/>
  <c r="P25" i="64"/>
  <c r="L25" i="64"/>
  <c r="H25" i="64"/>
  <c r="N25" i="64" s="1"/>
  <c r="D25" i="64"/>
  <c r="B25" i="64"/>
  <c r="T24" i="64"/>
  <c r="P24" i="64"/>
  <c r="L24" i="64"/>
  <c r="H24" i="64"/>
  <c r="N24" i="64" s="1"/>
  <c r="D24" i="64"/>
  <c r="B24" i="64"/>
  <c r="T23" i="64"/>
  <c r="P23" i="64"/>
  <c r="X23" i="64" s="1"/>
  <c r="H23" i="64"/>
  <c r="N23" i="64" s="1"/>
  <c r="D23" i="64"/>
  <c r="B23" i="64"/>
  <c r="T22" i="64"/>
  <c r="P22" i="64"/>
  <c r="L22" i="64"/>
  <c r="H22" i="64"/>
  <c r="N22" i="64" s="1"/>
  <c r="D22" i="64"/>
  <c r="B22" i="64"/>
  <c r="T21" i="64"/>
  <c r="Z21" i="64" s="1"/>
  <c r="P21" i="64"/>
  <c r="X21" i="64" s="1"/>
  <c r="N21" i="64"/>
  <c r="L21" i="64"/>
  <c r="H21" i="64"/>
  <c r="D21" i="64"/>
  <c r="B21" i="64"/>
  <c r="T20" i="64"/>
  <c r="P20" i="64"/>
  <c r="L20" i="64"/>
  <c r="H20" i="64"/>
  <c r="N20" i="64" s="1"/>
  <c r="D20" i="64"/>
  <c r="B20" i="64"/>
  <c r="T19" i="64"/>
  <c r="P19" i="64"/>
  <c r="L19" i="64"/>
  <c r="H19" i="64"/>
  <c r="N19" i="64" s="1"/>
  <c r="D19" i="64"/>
  <c r="B19" i="64"/>
  <c r="T18" i="64"/>
  <c r="P18" i="64"/>
  <c r="N18" i="64"/>
  <c r="H18" i="64"/>
  <c r="L18" i="64" s="1"/>
  <c r="D18" i="64"/>
  <c r="B18" i="64"/>
  <c r="X17" i="64"/>
  <c r="T17" i="64"/>
  <c r="Z17" i="64" s="1"/>
  <c r="P17" i="64"/>
  <c r="N17" i="64"/>
  <c r="L17" i="64"/>
  <c r="H17" i="64"/>
  <c r="D17" i="64"/>
  <c r="B17" i="64"/>
  <c r="T16" i="64"/>
  <c r="Z16" i="64" s="1"/>
  <c r="P16" i="64"/>
  <c r="X16" i="64" s="1"/>
  <c r="N16" i="64"/>
  <c r="H16" i="64"/>
  <c r="D16" i="64"/>
  <c r="L16" i="64" s="1"/>
  <c r="B16" i="64"/>
  <c r="X15" i="64"/>
  <c r="Z15" i="64" s="1"/>
  <c r="T15" i="64"/>
  <c r="P15" i="64"/>
  <c r="H15" i="64"/>
  <c r="N15" i="64" s="1"/>
  <c r="D15" i="64"/>
  <c r="L15" i="64" s="1"/>
  <c r="B15" i="64"/>
  <c r="X14" i="64"/>
  <c r="T14" i="64"/>
  <c r="P14" i="64"/>
  <c r="N14" i="64"/>
  <c r="H14" i="64"/>
  <c r="D14" i="64"/>
  <c r="L14" i="64" s="1"/>
  <c r="B14" i="64"/>
  <c r="X13" i="64"/>
  <c r="T13" i="64"/>
  <c r="Z13" i="64" s="1"/>
  <c r="P13" i="64"/>
  <c r="N13" i="64"/>
  <c r="L13" i="64"/>
  <c r="H13" i="64"/>
  <c r="H12" i="64" s="1"/>
  <c r="J65" i="64" s="1"/>
  <c r="D13" i="64"/>
  <c r="B13" i="64"/>
  <c r="D6" i="64"/>
  <c r="D4" i="64"/>
  <c r="Z60" i="63"/>
  <c r="X60" i="63"/>
  <c r="N60" i="63"/>
  <c r="L60" i="63"/>
  <c r="X56" i="63"/>
  <c r="T56" i="63"/>
  <c r="Z56" i="63" s="1"/>
  <c r="P56" i="63"/>
  <c r="H56" i="63"/>
  <c r="N56" i="63" s="1"/>
  <c r="D56" i="63"/>
  <c r="L56" i="63" s="1"/>
  <c r="X54" i="63"/>
  <c r="Z54" i="63" s="1"/>
  <c r="N54" i="63"/>
  <c r="L54" i="63"/>
  <c r="B54" i="63"/>
  <c r="X53" i="63"/>
  <c r="Z53" i="63" s="1"/>
  <c r="T53" i="63"/>
  <c r="R53" i="63"/>
  <c r="P53" i="63"/>
  <c r="N53" i="63"/>
  <c r="H53" i="63"/>
  <c r="D53" i="63"/>
  <c r="L53" i="63" s="1"/>
  <c r="B53" i="63"/>
  <c r="Z52" i="63"/>
  <c r="X52" i="63"/>
  <c r="R52" i="63"/>
  <c r="N52" i="63"/>
  <c r="L52" i="63"/>
  <c r="B52" i="63"/>
  <c r="T51" i="63"/>
  <c r="P51" i="63"/>
  <c r="N51" i="63"/>
  <c r="L51" i="63"/>
  <c r="H51" i="63"/>
  <c r="D51" i="63"/>
  <c r="B51" i="63"/>
  <c r="Z50" i="63"/>
  <c r="X50" i="63"/>
  <c r="V50" i="63"/>
  <c r="L50" i="63"/>
  <c r="N50" i="63" s="1"/>
  <c r="B50" i="63"/>
  <c r="X49" i="63"/>
  <c r="Z49" i="63" s="1"/>
  <c r="L49" i="63"/>
  <c r="N49" i="63" s="1"/>
  <c r="B49" i="63"/>
  <c r="Z48" i="63"/>
  <c r="X48" i="63"/>
  <c r="N48" i="63"/>
  <c r="L48" i="63"/>
  <c r="B48" i="63"/>
  <c r="V47" i="63"/>
  <c r="T47" i="63"/>
  <c r="Z47" i="63" s="1"/>
  <c r="P47" i="63"/>
  <c r="X47" i="63" s="1"/>
  <c r="H47" i="63"/>
  <c r="D47" i="63"/>
  <c r="L47" i="63" s="1"/>
  <c r="B47" i="63"/>
  <c r="X46" i="63"/>
  <c r="Z46" i="63" s="1"/>
  <c r="N46" i="63"/>
  <c r="L46" i="63"/>
  <c r="B46" i="63"/>
  <c r="X45" i="63"/>
  <c r="Z45" i="63" s="1"/>
  <c r="N45" i="63"/>
  <c r="L45" i="63"/>
  <c r="B45" i="63"/>
  <c r="T44" i="63"/>
  <c r="R44" i="63"/>
  <c r="P44" i="63"/>
  <c r="X44" i="63" s="1"/>
  <c r="L44" i="63"/>
  <c r="H44" i="63"/>
  <c r="N44" i="63" s="1"/>
  <c r="D44" i="63"/>
  <c r="B44" i="63"/>
  <c r="X43" i="63"/>
  <c r="Z43" i="63" s="1"/>
  <c r="R43" i="63"/>
  <c r="N43" i="63"/>
  <c r="L43" i="63"/>
  <c r="J43" i="63"/>
  <c r="B43" i="63"/>
  <c r="T42" i="63"/>
  <c r="P42" i="63"/>
  <c r="X42" i="63" s="1"/>
  <c r="Z42" i="63" s="1"/>
  <c r="H42" i="63"/>
  <c r="N42" i="63" s="1"/>
  <c r="D42" i="63"/>
  <c r="L42" i="63" s="1"/>
  <c r="B42" i="63"/>
  <c r="X41" i="63"/>
  <c r="Z41" i="63" s="1"/>
  <c r="L41" i="63"/>
  <c r="N41" i="63" s="1"/>
  <c r="B41" i="63"/>
  <c r="Z40" i="63"/>
  <c r="X40" i="63"/>
  <c r="T40" i="63"/>
  <c r="P40" i="63"/>
  <c r="H40" i="63"/>
  <c r="D40" i="63"/>
  <c r="L40" i="63" s="1"/>
  <c r="N40" i="63" s="1"/>
  <c r="B40" i="63"/>
  <c r="Z39" i="63"/>
  <c r="X39" i="63"/>
  <c r="L39" i="63"/>
  <c r="N39" i="63" s="1"/>
  <c r="F39" i="63"/>
  <c r="B39" i="63"/>
  <c r="X38" i="63"/>
  <c r="T38" i="63"/>
  <c r="Z38" i="63" s="1"/>
  <c r="P38" i="63"/>
  <c r="H38" i="63"/>
  <c r="F38" i="63"/>
  <c r="D38" i="63"/>
  <c r="L38" i="63" s="1"/>
  <c r="B38" i="63"/>
  <c r="Z37" i="63"/>
  <c r="X37" i="63"/>
  <c r="N37" i="63"/>
  <c r="L37" i="63"/>
  <c r="B37" i="63"/>
  <c r="T36" i="63"/>
  <c r="P36" i="63"/>
  <c r="X36" i="63" s="1"/>
  <c r="N36" i="63"/>
  <c r="H36" i="63"/>
  <c r="D36" i="63"/>
  <c r="L36" i="63" s="1"/>
  <c r="B36" i="63"/>
  <c r="Z35" i="63"/>
  <c r="X35" i="63"/>
  <c r="V35" i="63"/>
  <c r="N35" i="63"/>
  <c r="L35" i="63"/>
  <c r="B35" i="63"/>
  <c r="Z34" i="63"/>
  <c r="X34" i="63"/>
  <c r="V34" i="63"/>
  <c r="L34" i="63"/>
  <c r="N34" i="63" s="1"/>
  <c r="B34" i="63"/>
  <c r="X33" i="63"/>
  <c r="Z33" i="63" s="1"/>
  <c r="L33" i="63"/>
  <c r="N33" i="63" s="1"/>
  <c r="B33" i="63"/>
  <c r="Z32" i="63"/>
  <c r="X32" i="63"/>
  <c r="L32" i="63"/>
  <c r="N32" i="63" s="1"/>
  <c r="B32" i="63"/>
  <c r="Z31" i="63"/>
  <c r="X31" i="63"/>
  <c r="V31" i="63"/>
  <c r="N31" i="63"/>
  <c r="L31" i="63"/>
  <c r="B31" i="63"/>
  <c r="Z30" i="63"/>
  <c r="X30" i="63"/>
  <c r="V30" i="63"/>
  <c r="L30" i="63"/>
  <c r="N30" i="63" s="1"/>
  <c r="B30" i="63"/>
  <c r="T29" i="63"/>
  <c r="P29" i="63"/>
  <c r="X29" i="63" s="1"/>
  <c r="J29" i="63"/>
  <c r="H29" i="63"/>
  <c r="N29" i="63" s="1"/>
  <c r="D29" i="63"/>
  <c r="L29" i="63" s="1"/>
  <c r="B29" i="63"/>
  <c r="X28" i="63"/>
  <c r="Z28" i="63" s="1"/>
  <c r="V28" i="63"/>
  <c r="N28" i="63"/>
  <c r="L28" i="63"/>
  <c r="F28" i="63"/>
  <c r="B28" i="63"/>
  <c r="Z27" i="63"/>
  <c r="X27" i="63"/>
  <c r="L27" i="63"/>
  <c r="N27" i="63" s="1"/>
  <c r="F27" i="63"/>
  <c r="B27" i="63"/>
  <c r="X26" i="63"/>
  <c r="Z26" i="63" s="1"/>
  <c r="V26" i="63"/>
  <c r="N26" i="63"/>
  <c r="L26" i="63"/>
  <c r="B26" i="63"/>
  <c r="Z25" i="63"/>
  <c r="X25" i="63"/>
  <c r="V25" i="63"/>
  <c r="N25" i="63"/>
  <c r="L25" i="63"/>
  <c r="B25" i="63"/>
  <c r="X24" i="63"/>
  <c r="Z24" i="63" s="1"/>
  <c r="V24" i="63"/>
  <c r="N24" i="63"/>
  <c r="L24" i="63"/>
  <c r="F24" i="63"/>
  <c r="B24" i="63"/>
  <c r="X23" i="63"/>
  <c r="Z23" i="63" s="1"/>
  <c r="L23" i="63"/>
  <c r="N23" i="63" s="1"/>
  <c r="F23" i="63"/>
  <c r="B23" i="63"/>
  <c r="X22" i="63"/>
  <c r="Z22" i="63" s="1"/>
  <c r="V22" i="63"/>
  <c r="N22" i="63"/>
  <c r="L22" i="63"/>
  <c r="B22" i="63"/>
  <c r="X21" i="63"/>
  <c r="Z21" i="63" s="1"/>
  <c r="V21" i="63"/>
  <c r="N21" i="63"/>
  <c r="L21" i="63"/>
  <c r="B21" i="63"/>
  <c r="X20" i="63"/>
  <c r="Z20" i="63" s="1"/>
  <c r="V20" i="63"/>
  <c r="N20" i="63"/>
  <c r="L20" i="63"/>
  <c r="F20" i="63"/>
  <c r="B20" i="63"/>
  <c r="V19" i="63"/>
  <c r="T19" i="63"/>
  <c r="P19" i="63"/>
  <c r="X19" i="63" s="1"/>
  <c r="Z19" i="63" s="1"/>
  <c r="L19" i="63"/>
  <c r="N19" i="63" s="1"/>
  <c r="H19" i="63"/>
  <c r="F19" i="63"/>
  <c r="D19" i="63"/>
  <c r="B19" i="63"/>
  <c r="T18" i="63"/>
  <c r="R18" i="63"/>
  <c r="P18" i="63"/>
  <c r="X18" i="63" s="1"/>
  <c r="H18" i="63"/>
  <c r="F18" i="63"/>
  <c r="D18" i="63"/>
  <c r="R16" i="63"/>
  <c r="F16" i="63"/>
  <c r="T14" i="63"/>
  <c r="Z14" i="63" s="1"/>
  <c r="R14" i="63"/>
  <c r="P14" i="63"/>
  <c r="X14" i="63" s="1"/>
  <c r="H14" i="63"/>
  <c r="F14" i="63"/>
  <c r="D14" i="63"/>
  <c r="D16" i="63" s="1"/>
  <c r="Z12" i="63"/>
  <c r="T12" i="63"/>
  <c r="V37" i="63" s="1"/>
  <c r="P12" i="63"/>
  <c r="R54" i="63" s="1"/>
  <c r="H12" i="63"/>
  <c r="J51" i="63" s="1"/>
  <c r="D12" i="63"/>
  <c r="F50" i="63" s="1"/>
  <c r="D6" i="63"/>
  <c r="D4" i="63"/>
  <c r="Z107" i="62"/>
  <c r="X107" i="62"/>
  <c r="N107" i="62"/>
  <c r="L107" i="62"/>
  <c r="T103" i="62"/>
  <c r="P103" i="62"/>
  <c r="X103" i="62" s="1"/>
  <c r="H103" i="62"/>
  <c r="N103" i="62" s="1"/>
  <c r="D103" i="62"/>
  <c r="L103" i="62" s="1"/>
  <c r="B103" i="62"/>
  <c r="V102" i="62"/>
  <c r="T102" i="62"/>
  <c r="P102" i="62"/>
  <c r="P100" i="62" s="1"/>
  <c r="X100" i="62" s="1"/>
  <c r="H102" i="62"/>
  <c r="N102" i="62" s="1"/>
  <c r="D102" i="62"/>
  <c r="L102" i="62" s="1"/>
  <c r="B102" i="62"/>
  <c r="X101" i="62"/>
  <c r="T101" i="62"/>
  <c r="T100" i="62" s="1"/>
  <c r="Z100" i="62" s="1"/>
  <c r="P101" i="62"/>
  <c r="H101" i="62"/>
  <c r="D101" i="62"/>
  <c r="L101" i="62" s="1"/>
  <c r="B101" i="62"/>
  <c r="H100" i="62"/>
  <c r="Z98" i="62"/>
  <c r="X98" i="62"/>
  <c r="L98" i="62"/>
  <c r="N98" i="62" s="1"/>
  <c r="B98" i="62"/>
  <c r="T97" i="62"/>
  <c r="P97" i="62"/>
  <c r="H97" i="62"/>
  <c r="N97" i="62" s="1"/>
  <c r="D97" i="62"/>
  <c r="L97" i="62" s="1"/>
  <c r="B97" i="62"/>
  <c r="Z96" i="62"/>
  <c r="X96" i="62"/>
  <c r="V96" i="62"/>
  <c r="N96" i="62"/>
  <c r="L96" i="62"/>
  <c r="B96" i="62"/>
  <c r="X95" i="62"/>
  <c r="Z95" i="62" s="1"/>
  <c r="N95" i="62"/>
  <c r="L95" i="62"/>
  <c r="B95" i="62"/>
  <c r="X94" i="62"/>
  <c r="Z94" i="62" s="1"/>
  <c r="N94" i="62"/>
  <c r="L94" i="62"/>
  <c r="B94" i="62"/>
  <c r="X93" i="62"/>
  <c r="Z93" i="62" s="1"/>
  <c r="T93" i="62"/>
  <c r="P93" i="62"/>
  <c r="H93" i="62"/>
  <c r="D93" i="62"/>
  <c r="L93" i="62" s="1"/>
  <c r="B93" i="62"/>
  <c r="Z92" i="62"/>
  <c r="X92" i="62"/>
  <c r="N92" i="62"/>
  <c r="L92" i="62"/>
  <c r="B92" i="62"/>
  <c r="X91" i="62"/>
  <c r="T91" i="62"/>
  <c r="Z91" i="62" s="1"/>
  <c r="P91" i="62"/>
  <c r="H91" i="62"/>
  <c r="N91" i="62" s="1"/>
  <c r="D91" i="62"/>
  <c r="L91" i="62" s="1"/>
  <c r="B91" i="62"/>
  <c r="Z90" i="62"/>
  <c r="X90" i="62"/>
  <c r="N90" i="62"/>
  <c r="L90" i="62"/>
  <c r="B90" i="62"/>
  <c r="T89" i="62"/>
  <c r="P89" i="62"/>
  <c r="X89" i="62" s="1"/>
  <c r="H89" i="62"/>
  <c r="D89" i="62"/>
  <c r="L89" i="62" s="1"/>
  <c r="B89" i="62"/>
  <c r="Z88" i="62"/>
  <c r="X88" i="62"/>
  <c r="V88" i="62"/>
  <c r="N88" i="62"/>
  <c r="L88" i="62"/>
  <c r="B88" i="62"/>
  <c r="X87" i="62"/>
  <c r="Z87" i="62" s="1"/>
  <c r="N87" i="62"/>
  <c r="L87" i="62"/>
  <c r="B87" i="62"/>
  <c r="Z86" i="62"/>
  <c r="X86" i="62"/>
  <c r="N86" i="62"/>
  <c r="L86" i="62"/>
  <c r="B86" i="62"/>
  <c r="X85" i="62"/>
  <c r="Z85" i="62" s="1"/>
  <c r="L85" i="62"/>
  <c r="N85" i="62" s="1"/>
  <c r="B85" i="62"/>
  <c r="Z84" i="62"/>
  <c r="X84" i="62"/>
  <c r="V84" i="62"/>
  <c r="N84" i="62"/>
  <c r="L84" i="62"/>
  <c r="B84" i="62"/>
  <c r="Z83" i="62"/>
  <c r="X83" i="62"/>
  <c r="N83" i="62"/>
  <c r="L83" i="62"/>
  <c r="B83" i="62"/>
  <c r="X82" i="62"/>
  <c r="Z82" i="62" s="1"/>
  <c r="N82" i="62"/>
  <c r="L82" i="62"/>
  <c r="B82" i="62"/>
  <c r="T81" i="62"/>
  <c r="P81" i="62"/>
  <c r="X81" i="62" s="1"/>
  <c r="Z81" i="62" s="1"/>
  <c r="H81" i="62"/>
  <c r="N81" i="62" s="1"/>
  <c r="D81" i="62"/>
  <c r="L81" i="62" s="1"/>
  <c r="B81" i="62"/>
  <c r="Z80" i="62"/>
  <c r="X80" i="62"/>
  <c r="N80" i="62"/>
  <c r="L80" i="62"/>
  <c r="B80" i="62"/>
  <c r="X79" i="62"/>
  <c r="Z79" i="62" s="1"/>
  <c r="N79" i="62"/>
  <c r="L79" i="62"/>
  <c r="B79" i="62"/>
  <c r="X78" i="62"/>
  <c r="Z78" i="62" s="1"/>
  <c r="T78" i="62"/>
  <c r="R78" i="62"/>
  <c r="P78" i="62"/>
  <c r="N78" i="62"/>
  <c r="H78" i="62"/>
  <c r="D78" i="62"/>
  <c r="L78" i="62" s="1"/>
  <c r="B78" i="62"/>
  <c r="Z77" i="62"/>
  <c r="X77" i="62"/>
  <c r="R77" i="62"/>
  <c r="L77" i="62"/>
  <c r="N77" i="62" s="1"/>
  <c r="B77" i="62"/>
  <c r="Z76" i="62"/>
  <c r="X76" i="62"/>
  <c r="R76" i="62"/>
  <c r="N76" i="62"/>
  <c r="L76" i="62"/>
  <c r="J76" i="62"/>
  <c r="B76" i="62"/>
  <c r="Z75" i="62"/>
  <c r="X75" i="62"/>
  <c r="L75" i="62"/>
  <c r="N75" i="62" s="1"/>
  <c r="B75" i="62"/>
  <c r="Z74" i="62"/>
  <c r="X74" i="62"/>
  <c r="T74" i="62"/>
  <c r="P74" i="62"/>
  <c r="H74" i="62"/>
  <c r="D74" i="62"/>
  <c r="B74" i="62"/>
  <c r="X73" i="62"/>
  <c r="Z73" i="62" s="1"/>
  <c r="L73" i="62"/>
  <c r="N73" i="62" s="1"/>
  <c r="B73" i="62"/>
  <c r="Z72" i="62"/>
  <c r="X72" i="62"/>
  <c r="V72" i="62"/>
  <c r="N72" i="62"/>
  <c r="L72" i="62"/>
  <c r="B72" i="62"/>
  <c r="X71" i="62"/>
  <c r="Z71" i="62" s="1"/>
  <c r="N71" i="62"/>
  <c r="L71" i="62"/>
  <c r="B71" i="62"/>
  <c r="X70" i="62"/>
  <c r="Z70" i="62" s="1"/>
  <c r="L70" i="62"/>
  <c r="N70" i="62" s="1"/>
  <c r="B70" i="62"/>
  <c r="X69" i="62"/>
  <c r="Z69" i="62" s="1"/>
  <c r="T69" i="62"/>
  <c r="P69" i="62"/>
  <c r="H69" i="62"/>
  <c r="D69" i="62"/>
  <c r="L69" i="62" s="1"/>
  <c r="B69" i="62"/>
  <c r="Z68" i="62"/>
  <c r="X68" i="62"/>
  <c r="N68" i="62"/>
  <c r="L68" i="62"/>
  <c r="F68" i="62"/>
  <c r="B68" i="62"/>
  <c r="X67" i="62"/>
  <c r="T67" i="62"/>
  <c r="P67" i="62"/>
  <c r="L67" i="62"/>
  <c r="H67" i="62"/>
  <c r="N67" i="62" s="1"/>
  <c r="F67" i="62"/>
  <c r="D67" i="62"/>
  <c r="B67" i="62"/>
  <c r="Z66" i="62"/>
  <c r="X66" i="62"/>
  <c r="N66" i="62"/>
  <c r="L66" i="62"/>
  <c r="B66" i="62"/>
  <c r="T65" i="62"/>
  <c r="P65" i="62"/>
  <c r="H65" i="62"/>
  <c r="N65" i="62" s="1"/>
  <c r="D65" i="62"/>
  <c r="L65" i="62" s="1"/>
  <c r="B65" i="62"/>
  <c r="Z64" i="62"/>
  <c r="X64" i="62"/>
  <c r="V64" i="62"/>
  <c r="N64" i="62"/>
  <c r="L64" i="62"/>
  <c r="B64" i="62"/>
  <c r="T63" i="62"/>
  <c r="Z63" i="62" s="1"/>
  <c r="P63" i="62"/>
  <c r="X63" i="62" s="1"/>
  <c r="H63" i="62"/>
  <c r="D63" i="62"/>
  <c r="L63" i="62" s="1"/>
  <c r="N63" i="62" s="1"/>
  <c r="B63" i="62"/>
  <c r="X62" i="62"/>
  <c r="Z62" i="62" s="1"/>
  <c r="N62" i="62"/>
  <c r="L62" i="62"/>
  <c r="B62" i="62"/>
  <c r="X61" i="62"/>
  <c r="T61" i="62"/>
  <c r="Z61" i="62" s="1"/>
  <c r="R61" i="62"/>
  <c r="P61" i="62"/>
  <c r="L61" i="62"/>
  <c r="H61" i="62"/>
  <c r="N61" i="62" s="1"/>
  <c r="D61" i="62"/>
  <c r="B61" i="62"/>
  <c r="Z60" i="62"/>
  <c r="X60" i="62"/>
  <c r="R60" i="62"/>
  <c r="N60" i="62"/>
  <c r="L60" i="62"/>
  <c r="J60" i="62"/>
  <c r="B60" i="62"/>
  <c r="T59" i="62"/>
  <c r="Z59" i="62" s="1"/>
  <c r="P59" i="62"/>
  <c r="X59" i="62" s="1"/>
  <c r="H59" i="62"/>
  <c r="N59" i="62" s="1"/>
  <c r="D59" i="62"/>
  <c r="L59" i="62" s="1"/>
  <c r="B59" i="62"/>
  <c r="Z58" i="62"/>
  <c r="X58" i="62"/>
  <c r="N58" i="62"/>
  <c r="L58" i="62"/>
  <c r="B58" i="62"/>
  <c r="Z57" i="62"/>
  <c r="X57" i="62"/>
  <c r="T57" i="62"/>
  <c r="P57" i="62"/>
  <c r="H57" i="62"/>
  <c r="N57" i="62" s="1"/>
  <c r="D57" i="62"/>
  <c r="L57" i="62" s="1"/>
  <c r="B57" i="62"/>
  <c r="Z56" i="62"/>
  <c r="X56" i="62"/>
  <c r="N56" i="62"/>
  <c r="L56" i="62"/>
  <c r="F56" i="62"/>
  <c r="B56" i="62"/>
  <c r="X55" i="62"/>
  <c r="T55" i="62"/>
  <c r="Z55" i="62" s="1"/>
  <c r="P55" i="62"/>
  <c r="L55" i="62"/>
  <c r="H55" i="62"/>
  <c r="N55" i="62" s="1"/>
  <c r="F55" i="62"/>
  <c r="D55" i="62"/>
  <c r="B55" i="62"/>
  <c r="Z54" i="62"/>
  <c r="X54" i="62"/>
  <c r="N54" i="62"/>
  <c r="L54" i="62"/>
  <c r="B54" i="62"/>
  <c r="T53" i="62"/>
  <c r="P53" i="62"/>
  <c r="H53" i="62"/>
  <c r="N53" i="62" s="1"/>
  <c r="D53" i="62"/>
  <c r="L53" i="62" s="1"/>
  <c r="B53" i="62"/>
  <c r="Z52" i="62"/>
  <c r="X52" i="62"/>
  <c r="V52" i="62"/>
  <c r="N52" i="62"/>
  <c r="L52" i="62"/>
  <c r="B52" i="62"/>
  <c r="X51" i="62"/>
  <c r="Z51" i="62" s="1"/>
  <c r="L51" i="62"/>
  <c r="N51" i="62" s="1"/>
  <c r="B51" i="62"/>
  <c r="T50" i="62"/>
  <c r="P50" i="62"/>
  <c r="X50" i="62" s="1"/>
  <c r="J50" i="62"/>
  <c r="H50" i="62"/>
  <c r="D50" i="62"/>
  <c r="L50" i="62" s="1"/>
  <c r="N50" i="62" s="1"/>
  <c r="B50" i="62"/>
  <c r="Z49" i="62"/>
  <c r="X49" i="62"/>
  <c r="N49" i="62"/>
  <c r="L49" i="62"/>
  <c r="F49" i="62"/>
  <c r="B49" i="62"/>
  <c r="Z48" i="62"/>
  <c r="X48" i="62"/>
  <c r="N48" i="62"/>
  <c r="L48" i="62"/>
  <c r="F48" i="62"/>
  <c r="B48" i="62"/>
  <c r="X47" i="62"/>
  <c r="Z47" i="62" s="1"/>
  <c r="N47" i="62"/>
  <c r="L47" i="62"/>
  <c r="B47" i="62"/>
  <c r="X46" i="62"/>
  <c r="Z46" i="62" s="1"/>
  <c r="T46" i="62"/>
  <c r="R46" i="62"/>
  <c r="P46" i="62"/>
  <c r="H46" i="62"/>
  <c r="D46" i="62"/>
  <c r="L46" i="62" s="1"/>
  <c r="N46" i="62" s="1"/>
  <c r="B46" i="62"/>
  <c r="Z45" i="62"/>
  <c r="X45" i="62"/>
  <c r="R45" i="62"/>
  <c r="L45" i="62"/>
  <c r="N45" i="62" s="1"/>
  <c r="B45" i="62"/>
  <c r="T44" i="62"/>
  <c r="P44" i="62"/>
  <c r="N44" i="62"/>
  <c r="L44" i="62"/>
  <c r="H44" i="62"/>
  <c r="D44" i="62"/>
  <c r="B44" i="62"/>
  <c r="X43" i="62"/>
  <c r="Z43" i="62" s="1"/>
  <c r="N43" i="62"/>
  <c r="L43" i="62"/>
  <c r="B43" i="62"/>
  <c r="X42" i="62"/>
  <c r="Z42" i="62" s="1"/>
  <c r="L42" i="62"/>
  <c r="N42" i="62" s="1"/>
  <c r="B42" i="62"/>
  <c r="T41" i="62"/>
  <c r="P41" i="62"/>
  <c r="X41" i="62" s="1"/>
  <c r="Z41" i="62" s="1"/>
  <c r="H41" i="62"/>
  <c r="N41" i="62" s="1"/>
  <c r="D41" i="62"/>
  <c r="L41" i="62" s="1"/>
  <c r="B41" i="62"/>
  <c r="Z40" i="62"/>
  <c r="X40" i="62"/>
  <c r="N40" i="62"/>
  <c r="L40" i="62"/>
  <c r="F40" i="62"/>
  <c r="B40" i="62"/>
  <c r="X39" i="62"/>
  <c r="T39" i="62"/>
  <c r="P39" i="62"/>
  <c r="L39" i="62"/>
  <c r="H39" i="62"/>
  <c r="N39" i="62" s="1"/>
  <c r="F39" i="62"/>
  <c r="D39" i="62"/>
  <c r="B39" i="62"/>
  <c r="Z38" i="62"/>
  <c r="X38" i="62"/>
  <c r="N38" i="62"/>
  <c r="L38" i="62"/>
  <c r="B38" i="62"/>
  <c r="Z37" i="62"/>
  <c r="X37" i="62"/>
  <c r="R37" i="62"/>
  <c r="N37" i="62"/>
  <c r="L37" i="62"/>
  <c r="B37" i="62"/>
  <c r="Z36" i="62"/>
  <c r="X36" i="62"/>
  <c r="R36" i="62"/>
  <c r="N36" i="62"/>
  <c r="L36" i="62"/>
  <c r="J36" i="62"/>
  <c r="B36" i="62"/>
  <c r="Z35" i="62"/>
  <c r="X35" i="62"/>
  <c r="N35" i="62"/>
  <c r="L35" i="62"/>
  <c r="J35" i="62"/>
  <c r="B35" i="62"/>
  <c r="Z34" i="62"/>
  <c r="X34" i="62"/>
  <c r="N34" i="62"/>
  <c r="L34" i="62"/>
  <c r="B34" i="62"/>
  <c r="Z33" i="62"/>
  <c r="X33" i="62"/>
  <c r="R33" i="62"/>
  <c r="L33" i="62"/>
  <c r="N33" i="62" s="1"/>
  <c r="B33" i="62"/>
  <c r="Z32" i="62"/>
  <c r="X32" i="62"/>
  <c r="R32" i="62"/>
  <c r="N32" i="62"/>
  <c r="L32" i="62"/>
  <c r="J32" i="62"/>
  <c r="B32" i="62"/>
  <c r="T31" i="62"/>
  <c r="P31" i="62"/>
  <c r="X31" i="62" s="1"/>
  <c r="H31" i="62"/>
  <c r="D31" i="62"/>
  <c r="B31" i="62"/>
  <c r="X30" i="62"/>
  <c r="Z30" i="62" s="1"/>
  <c r="N30" i="62"/>
  <c r="L30" i="62"/>
  <c r="B30" i="62"/>
  <c r="X29" i="62"/>
  <c r="Z29" i="62" s="1"/>
  <c r="L29" i="62"/>
  <c r="N29" i="62" s="1"/>
  <c r="B29" i="62"/>
  <c r="Z28" i="62"/>
  <c r="X28" i="62"/>
  <c r="V28" i="62"/>
  <c r="N28" i="62"/>
  <c r="L28" i="62"/>
  <c r="B28" i="62"/>
  <c r="Z27" i="62"/>
  <c r="X27" i="62"/>
  <c r="V27" i="62"/>
  <c r="R27" i="62"/>
  <c r="N27" i="62"/>
  <c r="L27" i="62"/>
  <c r="F27" i="62"/>
  <c r="B27" i="62"/>
  <c r="Z26" i="62"/>
  <c r="X26" i="62"/>
  <c r="N26" i="62"/>
  <c r="L26" i="62"/>
  <c r="B26" i="62"/>
  <c r="X25" i="62"/>
  <c r="Z25" i="62" s="1"/>
  <c r="L25" i="62"/>
  <c r="N25" i="62" s="1"/>
  <c r="B25" i="62"/>
  <c r="Z24" i="62"/>
  <c r="X24" i="62"/>
  <c r="V24" i="62"/>
  <c r="N24" i="62"/>
  <c r="L24" i="62"/>
  <c r="B24" i="62"/>
  <c r="X23" i="62"/>
  <c r="Z23" i="62" s="1"/>
  <c r="V23" i="62"/>
  <c r="R23" i="62"/>
  <c r="L23" i="62"/>
  <c r="N23" i="62" s="1"/>
  <c r="F23" i="62"/>
  <c r="B23" i="62"/>
  <c r="X22" i="62"/>
  <c r="Z22" i="62" s="1"/>
  <c r="L22" i="62"/>
  <c r="N22" i="62" s="1"/>
  <c r="B22" i="62"/>
  <c r="X21" i="62"/>
  <c r="Z21" i="62" s="1"/>
  <c r="L21" i="62"/>
  <c r="N21" i="62" s="1"/>
  <c r="F21" i="62"/>
  <c r="B21" i="62"/>
  <c r="V20" i="62"/>
  <c r="T20" i="62"/>
  <c r="R20" i="62"/>
  <c r="P20" i="62"/>
  <c r="X20" i="62" s="1"/>
  <c r="Z20" i="62" s="1"/>
  <c r="H20" i="62"/>
  <c r="F20" i="62"/>
  <c r="D20" i="62"/>
  <c r="L20" i="62" s="1"/>
  <c r="B20" i="62"/>
  <c r="T19" i="62"/>
  <c r="R19" i="62"/>
  <c r="P19" i="62"/>
  <c r="H19" i="62"/>
  <c r="F19" i="62"/>
  <c r="D19" i="62"/>
  <c r="R17" i="62"/>
  <c r="P17" i="62"/>
  <c r="F17" i="62"/>
  <c r="D17" i="62"/>
  <c r="Z15" i="62"/>
  <c r="X15" i="62"/>
  <c r="R15" i="62"/>
  <c r="N15" i="62"/>
  <c r="L15" i="62"/>
  <c r="F15" i="62"/>
  <c r="B15" i="62"/>
  <c r="Z14" i="62"/>
  <c r="X14" i="62"/>
  <c r="T14" i="62"/>
  <c r="R14" i="62"/>
  <c r="P14" i="62"/>
  <c r="N14" i="62"/>
  <c r="L14" i="62"/>
  <c r="H14" i="62"/>
  <c r="F14" i="62"/>
  <c r="D14" i="62"/>
  <c r="X12" i="62"/>
  <c r="T12" i="62"/>
  <c r="V100" i="62" s="1"/>
  <c r="P12" i="62"/>
  <c r="R102" i="62" s="1"/>
  <c r="N12" i="62"/>
  <c r="H12" i="62"/>
  <c r="J62" i="62" s="1"/>
  <c r="D12" i="62"/>
  <c r="F95" i="62" s="1"/>
  <c r="D6" i="62"/>
  <c r="D4" i="62"/>
  <c r="J58" i="61"/>
  <c r="J55" i="61"/>
  <c r="Z53" i="61"/>
  <c r="X53" i="61"/>
  <c r="N53" i="61"/>
  <c r="L53" i="61"/>
  <c r="J53" i="61"/>
  <c r="J51" i="61"/>
  <c r="F51" i="61"/>
  <c r="Z49" i="61"/>
  <c r="T49" i="61"/>
  <c r="X49" i="61" s="1"/>
  <c r="P49" i="61"/>
  <c r="N49" i="61"/>
  <c r="L49" i="61"/>
  <c r="J49" i="61"/>
  <c r="H49" i="61"/>
  <c r="F49" i="61"/>
  <c r="D49" i="61"/>
  <c r="Z47" i="61"/>
  <c r="X47" i="61"/>
  <c r="N47" i="61"/>
  <c r="L47" i="61"/>
  <c r="F47" i="61"/>
  <c r="B47" i="61"/>
  <c r="X46" i="61"/>
  <c r="T46" i="61"/>
  <c r="P46" i="61"/>
  <c r="H46" i="61"/>
  <c r="N46" i="61" s="1"/>
  <c r="F46" i="61"/>
  <c r="D46" i="61"/>
  <c r="L46" i="61" s="1"/>
  <c r="B46" i="61"/>
  <c r="Z45" i="61"/>
  <c r="X45" i="61"/>
  <c r="V45" i="61"/>
  <c r="N45" i="61"/>
  <c r="L45" i="61"/>
  <c r="B45" i="61"/>
  <c r="T44" i="61"/>
  <c r="P44" i="61"/>
  <c r="X44" i="61" s="1"/>
  <c r="H44" i="61"/>
  <c r="D44" i="61"/>
  <c r="L44" i="61" s="1"/>
  <c r="B44" i="61"/>
  <c r="Z43" i="61"/>
  <c r="X43" i="61"/>
  <c r="V43" i="61"/>
  <c r="N43" i="61"/>
  <c r="L43" i="61"/>
  <c r="B43" i="61"/>
  <c r="X42" i="61"/>
  <c r="Z42" i="61" s="1"/>
  <c r="V42" i="61"/>
  <c r="L42" i="61"/>
  <c r="N42" i="61" s="1"/>
  <c r="B42" i="61"/>
  <c r="T41" i="61"/>
  <c r="P41" i="61"/>
  <c r="X41" i="61" s="1"/>
  <c r="Z41" i="61" s="1"/>
  <c r="J41" i="61"/>
  <c r="H41" i="61"/>
  <c r="D41" i="61"/>
  <c r="L41" i="61" s="1"/>
  <c r="N41" i="61" s="1"/>
  <c r="B41" i="61"/>
  <c r="X40" i="61"/>
  <c r="Z40" i="61" s="1"/>
  <c r="N40" i="61"/>
  <c r="L40" i="61"/>
  <c r="F40" i="61"/>
  <c r="B40" i="61"/>
  <c r="Z39" i="61"/>
  <c r="X39" i="61"/>
  <c r="T39" i="61"/>
  <c r="P39" i="61"/>
  <c r="N39" i="61"/>
  <c r="L39" i="61"/>
  <c r="J39" i="61"/>
  <c r="H39" i="61"/>
  <c r="F39" i="61"/>
  <c r="D39" i="61"/>
  <c r="B39" i="61"/>
  <c r="X38" i="61"/>
  <c r="Z38" i="61" s="1"/>
  <c r="L38" i="61"/>
  <c r="N38" i="61" s="1"/>
  <c r="J38" i="61"/>
  <c r="F38" i="61"/>
  <c r="B38" i="61"/>
  <c r="Z37" i="61"/>
  <c r="X37" i="61"/>
  <c r="V37" i="61"/>
  <c r="T37" i="61"/>
  <c r="P37" i="61"/>
  <c r="J37" i="61"/>
  <c r="H37" i="61"/>
  <c r="N37" i="61" s="1"/>
  <c r="F37" i="61"/>
  <c r="D37" i="61"/>
  <c r="L37" i="61" s="1"/>
  <c r="B37" i="61"/>
  <c r="X36" i="61"/>
  <c r="Z36" i="61" s="1"/>
  <c r="L36" i="61"/>
  <c r="N36" i="61" s="1"/>
  <c r="B36" i="61"/>
  <c r="V35" i="61"/>
  <c r="T35" i="61"/>
  <c r="P35" i="61"/>
  <c r="X35" i="61" s="1"/>
  <c r="Z35" i="61" s="1"/>
  <c r="H35" i="61"/>
  <c r="D35" i="61"/>
  <c r="L35" i="61" s="1"/>
  <c r="N35" i="61" s="1"/>
  <c r="B35" i="61"/>
  <c r="X34" i="61"/>
  <c r="Z34" i="61" s="1"/>
  <c r="L34" i="61"/>
  <c r="N34" i="61" s="1"/>
  <c r="B34" i="61"/>
  <c r="X33" i="61"/>
  <c r="Z33" i="61" s="1"/>
  <c r="V33" i="61"/>
  <c r="T33" i="61"/>
  <c r="R33" i="61"/>
  <c r="P33" i="61"/>
  <c r="J33" i="61"/>
  <c r="H33" i="61"/>
  <c r="D33" i="61"/>
  <c r="L33" i="61" s="1"/>
  <c r="N33" i="61" s="1"/>
  <c r="B33" i="61"/>
  <c r="Z32" i="61"/>
  <c r="X32" i="61"/>
  <c r="R32" i="61"/>
  <c r="L32" i="61"/>
  <c r="N32" i="61" s="1"/>
  <c r="B32" i="61"/>
  <c r="Z31" i="61"/>
  <c r="X31" i="61"/>
  <c r="V31" i="61"/>
  <c r="R31" i="61"/>
  <c r="N31" i="61"/>
  <c r="L31" i="61"/>
  <c r="J31" i="61"/>
  <c r="B31" i="61"/>
  <c r="X30" i="61"/>
  <c r="Z30" i="61" s="1"/>
  <c r="N30" i="61"/>
  <c r="L30" i="61"/>
  <c r="J30" i="61"/>
  <c r="F30" i="61"/>
  <c r="B30" i="61"/>
  <c r="Z29" i="61"/>
  <c r="X29" i="61"/>
  <c r="V29" i="61"/>
  <c r="N29" i="61"/>
  <c r="L29" i="61"/>
  <c r="B29" i="61"/>
  <c r="T28" i="61"/>
  <c r="P28" i="61"/>
  <c r="X28" i="61" s="1"/>
  <c r="H28" i="61"/>
  <c r="D28" i="61"/>
  <c r="L28" i="61" s="1"/>
  <c r="B28" i="61"/>
  <c r="Z27" i="61"/>
  <c r="X27" i="61"/>
  <c r="V27" i="61"/>
  <c r="N27" i="61"/>
  <c r="L27" i="61"/>
  <c r="J27" i="61"/>
  <c r="B27" i="61"/>
  <c r="X26" i="61"/>
  <c r="Z26" i="61" s="1"/>
  <c r="V26" i="61"/>
  <c r="L26" i="61"/>
  <c r="N26" i="61" s="1"/>
  <c r="F26" i="61"/>
  <c r="B26" i="61"/>
  <c r="Z25" i="61"/>
  <c r="X25" i="61"/>
  <c r="V25" i="61"/>
  <c r="L25" i="61"/>
  <c r="N25" i="61" s="1"/>
  <c r="J25" i="61"/>
  <c r="B25" i="61"/>
  <c r="Z24" i="61"/>
  <c r="X24" i="61"/>
  <c r="N24" i="61"/>
  <c r="L24" i="61"/>
  <c r="F24" i="61"/>
  <c r="B24" i="61"/>
  <c r="Z23" i="61"/>
  <c r="X23" i="61"/>
  <c r="V23" i="61"/>
  <c r="N23" i="61"/>
  <c r="L23" i="61"/>
  <c r="J23" i="61"/>
  <c r="B23" i="61"/>
  <c r="X22" i="61"/>
  <c r="Z22" i="61" s="1"/>
  <c r="V22" i="61"/>
  <c r="L22" i="61"/>
  <c r="N22" i="61" s="1"/>
  <c r="F22" i="61"/>
  <c r="B22" i="61"/>
  <c r="Z21" i="61"/>
  <c r="X21" i="61"/>
  <c r="V21" i="61"/>
  <c r="L21" i="61"/>
  <c r="N21" i="61" s="1"/>
  <c r="J21" i="61"/>
  <c r="B21" i="61"/>
  <c r="X20" i="61"/>
  <c r="Z20" i="61" s="1"/>
  <c r="L20" i="61"/>
  <c r="N20" i="61" s="1"/>
  <c r="F20" i="61"/>
  <c r="B20" i="61"/>
  <c r="V19" i="61"/>
  <c r="T19" i="61"/>
  <c r="P19" i="61"/>
  <c r="X19" i="61" s="1"/>
  <c r="Z19" i="61" s="1"/>
  <c r="J19" i="61"/>
  <c r="H19" i="61"/>
  <c r="F19" i="61"/>
  <c r="D19" i="61"/>
  <c r="L19" i="61" s="1"/>
  <c r="N19" i="61" s="1"/>
  <c r="B19" i="61"/>
  <c r="T18" i="61"/>
  <c r="P18" i="61"/>
  <c r="X18" i="61" s="1"/>
  <c r="H18" i="61"/>
  <c r="F18" i="61"/>
  <c r="D18" i="61"/>
  <c r="F16" i="61"/>
  <c r="X14" i="61"/>
  <c r="T14" i="61"/>
  <c r="T16" i="61" s="1"/>
  <c r="P14" i="61"/>
  <c r="H14" i="61"/>
  <c r="N14" i="61" s="1"/>
  <c r="F14" i="61"/>
  <c r="D14" i="61"/>
  <c r="L14" i="61" s="1"/>
  <c r="X12" i="61"/>
  <c r="T12" i="61"/>
  <c r="V36" i="61" s="1"/>
  <c r="P12" i="61"/>
  <c r="R35" i="61" s="1"/>
  <c r="N12" i="61"/>
  <c r="L12" i="61"/>
  <c r="H12" i="61"/>
  <c r="J32" i="61" s="1"/>
  <c r="D12" i="61"/>
  <c r="F42" i="61" s="1"/>
  <c r="D6" i="61"/>
  <c r="D4" i="61"/>
  <c r="Z53" i="60"/>
  <c r="X53" i="60"/>
  <c r="R53" i="60"/>
  <c r="N53" i="60"/>
  <c r="L53" i="60"/>
  <c r="R51" i="60"/>
  <c r="T49" i="60"/>
  <c r="Z49" i="60" s="1"/>
  <c r="R49" i="60"/>
  <c r="P49" i="60"/>
  <c r="X49" i="60" s="1"/>
  <c r="L49" i="60"/>
  <c r="H49" i="60"/>
  <c r="N49" i="60" s="1"/>
  <c r="D49" i="60"/>
  <c r="X47" i="60"/>
  <c r="Z47" i="60" s="1"/>
  <c r="N47" i="60"/>
  <c r="L47" i="60"/>
  <c r="F47" i="60"/>
  <c r="B47" i="60"/>
  <c r="T46" i="60"/>
  <c r="P46" i="60"/>
  <c r="X46" i="60" s="1"/>
  <c r="Z46" i="60" s="1"/>
  <c r="N46" i="60"/>
  <c r="L46" i="60"/>
  <c r="H46" i="60"/>
  <c r="F46" i="60"/>
  <c r="D46" i="60"/>
  <c r="B46" i="60"/>
  <c r="X45" i="60"/>
  <c r="Z45" i="60" s="1"/>
  <c r="L45" i="60"/>
  <c r="N45" i="60" s="1"/>
  <c r="J45" i="60"/>
  <c r="B45" i="60"/>
  <c r="Z44" i="60"/>
  <c r="X44" i="60"/>
  <c r="T44" i="60"/>
  <c r="P44" i="60"/>
  <c r="H44" i="60"/>
  <c r="N44" i="60" s="1"/>
  <c r="D44" i="60"/>
  <c r="L44" i="60" s="1"/>
  <c r="B44" i="60"/>
  <c r="X43" i="60"/>
  <c r="Z43" i="60" s="1"/>
  <c r="N43" i="60"/>
  <c r="L43" i="60"/>
  <c r="B43" i="60"/>
  <c r="Z42" i="60"/>
  <c r="X42" i="60"/>
  <c r="V42" i="60"/>
  <c r="N42" i="60"/>
  <c r="L42" i="60"/>
  <c r="B42" i="60"/>
  <c r="X41" i="60"/>
  <c r="Z41" i="60" s="1"/>
  <c r="V41" i="60"/>
  <c r="N41" i="60"/>
  <c r="L41" i="60"/>
  <c r="B41" i="60"/>
  <c r="T40" i="60"/>
  <c r="P40" i="60"/>
  <c r="X40" i="60" s="1"/>
  <c r="Z40" i="60" s="1"/>
  <c r="N40" i="60"/>
  <c r="J40" i="60"/>
  <c r="H40" i="60"/>
  <c r="D40" i="60"/>
  <c r="L40" i="60" s="1"/>
  <c r="B40" i="60"/>
  <c r="X39" i="60"/>
  <c r="Z39" i="60" s="1"/>
  <c r="N39" i="60"/>
  <c r="L39" i="60"/>
  <c r="F39" i="60"/>
  <c r="B39" i="60"/>
  <c r="Z38" i="60"/>
  <c r="X38" i="60"/>
  <c r="T38" i="60"/>
  <c r="P38" i="60"/>
  <c r="N38" i="60"/>
  <c r="L38" i="60"/>
  <c r="H38" i="60"/>
  <c r="F38" i="60"/>
  <c r="D38" i="60"/>
  <c r="B38" i="60"/>
  <c r="X37" i="60"/>
  <c r="Z37" i="60" s="1"/>
  <c r="L37" i="60"/>
  <c r="N37" i="60" s="1"/>
  <c r="J37" i="60"/>
  <c r="B37" i="60"/>
  <c r="Z36" i="60"/>
  <c r="X36" i="60"/>
  <c r="V36" i="60"/>
  <c r="N36" i="60"/>
  <c r="L36" i="60"/>
  <c r="B36" i="60"/>
  <c r="Z35" i="60"/>
  <c r="X35" i="60"/>
  <c r="R35" i="60"/>
  <c r="L35" i="60"/>
  <c r="N35" i="60" s="1"/>
  <c r="B35" i="60"/>
  <c r="V34" i="60"/>
  <c r="T34" i="60"/>
  <c r="P34" i="60"/>
  <c r="H34" i="60"/>
  <c r="D34" i="60"/>
  <c r="L34" i="60" s="1"/>
  <c r="N34" i="60" s="1"/>
  <c r="B34" i="60"/>
  <c r="X33" i="60"/>
  <c r="Z33" i="60" s="1"/>
  <c r="V33" i="60"/>
  <c r="L33" i="60"/>
  <c r="N33" i="60" s="1"/>
  <c r="B33" i="60"/>
  <c r="T32" i="60"/>
  <c r="R32" i="60"/>
  <c r="P32" i="60"/>
  <c r="X32" i="60" s="1"/>
  <c r="Z32" i="60" s="1"/>
  <c r="J32" i="60"/>
  <c r="H32" i="60"/>
  <c r="D32" i="60"/>
  <c r="L32" i="60" s="1"/>
  <c r="N32" i="60" s="1"/>
  <c r="B32" i="60"/>
  <c r="X31" i="60"/>
  <c r="Z31" i="60" s="1"/>
  <c r="R31" i="60"/>
  <c r="N31" i="60"/>
  <c r="L31" i="60"/>
  <c r="F31" i="60"/>
  <c r="B31" i="60"/>
  <c r="T30" i="60"/>
  <c r="P30" i="60"/>
  <c r="X30" i="60" s="1"/>
  <c r="Z30" i="60" s="1"/>
  <c r="N30" i="60"/>
  <c r="L30" i="60"/>
  <c r="H30" i="60"/>
  <c r="F30" i="60"/>
  <c r="D30" i="60"/>
  <c r="B30" i="60"/>
  <c r="X29" i="60"/>
  <c r="Z29" i="60" s="1"/>
  <c r="L29" i="60"/>
  <c r="N29" i="60" s="1"/>
  <c r="J29" i="60"/>
  <c r="B29" i="60"/>
  <c r="V28" i="60"/>
  <c r="T28" i="60"/>
  <c r="P28" i="60"/>
  <c r="X28" i="60" s="1"/>
  <c r="Z28" i="60" s="1"/>
  <c r="H28" i="60"/>
  <c r="N28" i="60" s="1"/>
  <c r="D28" i="60"/>
  <c r="L28" i="60" s="1"/>
  <c r="B28" i="60"/>
  <c r="X27" i="60"/>
  <c r="Z27" i="60" s="1"/>
  <c r="N27" i="60"/>
  <c r="L27" i="60"/>
  <c r="B27" i="60"/>
  <c r="Z26" i="60"/>
  <c r="X26" i="60"/>
  <c r="V26" i="60"/>
  <c r="N26" i="60"/>
  <c r="L26" i="60"/>
  <c r="B26" i="60"/>
  <c r="X25" i="60"/>
  <c r="Z25" i="60" s="1"/>
  <c r="V25" i="60"/>
  <c r="L25" i="60"/>
  <c r="N25" i="60" s="1"/>
  <c r="B25" i="60"/>
  <c r="Z24" i="60"/>
  <c r="X24" i="60"/>
  <c r="L24" i="60"/>
  <c r="N24" i="60" s="1"/>
  <c r="B24" i="60"/>
  <c r="X23" i="60"/>
  <c r="Z23" i="60" s="1"/>
  <c r="L23" i="60"/>
  <c r="N23" i="60" s="1"/>
  <c r="B23" i="60"/>
  <c r="Z22" i="60"/>
  <c r="X22" i="60"/>
  <c r="V22" i="60"/>
  <c r="N22" i="60"/>
  <c r="L22" i="60"/>
  <c r="B22" i="60"/>
  <c r="X21" i="60"/>
  <c r="Z21" i="60" s="1"/>
  <c r="V21" i="60"/>
  <c r="R21" i="60"/>
  <c r="L21" i="60"/>
  <c r="N21" i="60" s="1"/>
  <c r="B21" i="60"/>
  <c r="Z20" i="60"/>
  <c r="X20" i="60"/>
  <c r="L20" i="60"/>
  <c r="N20" i="60" s="1"/>
  <c r="B20" i="60"/>
  <c r="X19" i="60"/>
  <c r="T19" i="60"/>
  <c r="Z19" i="60" s="1"/>
  <c r="P19" i="60"/>
  <c r="J19" i="60"/>
  <c r="H19" i="60"/>
  <c r="N19" i="60" s="1"/>
  <c r="D19" i="60"/>
  <c r="L19" i="60" s="1"/>
  <c r="B19" i="60"/>
  <c r="T18" i="60"/>
  <c r="P18" i="60"/>
  <c r="X18" i="60" s="1"/>
  <c r="Z18" i="60" s="1"/>
  <c r="L18" i="60"/>
  <c r="N18" i="60" s="1"/>
  <c r="H18" i="60"/>
  <c r="F18" i="60"/>
  <c r="D18" i="60"/>
  <c r="F16" i="60"/>
  <c r="Z14" i="60"/>
  <c r="T14" i="60"/>
  <c r="T16" i="60" s="1"/>
  <c r="P14" i="60"/>
  <c r="X14" i="60" s="1"/>
  <c r="N14" i="60"/>
  <c r="L14" i="60"/>
  <c r="H14" i="60"/>
  <c r="F14" i="60"/>
  <c r="D14" i="60"/>
  <c r="Z12" i="60"/>
  <c r="T12" i="60"/>
  <c r="V44" i="60" s="1"/>
  <c r="P12" i="60"/>
  <c r="R36" i="60" s="1"/>
  <c r="H12" i="60"/>
  <c r="J34" i="60" s="1"/>
  <c r="D12" i="60"/>
  <c r="F41" i="60" s="1"/>
  <c r="D6" i="60"/>
  <c r="D4" i="60"/>
  <c r="Z63" i="59"/>
  <c r="X63" i="59"/>
  <c r="N63" i="59"/>
  <c r="L63" i="59"/>
  <c r="R61" i="59"/>
  <c r="Z59" i="59"/>
  <c r="X59" i="59"/>
  <c r="T59" i="59"/>
  <c r="R59" i="59"/>
  <c r="P59" i="59"/>
  <c r="N59" i="59"/>
  <c r="H59" i="59"/>
  <c r="D59" i="59"/>
  <c r="L59" i="59" s="1"/>
  <c r="X57" i="59"/>
  <c r="Z57" i="59" s="1"/>
  <c r="N57" i="59"/>
  <c r="L57" i="59"/>
  <c r="B57" i="59"/>
  <c r="Z56" i="59"/>
  <c r="X56" i="59"/>
  <c r="N56" i="59"/>
  <c r="L56" i="59"/>
  <c r="F56" i="59"/>
  <c r="B56" i="59"/>
  <c r="T55" i="59"/>
  <c r="P55" i="59"/>
  <c r="X55" i="59" s="1"/>
  <c r="Z55" i="59" s="1"/>
  <c r="N55" i="59"/>
  <c r="L55" i="59"/>
  <c r="H55" i="59"/>
  <c r="F55" i="59"/>
  <c r="D55" i="59"/>
  <c r="B55" i="59"/>
  <c r="X54" i="59"/>
  <c r="Z54" i="59" s="1"/>
  <c r="L54" i="59"/>
  <c r="N54" i="59" s="1"/>
  <c r="J54" i="59"/>
  <c r="B54" i="59"/>
  <c r="Z53" i="59"/>
  <c r="X53" i="59"/>
  <c r="T53" i="59"/>
  <c r="P53" i="59"/>
  <c r="H53" i="59"/>
  <c r="D53" i="59"/>
  <c r="L53" i="59" s="1"/>
  <c r="B53" i="59"/>
  <c r="X52" i="59"/>
  <c r="Z52" i="59" s="1"/>
  <c r="N52" i="59"/>
  <c r="L52" i="59"/>
  <c r="B52" i="59"/>
  <c r="X51" i="59"/>
  <c r="Z51" i="59" s="1"/>
  <c r="N51" i="59"/>
  <c r="L51" i="59"/>
  <c r="B51" i="59"/>
  <c r="T50" i="59"/>
  <c r="Z50" i="59" s="1"/>
  <c r="P50" i="59"/>
  <c r="X50" i="59" s="1"/>
  <c r="L50" i="59"/>
  <c r="N50" i="59" s="1"/>
  <c r="H50" i="59"/>
  <c r="D50" i="59"/>
  <c r="B50" i="59"/>
  <c r="X49" i="59"/>
  <c r="Z49" i="59" s="1"/>
  <c r="N49" i="59"/>
  <c r="L49" i="59"/>
  <c r="B49" i="59"/>
  <c r="T48" i="59"/>
  <c r="Z48" i="59" s="1"/>
  <c r="R48" i="59"/>
  <c r="P48" i="59"/>
  <c r="X48" i="59" s="1"/>
  <c r="L48" i="59"/>
  <c r="H48" i="59"/>
  <c r="N48" i="59" s="1"/>
  <c r="D48" i="59"/>
  <c r="B48" i="59"/>
  <c r="X47" i="59"/>
  <c r="Z47" i="59" s="1"/>
  <c r="R47" i="59"/>
  <c r="N47" i="59"/>
  <c r="L47" i="59"/>
  <c r="J47" i="59"/>
  <c r="B47" i="59"/>
  <c r="X46" i="59"/>
  <c r="Z46" i="59" s="1"/>
  <c r="L46" i="59"/>
  <c r="N46" i="59" s="1"/>
  <c r="J46" i="59"/>
  <c r="B46" i="59"/>
  <c r="Z45" i="59"/>
  <c r="X45" i="59"/>
  <c r="L45" i="59"/>
  <c r="N45" i="59" s="1"/>
  <c r="B45" i="59"/>
  <c r="T44" i="59"/>
  <c r="P44" i="59"/>
  <c r="H44" i="59"/>
  <c r="N44" i="59" s="1"/>
  <c r="D44" i="59"/>
  <c r="L44" i="59" s="1"/>
  <c r="B44" i="59"/>
  <c r="X43" i="59"/>
  <c r="Z43" i="59" s="1"/>
  <c r="N43" i="59"/>
  <c r="L43" i="59"/>
  <c r="B43" i="59"/>
  <c r="T42" i="59"/>
  <c r="P42" i="59"/>
  <c r="X42" i="59" s="1"/>
  <c r="L42" i="59"/>
  <c r="N42" i="59" s="1"/>
  <c r="H42" i="59"/>
  <c r="D42" i="59"/>
  <c r="B42" i="59"/>
  <c r="Z41" i="59"/>
  <c r="X41" i="59"/>
  <c r="N41" i="59"/>
  <c r="L41" i="59"/>
  <c r="B41" i="59"/>
  <c r="T40" i="59"/>
  <c r="Z40" i="59" s="1"/>
  <c r="R40" i="59"/>
  <c r="P40" i="59"/>
  <c r="X40" i="59" s="1"/>
  <c r="L40" i="59"/>
  <c r="H40" i="59"/>
  <c r="N40" i="59" s="1"/>
  <c r="D40" i="59"/>
  <c r="B40" i="59"/>
  <c r="Z39" i="59"/>
  <c r="X39" i="59"/>
  <c r="R39" i="59"/>
  <c r="N39" i="59"/>
  <c r="L39" i="59"/>
  <c r="J39" i="59"/>
  <c r="B39" i="59"/>
  <c r="T38" i="59"/>
  <c r="Z38" i="59" s="1"/>
  <c r="P38" i="59"/>
  <c r="X38" i="59" s="1"/>
  <c r="N38" i="59"/>
  <c r="H38" i="59"/>
  <c r="D38" i="59"/>
  <c r="L38" i="59" s="1"/>
  <c r="B38" i="59"/>
  <c r="X37" i="59"/>
  <c r="Z37" i="59" s="1"/>
  <c r="N37" i="59"/>
  <c r="L37" i="59"/>
  <c r="B37" i="59"/>
  <c r="X36" i="59"/>
  <c r="T36" i="59"/>
  <c r="Z36" i="59" s="1"/>
  <c r="P36" i="59"/>
  <c r="J36" i="59"/>
  <c r="H36" i="59"/>
  <c r="N36" i="59" s="1"/>
  <c r="D36" i="59"/>
  <c r="L36" i="59" s="1"/>
  <c r="B36" i="59"/>
  <c r="Z35" i="59"/>
  <c r="X35" i="59"/>
  <c r="N35" i="59"/>
  <c r="L35" i="59"/>
  <c r="F35" i="59"/>
  <c r="B35" i="59"/>
  <c r="X34" i="59"/>
  <c r="Z34" i="59" s="1"/>
  <c r="L34" i="59"/>
  <c r="N34" i="59" s="1"/>
  <c r="B34" i="59"/>
  <c r="X33" i="59"/>
  <c r="Z33" i="59" s="1"/>
  <c r="N33" i="59"/>
  <c r="L33" i="59"/>
  <c r="J33" i="59"/>
  <c r="B33" i="59"/>
  <c r="Z32" i="59"/>
  <c r="X32" i="59"/>
  <c r="N32" i="59"/>
  <c r="L32" i="59"/>
  <c r="F32" i="59"/>
  <c r="B32" i="59"/>
  <c r="Z31" i="59"/>
  <c r="X31" i="59"/>
  <c r="L31" i="59"/>
  <c r="N31" i="59" s="1"/>
  <c r="F31" i="59"/>
  <c r="B31" i="59"/>
  <c r="X30" i="59"/>
  <c r="T30" i="59"/>
  <c r="Z30" i="59" s="1"/>
  <c r="P30" i="59"/>
  <c r="H30" i="59"/>
  <c r="N30" i="59" s="1"/>
  <c r="F30" i="59"/>
  <c r="D30" i="59"/>
  <c r="L30" i="59" s="1"/>
  <c r="B30" i="59"/>
  <c r="Z29" i="59"/>
  <c r="X29" i="59"/>
  <c r="N29" i="59"/>
  <c r="L29" i="59"/>
  <c r="B29" i="59"/>
  <c r="Z28" i="59"/>
  <c r="X28" i="59"/>
  <c r="R28" i="59"/>
  <c r="L28" i="59"/>
  <c r="N28" i="59" s="1"/>
  <c r="B28" i="59"/>
  <c r="X27" i="59"/>
  <c r="Z27" i="59" s="1"/>
  <c r="R27" i="59"/>
  <c r="N27" i="59"/>
  <c r="L27" i="59"/>
  <c r="J27" i="59"/>
  <c r="B27" i="59"/>
  <c r="X26" i="59"/>
  <c r="Z26" i="59" s="1"/>
  <c r="L26" i="59"/>
  <c r="N26" i="59" s="1"/>
  <c r="J26" i="59"/>
  <c r="B26" i="59"/>
  <c r="Z25" i="59"/>
  <c r="X25" i="59"/>
  <c r="N25" i="59"/>
  <c r="L25" i="59"/>
  <c r="B25" i="59"/>
  <c r="Z24" i="59"/>
  <c r="X24" i="59"/>
  <c r="R24" i="59"/>
  <c r="L24" i="59"/>
  <c r="N24" i="59" s="1"/>
  <c r="B24" i="59"/>
  <c r="X23" i="59"/>
  <c r="Z23" i="59" s="1"/>
  <c r="R23" i="59"/>
  <c r="N23" i="59"/>
  <c r="L23" i="59"/>
  <c r="J23" i="59"/>
  <c r="B23" i="59"/>
  <c r="X22" i="59"/>
  <c r="Z22" i="59" s="1"/>
  <c r="L22" i="59"/>
  <c r="N22" i="59" s="1"/>
  <c r="J22" i="59"/>
  <c r="B22" i="59"/>
  <c r="Z21" i="59"/>
  <c r="X21" i="59"/>
  <c r="L21" i="59"/>
  <c r="N21" i="59" s="1"/>
  <c r="B21" i="59"/>
  <c r="Z20" i="59"/>
  <c r="X20" i="59"/>
  <c r="R20" i="59"/>
  <c r="L20" i="59"/>
  <c r="N20" i="59" s="1"/>
  <c r="B20" i="59"/>
  <c r="T19" i="59"/>
  <c r="P19" i="59"/>
  <c r="J19" i="59"/>
  <c r="H19" i="59"/>
  <c r="D19" i="59"/>
  <c r="L19" i="59" s="1"/>
  <c r="N19" i="59" s="1"/>
  <c r="B19" i="59"/>
  <c r="V18" i="59"/>
  <c r="T18" i="59"/>
  <c r="P18" i="59"/>
  <c r="H18" i="59"/>
  <c r="D18" i="59"/>
  <c r="L18" i="59" s="1"/>
  <c r="T14" i="59"/>
  <c r="Z14" i="59" s="1"/>
  <c r="P14" i="59"/>
  <c r="X14" i="59" s="1"/>
  <c r="L14" i="59"/>
  <c r="H14" i="59"/>
  <c r="H16" i="59" s="1"/>
  <c r="D14" i="59"/>
  <c r="T12" i="59"/>
  <c r="V50" i="59" s="1"/>
  <c r="P12" i="59"/>
  <c r="R34" i="59" s="1"/>
  <c r="N12" i="59"/>
  <c r="L12" i="59"/>
  <c r="H12" i="59"/>
  <c r="J57" i="59" s="1"/>
  <c r="D12" i="59"/>
  <c r="F57" i="59" s="1"/>
  <c r="D6" i="59"/>
  <c r="D4" i="59"/>
  <c r="R80" i="58"/>
  <c r="R77" i="58"/>
  <c r="Z75" i="58"/>
  <c r="X75" i="58"/>
  <c r="N75" i="58"/>
  <c r="L75" i="58"/>
  <c r="X71" i="58"/>
  <c r="T71" i="58"/>
  <c r="Z71" i="58" s="1"/>
  <c r="P71" i="58"/>
  <c r="J71" i="58"/>
  <c r="H71" i="58"/>
  <c r="N71" i="58" s="1"/>
  <c r="D71" i="58"/>
  <c r="L71" i="58" s="1"/>
  <c r="X69" i="58"/>
  <c r="Z69" i="58" s="1"/>
  <c r="N69" i="58"/>
  <c r="L69" i="58"/>
  <c r="B69" i="58"/>
  <c r="Z68" i="58"/>
  <c r="X68" i="58"/>
  <c r="T68" i="58"/>
  <c r="R68" i="58"/>
  <c r="P68" i="58"/>
  <c r="N68" i="58"/>
  <c r="H68" i="58"/>
  <c r="D68" i="58"/>
  <c r="L68" i="58" s="1"/>
  <c r="B68" i="58"/>
  <c r="X67" i="58"/>
  <c r="Z67" i="58" s="1"/>
  <c r="L67" i="58"/>
  <c r="N67" i="58" s="1"/>
  <c r="B67" i="58"/>
  <c r="X66" i="58"/>
  <c r="Z66" i="58" s="1"/>
  <c r="V66" i="58"/>
  <c r="T66" i="58"/>
  <c r="R66" i="58"/>
  <c r="P66" i="58"/>
  <c r="N66" i="58"/>
  <c r="H66" i="58"/>
  <c r="D66" i="58"/>
  <c r="L66" i="58" s="1"/>
  <c r="B66" i="58"/>
  <c r="X65" i="58"/>
  <c r="Z65" i="58" s="1"/>
  <c r="L65" i="58"/>
  <c r="N65" i="58" s="1"/>
  <c r="B65" i="58"/>
  <c r="T64" i="58"/>
  <c r="R64" i="58"/>
  <c r="P64" i="58"/>
  <c r="N64" i="58"/>
  <c r="H64" i="58"/>
  <c r="D64" i="58"/>
  <c r="L64" i="58" s="1"/>
  <c r="B64" i="58"/>
  <c r="X63" i="58"/>
  <c r="Z63" i="58" s="1"/>
  <c r="N63" i="58"/>
  <c r="L63" i="58"/>
  <c r="F63" i="58"/>
  <c r="B63" i="58"/>
  <c r="Z62" i="58"/>
  <c r="X62" i="58"/>
  <c r="N62" i="58"/>
  <c r="L62" i="58"/>
  <c r="B62" i="58"/>
  <c r="X61" i="58"/>
  <c r="Z61" i="58" s="1"/>
  <c r="R61" i="58"/>
  <c r="N61" i="58"/>
  <c r="L61" i="58"/>
  <c r="B61" i="58"/>
  <c r="Z60" i="58"/>
  <c r="X60" i="58"/>
  <c r="N60" i="58"/>
  <c r="L60" i="58"/>
  <c r="B60" i="58"/>
  <c r="X59" i="58"/>
  <c r="V59" i="58"/>
  <c r="T59" i="58"/>
  <c r="P59" i="58"/>
  <c r="L59" i="58"/>
  <c r="H59" i="58"/>
  <c r="D59" i="58"/>
  <c r="B59" i="58"/>
  <c r="X58" i="58"/>
  <c r="Z58" i="58" s="1"/>
  <c r="V58" i="58"/>
  <c r="N58" i="58"/>
  <c r="L58" i="58"/>
  <c r="B58" i="58"/>
  <c r="T57" i="58"/>
  <c r="P57" i="58"/>
  <c r="X57" i="58" s="1"/>
  <c r="Z57" i="58" s="1"/>
  <c r="H57" i="58"/>
  <c r="N57" i="58" s="1"/>
  <c r="D57" i="58"/>
  <c r="L57" i="58" s="1"/>
  <c r="B57" i="58"/>
  <c r="Z56" i="58"/>
  <c r="X56" i="58"/>
  <c r="N56" i="58"/>
  <c r="L56" i="58"/>
  <c r="B56" i="58"/>
  <c r="X55" i="58"/>
  <c r="Z55" i="58" s="1"/>
  <c r="R55" i="58"/>
  <c r="N55" i="58"/>
  <c r="L55" i="58"/>
  <c r="B55" i="58"/>
  <c r="X54" i="58"/>
  <c r="Z54" i="58" s="1"/>
  <c r="T54" i="58"/>
  <c r="P54" i="58"/>
  <c r="L54" i="58"/>
  <c r="N54" i="58" s="1"/>
  <c r="J54" i="58"/>
  <c r="H54" i="58"/>
  <c r="D54" i="58"/>
  <c r="B54" i="58"/>
  <c r="Z53" i="58"/>
  <c r="X53" i="58"/>
  <c r="L53" i="58"/>
  <c r="N53" i="58" s="1"/>
  <c r="J53" i="58"/>
  <c r="F53" i="58"/>
  <c r="B53" i="58"/>
  <c r="Z52" i="58"/>
  <c r="X52" i="58"/>
  <c r="N52" i="58"/>
  <c r="L52" i="58"/>
  <c r="B52" i="58"/>
  <c r="Z51" i="58"/>
  <c r="X51" i="58"/>
  <c r="N51" i="58"/>
  <c r="L51" i="58"/>
  <c r="B51" i="58"/>
  <c r="V50" i="58"/>
  <c r="T50" i="58"/>
  <c r="R50" i="58"/>
  <c r="P50" i="58"/>
  <c r="H50" i="58"/>
  <c r="L50" i="58" s="1"/>
  <c r="N50" i="58" s="1"/>
  <c r="D50" i="58"/>
  <c r="B50" i="58"/>
  <c r="X49" i="58"/>
  <c r="Z49" i="58" s="1"/>
  <c r="V49" i="58"/>
  <c r="R49" i="58"/>
  <c r="L49" i="58"/>
  <c r="N49" i="58" s="1"/>
  <c r="B49" i="58"/>
  <c r="T48" i="58"/>
  <c r="Z48" i="58" s="1"/>
  <c r="R48" i="58"/>
  <c r="P48" i="58"/>
  <c r="X48" i="58" s="1"/>
  <c r="J48" i="58"/>
  <c r="H48" i="58"/>
  <c r="D48" i="58"/>
  <c r="L48" i="58" s="1"/>
  <c r="N48" i="58" s="1"/>
  <c r="B48" i="58"/>
  <c r="Z47" i="58"/>
  <c r="X47" i="58"/>
  <c r="R47" i="58"/>
  <c r="N47" i="58"/>
  <c r="L47" i="58"/>
  <c r="B47" i="58"/>
  <c r="X46" i="58"/>
  <c r="T46" i="58"/>
  <c r="Z46" i="58" s="1"/>
  <c r="P46" i="58"/>
  <c r="N46" i="58"/>
  <c r="L46" i="58"/>
  <c r="J46" i="58"/>
  <c r="H46" i="58"/>
  <c r="D46" i="58"/>
  <c r="B46" i="58"/>
  <c r="Z45" i="58"/>
  <c r="X45" i="58"/>
  <c r="L45" i="58"/>
  <c r="N45" i="58" s="1"/>
  <c r="J45" i="58"/>
  <c r="F45" i="58"/>
  <c r="B45" i="58"/>
  <c r="T44" i="58"/>
  <c r="P44" i="58"/>
  <c r="J44" i="58"/>
  <c r="H44" i="58"/>
  <c r="F44" i="58"/>
  <c r="D44" i="58"/>
  <c r="B44" i="58"/>
  <c r="Z43" i="58"/>
  <c r="X43" i="58"/>
  <c r="N43" i="58"/>
  <c r="L43" i="58"/>
  <c r="F43" i="58"/>
  <c r="B43" i="58"/>
  <c r="Z42" i="58"/>
  <c r="T42" i="58"/>
  <c r="P42" i="58"/>
  <c r="X42" i="58" s="1"/>
  <c r="H42" i="58"/>
  <c r="N42" i="58" s="1"/>
  <c r="F42" i="58"/>
  <c r="D42" i="58"/>
  <c r="L42" i="58" s="1"/>
  <c r="B42" i="58"/>
  <c r="X41" i="58"/>
  <c r="Z41" i="58" s="1"/>
  <c r="N41" i="58"/>
  <c r="L41" i="58"/>
  <c r="B41" i="58"/>
  <c r="X40" i="58"/>
  <c r="Z40" i="58" s="1"/>
  <c r="V40" i="58"/>
  <c r="T40" i="58"/>
  <c r="P40" i="58"/>
  <c r="L40" i="58"/>
  <c r="H40" i="58"/>
  <c r="N40" i="58" s="1"/>
  <c r="D40" i="58"/>
  <c r="B40" i="58"/>
  <c r="Z39" i="58"/>
  <c r="X39" i="58"/>
  <c r="N39" i="58"/>
  <c r="L39" i="58"/>
  <c r="J39" i="58"/>
  <c r="B39" i="58"/>
  <c r="V38" i="58"/>
  <c r="T38" i="58"/>
  <c r="R38" i="58"/>
  <c r="P38" i="58"/>
  <c r="H38" i="58"/>
  <c r="N38" i="58" s="1"/>
  <c r="D38" i="58"/>
  <c r="B38" i="58"/>
  <c r="X37" i="58"/>
  <c r="Z37" i="58" s="1"/>
  <c r="V37" i="58"/>
  <c r="R37" i="58"/>
  <c r="N37" i="58"/>
  <c r="L37" i="58"/>
  <c r="J37" i="58"/>
  <c r="B37" i="58"/>
  <c r="T36" i="58"/>
  <c r="Z36" i="58" s="1"/>
  <c r="R36" i="58"/>
  <c r="P36" i="58"/>
  <c r="X36" i="58" s="1"/>
  <c r="N36" i="58"/>
  <c r="J36" i="58"/>
  <c r="H36" i="58"/>
  <c r="D36" i="58"/>
  <c r="L36" i="58" s="1"/>
  <c r="B36" i="58"/>
  <c r="Z35" i="58"/>
  <c r="X35" i="58"/>
  <c r="R35" i="58"/>
  <c r="L35" i="58"/>
  <c r="N35" i="58" s="1"/>
  <c r="B35" i="58"/>
  <c r="X34" i="58"/>
  <c r="Z34" i="58" s="1"/>
  <c r="L34" i="58"/>
  <c r="N34" i="58" s="1"/>
  <c r="J34" i="58"/>
  <c r="F34" i="58"/>
  <c r="B34" i="58"/>
  <c r="X33" i="58"/>
  <c r="Z33" i="58" s="1"/>
  <c r="N33" i="58"/>
  <c r="L33" i="58"/>
  <c r="B33" i="58"/>
  <c r="X32" i="58"/>
  <c r="Z32" i="58" s="1"/>
  <c r="V32" i="58"/>
  <c r="N32" i="58"/>
  <c r="L32" i="58"/>
  <c r="F32" i="58"/>
  <c r="B32" i="58"/>
  <c r="Z31" i="58"/>
  <c r="X31" i="58"/>
  <c r="R31" i="58"/>
  <c r="L31" i="58"/>
  <c r="N31" i="58" s="1"/>
  <c r="F31" i="58"/>
  <c r="B31" i="58"/>
  <c r="X30" i="58"/>
  <c r="T30" i="58"/>
  <c r="Z30" i="58" s="1"/>
  <c r="P30" i="58"/>
  <c r="L30" i="58"/>
  <c r="N30" i="58" s="1"/>
  <c r="J30" i="58"/>
  <c r="H30" i="58"/>
  <c r="F30" i="58"/>
  <c r="D30" i="58"/>
  <c r="B30" i="58"/>
  <c r="Z29" i="58"/>
  <c r="X29" i="58"/>
  <c r="N29" i="58"/>
  <c r="L29" i="58"/>
  <c r="J29" i="58"/>
  <c r="F29" i="58"/>
  <c r="B29" i="58"/>
  <c r="X28" i="58"/>
  <c r="Z28" i="58" s="1"/>
  <c r="L28" i="58"/>
  <c r="N28" i="58" s="1"/>
  <c r="F28" i="58"/>
  <c r="B28" i="58"/>
  <c r="X27" i="58"/>
  <c r="Z27" i="58" s="1"/>
  <c r="N27" i="58"/>
  <c r="L27" i="58"/>
  <c r="J27" i="58"/>
  <c r="B27" i="58"/>
  <c r="X26" i="58"/>
  <c r="Z26" i="58" s="1"/>
  <c r="V26" i="58"/>
  <c r="R26" i="58"/>
  <c r="N26" i="58"/>
  <c r="L26" i="58"/>
  <c r="J26" i="58"/>
  <c r="F26" i="58"/>
  <c r="B26" i="58"/>
  <c r="Z25" i="58"/>
  <c r="X25" i="58"/>
  <c r="N25" i="58"/>
  <c r="L25" i="58"/>
  <c r="J25" i="58"/>
  <c r="F25" i="58"/>
  <c r="B25" i="58"/>
  <c r="X24" i="58"/>
  <c r="Z24" i="58" s="1"/>
  <c r="L24" i="58"/>
  <c r="N24" i="58" s="1"/>
  <c r="F24" i="58"/>
  <c r="B24" i="58"/>
  <c r="Z23" i="58"/>
  <c r="X23" i="58"/>
  <c r="N23" i="58"/>
  <c r="L23" i="58"/>
  <c r="J23" i="58"/>
  <c r="B23" i="58"/>
  <c r="X22" i="58"/>
  <c r="Z22" i="58" s="1"/>
  <c r="V22" i="58"/>
  <c r="R22" i="58"/>
  <c r="N22" i="58"/>
  <c r="L22" i="58"/>
  <c r="J22" i="58"/>
  <c r="F22" i="58"/>
  <c r="B22" i="58"/>
  <c r="Z21" i="58"/>
  <c r="X21" i="58"/>
  <c r="L21" i="58"/>
  <c r="N21" i="58" s="1"/>
  <c r="J21" i="58"/>
  <c r="F21" i="58"/>
  <c r="B21" i="58"/>
  <c r="X20" i="58"/>
  <c r="Z20" i="58" s="1"/>
  <c r="L20" i="58"/>
  <c r="N20" i="58" s="1"/>
  <c r="F20" i="58"/>
  <c r="B20" i="58"/>
  <c r="Z19" i="58"/>
  <c r="X19" i="58"/>
  <c r="T19" i="58"/>
  <c r="P19" i="58"/>
  <c r="J19" i="58"/>
  <c r="H19" i="58"/>
  <c r="F19" i="58"/>
  <c r="D19" i="58"/>
  <c r="L19" i="58" s="1"/>
  <c r="N19" i="58" s="1"/>
  <c r="B19" i="58"/>
  <c r="T18" i="58"/>
  <c r="P18" i="58"/>
  <c r="H18" i="58"/>
  <c r="F18" i="58"/>
  <c r="D18" i="58"/>
  <c r="L18" i="58" s="1"/>
  <c r="F16" i="58"/>
  <c r="Z14" i="58"/>
  <c r="T14" i="58"/>
  <c r="T16" i="58" s="1"/>
  <c r="P14" i="58"/>
  <c r="P16" i="58" s="1"/>
  <c r="H14" i="58"/>
  <c r="N14" i="58" s="1"/>
  <c r="F14" i="58"/>
  <c r="D14" i="58"/>
  <c r="L14" i="58" s="1"/>
  <c r="Z12" i="58"/>
  <c r="T12" i="58"/>
  <c r="V41" i="58" s="1"/>
  <c r="P12" i="58"/>
  <c r="R42" i="58" s="1"/>
  <c r="L12" i="58"/>
  <c r="H12" i="58"/>
  <c r="J73" i="58" s="1"/>
  <c r="D12" i="58"/>
  <c r="F41" i="58" s="1"/>
  <c r="D6" i="58"/>
  <c r="D4" i="58"/>
  <c r="Z72" i="57"/>
  <c r="X72" i="57"/>
  <c r="N72" i="57"/>
  <c r="L72" i="57"/>
  <c r="R70" i="57"/>
  <c r="T68" i="57"/>
  <c r="Z68" i="57" s="1"/>
  <c r="R68" i="57"/>
  <c r="P68" i="57"/>
  <c r="X68" i="57" s="1"/>
  <c r="N68" i="57"/>
  <c r="H68" i="57"/>
  <c r="D68" i="57"/>
  <c r="L68" i="57" s="1"/>
  <c r="Z66" i="57"/>
  <c r="X66" i="57"/>
  <c r="R66" i="57"/>
  <c r="N66" i="57"/>
  <c r="L66" i="57"/>
  <c r="J66" i="57"/>
  <c r="B66" i="57"/>
  <c r="Z65" i="57"/>
  <c r="T65" i="57"/>
  <c r="X65" i="57" s="1"/>
  <c r="P65" i="57"/>
  <c r="J65" i="57"/>
  <c r="H65" i="57"/>
  <c r="D65" i="57"/>
  <c r="B65" i="57"/>
  <c r="X64" i="57"/>
  <c r="Z64" i="57" s="1"/>
  <c r="N64" i="57"/>
  <c r="L64" i="57"/>
  <c r="J64" i="57"/>
  <c r="F64" i="57"/>
  <c r="B64" i="57"/>
  <c r="X63" i="57"/>
  <c r="T63" i="57"/>
  <c r="Z63" i="57" s="1"/>
  <c r="R63" i="57"/>
  <c r="P63" i="57"/>
  <c r="J63" i="57"/>
  <c r="H63" i="57"/>
  <c r="N63" i="57" s="1"/>
  <c r="F63" i="57"/>
  <c r="D63" i="57"/>
  <c r="L63" i="57" s="1"/>
  <c r="B63" i="57"/>
  <c r="X62" i="57"/>
  <c r="Z62" i="57" s="1"/>
  <c r="R62" i="57"/>
  <c r="L62" i="57"/>
  <c r="N62" i="57" s="1"/>
  <c r="B62" i="57"/>
  <c r="X61" i="57"/>
  <c r="Z61" i="57" s="1"/>
  <c r="T61" i="57"/>
  <c r="R61" i="57"/>
  <c r="P61" i="57"/>
  <c r="H61" i="57"/>
  <c r="D61" i="57"/>
  <c r="L61" i="57" s="1"/>
  <c r="N61" i="57" s="1"/>
  <c r="B61" i="57"/>
  <c r="Z60" i="57"/>
  <c r="X60" i="57"/>
  <c r="R60" i="57"/>
  <c r="N60" i="57"/>
  <c r="L60" i="57"/>
  <c r="B60" i="57"/>
  <c r="X59" i="57"/>
  <c r="Z59" i="57" s="1"/>
  <c r="R59" i="57"/>
  <c r="L59" i="57"/>
  <c r="N59" i="57" s="1"/>
  <c r="J59" i="57"/>
  <c r="B59" i="57"/>
  <c r="Z58" i="57"/>
  <c r="X58" i="57"/>
  <c r="R58" i="57"/>
  <c r="N58" i="57"/>
  <c r="L58" i="57"/>
  <c r="J58" i="57"/>
  <c r="B58" i="57"/>
  <c r="T57" i="57"/>
  <c r="X57" i="57" s="1"/>
  <c r="Z57" i="57" s="1"/>
  <c r="P57" i="57"/>
  <c r="J57" i="57"/>
  <c r="H57" i="57"/>
  <c r="D57" i="57"/>
  <c r="B57" i="57"/>
  <c r="X56" i="57"/>
  <c r="Z56" i="57" s="1"/>
  <c r="N56" i="57"/>
  <c r="L56" i="57"/>
  <c r="J56" i="57"/>
  <c r="F56" i="57"/>
  <c r="B56" i="57"/>
  <c r="X55" i="57"/>
  <c r="T55" i="57"/>
  <c r="Z55" i="57" s="1"/>
  <c r="R55" i="57"/>
  <c r="P55" i="57"/>
  <c r="J55" i="57"/>
  <c r="H55" i="57"/>
  <c r="N55" i="57" s="1"/>
  <c r="F55" i="57"/>
  <c r="D55" i="57"/>
  <c r="L55" i="57" s="1"/>
  <c r="B55" i="57"/>
  <c r="X54" i="57"/>
  <c r="Z54" i="57" s="1"/>
  <c r="R54" i="57"/>
  <c r="L54" i="57"/>
  <c r="N54" i="57" s="1"/>
  <c r="B54" i="57"/>
  <c r="Z53" i="57"/>
  <c r="X53" i="57"/>
  <c r="T53" i="57"/>
  <c r="R53" i="57"/>
  <c r="P53" i="57"/>
  <c r="H53" i="57"/>
  <c r="D53" i="57"/>
  <c r="L53" i="57" s="1"/>
  <c r="N53" i="57" s="1"/>
  <c r="B53" i="57"/>
  <c r="Z52" i="57"/>
  <c r="X52" i="57"/>
  <c r="R52" i="57"/>
  <c r="N52" i="57"/>
  <c r="L52" i="57"/>
  <c r="B52" i="57"/>
  <c r="X51" i="57"/>
  <c r="Z51" i="57" s="1"/>
  <c r="V51" i="57"/>
  <c r="R51" i="57"/>
  <c r="L51" i="57"/>
  <c r="N51" i="57" s="1"/>
  <c r="J51" i="57"/>
  <c r="B51" i="57"/>
  <c r="X50" i="57"/>
  <c r="Z50" i="57" s="1"/>
  <c r="R50" i="57"/>
  <c r="L50" i="57"/>
  <c r="N50" i="57" s="1"/>
  <c r="J50" i="57"/>
  <c r="B50" i="57"/>
  <c r="T49" i="57"/>
  <c r="X49" i="57" s="1"/>
  <c r="Z49" i="57" s="1"/>
  <c r="P49" i="57"/>
  <c r="J49" i="57"/>
  <c r="H49" i="57"/>
  <c r="D49" i="57"/>
  <c r="B49" i="57"/>
  <c r="X48" i="57"/>
  <c r="Z48" i="57" s="1"/>
  <c r="N48" i="57"/>
  <c r="L48" i="57"/>
  <c r="J48" i="57"/>
  <c r="F48" i="57"/>
  <c r="B48" i="57"/>
  <c r="X47" i="57"/>
  <c r="T47" i="57"/>
  <c r="Z47" i="57" s="1"/>
  <c r="R47" i="57"/>
  <c r="P47" i="57"/>
  <c r="J47" i="57"/>
  <c r="H47" i="57"/>
  <c r="N47" i="57" s="1"/>
  <c r="F47" i="57"/>
  <c r="D47" i="57"/>
  <c r="L47" i="57" s="1"/>
  <c r="B47" i="57"/>
  <c r="X46" i="57"/>
  <c r="Z46" i="57" s="1"/>
  <c r="R46" i="57"/>
  <c r="L46" i="57"/>
  <c r="N46" i="57" s="1"/>
  <c r="B46" i="57"/>
  <c r="X45" i="57"/>
  <c r="Z45" i="57" s="1"/>
  <c r="T45" i="57"/>
  <c r="R45" i="57"/>
  <c r="P45" i="57"/>
  <c r="H45" i="57"/>
  <c r="D45" i="57"/>
  <c r="L45" i="57" s="1"/>
  <c r="N45" i="57" s="1"/>
  <c r="B45" i="57"/>
  <c r="Z44" i="57"/>
  <c r="X44" i="57"/>
  <c r="R44" i="57"/>
  <c r="L44" i="57"/>
  <c r="N44" i="57" s="1"/>
  <c r="B44" i="57"/>
  <c r="Z43" i="57"/>
  <c r="X43" i="57"/>
  <c r="R43" i="57"/>
  <c r="N43" i="57"/>
  <c r="L43" i="57"/>
  <c r="J43" i="57"/>
  <c r="B43" i="57"/>
  <c r="T42" i="57"/>
  <c r="R42" i="57"/>
  <c r="P42" i="57"/>
  <c r="X42" i="57" s="1"/>
  <c r="J42" i="57"/>
  <c r="H42" i="57"/>
  <c r="D42" i="57"/>
  <c r="L42" i="57" s="1"/>
  <c r="N42" i="57" s="1"/>
  <c r="B42" i="57"/>
  <c r="Z41" i="57"/>
  <c r="X41" i="57"/>
  <c r="R41" i="57"/>
  <c r="N41" i="57"/>
  <c r="L41" i="57"/>
  <c r="B41" i="57"/>
  <c r="X40" i="57"/>
  <c r="T40" i="57"/>
  <c r="Z40" i="57" s="1"/>
  <c r="P40" i="57"/>
  <c r="L40" i="57"/>
  <c r="N40" i="57" s="1"/>
  <c r="J40" i="57"/>
  <c r="H40" i="57"/>
  <c r="D40" i="57"/>
  <c r="B40" i="57"/>
  <c r="Z39" i="57"/>
  <c r="X39" i="57"/>
  <c r="N39" i="57"/>
  <c r="L39" i="57"/>
  <c r="J39" i="57"/>
  <c r="F39" i="57"/>
  <c r="B39" i="57"/>
  <c r="T38" i="57"/>
  <c r="P38" i="57"/>
  <c r="J38" i="57"/>
  <c r="H38" i="57"/>
  <c r="F38" i="57"/>
  <c r="D38" i="57"/>
  <c r="B38" i="57"/>
  <c r="Z37" i="57"/>
  <c r="X37" i="57"/>
  <c r="N37" i="57"/>
  <c r="L37" i="57"/>
  <c r="J37" i="57"/>
  <c r="B37" i="57"/>
  <c r="T36" i="57"/>
  <c r="P36" i="57"/>
  <c r="X36" i="57" s="1"/>
  <c r="Z36" i="57" s="1"/>
  <c r="H36" i="57"/>
  <c r="D36" i="57"/>
  <c r="L36" i="57" s="1"/>
  <c r="B36" i="57"/>
  <c r="X35" i="57"/>
  <c r="Z35" i="57" s="1"/>
  <c r="N35" i="57"/>
  <c r="L35" i="57"/>
  <c r="J35" i="57"/>
  <c r="B35" i="57"/>
  <c r="X34" i="57"/>
  <c r="Z34" i="57" s="1"/>
  <c r="T34" i="57"/>
  <c r="R34" i="57"/>
  <c r="P34" i="57"/>
  <c r="L34" i="57"/>
  <c r="H34" i="57"/>
  <c r="N34" i="57" s="1"/>
  <c r="D34" i="57"/>
  <c r="B34" i="57"/>
  <c r="Z33" i="57"/>
  <c r="X33" i="57"/>
  <c r="R33" i="57"/>
  <c r="N33" i="57"/>
  <c r="L33" i="57"/>
  <c r="J33" i="57"/>
  <c r="B33" i="57"/>
  <c r="X32" i="57"/>
  <c r="Z32" i="57" s="1"/>
  <c r="R32" i="57"/>
  <c r="N32" i="57"/>
  <c r="L32" i="57"/>
  <c r="J32" i="57"/>
  <c r="B32" i="57"/>
  <c r="Z31" i="57"/>
  <c r="X31" i="57"/>
  <c r="N31" i="57"/>
  <c r="L31" i="57"/>
  <c r="J31" i="57"/>
  <c r="F31" i="57"/>
  <c r="B31" i="57"/>
  <c r="X30" i="57"/>
  <c r="Z30" i="57" s="1"/>
  <c r="R30" i="57"/>
  <c r="L30" i="57"/>
  <c r="N30" i="57" s="1"/>
  <c r="B30" i="57"/>
  <c r="Z29" i="57"/>
  <c r="X29" i="57"/>
  <c r="R29" i="57"/>
  <c r="N29" i="57"/>
  <c r="L29" i="57"/>
  <c r="J29" i="57"/>
  <c r="B29" i="57"/>
  <c r="T28" i="57"/>
  <c r="R28" i="57"/>
  <c r="P28" i="57"/>
  <c r="H28" i="57"/>
  <c r="D28" i="57"/>
  <c r="B28" i="57"/>
  <c r="X27" i="57"/>
  <c r="Z27" i="57" s="1"/>
  <c r="V27" i="57"/>
  <c r="R27" i="57"/>
  <c r="L27" i="57"/>
  <c r="N27" i="57" s="1"/>
  <c r="J27" i="57"/>
  <c r="B27" i="57"/>
  <c r="X26" i="57"/>
  <c r="Z26" i="57" s="1"/>
  <c r="R26" i="57"/>
  <c r="L26" i="57"/>
  <c r="N26" i="57" s="1"/>
  <c r="J26" i="57"/>
  <c r="B26" i="57"/>
  <c r="Z25" i="57"/>
  <c r="X25" i="57"/>
  <c r="N25" i="57"/>
  <c r="L25" i="57"/>
  <c r="J25" i="57"/>
  <c r="B25" i="57"/>
  <c r="Z24" i="57"/>
  <c r="X24" i="57"/>
  <c r="R24" i="57"/>
  <c r="L24" i="57"/>
  <c r="N24" i="57" s="1"/>
  <c r="J24" i="57"/>
  <c r="B24" i="57"/>
  <c r="X23" i="57"/>
  <c r="Z23" i="57" s="1"/>
  <c r="R23" i="57"/>
  <c r="L23" i="57"/>
  <c r="N23" i="57" s="1"/>
  <c r="J23" i="57"/>
  <c r="B23" i="57"/>
  <c r="X22" i="57"/>
  <c r="Z22" i="57" s="1"/>
  <c r="R22" i="57"/>
  <c r="L22" i="57"/>
  <c r="N22" i="57" s="1"/>
  <c r="J22" i="57"/>
  <c r="B22" i="57"/>
  <c r="Z21" i="57"/>
  <c r="X21" i="57"/>
  <c r="R21" i="57"/>
  <c r="N21" i="57"/>
  <c r="L21" i="57"/>
  <c r="J21" i="57"/>
  <c r="B21" i="57"/>
  <c r="Z20" i="57"/>
  <c r="X20" i="57"/>
  <c r="R20" i="57"/>
  <c r="L20" i="57"/>
  <c r="N20" i="57" s="1"/>
  <c r="J20" i="57"/>
  <c r="B20" i="57"/>
  <c r="T19" i="57"/>
  <c r="P19" i="57"/>
  <c r="J19" i="57"/>
  <c r="H19" i="57"/>
  <c r="L19" i="57" s="1"/>
  <c r="N19" i="57" s="1"/>
  <c r="D19" i="57"/>
  <c r="B19" i="57"/>
  <c r="V18" i="57"/>
  <c r="T18" i="57"/>
  <c r="R18" i="57"/>
  <c r="P18" i="57"/>
  <c r="X18" i="57" s="1"/>
  <c r="Z18" i="57" s="1"/>
  <c r="J18" i="57"/>
  <c r="H18" i="57"/>
  <c r="D18" i="57"/>
  <c r="R16" i="57"/>
  <c r="J16" i="57"/>
  <c r="Z14" i="57"/>
  <c r="X14" i="57"/>
  <c r="T14" i="57"/>
  <c r="R14" i="57"/>
  <c r="P14" i="57"/>
  <c r="P16" i="57" s="1"/>
  <c r="L14" i="57"/>
  <c r="J14" i="57"/>
  <c r="H14" i="57"/>
  <c r="N14" i="57" s="1"/>
  <c r="D14" i="57"/>
  <c r="T12" i="57"/>
  <c r="V72" i="57" s="1"/>
  <c r="P12" i="57"/>
  <c r="R77" i="57" s="1"/>
  <c r="N12" i="57"/>
  <c r="H12" i="57"/>
  <c r="J70" i="57" s="1"/>
  <c r="D12" i="57"/>
  <c r="F41" i="57" s="1"/>
  <c r="D6" i="57"/>
  <c r="D4" i="57"/>
  <c r="R77" i="56"/>
  <c r="R74" i="56"/>
  <c r="Z72" i="56"/>
  <c r="X72" i="56"/>
  <c r="R72" i="56"/>
  <c r="N72" i="56"/>
  <c r="L72" i="56"/>
  <c r="J70" i="56"/>
  <c r="X68" i="56"/>
  <c r="T68" i="56"/>
  <c r="Z68" i="56" s="1"/>
  <c r="P68" i="56"/>
  <c r="N68" i="56"/>
  <c r="L68" i="56"/>
  <c r="J68" i="56"/>
  <c r="H68" i="56"/>
  <c r="D68" i="56"/>
  <c r="X66" i="56"/>
  <c r="Z66" i="56" s="1"/>
  <c r="N66" i="56"/>
  <c r="L66" i="56"/>
  <c r="J66" i="56"/>
  <c r="F66" i="56"/>
  <c r="B66" i="56"/>
  <c r="X65" i="56"/>
  <c r="Z65" i="56" s="1"/>
  <c r="T65" i="56"/>
  <c r="P65" i="56"/>
  <c r="J65" i="56"/>
  <c r="H65" i="56"/>
  <c r="N65" i="56" s="1"/>
  <c r="F65" i="56"/>
  <c r="D65" i="56"/>
  <c r="L65" i="56" s="1"/>
  <c r="B65" i="56"/>
  <c r="X64" i="56"/>
  <c r="Z64" i="56" s="1"/>
  <c r="N64" i="56"/>
  <c r="L64" i="56"/>
  <c r="B64" i="56"/>
  <c r="Z63" i="56"/>
  <c r="X63" i="56"/>
  <c r="T63" i="56"/>
  <c r="P63" i="56"/>
  <c r="N63" i="56"/>
  <c r="H63" i="56"/>
  <c r="D63" i="56"/>
  <c r="L63" i="56" s="1"/>
  <c r="B63" i="56"/>
  <c r="Z62" i="56"/>
  <c r="X62" i="56"/>
  <c r="L62" i="56"/>
  <c r="N62" i="56" s="1"/>
  <c r="B62" i="56"/>
  <c r="V61" i="56"/>
  <c r="T61" i="56"/>
  <c r="P61" i="56"/>
  <c r="J61" i="56"/>
  <c r="H61" i="56"/>
  <c r="L61" i="56" s="1"/>
  <c r="N61" i="56" s="1"/>
  <c r="D61" i="56"/>
  <c r="B61" i="56"/>
  <c r="X60" i="56"/>
  <c r="Z60" i="56" s="1"/>
  <c r="V60" i="56"/>
  <c r="N60" i="56"/>
  <c r="L60" i="56"/>
  <c r="F60" i="56"/>
  <c r="B60" i="56"/>
  <c r="Z59" i="56"/>
  <c r="X59" i="56"/>
  <c r="N59" i="56"/>
  <c r="L59" i="56"/>
  <c r="B59" i="56"/>
  <c r="X58" i="56"/>
  <c r="Z58" i="56" s="1"/>
  <c r="L58" i="56"/>
  <c r="N58" i="56" s="1"/>
  <c r="J58" i="56"/>
  <c r="F58" i="56"/>
  <c r="B58" i="56"/>
  <c r="X57" i="56"/>
  <c r="Z57" i="56" s="1"/>
  <c r="N57" i="56"/>
  <c r="L57" i="56"/>
  <c r="B57" i="56"/>
  <c r="X56" i="56"/>
  <c r="Z56" i="56" s="1"/>
  <c r="V56" i="56"/>
  <c r="T56" i="56"/>
  <c r="P56" i="56"/>
  <c r="L56" i="56"/>
  <c r="H56" i="56"/>
  <c r="N56" i="56" s="1"/>
  <c r="D56" i="56"/>
  <c r="B56" i="56"/>
  <c r="X55" i="56"/>
  <c r="Z55" i="56" s="1"/>
  <c r="N55" i="56"/>
  <c r="L55" i="56"/>
  <c r="J55" i="56"/>
  <c r="B55" i="56"/>
  <c r="T54" i="56"/>
  <c r="R54" i="56"/>
  <c r="P54" i="56"/>
  <c r="H54" i="56"/>
  <c r="D54" i="56"/>
  <c r="B54" i="56"/>
  <c r="X53" i="56"/>
  <c r="Z53" i="56" s="1"/>
  <c r="V53" i="56"/>
  <c r="N53" i="56"/>
  <c r="L53" i="56"/>
  <c r="J53" i="56"/>
  <c r="B53" i="56"/>
  <c r="X52" i="56"/>
  <c r="Z52" i="56" s="1"/>
  <c r="L52" i="56"/>
  <c r="N52" i="56" s="1"/>
  <c r="J52" i="56"/>
  <c r="B52" i="56"/>
  <c r="Z51" i="56"/>
  <c r="X51" i="56"/>
  <c r="N51" i="56"/>
  <c r="L51" i="56"/>
  <c r="J51" i="56"/>
  <c r="F51" i="56"/>
  <c r="B51" i="56"/>
  <c r="Z50" i="56"/>
  <c r="T50" i="56"/>
  <c r="P50" i="56"/>
  <c r="X50" i="56" s="1"/>
  <c r="H50" i="56"/>
  <c r="N50" i="56" s="1"/>
  <c r="F50" i="56"/>
  <c r="D50" i="56"/>
  <c r="L50" i="56" s="1"/>
  <c r="B50" i="56"/>
  <c r="X49" i="56"/>
  <c r="Z49" i="56" s="1"/>
  <c r="N49" i="56"/>
  <c r="L49" i="56"/>
  <c r="B49" i="56"/>
  <c r="X48" i="56"/>
  <c r="Z48" i="56" s="1"/>
  <c r="V48" i="56"/>
  <c r="N48" i="56"/>
  <c r="L48" i="56"/>
  <c r="F48" i="56"/>
  <c r="B48" i="56"/>
  <c r="Z47" i="56"/>
  <c r="X47" i="56"/>
  <c r="N47" i="56"/>
  <c r="L47" i="56"/>
  <c r="B47" i="56"/>
  <c r="X46" i="56"/>
  <c r="T46" i="56"/>
  <c r="Z46" i="56" s="1"/>
  <c r="P46" i="56"/>
  <c r="N46" i="56"/>
  <c r="L46" i="56"/>
  <c r="J46" i="56"/>
  <c r="H46" i="56"/>
  <c r="D46" i="56"/>
  <c r="B46" i="56"/>
  <c r="Z45" i="56"/>
  <c r="X45" i="56"/>
  <c r="L45" i="56"/>
  <c r="N45" i="56" s="1"/>
  <c r="J45" i="56"/>
  <c r="F45" i="56"/>
  <c r="B45" i="56"/>
  <c r="T44" i="56"/>
  <c r="P44" i="56"/>
  <c r="J44" i="56"/>
  <c r="H44" i="56"/>
  <c r="F44" i="56"/>
  <c r="D44" i="56"/>
  <c r="B44" i="56"/>
  <c r="Z43" i="56"/>
  <c r="X43" i="56"/>
  <c r="N43" i="56"/>
  <c r="L43" i="56"/>
  <c r="J43" i="56"/>
  <c r="F43" i="56"/>
  <c r="B43" i="56"/>
  <c r="T42" i="56"/>
  <c r="P42" i="56"/>
  <c r="X42" i="56" s="1"/>
  <c r="Z42" i="56" s="1"/>
  <c r="H42" i="56"/>
  <c r="N42" i="56" s="1"/>
  <c r="F42" i="56"/>
  <c r="D42" i="56"/>
  <c r="L42" i="56" s="1"/>
  <c r="B42" i="56"/>
  <c r="X41" i="56"/>
  <c r="Z41" i="56" s="1"/>
  <c r="N41" i="56"/>
  <c r="L41" i="56"/>
  <c r="B41" i="56"/>
  <c r="Z40" i="56"/>
  <c r="X40" i="56"/>
  <c r="T40" i="56"/>
  <c r="P40" i="56"/>
  <c r="L40" i="56"/>
  <c r="H40" i="56"/>
  <c r="N40" i="56" s="1"/>
  <c r="D40" i="56"/>
  <c r="B40" i="56"/>
  <c r="Z39" i="56"/>
  <c r="X39" i="56"/>
  <c r="N39" i="56"/>
  <c r="L39" i="56"/>
  <c r="J39" i="56"/>
  <c r="B39" i="56"/>
  <c r="X38" i="56"/>
  <c r="V38" i="56"/>
  <c r="T38" i="56"/>
  <c r="R38" i="56"/>
  <c r="P38" i="56"/>
  <c r="H38" i="56"/>
  <c r="D38" i="56"/>
  <c r="B38" i="56"/>
  <c r="X37" i="56"/>
  <c r="Z37" i="56" s="1"/>
  <c r="N37" i="56"/>
  <c r="L37" i="56"/>
  <c r="J37" i="56"/>
  <c r="B37" i="56"/>
  <c r="T36" i="56"/>
  <c r="R36" i="56"/>
  <c r="P36" i="56"/>
  <c r="X36" i="56" s="1"/>
  <c r="N36" i="56"/>
  <c r="H36" i="56"/>
  <c r="D36" i="56"/>
  <c r="L36" i="56" s="1"/>
  <c r="B36" i="56"/>
  <c r="Z35" i="56"/>
  <c r="X35" i="56"/>
  <c r="V35" i="56"/>
  <c r="N35" i="56"/>
  <c r="L35" i="56"/>
  <c r="B35" i="56"/>
  <c r="X34" i="56"/>
  <c r="T34" i="56"/>
  <c r="P34" i="56"/>
  <c r="N34" i="56"/>
  <c r="L34" i="56"/>
  <c r="J34" i="56"/>
  <c r="H34" i="56"/>
  <c r="D34" i="56"/>
  <c r="B34" i="56"/>
  <c r="Z33" i="56"/>
  <c r="X33" i="56"/>
  <c r="N33" i="56"/>
  <c r="L33" i="56"/>
  <c r="J33" i="56"/>
  <c r="F33" i="56"/>
  <c r="B33" i="56"/>
  <c r="T32" i="56"/>
  <c r="P32" i="56"/>
  <c r="L32" i="56"/>
  <c r="J32" i="56"/>
  <c r="H32" i="56"/>
  <c r="N32" i="56" s="1"/>
  <c r="F32" i="56"/>
  <c r="D32" i="56"/>
  <c r="B32" i="56"/>
  <c r="Z31" i="56"/>
  <c r="X31" i="56"/>
  <c r="N31" i="56"/>
  <c r="L31" i="56"/>
  <c r="J31" i="56"/>
  <c r="F31" i="56"/>
  <c r="B31" i="56"/>
  <c r="Z30" i="56"/>
  <c r="X30" i="56"/>
  <c r="L30" i="56"/>
  <c r="N30" i="56" s="1"/>
  <c r="B30" i="56"/>
  <c r="Z29" i="56"/>
  <c r="X29" i="56"/>
  <c r="R29" i="56"/>
  <c r="L29" i="56"/>
  <c r="N29" i="56" s="1"/>
  <c r="J29" i="56"/>
  <c r="B29" i="56"/>
  <c r="T28" i="56"/>
  <c r="P28" i="56"/>
  <c r="H28" i="56"/>
  <c r="D28" i="56"/>
  <c r="L28" i="56" s="1"/>
  <c r="N28" i="56" s="1"/>
  <c r="B28" i="56"/>
  <c r="Z27" i="56"/>
  <c r="X27" i="56"/>
  <c r="N27" i="56"/>
  <c r="L27" i="56"/>
  <c r="B27" i="56"/>
  <c r="X26" i="56"/>
  <c r="Z26" i="56" s="1"/>
  <c r="L26" i="56"/>
  <c r="N26" i="56" s="1"/>
  <c r="J26" i="56"/>
  <c r="F26" i="56"/>
  <c r="B26" i="56"/>
  <c r="X25" i="56"/>
  <c r="Z25" i="56" s="1"/>
  <c r="N25" i="56"/>
  <c r="L25" i="56"/>
  <c r="B25" i="56"/>
  <c r="X24" i="56"/>
  <c r="Z24" i="56" s="1"/>
  <c r="L24" i="56"/>
  <c r="N24" i="56" s="1"/>
  <c r="F24" i="56"/>
  <c r="B24" i="56"/>
  <c r="Z23" i="56"/>
  <c r="X23" i="56"/>
  <c r="R23" i="56"/>
  <c r="N23" i="56"/>
  <c r="L23" i="56"/>
  <c r="B23" i="56"/>
  <c r="X22" i="56"/>
  <c r="Z22" i="56" s="1"/>
  <c r="L22" i="56"/>
  <c r="N22" i="56" s="1"/>
  <c r="J22" i="56"/>
  <c r="F22" i="56"/>
  <c r="B22" i="56"/>
  <c r="X21" i="56"/>
  <c r="Z21" i="56" s="1"/>
  <c r="N21" i="56"/>
  <c r="L21" i="56"/>
  <c r="B21" i="56"/>
  <c r="Z20" i="56"/>
  <c r="X20" i="56"/>
  <c r="V20" i="56"/>
  <c r="L20" i="56"/>
  <c r="N20" i="56" s="1"/>
  <c r="F20" i="56"/>
  <c r="B20" i="56"/>
  <c r="T19" i="56"/>
  <c r="R19" i="56"/>
  <c r="P19" i="56"/>
  <c r="X19" i="56" s="1"/>
  <c r="L19" i="56"/>
  <c r="N19" i="56" s="1"/>
  <c r="J19" i="56"/>
  <c r="H19" i="56"/>
  <c r="F19" i="56"/>
  <c r="D19" i="56"/>
  <c r="B19" i="56"/>
  <c r="T18" i="56"/>
  <c r="X18" i="56" s="1"/>
  <c r="R18" i="56"/>
  <c r="P18" i="56"/>
  <c r="H18" i="56"/>
  <c r="D18" i="56"/>
  <c r="R16" i="56"/>
  <c r="H16" i="56"/>
  <c r="V14" i="56"/>
  <c r="T14" i="56"/>
  <c r="Z14" i="56" s="1"/>
  <c r="R14" i="56"/>
  <c r="P14" i="56"/>
  <c r="H14" i="56"/>
  <c r="D14" i="56"/>
  <c r="X12" i="56"/>
  <c r="T12" i="56"/>
  <c r="V40" i="56" s="1"/>
  <c r="P12" i="56"/>
  <c r="R53" i="56" s="1"/>
  <c r="N12" i="56"/>
  <c r="H12" i="56"/>
  <c r="J72" i="56" s="1"/>
  <c r="D12" i="56"/>
  <c r="F70" i="56" s="1"/>
  <c r="D6" i="56"/>
  <c r="D4" i="56"/>
  <c r="R40" i="55"/>
  <c r="R37" i="55"/>
  <c r="Z35" i="55"/>
  <c r="X35" i="55"/>
  <c r="R35" i="55"/>
  <c r="N35" i="55"/>
  <c r="L35" i="55"/>
  <c r="J35" i="55"/>
  <c r="J33" i="55"/>
  <c r="F33" i="55"/>
  <c r="T31" i="55"/>
  <c r="P31" i="55"/>
  <c r="J31" i="55"/>
  <c r="H31" i="55"/>
  <c r="N31" i="55" s="1"/>
  <c r="F31" i="55"/>
  <c r="D31" i="55"/>
  <c r="X29" i="55"/>
  <c r="Z29" i="55" s="1"/>
  <c r="R29" i="55"/>
  <c r="N29" i="55"/>
  <c r="L29" i="55"/>
  <c r="F29" i="55"/>
  <c r="B29" i="55"/>
  <c r="X28" i="55"/>
  <c r="Z28" i="55" s="1"/>
  <c r="R28" i="55"/>
  <c r="N28" i="55"/>
  <c r="L28" i="55"/>
  <c r="J28" i="55"/>
  <c r="B28" i="55"/>
  <c r="V27" i="55"/>
  <c r="T27" i="55"/>
  <c r="R27" i="55"/>
  <c r="P27" i="55"/>
  <c r="H27" i="55"/>
  <c r="D27" i="55"/>
  <c r="B27" i="55"/>
  <c r="X26" i="55"/>
  <c r="Z26" i="55" s="1"/>
  <c r="V26" i="55"/>
  <c r="R26" i="55"/>
  <c r="N26" i="55"/>
  <c r="L26" i="55"/>
  <c r="J26" i="55"/>
  <c r="B26" i="55"/>
  <c r="T25" i="55"/>
  <c r="R25" i="55"/>
  <c r="P25" i="55"/>
  <c r="X25" i="55" s="1"/>
  <c r="N25" i="55"/>
  <c r="H25" i="55"/>
  <c r="D25" i="55"/>
  <c r="L25" i="55" s="1"/>
  <c r="B25" i="55"/>
  <c r="Z24" i="55"/>
  <c r="X24" i="55"/>
  <c r="V24" i="55"/>
  <c r="R24" i="55"/>
  <c r="N24" i="55"/>
  <c r="L24" i="55"/>
  <c r="F24" i="55"/>
  <c r="B24" i="55"/>
  <c r="T23" i="55"/>
  <c r="P23" i="55"/>
  <c r="X23" i="55" s="1"/>
  <c r="L23" i="55"/>
  <c r="N23" i="55" s="1"/>
  <c r="J23" i="55"/>
  <c r="H23" i="55"/>
  <c r="F23" i="55"/>
  <c r="D23" i="55"/>
  <c r="B23" i="55"/>
  <c r="Z22" i="55"/>
  <c r="X22" i="55"/>
  <c r="L22" i="55"/>
  <c r="N22" i="55" s="1"/>
  <c r="J22" i="55"/>
  <c r="F22" i="55"/>
  <c r="B22" i="55"/>
  <c r="T21" i="55"/>
  <c r="R21" i="55"/>
  <c r="P21" i="55"/>
  <c r="L21" i="55"/>
  <c r="J21" i="55"/>
  <c r="H21" i="55"/>
  <c r="F21" i="55"/>
  <c r="D21" i="55"/>
  <c r="B21" i="55"/>
  <c r="Z20" i="55"/>
  <c r="X20" i="55"/>
  <c r="V20" i="55"/>
  <c r="R20" i="55"/>
  <c r="N20" i="55"/>
  <c r="L20" i="55"/>
  <c r="J20" i="55"/>
  <c r="F20" i="55"/>
  <c r="B20" i="55"/>
  <c r="T19" i="55"/>
  <c r="P19" i="55"/>
  <c r="X19" i="55" s="1"/>
  <c r="Z19" i="55" s="1"/>
  <c r="H19" i="55"/>
  <c r="F19" i="55"/>
  <c r="D19" i="55"/>
  <c r="B19" i="55"/>
  <c r="T18" i="55"/>
  <c r="R18" i="55"/>
  <c r="P18" i="55"/>
  <c r="X18" i="55" s="1"/>
  <c r="Z18" i="55" s="1"/>
  <c r="J18" i="55"/>
  <c r="H18" i="55"/>
  <c r="F18" i="55"/>
  <c r="D18" i="55"/>
  <c r="L18" i="55" s="1"/>
  <c r="R16" i="55"/>
  <c r="J16" i="55"/>
  <c r="F16" i="55"/>
  <c r="Z14" i="55"/>
  <c r="X14" i="55"/>
  <c r="T14" i="55"/>
  <c r="R14" i="55"/>
  <c r="P14" i="55"/>
  <c r="P16" i="55" s="1"/>
  <c r="J14" i="55"/>
  <c r="H14" i="55"/>
  <c r="N14" i="55" s="1"/>
  <c r="F14" i="55"/>
  <c r="D14" i="55"/>
  <c r="D16" i="55" s="1"/>
  <c r="T12" i="55"/>
  <c r="V19" i="55" s="1"/>
  <c r="P12" i="55"/>
  <c r="R19" i="55" s="1"/>
  <c r="N12" i="55"/>
  <c r="H12" i="55"/>
  <c r="J40" i="55" s="1"/>
  <c r="D12" i="55"/>
  <c r="F40" i="55" s="1"/>
  <c r="D6" i="55"/>
  <c r="D4" i="55"/>
  <c r="J31" i="54"/>
  <c r="F31" i="54"/>
  <c r="Z29" i="54"/>
  <c r="X29" i="54"/>
  <c r="T29" i="54"/>
  <c r="P29" i="54"/>
  <c r="J29" i="54"/>
  <c r="H29" i="54"/>
  <c r="F29" i="54"/>
  <c r="D29" i="54"/>
  <c r="L29" i="54" s="1"/>
  <c r="N29" i="54" s="1"/>
  <c r="Z28" i="54"/>
  <c r="X28" i="54"/>
  <c r="T28" i="54"/>
  <c r="P28" i="54"/>
  <c r="J28" i="54"/>
  <c r="H28" i="54"/>
  <c r="F28" i="54"/>
  <c r="D28" i="54"/>
  <c r="L28" i="54" s="1"/>
  <c r="N28" i="54" s="1"/>
  <c r="R26" i="54"/>
  <c r="J26" i="54"/>
  <c r="F26" i="54"/>
  <c r="Z24" i="54"/>
  <c r="X24" i="54"/>
  <c r="N24" i="54"/>
  <c r="L24" i="54"/>
  <c r="J24" i="54"/>
  <c r="V22" i="54"/>
  <c r="R22" i="54"/>
  <c r="J22" i="54"/>
  <c r="F22" i="54"/>
  <c r="T20" i="54"/>
  <c r="Z20" i="54" s="1"/>
  <c r="R20" i="54"/>
  <c r="P20" i="54"/>
  <c r="X20" i="54" s="1"/>
  <c r="N20" i="54"/>
  <c r="L20" i="54"/>
  <c r="J20" i="54"/>
  <c r="H20" i="54"/>
  <c r="F20" i="54"/>
  <c r="D20" i="54"/>
  <c r="T18" i="54"/>
  <c r="Z18" i="54" s="1"/>
  <c r="R18" i="54"/>
  <c r="P18" i="54"/>
  <c r="N18" i="54"/>
  <c r="L18" i="54"/>
  <c r="J18" i="54"/>
  <c r="H18" i="54"/>
  <c r="F18" i="54"/>
  <c r="D18" i="54"/>
  <c r="V16" i="54"/>
  <c r="R16" i="54"/>
  <c r="P16" i="54"/>
  <c r="J16" i="54"/>
  <c r="F16" i="54"/>
  <c r="V14" i="54"/>
  <c r="T14" i="54"/>
  <c r="P14" i="54"/>
  <c r="N14" i="54"/>
  <c r="L14" i="54"/>
  <c r="J14" i="54"/>
  <c r="H14" i="54"/>
  <c r="F14" i="54"/>
  <c r="D14" i="54"/>
  <c r="T12" i="54"/>
  <c r="P12" i="54"/>
  <c r="R14" i="54" s="1"/>
  <c r="N12" i="54"/>
  <c r="L12" i="54"/>
  <c r="H12" i="54"/>
  <c r="H16" i="54" s="1"/>
  <c r="D12" i="54"/>
  <c r="F24" i="54" s="1"/>
  <c r="D6" i="54"/>
  <c r="D4" i="54"/>
  <c r="Z116" i="51"/>
  <c r="X116" i="51"/>
  <c r="L116" i="51"/>
  <c r="N116" i="51" s="1"/>
  <c r="Z112" i="51"/>
  <c r="T112" i="51"/>
  <c r="P112" i="51"/>
  <c r="X112" i="51" s="1"/>
  <c r="L112" i="51"/>
  <c r="N112" i="51" s="1"/>
  <c r="H112" i="51"/>
  <c r="D112" i="51"/>
  <c r="B112" i="51"/>
  <c r="T111" i="51"/>
  <c r="P111" i="51"/>
  <c r="X111" i="51" s="1"/>
  <c r="N111" i="51"/>
  <c r="H111" i="51"/>
  <c r="D111" i="51"/>
  <c r="L111" i="51" s="1"/>
  <c r="B111" i="51"/>
  <c r="T110" i="51"/>
  <c r="P110" i="51"/>
  <c r="X110" i="51" s="1"/>
  <c r="Z110" i="51" s="1"/>
  <c r="N110" i="51"/>
  <c r="L110" i="51"/>
  <c r="H110" i="51"/>
  <c r="D110" i="51"/>
  <c r="B110" i="51"/>
  <c r="T109" i="51"/>
  <c r="P109" i="51"/>
  <c r="H109" i="51"/>
  <c r="H108" i="51" s="1"/>
  <c r="D109" i="51"/>
  <c r="B109" i="51"/>
  <c r="Z106" i="51"/>
  <c r="X106" i="51"/>
  <c r="N106" i="51"/>
  <c r="L106" i="51"/>
  <c r="B106" i="51"/>
  <c r="T105" i="51"/>
  <c r="P105" i="51"/>
  <c r="X105" i="51" s="1"/>
  <c r="N105" i="51"/>
  <c r="L105" i="51"/>
  <c r="H105" i="51"/>
  <c r="D105" i="51"/>
  <c r="B105" i="51"/>
  <c r="Z104" i="51"/>
  <c r="X104" i="51"/>
  <c r="N104" i="51"/>
  <c r="L104" i="51"/>
  <c r="B104" i="51"/>
  <c r="T103" i="51"/>
  <c r="P103" i="51"/>
  <c r="H103" i="51"/>
  <c r="N103" i="51" s="1"/>
  <c r="D103" i="51"/>
  <c r="B103" i="51"/>
  <c r="Z102" i="51"/>
  <c r="X102" i="51"/>
  <c r="N102" i="51"/>
  <c r="L102" i="51"/>
  <c r="B102" i="51"/>
  <c r="T101" i="51"/>
  <c r="P101" i="51"/>
  <c r="H101" i="51"/>
  <c r="D101" i="51"/>
  <c r="L101" i="51" s="1"/>
  <c r="B101" i="51"/>
  <c r="X100" i="51"/>
  <c r="Z100" i="51" s="1"/>
  <c r="N100" i="51"/>
  <c r="L100" i="51"/>
  <c r="B100" i="51"/>
  <c r="Z99" i="51"/>
  <c r="X99" i="51"/>
  <c r="N99" i="51"/>
  <c r="L99" i="51"/>
  <c r="B99" i="51"/>
  <c r="Z98" i="51"/>
  <c r="X98" i="51"/>
  <c r="N98" i="51"/>
  <c r="L98" i="51"/>
  <c r="B98" i="51"/>
  <c r="Z97" i="51"/>
  <c r="X97" i="51"/>
  <c r="N97" i="51"/>
  <c r="L97" i="51"/>
  <c r="B97" i="51"/>
  <c r="Z96" i="51"/>
  <c r="X96" i="51"/>
  <c r="N96" i="51"/>
  <c r="L96" i="51"/>
  <c r="B96" i="51"/>
  <c r="T95" i="51"/>
  <c r="P95" i="51"/>
  <c r="X95" i="51" s="1"/>
  <c r="Z95" i="51" s="1"/>
  <c r="H95" i="51"/>
  <c r="N95" i="51" s="1"/>
  <c r="D95" i="51"/>
  <c r="L95" i="51" s="1"/>
  <c r="B95" i="51"/>
  <c r="Z94" i="51"/>
  <c r="X94" i="51"/>
  <c r="N94" i="51"/>
  <c r="L94" i="51"/>
  <c r="B94" i="51"/>
  <c r="X93" i="51"/>
  <c r="Z93" i="51" s="1"/>
  <c r="N93" i="51"/>
  <c r="L93" i="51"/>
  <c r="B93" i="51"/>
  <c r="T92" i="51"/>
  <c r="P92" i="51"/>
  <c r="X92" i="51" s="1"/>
  <c r="Z92" i="51" s="1"/>
  <c r="L92" i="51"/>
  <c r="H92" i="51"/>
  <c r="N92" i="51" s="1"/>
  <c r="D92" i="51"/>
  <c r="B92" i="51"/>
  <c r="X91" i="51"/>
  <c r="Z91" i="51" s="1"/>
  <c r="N91" i="51"/>
  <c r="L91" i="51"/>
  <c r="B91" i="51"/>
  <c r="Z90" i="51"/>
  <c r="X90" i="51"/>
  <c r="N90" i="51"/>
  <c r="L90" i="51"/>
  <c r="B90" i="51"/>
  <c r="T89" i="51"/>
  <c r="P89" i="51"/>
  <c r="H89" i="51"/>
  <c r="N89" i="51" s="1"/>
  <c r="D89" i="51"/>
  <c r="B89" i="51"/>
  <c r="Z88" i="51"/>
  <c r="X88" i="51"/>
  <c r="N88" i="51"/>
  <c r="L88" i="51"/>
  <c r="B88" i="51"/>
  <c r="Z87" i="51"/>
  <c r="T87" i="51"/>
  <c r="P87" i="51"/>
  <c r="X87" i="51" s="1"/>
  <c r="H87" i="51"/>
  <c r="N87" i="51" s="1"/>
  <c r="D87" i="51"/>
  <c r="L87" i="51" s="1"/>
  <c r="B87" i="51"/>
  <c r="Z86" i="51"/>
  <c r="X86" i="51"/>
  <c r="N86" i="51"/>
  <c r="L86" i="51"/>
  <c r="B86" i="51"/>
  <c r="X85" i="51"/>
  <c r="T85" i="51"/>
  <c r="P85" i="51"/>
  <c r="H85" i="51"/>
  <c r="D85" i="51"/>
  <c r="L85" i="51" s="1"/>
  <c r="N85" i="51" s="1"/>
  <c r="B85" i="51"/>
  <c r="Z84" i="51"/>
  <c r="X84" i="51"/>
  <c r="N84" i="51"/>
  <c r="L84" i="51"/>
  <c r="B84" i="51"/>
  <c r="X83" i="51"/>
  <c r="Z83" i="51" s="1"/>
  <c r="N83" i="51"/>
  <c r="L83" i="51"/>
  <c r="B83" i="51"/>
  <c r="Z82" i="51"/>
  <c r="T82" i="51"/>
  <c r="P82" i="51"/>
  <c r="X82" i="51" s="1"/>
  <c r="H82" i="51"/>
  <c r="L82" i="51" s="1"/>
  <c r="N82" i="51" s="1"/>
  <c r="D82" i="51"/>
  <c r="B82" i="51"/>
  <c r="Z81" i="51"/>
  <c r="X81" i="51"/>
  <c r="L81" i="51"/>
  <c r="N81" i="51" s="1"/>
  <c r="B81" i="51"/>
  <c r="T80" i="51"/>
  <c r="P80" i="51"/>
  <c r="X80" i="51" s="1"/>
  <c r="H80" i="51"/>
  <c r="N80" i="51" s="1"/>
  <c r="D80" i="51"/>
  <c r="L80" i="51" s="1"/>
  <c r="B80" i="51"/>
  <c r="X79" i="51"/>
  <c r="Z79" i="51" s="1"/>
  <c r="N79" i="51"/>
  <c r="L79" i="51"/>
  <c r="B79" i="51"/>
  <c r="T78" i="51"/>
  <c r="P78" i="51"/>
  <c r="X78" i="51" s="1"/>
  <c r="Z78" i="51" s="1"/>
  <c r="H78" i="51"/>
  <c r="N78" i="51" s="1"/>
  <c r="D78" i="51"/>
  <c r="L78" i="51" s="1"/>
  <c r="B78" i="51"/>
  <c r="Z77" i="51"/>
  <c r="X77" i="51"/>
  <c r="N77" i="51"/>
  <c r="L77" i="51"/>
  <c r="B77" i="51"/>
  <c r="T76" i="51"/>
  <c r="X76" i="51" s="1"/>
  <c r="Z76" i="51" s="1"/>
  <c r="P76" i="51"/>
  <c r="N76" i="51"/>
  <c r="L76" i="51"/>
  <c r="H76" i="51"/>
  <c r="D76" i="51"/>
  <c r="B76" i="51"/>
  <c r="Z75" i="51"/>
  <c r="X75" i="51"/>
  <c r="L75" i="51"/>
  <c r="N75" i="51" s="1"/>
  <c r="B75" i="51"/>
  <c r="X74" i="51"/>
  <c r="Z74" i="51" s="1"/>
  <c r="N74" i="51"/>
  <c r="L74" i="51"/>
  <c r="B74" i="51"/>
  <c r="Z73" i="51"/>
  <c r="X73" i="51"/>
  <c r="N73" i="51"/>
  <c r="L73" i="51"/>
  <c r="B73" i="51"/>
  <c r="Z72" i="51"/>
  <c r="X72" i="51"/>
  <c r="L72" i="51"/>
  <c r="N72" i="51" s="1"/>
  <c r="B72" i="51"/>
  <c r="Z71" i="51"/>
  <c r="X71" i="51"/>
  <c r="L71" i="51"/>
  <c r="N71" i="51" s="1"/>
  <c r="B71" i="51"/>
  <c r="T70" i="51"/>
  <c r="Z70" i="51" s="1"/>
  <c r="P70" i="51"/>
  <c r="X70" i="51" s="1"/>
  <c r="H70" i="51"/>
  <c r="D70" i="51"/>
  <c r="L70" i="51" s="1"/>
  <c r="B70" i="51"/>
  <c r="X69" i="51"/>
  <c r="Z69" i="51" s="1"/>
  <c r="N69" i="51"/>
  <c r="L69" i="51"/>
  <c r="B69" i="51"/>
  <c r="X68" i="51"/>
  <c r="Z68" i="51" s="1"/>
  <c r="N68" i="51"/>
  <c r="L68" i="51"/>
  <c r="B68" i="51"/>
  <c r="X67" i="51"/>
  <c r="Z67" i="51" s="1"/>
  <c r="N67" i="51"/>
  <c r="L67" i="51"/>
  <c r="B67" i="51"/>
  <c r="X66" i="51"/>
  <c r="Z66" i="51" s="1"/>
  <c r="L66" i="51"/>
  <c r="N66" i="51" s="1"/>
  <c r="B66" i="51"/>
  <c r="X65" i="51"/>
  <c r="Z65" i="51" s="1"/>
  <c r="N65" i="51"/>
  <c r="L65" i="51"/>
  <c r="B65" i="51"/>
  <c r="X64" i="51"/>
  <c r="Z64" i="51" s="1"/>
  <c r="N64" i="51"/>
  <c r="L64" i="51"/>
  <c r="B64" i="51"/>
  <c r="X63" i="51"/>
  <c r="Z63" i="51" s="1"/>
  <c r="N63" i="51"/>
  <c r="L63" i="51"/>
  <c r="B63" i="51"/>
  <c r="X62" i="51"/>
  <c r="Z62" i="51" s="1"/>
  <c r="L62" i="51"/>
  <c r="N62" i="51" s="1"/>
  <c r="B62" i="51"/>
  <c r="X61" i="51"/>
  <c r="Z61" i="51" s="1"/>
  <c r="N61" i="51"/>
  <c r="L61" i="51"/>
  <c r="B61" i="51"/>
  <c r="T60" i="51"/>
  <c r="P60" i="51"/>
  <c r="X60" i="51" s="1"/>
  <c r="H60" i="51"/>
  <c r="D60" i="51"/>
  <c r="L60" i="51" s="1"/>
  <c r="N60" i="51" s="1"/>
  <c r="B60" i="51"/>
  <c r="T59" i="51"/>
  <c r="P59" i="51"/>
  <c r="H59" i="51"/>
  <c r="D59" i="51"/>
  <c r="Z55" i="51"/>
  <c r="X55" i="51"/>
  <c r="N55" i="51"/>
  <c r="L55" i="51"/>
  <c r="B55" i="51"/>
  <c r="Z54" i="51"/>
  <c r="X54" i="51"/>
  <c r="N54" i="51"/>
  <c r="L54" i="51"/>
  <c r="B54" i="51"/>
  <c r="Z53" i="51"/>
  <c r="X53" i="51"/>
  <c r="N53" i="51"/>
  <c r="L53" i="51"/>
  <c r="B53" i="51"/>
  <c r="Z52" i="51"/>
  <c r="X52" i="51"/>
  <c r="N52" i="51"/>
  <c r="L52" i="51"/>
  <c r="B52" i="51"/>
  <c r="Z51" i="51"/>
  <c r="X51" i="51"/>
  <c r="N51" i="51"/>
  <c r="L51" i="51"/>
  <c r="B51" i="51"/>
  <c r="Z50" i="51"/>
  <c r="X50" i="51"/>
  <c r="N50" i="51"/>
  <c r="L50" i="51"/>
  <c r="B50" i="51"/>
  <c r="Z49" i="51"/>
  <c r="X49" i="51"/>
  <c r="N49" i="51"/>
  <c r="L49" i="51"/>
  <c r="B49" i="51"/>
  <c r="Z48" i="51"/>
  <c r="X48" i="51"/>
  <c r="N48" i="51"/>
  <c r="L48" i="51"/>
  <c r="B48" i="51"/>
  <c r="Z47" i="51"/>
  <c r="X47" i="51"/>
  <c r="N47" i="51"/>
  <c r="L47" i="51"/>
  <c r="B47" i="51"/>
  <c r="X46" i="51"/>
  <c r="Z46" i="51" s="1"/>
  <c r="N46" i="51"/>
  <c r="L46" i="51"/>
  <c r="B46" i="51"/>
  <c r="Z45" i="51"/>
  <c r="X45" i="51"/>
  <c r="N45" i="51"/>
  <c r="L45" i="51"/>
  <c r="B45" i="51"/>
  <c r="Z44" i="51"/>
  <c r="X44" i="51"/>
  <c r="N44" i="51"/>
  <c r="L44" i="51"/>
  <c r="B44" i="51"/>
  <c r="Z43" i="51"/>
  <c r="X43" i="51"/>
  <c r="N43" i="51"/>
  <c r="L43" i="51"/>
  <c r="B43" i="51"/>
  <c r="X42" i="51"/>
  <c r="Z42" i="51" s="1"/>
  <c r="L42" i="51"/>
  <c r="N42" i="51" s="1"/>
  <c r="B42" i="51"/>
  <c r="Z41" i="51"/>
  <c r="X41" i="51"/>
  <c r="N41" i="51"/>
  <c r="L41" i="51"/>
  <c r="B41" i="51"/>
  <c r="Z40" i="51"/>
  <c r="X40" i="51"/>
  <c r="N40" i="51"/>
  <c r="L40" i="51"/>
  <c r="B40" i="51"/>
  <c r="T39" i="51"/>
  <c r="Z39" i="51" s="1"/>
  <c r="P39" i="51"/>
  <c r="X39" i="51" s="1"/>
  <c r="H39" i="51"/>
  <c r="D39" i="51"/>
  <c r="T37" i="51"/>
  <c r="Z37" i="51" s="1"/>
  <c r="P37" i="51"/>
  <c r="X37" i="51" s="1"/>
  <c r="H37" i="51"/>
  <c r="N37" i="51" s="1"/>
  <c r="D37" i="51"/>
  <c r="B37" i="51"/>
  <c r="X36" i="51"/>
  <c r="Z36" i="51" s="1"/>
  <c r="T36" i="51"/>
  <c r="P36" i="51"/>
  <c r="H36" i="51"/>
  <c r="N36" i="51" s="1"/>
  <c r="D36" i="51"/>
  <c r="L36" i="51" s="1"/>
  <c r="B36" i="51"/>
  <c r="T35" i="51"/>
  <c r="P35" i="51"/>
  <c r="X35" i="51" s="1"/>
  <c r="Z35" i="51" s="1"/>
  <c r="N35" i="51"/>
  <c r="H35" i="51"/>
  <c r="D35" i="51"/>
  <c r="L35" i="51" s="1"/>
  <c r="B35" i="51"/>
  <c r="T34" i="51"/>
  <c r="P34" i="51"/>
  <c r="X34" i="51" s="1"/>
  <c r="Z34" i="51" s="1"/>
  <c r="H34" i="51"/>
  <c r="N34" i="51" s="1"/>
  <c r="D34" i="51"/>
  <c r="B34" i="51"/>
  <c r="T33" i="51"/>
  <c r="P33" i="51"/>
  <c r="X33" i="51" s="1"/>
  <c r="H33" i="51"/>
  <c r="N33" i="51" s="1"/>
  <c r="D33" i="51"/>
  <c r="B33" i="51"/>
  <c r="Z32" i="51"/>
  <c r="X32" i="51"/>
  <c r="T32" i="51"/>
  <c r="P32" i="51"/>
  <c r="H32" i="51"/>
  <c r="N32" i="51" s="1"/>
  <c r="D32" i="51"/>
  <c r="L32" i="51" s="1"/>
  <c r="B32" i="51"/>
  <c r="T31" i="51"/>
  <c r="P31" i="51"/>
  <c r="X31" i="51" s="1"/>
  <c r="Z31" i="51" s="1"/>
  <c r="N31" i="51"/>
  <c r="H31" i="51"/>
  <c r="D31" i="51"/>
  <c r="L31" i="51" s="1"/>
  <c r="B31" i="51"/>
  <c r="T30" i="51"/>
  <c r="P30" i="51"/>
  <c r="X30" i="51" s="1"/>
  <c r="Z30" i="51" s="1"/>
  <c r="H30" i="51"/>
  <c r="D30" i="51"/>
  <c r="B30" i="51"/>
  <c r="T29" i="51"/>
  <c r="Z29" i="51" s="1"/>
  <c r="P29" i="51"/>
  <c r="X29" i="51" s="1"/>
  <c r="H29" i="51"/>
  <c r="D29" i="51"/>
  <c r="B29" i="51"/>
  <c r="X28" i="51"/>
  <c r="Z28" i="51" s="1"/>
  <c r="T28" i="51"/>
  <c r="P28" i="51"/>
  <c r="H28" i="51"/>
  <c r="N28" i="51" s="1"/>
  <c r="D28" i="51"/>
  <c r="L28" i="51" s="1"/>
  <c r="B28" i="51"/>
  <c r="T27" i="51"/>
  <c r="P27" i="51"/>
  <c r="X27" i="51" s="1"/>
  <c r="Z27" i="51" s="1"/>
  <c r="N27" i="51"/>
  <c r="H27" i="51"/>
  <c r="D27" i="51"/>
  <c r="L27" i="51" s="1"/>
  <c r="B27" i="51"/>
  <c r="T26" i="51"/>
  <c r="P26" i="51"/>
  <c r="X26" i="51" s="1"/>
  <c r="Z26" i="51" s="1"/>
  <c r="H26" i="51"/>
  <c r="D26" i="51"/>
  <c r="L26" i="51" s="1"/>
  <c r="B26" i="51"/>
  <c r="T25" i="51"/>
  <c r="P25" i="51"/>
  <c r="X25" i="51" s="1"/>
  <c r="H25" i="51"/>
  <c r="D25" i="51"/>
  <c r="B25" i="51"/>
  <c r="X24" i="51"/>
  <c r="Z24" i="51" s="1"/>
  <c r="T24" i="51"/>
  <c r="P24" i="51"/>
  <c r="H24" i="51"/>
  <c r="N24" i="51" s="1"/>
  <c r="D24" i="51"/>
  <c r="L24" i="51" s="1"/>
  <c r="B24" i="51"/>
  <c r="T23" i="51"/>
  <c r="P23" i="51"/>
  <c r="X23" i="51" s="1"/>
  <c r="Z23" i="51" s="1"/>
  <c r="H23" i="51"/>
  <c r="D23" i="51"/>
  <c r="L23" i="51" s="1"/>
  <c r="N23" i="51" s="1"/>
  <c r="B23" i="51"/>
  <c r="T22" i="51"/>
  <c r="P22" i="51"/>
  <c r="X22" i="51" s="1"/>
  <c r="Z22" i="51" s="1"/>
  <c r="H22" i="51"/>
  <c r="D22" i="51"/>
  <c r="L22" i="51" s="1"/>
  <c r="B22" i="51"/>
  <c r="T21" i="51"/>
  <c r="Z21" i="51" s="1"/>
  <c r="P21" i="51"/>
  <c r="X21" i="51" s="1"/>
  <c r="H21" i="51"/>
  <c r="D21" i="51"/>
  <c r="B21" i="51"/>
  <c r="Z20" i="51"/>
  <c r="X20" i="51"/>
  <c r="T20" i="51"/>
  <c r="P20" i="51"/>
  <c r="H20" i="51"/>
  <c r="D20" i="51"/>
  <c r="L20" i="51" s="1"/>
  <c r="B20" i="51"/>
  <c r="T19" i="51"/>
  <c r="P19" i="51"/>
  <c r="X19" i="51" s="1"/>
  <c r="Z19" i="51" s="1"/>
  <c r="N19" i="51"/>
  <c r="H19" i="51"/>
  <c r="D19" i="51"/>
  <c r="L19" i="51" s="1"/>
  <c r="B19" i="51"/>
  <c r="T18" i="51"/>
  <c r="P18" i="51"/>
  <c r="X18" i="51" s="1"/>
  <c r="Z18" i="51" s="1"/>
  <c r="H18" i="51"/>
  <c r="D18" i="51"/>
  <c r="B18" i="51"/>
  <c r="T17" i="51"/>
  <c r="Z17" i="51" s="1"/>
  <c r="P17" i="51"/>
  <c r="X17" i="51" s="1"/>
  <c r="H17" i="51"/>
  <c r="N17" i="51" s="1"/>
  <c r="D17" i="51"/>
  <c r="B17" i="51"/>
  <c r="Z16" i="51"/>
  <c r="X16" i="51"/>
  <c r="T16" i="51"/>
  <c r="P16" i="51"/>
  <c r="H16" i="51"/>
  <c r="N16" i="51" s="1"/>
  <c r="D16" i="51"/>
  <c r="L16" i="51" s="1"/>
  <c r="B16" i="51"/>
  <c r="T15" i="51"/>
  <c r="P15" i="51"/>
  <c r="X15" i="51" s="1"/>
  <c r="Z15" i="51" s="1"/>
  <c r="N15" i="51"/>
  <c r="H15" i="51"/>
  <c r="D15" i="51"/>
  <c r="L15" i="51" s="1"/>
  <c r="B15" i="51"/>
  <c r="T14" i="51"/>
  <c r="P14" i="51"/>
  <c r="X14" i="51" s="1"/>
  <c r="Z14" i="51" s="1"/>
  <c r="H14" i="51"/>
  <c r="D14" i="51"/>
  <c r="B14" i="51"/>
  <c r="T13" i="51"/>
  <c r="Z13" i="51" s="1"/>
  <c r="P13" i="51"/>
  <c r="H13" i="51"/>
  <c r="N13" i="51" s="1"/>
  <c r="D13" i="51"/>
  <c r="B13" i="51"/>
  <c r="D4" i="51"/>
  <c r="X71" i="48"/>
  <c r="Z71" i="48" s="1"/>
  <c r="V71" i="48"/>
  <c r="N71" i="48"/>
  <c r="L71" i="48"/>
  <c r="F71" i="48"/>
  <c r="T67" i="48"/>
  <c r="T66" i="48" s="1"/>
  <c r="P67" i="48"/>
  <c r="X67" i="48" s="1"/>
  <c r="Z67" i="48" s="1"/>
  <c r="H67" i="48"/>
  <c r="D67" i="48"/>
  <c r="B67" i="48"/>
  <c r="P66" i="48"/>
  <c r="X66" i="48" s="1"/>
  <c r="H66" i="48"/>
  <c r="X64" i="48"/>
  <c r="Z64" i="48" s="1"/>
  <c r="N64" i="48"/>
  <c r="L64" i="48"/>
  <c r="B64" i="48"/>
  <c r="X63" i="48"/>
  <c r="Z63" i="48" s="1"/>
  <c r="T63" i="48"/>
  <c r="P63" i="48"/>
  <c r="L63" i="48"/>
  <c r="H63" i="48"/>
  <c r="D63" i="48"/>
  <c r="B63" i="48"/>
  <c r="Z62" i="48"/>
  <c r="X62" i="48"/>
  <c r="N62" i="48"/>
  <c r="L62" i="48"/>
  <c r="F62" i="48"/>
  <c r="B62" i="48"/>
  <c r="T61" i="48"/>
  <c r="P61" i="48"/>
  <c r="H61" i="48"/>
  <c r="F61" i="48"/>
  <c r="D61" i="48"/>
  <c r="B61" i="48"/>
  <c r="X60" i="48"/>
  <c r="Z60" i="48" s="1"/>
  <c r="N60" i="48"/>
  <c r="L60" i="48"/>
  <c r="B60" i="48"/>
  <c r="Z59" i="48"/>
  <c r="X59" i="48"/>
  <c r="L59" i="48"/>
  <c r="N59" i="48" s="1"/>
  <c r="B59" i="48"/>
  <c r="Z58" i="48"/>
  <c r="X58" i="48"/>
  <c r="N58" i="48"/>
  <c r="L58" i="48"/>
  <c r="B58" i="48"/>
  <c r="V57" i="48"/>
  <c r="T57" i="48"/>
  <c r="P57" i="48"/>
  <c r="X57" i="48" s="1"/>
  <c r="Z57" i="48" s="1"/>
  <c r="H57" i="48"/>
  <c r="D57" i="48"/>
  <c r="L57" i="48" s="1"/>
  <c r="N57" i="48" s="1"/>
  <c r="B57" i="48"/>
  <c r="X56" i="48"/>
  <c r="Z56" i="48" s="1"/>
  <c r="N56" i="48"/>
  <c r="L56" i="48"/>
  <c r="B56" i="48"/>
  <c r="X55" i="48"/>
  <c r="Z55" i="48" s="1"/>
  <c r="T55" i="48"/>
  <c r="P55" i="48"/>
  <c r="L55" i="48"/>
  <c r="H55" i="48"/>
  <c r="N55" i="48" s="1"/>
  <c r="D55" i="48"/>
  <c r="B55" i="48"/>
  <c r="Z54" i="48"/>
  <c r="X54" i="48"/>
  <c r="N54" i="48"/>
  <c r="L54" i="48"/>
  <c r="F54" i="48"/>
  <c r="B54" i="48"/>
  <c r="Z53" i="48"/>
  <c r="X53" i="48"/>
  <c r="N53" i="48"/>
  <c r="L53" i="48"/>
  <c r="B53" i="48"/>
  <c r="Z52" i="48"/>
  <c r="X52" i="48"/>
  <c r="N52" i="48"/>
  <c r="L52" i="48"/>
  <c r="B52" i="48"/>
  <c r="Z51" i="48"/>
  <c r="T51" i="48"/>
  <c r="X51" i="48" s="1"/>
  <c r="P51" i="48"/>
  <c r="H51" i="48"/>
  <c r="N51" i="48" s="1"/>
  <c r="D51" i="48"/>
  <c r="L51" i="48" s="1"/>
  <c r="B51" i="48"/>
  <c r="Z50" i="48"/>
  <c r="X50" i="48"/>
  <c r="V50" i="48"/>
  <c r="L50" i="48"/>
  <c r="N50" i="48" s="1"/>
  <c r="B50" i="48"/>
  <c r="T49" i="48"/>
  <c r="P49" i="48"/>
  <c r="X49" i="48" s="1"/>
  <c r="Z49" i="48" s="1"/>
  <c r="H49" i="48"/>
  <c r="D49" i="48"/>
  <c r="L49" i="48" s="1"/>
  <c r="N49" i="48" s="1"/>
  <c r="B49" i="48"/>
  <c r="X48" i="48"/>
  <c r="Z48" i="48" s="1"/>
  <c r="N48" i="48"/>
  <c r="L48" i="48"/>
  <c r="B48" i="48"/>
  <c r="X47" i="48"/>
  <c r="Z47" i="48" s="1"/>
  <c r="T47" i="48"/>
  <c r="P47" i="48"/>
  <c r="L47" i="48"/>
  <c r="H47" i="48"/>
  <c r="N47" i="48" s="1"/>
  <c r="D47" i="48"/>
  <c r="B47" i="48"/>
  <c r="Z46" i="48"/>
  <c r="X46" i="48"/>
  <c r="N46" i="48"/>
  <c r="L46" i="48"/>
  <c r="F46" i="48"/>
  <c r="B46" i="48"/>
  <c r="T45" i="48"/>
  <c r="P45" i="48"/>
  <c r="X45" i="48" s="1"/>
  <c r="N45" i="48"/>
  <c r="H45" i="48"/>
  <c r="L45" i="48" s="1"/>
  <c r="F45" i="48"/>
  <c r="D45" i="48"/>
  <c r="B45" i="48"/>
  <c r="Z44" i="48"/>
  <c r="X44" i="48"/>
  <c r="N44" i="48"/>
  <c r="L44" i="48"/>
  <c r="B44" i="48"/>
  <c r="Z43" i="48"/>
  <c r="X43" i="48"/>
  <c r="N43" i="48"/>
  <c r="L43" i="48"/>
  <c r="B43" i="48"/>
  <c r="V42" i="48"/>
  <c r="T42" i="48"/>
  <c r="Z42" i="48" s="1"/>
  <c r="P42" i="48"/>
  <c r="H42" i="48"/>
  <c r="N42" i="48" s="1"/>
  <c r="D42" i="48"/>
  <c r="L42" i="48" s="1"/>
  <c r="B42" i="48"/>
  <c r="X41" i="48"/>
  <c r="Z41" i="48" s="1"/>
  <c r="V41" i="48"/>
  <c r="N41" i="48"/>
  <c r="L41" i="48"/>
  <c r="F41" i="48"/>
  <c r="B41" i="48"/>
  <c r="T40" i="48"/>
  <c r="P40" i="48"/>
  <c r="X40" i="48" s="1"/>
  <c r="Z40" i="48" s="1"/>
  <c r="H40" i="48"/>
  <c r="N40" i="48" s="1"/>
  <c r="F40" i="48"/>
  <c r="D40" i="48"/>
  <c r="L40" i="48" s="1"/>
  <c r="B40" i="48"/>
  <c r="Z39" i="48"/>
  <c r="X39" i="48"/>
  <c r="N39" i="48"/>
  <c r="L39" i="48"/>
  <c r="B39" i="48"/>
  <c r="T38" i="48"/>
  <c r="X38" i="48" s="1"/>
  <c r="P38" i="48"/>
  <c r="L38" i="48"/>
  <c r="N38" i="48" s="1"/>
  <c r="H38" i="48"/>
  <c r="D38" i="48"/>
  <c r="B38" i="48"/>
  <c r="Z37" i="48"/>
  <c r="X37" i="48"/>
  <c r="V37" i="48"/>
  <c r="N37" i="48"/>
  <c r="L37" i="48"/>
  <c r="B37" i="48"/>
  <c r="T36" i="48"/>
  <c r="Z36" i="48" s="1"/>
  <c r="P36" i="48"/>
  <c r="X36" i="48" s="1"/>
  <c r="H36" i="48"/>
  <c r="N36" i="48" s="1"/>
  <c r="D36" i="48"/>
  <c r="B36" i="48"/>
  <c r="X35" i="48"/>
  <c r="Z35" i="48" s="1"/>
  <c r="N35" i="48"/>
  <c r="L35" i="48"/>
  <c r="F35" i="48"/>
  <c r="B35" i="48"/>
  <c r="X34" i="48"/>
  <c r="Z34" i="48" s="1"/>
  <c r="N34" i="48"/>
  <c r="L34" i="48"/>
  <c r="F34" i="48"/>
  <c r="B34" i="48"/>
  <c r="X33" i="48"/>
  <c r="Z33" i="48" s="1"/>
  <c r="V33" i="48"/>
  <c r="N33" i="48"/>
  <c r="L33" i="48"/>
  <c r="F33" i="48"/>
  <c r="B33" i="48"/>
  <c r="X32" i="48"/>
  <c r="Z32" i="48" s="1"/>
  <c r="L32" i="48"/>
  <c r="N32" i="48" s="1"/>
  <c r="B32" i="48"/>
  <c r="Z31" i="48"/>
  <c r="X31" i="48"/>
  <c r="N31" i="48"/>
  <c r="L31" i="48"/>
  <c r="F31" i="48"/>
  <c r="B31" i="48"/>
  <c r="T30" i="48"/>
  <c r="Z30" i="48" s="1"/>
  <c r="P30" i="48"/>
  <c r="X30" i="48" s="1"/>
  <c r="L30" i="48"/>
  <c r="N30" i="48" s="1"/>
  <c r="H30" i="48"/>
  <c r="F30" i="48"/>
  <c r="D30" i="48"/>
  <c r="B30" i="48"/>
  <c r="Z29" i="48"/>
  <c r="X29" i="48"/>
  <c r="N29" i="48"/>
  <c r="L29" i="48"/>
  <c r="B29" i="48"/>
  <c r="X28" i="48"/>
  <c r="Z28" i="48" s="1"/>
  <c r="L28" i="48"/>
  <c r="N28" i="48" s="1"/>
  <c r="F28" i="48"/>
  <c r="B28" i="48"/>
  <c r="Z27" i="48"/>
  <c r="X27" i="48"/>
  <c r="N27" i="48"/>
  <c r="L27" i="48"/>
  <c r="B27" i="48"/>
  <c r="Z26" i="48"/>
  <c r="X26" i="48"/>
  <c r="N26" i="48"/>
  <c r="L26" i="48"/>
  <c r="F26" i="48"/>
  <c r="B26" i="48"/>
  <c r="Z25" i="48"/>
  <c r="X25" i="48"/>
  <c r="N25" i="48"/>
  <c r="L25" i="48"/>
  <c r="B25" i="48"/>
  <c r="X24" i="48"/>
  <c r="Z24" i="48" s="1"/>
  <c r="L24" i="48"/>
  <c r="N24" i="48" s="1"/>
  <c r="F24" i="48"/>
  <c r="B24" i="48"/>
  <c r="Z23" i="48"/>
  <c r="X23" i="48"/>
  <c r="N23" i="48"/>
  <c r="L23" i="48"/>
  <c r="B23" i="48"/>
  <c r="Z22" i="48"/>
  <c r="X22" i="48"/>
  <c r="N22" i="48"/>
  <c r="L22" i="48"/>
  <c r="F22" i="48"/>
  <c r="B22" i="48"/>
  <c r="Z21" i="48"/>
  <c r="X21" i="48"/>
  <c r="N21" i="48"/>
  <c r="L21" i="48"/>
  <c r="B21" i="48"/>
  <c r="Z20" i="48"/>
  <c r="X20" i="48"/>
  <c r="T20" i="48"/>
  <c r="P20" i="48"/>
  <c r="N20" i="48"/>
  <c r="H20" i="48"/>
  <c r="L20" i="48" s="1"/>
  <c r="D20" i="48"/>
  <c r="B20" i="48"/>
  <c r="T19" i="48"/>
  <c r="P19" i="48"/>
  <c r="X19" i="48" s="1"/>
  <c r="Z19" i="48" s="1"/>
  <c r="H19" i="48"/>
  <c r="D19" i="48"/>
  <c r="L19" i="48" s="1"/>
  <c r="N19" i="48" s="1"/>
  <c r="Z15" i="48"/>
  <c r="T15" i="48"/>
  <c r="P15" i="48"/>
  <c r="X15" i="48" s="1"/>
  <c r="N15" i="48"/>
  <c r="H15" i="48"/>
  <c r="D15" i="48"/>
  <c r="L15" i="48" s="1"/>
  <c r="T13" i="48"/>
  <c r="P13" i="48"/>
  <c r="X13" i="48" s="1"/>
  <c r="Z13" i="48" s="1"/>
  <c r="H13" i="48"/>
  <c r="D13" i="48"/>
  <c r="B13" i="48"/>
  <c r="T12" i="48"/>
  <c r="P12" i="48"/>
  <c r="D12" i="48"/>
  <c r="F64" i="48" s="1"/>
  <c r="D4" i="48"/>
  <c r="Z97" i="45"/>
  <c r="X97" i="45"/>
  <c r="N97" i="45"/>
  <c r="L97" i="45"/>
  <c r="X93" i="45"/>
  <c r="T93" i="45"/>
  <c r="Z93" i="45" s="1"/>
  <c r="P93" i="45"/>
  <c r="L93" i="45"/>
  <c r="H93" i="45"/>
  <c r="N93" i="45" s="1"/>
  <c r="D93" i="45"/>
  <c r="Z91" i="45"/>
  <c r="X91" i="45"/>
  <c r="V91" i="45"/>
  <c r="N91" i="45"/>
  <c r="L91" i="45"/>
  <c r="B91" i="45"/>
  <c r="X90" i="45"/>
  <c r="Z90" i="45" s="1"/>
  <c r="N90" i="45"/>
  <c r="L90" i="45"/>
  <c r="B90" i="45"/>
  <c r="X89" i="45"/>
  <c r="T89" i="45"/>
  <c r="Z89" i="45" s="1"/>
  <c r="P89" i="45"/>
  <c r="H89" i="45"/>
  <c r="N89" i="45" s="1"/>
  <c r="D89" i="45"/>
  <c r="L89" i="45" s="1"/>
  <c r="B89" i="45"/>
  <c r="X88" i="45"/>
  <c r="Z88" i="45" s="1"/>
  <c r="N88" i="45"/>
  <c r="L88" i="45"/>
  <c r="B88" i="45"/>
  <c r="Z87" i="45"/>
  <c r="X87" i="45"/>
  <c r="T87" i="45"/>
  <c r="P87" i="45"/>
  <c r="N87" i="45"/>
  <c r="H87" i="45"/>
  <c r="D87" i="45"/>
  <c r="L87" i="45" s="1"/>
  <c r="B87" i="45"/>
  <c r="Z86" i="45"/>
  <c r="X86" i="45"/>
  <c r="L86" i="45"/>
  <c r="N86" i="45" s="1"/>
  <c r="B86" i="45"/>
  <c r="X85" i="45"/>
  <c r="T85" i="45"/>
  <c r="Z85" i="45" s="1"/>
  <c r="P85" i="45"/>
  <c r="N85" i="45"/>
  <c r="H85" i="45"/>
  <c r="F85" i="45"/>
  <c r="D85" i="45"/>
  <c r="L85" i="45" s="1"/>
  <c r="B85" i="45"/>
  <c r="Z84" i="45"/>
  <c r="X84" i="45"/>
  <c r="N84" i="45"/>
  <c r="L84" i="45"/>
  <c r="B84" i="45"/>
  <c r="Z83" i="45"/>
  <c r="X83" i="45"/>
  <c r="V83" i="45"/>
  <c r="N83" i="45"/>
  <c r="L83" i="45"/>
  <c r="B83" i="45"/>
  <c r="X82" i="45"/>
  <c r="Z82" i="45" s="1"/>
  <c r="N82" i="45"/>
  <c r="L82" i="45"/>
  <c r="B82" i="45"/>
  <c r="X81" i="45"/>
  <c r="Z81" i="45" s="1"/>
  <c r="L81" i="45"/>
  <c r="N81" i="45" s="1"/>
  <c r="B81" i="45"/>
  <c r="Z80" i="45"/>
  <c r="X80" i="45"/>
  <c r="N80" i="45"/>
  <c r="L80" i="45"/>
  <c r="B80" i="45"/>
  <c r="X79" i="45"/>
  <c r="Z79" i="45" s="1"/>
  <c r="N79" i="45"/>
  <c r="L79" i="45"/>
  <c r="B79" i="45"/>
  <c r="X78" i="45"/>
  <c r="Z78" i="45" s="1"/>
  <c r="N78" i="45"/>
  <c r="L78" i="45"/>
  <c r="B78" i="45"/>
  <c r="Z77" i="45"/>
  <c r="X77" i="45"/>
  <c r="N77" i="45"/>
  <c r="L77" i="45"/>
  <c r="B77" i="45"/>
  <c r="X76" i="45"/>
  <c r="Z76" i="45" s="1"/>
  <c r="N76" i="45"/>
  <c r="L76" i="45"/>
  <c r="B76" i="45"/>
  <c r="X75" i="45"/>
  <c r="T75" i="45"/>
  <c r="Z75" i="45" s="1"/>
  <c r="P75" i="45"/>
  <c r="H75" i="45"/>
  <c r="D75" i="45"/>
  <c r="L75" i="45" s="1"/>
  <c r="N75" i="45" s="1"/>
  <c r="B75" i="45"/>
  <c r="Z74" i="45"/>
  <c r="X74" i="45"/>
  <c r="N74" i="45"/>
  <c r="L74" i="45"/>
  <c r="B74" i="45"/>
  <c r="T73" i="45"/>
  <c r="Z73" i="45" s="1"/>
  <c r="P73" i="45"/>
  <c r="N73" i="45"/>
  <c r="H73" i="45"/>
  <c r="D73" i="45"/>
  <c r="L73" i="45" s="1"/>
  <c r="B73" i="45"/>
  <c r="Z72" i="45"/>
  <c r="X72" i="45"/>
  <c r="V72" i="45"/>
  <c r="N72" i="45"/>
  <c r="L72" i="45"/>
  <c r="B72" i="45"/>
  <c r="X71" i="45"/>
  <c r="Z71" i="45" s="1"/>
  <c r="V71" i="45"/>
  <c r="L71" i="45"/>
  <c r="N71" i="45" s="1"/>
  <c r="B71" i="45"/>
  <c r="Z70" i="45"/>
  <c r="X70" i="45"/>
  <c r="N70" i="45"/>
  <c r="L70" i="45"/>
  <c r="B70" i="45"/>
  <c r="X69" i="45"/>
  <c r="Z69" i="45" s="1"/>
  <c r="L69" i="45"/>
  <c r="N69" i="45" s="1"/>
  <c r="B69" i="45"/>
  <c r="V68" i="45"/>
  <c r="T68" i="45"/>
  <c r="P68" i="45"/>
  <c r="X68" i="45" s="1"/>
  <c r="Z68" i="45" s="1"/>
  <c r="H68" i="45"/>
  <c r="N68" i="45" s="1"/>
  <c r="D68" i="45"/>
  <c r="L68" i="45" s="1"/>
  <c r="B68" i="45"/>
  <c r="X67" i="45"/>
  <c r="Z67" i="45" s="1"/>
  <c r="N67" i="45"/>
  <c r="L67" i="45"/>
  <c r="B67" i="45"/>
  <c r="X66" i="45"/>
  <c r="Z66" i="45" s="1"/>
  <c r="N66" i="45"/>
  <c r="L66" i="45"/>
  <c r="B66" i="45"/>
  <c r="X65" i="45"/>
  <c r="Z65" i="45" s="1"/>
  <c r="N65" i="45"/>
  <c r="L65" i="45"/>
  <c r="F65" i="45"/>
  <c r="B65" i="45"/>
  <c r="Z64" i="45"/>
  <c r="X64" i="45"/>
  <c r="T64" i="45"/>
  <c r="P64" i="45"/>
  <c r="L64" i="45"/>
  <c r="N64" i="45" s="1"/>
  <c r="H64" i="45"/>
  <c r="D64" i="45"/>
  <c r="B64" i="45"/>
  <c r="Z63" i="45"/>
  <c r="X63" i="45"/>
  <c r="L63" i="45"/>
  <c r="N63" i="45" s="1"/>
  <c r="B63" i="45"/>
  <c r="Z62" i="45"/>
  <c r="T62" i="45"/>
  <c r="P62" i="45"/>
  <c r="X62" i="45" s="1"/>
  <c r="H62" i="45"/>
  <c r="D62" i="45"/>
  <c r="L62" i="45" s="1"/>
  <c r="B62" i="45"/>
  <c r="X61" i="45"/>
  <c r="Z61" i="45" s="1"/>
  <c r="L61" i="45"/>
  <c r="N61" i="45" s="1"/>
  <c r="B61" i="45"/>
  <c r="V60" i="45"/>
  <c r="T60" i="45"/>
  <c r="P60" i="45"/>
  <c r="X60" i="45" s="1"/>
  <c r="Z60" i="45" s="1"/>
  <c r="H60" i="45"/>
  <c r="N60" i="45" s="1"/>
  <c r="D60" i="45"/>
  <c r="L60" i="45" s="1"/>
  <c r="B60" i="45"/>
  <c r="X59" i="45"/>
  <c r="Z59" i="45" s="1"/>
  <c r="N59" i="45"/>
  <c r="L59" i="45"/>
  <c r="B59" i="45"/>
  <c r="X58" i="45"/>
  <c r="T58" i="45"/>
  <c r="Z58" i="45" s="1"/>
  <c r="P58" i="45"/>
  <c r="N58" i="45"/>
  <c r="L58" i="45"/>
  <c r="H58" i="45"/>
  <c r="D58" i="45"/>
  <c r="B58" i="45"/>
  <c r="Z57" i="45"/>
  <c r="X57" i="45"/>
  <c r="L57" i="45"/>
  <c r="N57" i="45" s="1"/>
  <c r="B57" i="45"/>
  <c r="T56" i="45"/>
  <c r="P56" i="45"/>
  <c r="X56" i="45" s="1"/>
  <c r="H56" i="45"/>
  <c r="D56" i="45"/>
  <c r="L56" i="45" s="1"/>
  <c r="N56" i="45" s="1"/>
  <c r="B56" i="45"/>
  <c r="X55" i="45"/>
  <c r="Z55" i="45" s="1"/>
  <c r="V55" i="45"/>
  <c r="N55" i="45"/>
  <c r="L55" i="45"/>
  <c r="B55" i="45"/>
  <c r="T54" i="45"/>
  <c r="P54" i="45"/>
  <c r="X54" i="45" s="1"/>
  <c r="N54" i="45"/>
  <c r="H54" i="45"/>
  <c r="D54" i="45"/>
  <c r="L54" i="45" s="1"/>
  <c r="B54" i="45"/>
  <c r="X53" i="45"/>
  <c r="Z53" i="45" s="1"/>
  <c r="N53" i="45"/>
  <c r="L53" i="45"/>
  <c r="B53" i="45"/>
  <c r="Z52" i="45"/>
  <c r="X52" i="45"/>
  <c r="T52" i="45"/>
  <c r="P52" i="45"/>
  <c r="N52" i="45"/>
  <c r="L52" i="45"/>
  <c r="H52" i="45"/>
  <c r="D52" i="45"/>
  <c r="B52" i="45"/>
  <c r="Z51" i="45"/>
  <c r="X51" i="45"/>
  <c r="L51" i="45"/>
  <c r="N51" i="45" s="1"/>
  <c r="B51" i="45"/>
  <c r="T50" i="45"/>
  <c r="P50" i="45"/>
  <c r="X50" i="45" s="1"/>
  <c r="Z50" i="45" s="1"/>
  <c r="H50" i="45"/>
  <c r="D50" i="45"/>
  <c r="B50" i="45"/>
  <c r="X49" i="45"/>
  <c r="Z49" i="45" s="1"/>
  <c r="N49" i="45"/>
  <c r="L49" i="45"/>
  <c r="B49" i="45"/>
  <c r="V48" i="45"/>
  <c r="T48" i="45"/>
  <c r="P48" i="45"/>
  <c r="X48" i="45" s="1"/>
  <c r="Z48" i="45" s="1"/>
  <c r="H48" i="45"/>
  <c r="N48" i="45" s="1"/>
  <c r="D48" i="45"/>
  <c r="L48" i="45" s="1"/>
  <c r="B48" i="45"/>
  <c r="X47" i="45"/>
  <c r="Z47" i="45" s="1"/>
  <c r="N47" i="45"/>
  <c r="L47" i="45"/>
  <c r="B47" i="45"/>
  <c r="X46" i="45"/>
  <c r="Z46" i="45" s="1"/>
  <c r="T46" i="45"/>
  <c r="P46" i="45"/>
  <c r="N46" i="45"/>
  <c r="L46" i="45"/>
  <c r="H46" i="45"/>
  <c r="D46" i="45"/>
  <c r="B46" i="45"/>
  <c r="Z45" i="45"/>
  <c r="X45" i="45"/>
  <c r="N45" i="45"/>
  <c r="L45" i="45"/>
  <c r="B45" i="45"/>
  <c r="T44" i="45"/>
  <c r="P44" i="45"/>
  <c r="N44" i="45"/>
  <c r="H44" i="45"/>
  <c r="D44" i="45"/>
  <c r="L44" i="45" s="1"/>
  <c r="B44" i="45"/>
  <c r="X43" i="45"/>
  <c r="Z43" i="45" s="1"/>
  <c r="V43" i="45"/>
  <c r="N43" i="45"/>
  <c r="L43" i="45"/>
  <c r="B43" i="45"/>
  <c r="X42" i="45"/>
  <c r="Z42" i="45" s="1"/>
  <c r="L42" i="45"/>
  <c r="N42" i="45" s="1"/>
  <c r="B42" i="45"/>
  <c r="X41" i="45"/>
  <c r="Z41" i="45" s="1"/>
  <c r="N41" i="45"/>
  <c r="L41" i="45"/>
  <c r="B41" i="45"/>
  <c r="Z40" i="45"/>
  <c r="X40" i="45"/>
  <c r="V40" i="45"/>
  <c r="N40" i="45"/>
  <c r="L40" i="45"/>
  <c r="B40" i="45"/>
  <c r="X39" i="45"/>
  <c r="Z39" i="45" s="1"/>
  <c r="V39" i="45"/>
  <c r="L39" i="45"/>
  <c r="N39" i="45" s="1"/>
  <c r="B39" i="45"/>
  <c r="X38" i="45"/>
  <c r="Z38" i="45" s="1"/>
  <c r="L38" i="45"/>
  <c r="N38" i="45" s="1"/>
  <c r="B38" i="45"/>
  <c r="X37" i="45"/>
  <c r="Z37" i="45" s="1"/>
  <c r="L37" i="45"/>
  <c r="N37" i="45" s="1"/>
  <c r="B37" i="45"/>
  <c r="V36" i="45"/>
  <c r="T36" i="45"/>
  <c r="P36" i="45"/>
  <c r="X36" i="45" s="1"/>
  <c r="Z36" i="45" s="1"/>
  <c r="H36" i="45"/>
  <c r="D36" i="45"/>
  <c r="L36" i="45" s="1"/>
  <c r="B36" i="45"/>
  <c r="X35" i="45"/>
  <c r="Z35" i="45" s="1"/>
  <c r="N35" i="45"/>
  <c r="L35" i="45"/>
  <c r="B35" i="45"/>
  <c r="X34" i="45"/>
  <c r="Z34" i="45" s="1"/>
  <c r="N34" i="45"/>
  <c r="L34" i="45"/>
  <c r="B34" i="45"/>
  <c r="X33" i="45"/>
  <c r="Z33" i="45" s="1"/>
  <c r="N33" i="45"/>
  <c r="L33" i="45"/>
  <c r="B33" i="45"/>
  <c r="Z32" i="45"/>
  <c r="X32" i="45"/>
  <c r="N32" i="45"/>
  <c r="L32" i="45"/>
  <c r="B32" i="45"/>
  <c r="X31" i="45"/>
  <c r="Z31" i="45" s="1"/>
  <c r="N31" i="45"/>
  <c r="L31" i="45"/>
  <c r="B31" i="45"/>
  <c r="X30" i="45"/>
  <c r="Z30" i="45" s="1"/>
  <c r="N30" i="45"/>
  <c r="L30" i="45"/>
  <c r="B30" i="45"/>
  <c r="X29" i="45"/>
  <c r="Z29" i="45" s="1"/>
  <c r="N29" i="45"/>
  <c r="L29" i="45"/>
  <c r="B29" i="45"/>
  <c r="Z28" i="45"/>
  <c r="X28" i="45"/>
  <c r="N28" i="45"/>
  <c r="L28" i="45"/>
  <c r="B28" i="45"/>
  <c r="X27" i="45"/>
  <c r="Z27" i="45" s="1"/>
  <c r="N27" i="45"/>
  <c r="L27" i="45"/>
  <c r="B27" i="45"/>
  <c r="X26" i="45"/>
  <c r="Z26" i="45" s="1"/>
  <c r="T26" i="45"/>
  <c r="P26" i="45"/>
  <c r="N26" i="45"/>
  <c r="L26" i="45"/>
  <c r="H26" i="45"/>
  <c r="D26" i="45"/>
  <c r="B26" i="45"/>
  <c r="T25" i="45"/>
  <c r="P25" i="45"/>
  <c r="H25" i="45"/>
  <c r="D25" i="45"/>
  <c r="L25" i="45" s="1"/>
  <c r="T23" i="45"/>
  <c r="Z21" i="45"/>
  <c r="X21" i="45"/>
  <c r="L21" i="45"/>
  <c r="N21" i="45" s="1"/>
  <c r="B21" i="45"/>
  <c r="Z20" i="45"/>
  <c r="X20" i="45"/>
  <c r="N20" i="45"/>
  <c r="L20" i="45"/>
  <c r="B20" i="45"/>
  <c r="T19" i="45"/>
  <c r="Z19" i="45" s="1"/>
  <c r="P19" i="45"/>
  <c r="X19" i="45" s="1"/>
  <c r="H19" i="45"/>
  <c r="D19" i="45"/>
  <c r="L19" i="45" s="1"/>
  <c r="N19" i="45" s="1"/>
  <c r="T17" i="45"/>
  <c r="P17" i="45"/>
  <c r="X17" i="45" s="1"/>
  <c r="Z17" i="45" s="1"/>
  <c r="H17" i="45"/>
  <c r="N17" i="45" s="1"/>
  <c r="D17" i="45"/>
  <c r="B17" i="45"/>
  <c r="Z16" i="45"/>
  <c r="T16" i="45"/>
  <c r="P16" i="45"/>
  <c r="X16" i="45" s="1"/>
  <c r="H16" i="45"/>
  <c r="D16" i="45"/>
  <c r="B16" i="45"/>
  <c r="T15" i="45"/>
  <c r="P15" i="45"/>
  <c r="X15" i="45" s="1"/>
  <c r="Z15" i="45" s="1"/>
  <c r="L15" i="45"/>
  <c r="H15" i="45"/>
  <c r="N15" i="45" s="1"/>
  <c r="D15" i="45"/>
  <c r="B15" i="45"/>
  <c r="T14" i="45"/>
  <c r="P14" i="45"/>
  <c r="X14" i="45" s="1"/>
  <c r="Z14" i="45" s="1"/>
  <c r="H14" i="45"/>
  <c r="N14" i="45" s="1"/>
  <c r="D14" i="45"/>
  <c r="L14" i="45" s="1"/>
  <c r="B14" i="45"/>
  <c r="T13" i="45"/>
  <c r="P13" i="45"/>
  <c r="H13" i="45"/>
  <c r="D13" i="45"/>
  <c r="D12" i="45" s="1"/>
  <c r="F29" i="45" s="1"/>
  <c r="B13" i="45"/>
  <c r="T12" i="45"/>
  <c r="V81" i="45" s="1"/>
  <c r="D4" i="45"/>
  <c r="X126" i="42"/>
  <c r="Z126" i="42" s="1"/>
  <c r="N126" i="42"/>
  <c r="L126" i="42"/>
  <c r="T122" i="42"/>
  <c r="P122" i="42"/>
  <c r="X122" i="42" s="1"/>
  <c r="L122" i="42"/>
  <c r="N122" i="42" s="1"/>
  <c r="H122" i="42"/>
  <c r="D122" i="42"/>
  <c r="B122" i="42"/>
  <c r="X121" i="42"/>
  <c r="Z121" i="42" s="1"/>
  <c r="T121" i="42"/>
  <c r="P121" i="42"/>
  <c r="N121" i="42"/>
  <c r="L121" i="42"/>
  <c r="H121" i="42"/>
  <c r="D121" i="42"/>
  <c r="B121" i="42"/>
  <c r="T120" i="42"/>
  <c r="T119" i="42" s="1"/>
  <c r="P120" i="42"/>
  <c r="H120" i="42"/>
  <c r="N120" i="42" s="1"/>
  <c r="D120" i="42"/>
  <c r="L120" i="42" s="1"/>
  <c r="B120" i="42"/>
  <c r="D119" i="42"/>
  <c r="Z117" i="42"/>
  <c r="X117" i="42"/>
  <c r="N117" i="42"/>
  <c r="L117" i="42"/>
  <c r="B117" i="42"/>
  <c r="T116" i="42"/>
  <c r="Z116" i="42" s="1"/>
  <c r="P116" i="42"/>
  <c r="X116" i="42" s="1"/>
  <c r="L116" i="42"/>
  <c r="N116" i="42" s="1"/>
  <c r="H116" i="42"/>
  <c r="D116" i="42"/>
  <c r="B116" i="42"/>
  <c r="X115" i="42"/>
  <c r="Z115" i="42" s="1"/>
  <c r="N115" i="42"/>
  <c r="L115" i="42"/>
  <c r="B115" i="42"/>
  <c r="X114" i="42"/>
  <c r="Z114" i="42" s="1"/>
  <c r="N114" i="42"/>
  <c r="L114" i="42"/>
  <c r="B114" i="42"/>
  <c r="Z113" i="42"/>
  <c r="X113" i="42"/>
  <c r="N113" i="42"/>
  <c r="L113" i="42"/>
  <c r="B113" i="42"/>
  <c r="X112" i="42"/>
  <c r="T112" i="42"/>
  <c r="P112" i="42"/>
  <c r="H112" i="42"/>
  <c r="N112" i="42" s="1"/>
  <c r="D112" i="42"/>
  <c r="L112" i="42" s="1"/>
  <c r="B112" i="42"/>
  <c r="Z111" i="42"/>
  <c r="X111" i="42"/>
  <c r="L111" i="42"/>
  <c r="N111" i="42" s="1"/>
  <c r="B111" i="42"/>
  <c r="T110" i="42"/>
  <c r="P110" i="42"/>
  <c r="H110" i="42"/>
  <c r="D110" i="42"/>
  <c r="L110" i="42" s="1"/>
  <c r="B110" i="42"/>
  <c r="Z109" i="42"/>
  <c r="X109" i="42"/>
  <c r="N109" i="42"/>
  <c r="L109" i="42"/>
  <c r="B109" i="42"/>
  <c r="T108" i="42"/>
  <c r="Z108" i="42" s="1"/>
  <c r="P108" i="42"/>
  <c r="X108" i="42" s="1"/>
  <c r="L108" i="42"/>
  <c r="N108" i="42" s="1"/>
  <c r="H108" i="42"/>
  <c r="D108" i="42"/>
  <c r="B108" i="42"/>
  <c r="X107" i="42"/>
  <c r="Z107" i="42" s="1"/>
  <c r="N107" i="42"/>
  <c r="L107" i="42"/>
  <c r="B107" i="42"/>
  <c r="X106" i="42"/>
  <c r="Z106" i="42" s="1"/>
  <c r="N106" i="42"/>
  <c r="L106" i="42"/>
  <c r="B106" i="42"/>
  <c r="Z105" i="42"/>
  <c r="X105" i="42"/>
  <c r="N105" i="42"/>
  <c r="L105" i="42"/>
  <c r="B105" i="42"/>
  <c r="X104" i="42"/>
  <c r="Z104" i="42" s="1"/>
  <c r="N104" i="42"/>
  <c r="L104" i="42"/>
  <c r="B104" i="42"/>
  <c r="X103" i="42"/>
  <c r="Z103" i="42" s="1"/>
  <c r="N103" i="42"/>
  <c r="L103" i="42"/>
  <c r="B103" i="42"/>
  <c r="X102" i="42"/>
  <c r="Z102" i="42" s="1"/>
  <c r="N102" i="42"/>
  <c r="L102" i="42"/>
  <c r="B102" i="42"/>
  <c r="Z101" i="42"/>
  <c r="X101" i="42"/>
  <c r="N101" i="42"/>
  <c r="L101" i="42"/>
  <c r="B101" i="42"/>
  <c r="X100" i="42"/>
  <c r="Z100" i="42" s="1"/>
  <c r="N100" i="42"/>
  <c r="L100" i="42"/>
  <c r="B100" i="42"/>
  <c r="Z99" i="42"/>
  <c r="X99" i="42"/>
  <c r="N99" i="42"/>
  <c r="L99" i="42"/>
  <c r="B99" i="42"/>
  <c r="X98" i="42"/>
  <c r="Z98" i="42" s="1"/>
  <c r="N98" i="42"/>
  <c r="L98" i="42"/>
  <c r="B98" i="42"/>
  <c r="Z97" i="42"/>
  <c r="X97" i="42"/>
  <c r="T97" i="42"/>
  <c r="P97" i="42"/>
  <c r="L97" i="42"/>
  <c r="N97" i="42" s="1"/>
  <c r="H97" i="42"/>
  <c r="D97" i="42"/>
  <c r="B97" i="42"/>
  <c r="Z96" i="42"/>
  <c r="X96" i="42"/>
  <c r="L96" i="42"/>
  <c r="N96" i="42" s="1"/>
  <c r="B96" i="42"/>
  <c r="Z95" i="42"/>
  <c r="X95" i="42"/>
  <c r="N95" i="42"/>
  <c r="L95" i="42"/>
  <c r="B95" i="42"/>
  <c r="T94" i="42"/>
  <c r="P94" i="42"/>
  <c r="X94" i="42" s="1"/>
  <c r="Z94" i="42" s="1"/>
  <c r="H94" i="42"/>
  <c r="N94" i="42" s="1"/>
  <c r="D94" i="42"/>
  <c r="L94" i="42" s="1"/>
  <c r="B94" i="42"/>
  <c r="Z93" i="42"/>
  <c r="X93" i="42"/>
  <c r="N93" i="42"/>
  <c r="L93" i="42"/>
  <c r="B93" i="42"/>
  <c r="X92" i="42"/>
  <c r="Z92" i="42" s="1"/>
  <c r="N92" i="42"/>
  <c r="L92" i="42"/>
  <c r="B92" i="42"/>
  <c r="X91" i="42"/>
  <c r="Z91" i="42" s="1"/>
  <c r="L91" i="42"/>
  <c r="N91" i="42" s="1"/>
  <c r="B91" i="42"/>
  <c r="X90" i="42"/>
  <c r="Z90" i="42" s="1"/>
  <c r="L90" i="42"/>
  <c r="N90" i="42" s="1"/>
  <c r="B90" i="42"/>
  <c r="Z89" i="42"/>
  <c r="X89" i="42"/>
  <c r="N89" i="42"/>
  <c r="L89" i="42"/>
  <c r="B89" i="42"/>
  <c r="T88" i="42"/>
  <c r="P88" i="42"/>
  <c r="X88" i="42" s="1"/>
  <c r="L88" i="42"/>
  <c r="N88" i="42" s="1"/>
  <c r="H88" i="42"/>
  <c r="D88" i="42"/>
  <c r="B88" i="42"/>
  <c r="X87" i="42"/>
  <c r="Z87" i="42" s="1"/>
  <c r="N87" i="42"/>
  <c r="L87" i="42"/>
  <c r="B87" i="42"/>
  <c r="X86" i="42"/>
  <c r="Z86" i="42" s="1"/>
  <c r="N86" i="42"/>
  <c r="L86" i="42"/>
  <c r="B86" i="42"/>
  <c r="Z85" i="42"/>
  <c r="X85" i="42"/>
  <c r="T85" i="42"/>
  <c r="P85" i="42"/>
  <c r="N85" i="42"/>
  <c r="L85" i="42"/>
  <c r="H85" i="42"/>
  <c r="D85" i="42"/>
  <c r="B85" i="42"/>
  <c r="Z84" i="42"/>
  <c r="X84" i="42"/>
  <c r="L84" i="42"/>
  <c r="N84" i="42" s="1"/>
  <c r="B84" i="42"/>
  <c r="Z83" i="42"/>
  <c r="X83" i="42"/>
  <c r="L83" i="42"/>
  <c r="N83" i="42" s="1"/>
  <c r="B83" i="42"/>
  <c r="Z82" i="42"/>
  <c r="X82" i="42"/>
  <c r="L82" i="42"/>
  <c r="N82" i="42" s="1"/>
  <c r="B82" i="42"/>
  <c r="Z81" i="42"/>
  <c r="X81" i="42"/>
  <c r="N81" i="42"/>
  <c r="L81" i="42"/>
  <c r="B81" i="42"/>
  <c r="T80" i="42"/>
  <c r="P80" i="42"/>
  <c r="X80" i="42" s="1"/>
  <c r="H80" i="42"/>
  <c r="D80" i="42"/>
  <c r="B80" i="42"/>
  <c r="X79" i="42"/>
  <c r="Z79" i="42" s="1"/>
  <c r="L79" i="42"/>
  <c r="N79" i="42" s="1"/>
  <c r="B79" i="42"/>
  <c r="X78" i="42"/>
  <c r="Z78" i="42" s="1"/>
  <c r="T78" i="42"/>
  <c r="P78" i="42"/>
  <c r="H78" i="42"/>
  <c r="N78" i="42" s="1"/>
  <c r="D78" i="42"/>
  <c r="L78" i="42" s="1"/>
  <c r="B78" i="42"/>
  <c r="Z77" i="42"/>
  <c r="X77" i="42"/>
  <c r="N77" i="42"/>
  <c r="L77" i="42"/>
  <c r="B77" i="42"/>
  <c r="X76" i="42"/>
  <c r="T76" i="42"/>
  <c r="P76" i="42"/>
  <c r="H76" i="42"/>
  <c r="N76" i="42" s="1"/>
  <c r="D76" i="42"/>
  <c r="L76" i="42" s="1"/>
  <c r="B76" i="42"/>
  <c r="Z75" i="42"/>
  <c r="X75" i="42"/>
  <c r="L75" i="42"/>
  <c r="N75" i="42" s="1"/>
  <c r="B75" i="42"/>
  <c r="T74" i="42"/>
  <c r="P74" i="42"/>
  <c r="H74" i="42"/>
  <c r="N74" i="42" s="1"/>
  <c r="D74" i="42"/>
  <c r="L74" i="42" s="1"/>
  <c r="B74" i="42"/>
  <c r="Z73" i="42"/>
  <c r="X73" i="42"/>
  <c r="N73" i="42"/>
  <c r="L73" i="42"/>
  <c r="B73" i="42"/>
  <c r="T72" i="42"/>
  <c r="Z72" i="42" s="1"/>
  <c r="P72" i="42"/>
  <c r="X72" i="42" s="1"/>
  <c r="L72" i="42"/>
  <c r="N72" i="42" s="1"/>
  <c r="H72" i="42"/>
  <c r="D72" i="42"/>
  <c r="B72" i="42"/>
  <c r="X71" i="42"/>
  <c r="Z71" i="42" s="1"/>
  <c r="N71" i="42"/>
  <c r="L71" i="42"/>
  <c r="B71" i="42"/>
  <c r="X70" i="42"/>
  <c r="Z70" i="42" s="1"/>
  <c r="N70" i="42"/>
  <c r="L70" i="42"/>
  <c r="B70" i="42"/>
  <c r="Z69" i="42"/>
  <c r="X69" i="42"/>
  <c r="T69" i="42"/>
  <c r="P69" i="42"/>
  <c r="L69" i="42"/>
  <c r="N69" i="42" s="1"/>
  <c r="H69" i="42"/>
  <c r="D69" i="42"/>
  <c r="B69" i="42"/>
  <c r="Z68" i="42"/>
  <c r="X68" i="42"/>
  <c r="N68" i="42"/>
  <c r="L68" i="42"/>
  <c r="B68" i="42"/>
  <c r="Z67" i="42"/>
  <c r="T67" i="42"/>
  <c r="X67" i="42" s="1"/>
  <c r="P67" i="42"/>
  <c r="H67" i="42"/>
  <c r="N67" i="42" s="1"/>
  <c r="D67" i="42"/>
  <c r="B67" i="42"/>
  <c r="X66" i="42"/>
  <c r="Z66" i="42" s="1"/>
  <c r="L66" i="42"/>
  <c r="N66" i="42" s="1"/>
  <c r="B66" i="42"/>
  <c r="Z65" i="42"/>
  <c r="T65" i="42"/>
  <c r="P65" i="42"/>
  <c r="X65" i="42" s="1"/>
  <c r="H65" i="42"/>
  <c r="N65" i="42" s="1"/>
  <c r="D65" i="42"/>
  <c r="L65" i="42" s="1"/>
  <c r="B65" i="42"/>
  <c r="X64" i="42"/>
  <c r="Z64" i="42" s="1"/>
  <c r="N64" i="42"/>
  <c r="L64" i="42"/>
  <c r="B64" i="42"/>
  <c r="X63" i="42"/>
  <c r="Z63" i="42" s="1"/>
  <c r="T63" i="42"/>
  <c r="P63" i="42"/>
  <c r="N63" i="42"/>
  <c r="L63" i="42"/>
  <c r="H63" i="42"/>
  <c r="D63" i="42"/>
  <c r="B63" i="42"/>
  <c r="X62" i="42"/>
  <c r="Z62" i="42" s="1"/>
  <c r="N62" i="42"/>
  <c r="L62" i="42"/>
  <c r="B62" i="42"/>
  <c r="T61" i="42"/>
  <c r="P61" i="42"/>
  <c r="N61" i="42"/>
  <c r="H61" i="42"/>
  <c r="L61" i="42" s="1"/>
  <c r="D61" i="42"/>
  <c r="B61" i="42"/>
  <c r="X60" i="42"/>
  <c r="Z60" i="42" s="1"/>
  <c r="N60" i="42"/>
  <c r="L60" i="42"/>
  <c r="B60" i="42"/>
  <c r="T59" i="42"/>
  <c r="P59" i="42"/>
  <c r="X59" i="42" s="1"/>
  <c r="N59" i="42"/>
  <c r="H59" i="42"/>
  <c r="D59" i="42"/>
  <c r="L59" i="42" s="1"/>
  <c r="B59" i="42"/>
  <c r="X58" i="42"/>
  <c r="Z58" i="42" s="1"/>
  <c r="N58" i="42"/>
  <c r="L58" i="42"/>
  <c r="B58" i="42"/>
  <c r="Z57" i="42"/>
  <c r="X57" i="42"/>
  <c r="N57" i="42"/>
  <c r="L57" i="42"/>
  <c r="B57" i="42"/>
  <c r="X56" i="42"/>
  <c r="Z56" i="42" s="1"/>
  <c r="N56" i="42"/>
  <c r="L56" i="42"/>
  <c r="B56" i="42"/>
  <c r="X55" i="42"/>
  <c r="Z55" i="42" s="1"/>
  <c r="T55" i="42"/>
  <c r="P55" i="42"/>
  <c r="N55" i="42"/>
  <c r="L55" i="42"/>
  <c r="H55" i="42"/>
  <c r="D55" i="42"/>
  <c r="B55" i="42"/>
  <c r="X54" i="42"/>
  <c r="Z54" i="42" s="1"/>
  <c r="L54" i="42"/>
  <c r="N54" i="42" s="1"/>
  <c r="B54" i="42"/>
  <c r="T53" i="42"/>
  <c r="P53" i="42"/>
  <c r="N53" i="42"/>
  <c r="H53" i="42"/>
  <c r="L53" i="42" s="1"/>
  <c r="D53" i="42"/>
  <c r="B53" i="42"/>
  <c r="X52" i="42"/>
  <c r="Z52" i="42" s="1"/>
  <c r="N52" i="42"/>
  <c r="L52" i="42"/>
  <c r="B52" i="42"/>
  <c r="T51" i="42"/>
  <c r="P51" i="42"/>
  <c r="X51" i="42" s="1"/>
  <c r="N51" i="42"/>
  <c r="H51" i="42"/>
  <c r="D51" i="42"/>
  <c r="L51" i="42" s="1"/>
  <c r="B51" i="42"/>
  <c r="X50" i="42"/>
  <c r="Z50" i="42" s="1"/>
  <c r="L50" i="42"/>
  <c r="N50" i="42" s="1"/>
  <c r="B50" i="42"/>
  <c r="Z49" i="42"/>
  <c r="X49" i="42"/>
  <c r="T49" i="42"/>
  <c r="P49" i="42"/>
  <c r="L49" i="42"/>
  <c r="N49" i="42" s="1"/>
  <c r="H49" i="42"/>
  <c r="D49" i="42"/>
  <c r="B49" i="42"/>
  <c r="Z48" i="42"/>
  <c r="X48" i="42"/>
  <c r="N48" i="42"/>
  <c r="L48" i="42"/>
  <c r="B48" i="42"/>
  <c r="Z47" i="42"/>
  <c r="X47" i="42"/>
  <c r="L47" i="42"/>
  <c r="N47" i="42" s="1"/>
  <c r="B47" i="42"/>
  <c r="X46" i="42"/>
  <c r="Z46" i="42" s="1"/>
  <c r="N46" i="42"/>
  <c r="L46" i="42"/>
  <c r="B46" i="42"/>
  <c r="Z45" i="42"/>
  <c r="X45" i="42"/>
  <c r="N45" i="42"/>
  <c r="L45" i="42"/>
  <c r="B45" i="42"/>
  <c r="Z44" i="42"/>
  <c r="X44" i="42"/>
  <c r="L44" i="42"/>
  <c r="N44" i="42" s="1"/>
  <c r="B44" i="42"/>
  <c r="Z43" i="42"/>
  <c r="X43" i="42"/>
  <c r="L43" i="42"/>
  <c r="N43" i="42" s="1"/>
  <c r="B43" i="42"/>
  <c r="X42" i="42"/>
  <c r="Z42" i="42" s="1"/>
  <c r="L42" i="42"/>
  <c r="N42" i="42" s="1"/>
  <c r="B42" i="42"/>
  <c r="Z41" i="42"/>
  <c r="T41" i="42"/>
  <c r="P41" i="42"/>
  <c r="X41" i="42" s="1"/>
  <c r="N41" i="42"/>
  <c r="H41" i="42"/>
  <c r="L41" i="42" s="1"/>
  <c r="D41" i="42"/>
  <c r="B41" i="42"/>
  <c r="X40" i="42"/>
  <c r="Z40" i="42" s="1"/>
  <c r="L40" i="42"/>
  <c r="N40" i="42" s="1"/>
  <c r="B40" i="42"/>
  <c r="X39" i="42"/>
  <c r="Z39" i="42" s="1"/>
  <c r="N39" i="42"/>
  <c r="L39" i="42"/>
  <c r="B39" i="42"/>
  <c r="X38" i="42"/>
  <c r="Z38" i="42" s="1"/>
  <c r="L38" i="42"/>
  <c r="N38" i="42" s="1"/>
  <c r="B38" i="42"/>
  <c r="Z37" i="42"/>
  <c r="X37" i="42"/>
  <c r="N37" i="42"/>
  <c r="L37" i="42"/>
  <c r="B37" i="42"/>
  <c r="X36" i="42"/>
  <c r="Z36" i="42" s="1"/>
  <c r="L36" i="42"/>
  <c r="N36" i="42" s="1"/>
  <c r="B36" i="42"/>
  <c r="X35" i="42"/>
  <c r="Z35" i="42" s="1"/>
  <c r="N35" i="42"/>
  <c r="L35" i="42"/>
  <c r="B35" i="42"/>
  <c r="X34" i="42"/>
  <c r="Z34" i="42" s="1"/>
  <c r="L34" i="42"/>
  <c r="N34" i="42" s="1"/>
  <c r="B34" i="42"/>
  <c r="Z33" i="42"/>
  <c r="X33" i="42"/>
  <c r="N33" i="42"/>
  <c r="L33" i="42"/>
  <c r="B33" i="42"/>
  <c r="X32" i="42"/>
  <c r="Z32" i="42" s="1"/>
  <c r="L32" i="42"/>
  <c r="N32" i="42" s="1"/>
  <c r="B32" i="42"/>
  <c r="T31" i="42"/>
  <c r="Z31" i="42" s="1"/>
  <c r="P31" i="42"/>
  <c r="X31" i="42" s="1"/>
  <c r="N31" i="42"/>
  <c r="H31" i="42"/>
  <c r="D31" i="42"/>
  <c r="L31" i="42" s="1"/>
  <c r="B31" i="42"/>
  <c r="T30" i="42"/>
  <c r="P30" i="42"/>
  <c r="H30" i="42"/>
  <c r="D30" i="42"/>
  <c r="X26" i="42"/>
  <c r="Z26" i="42" s="1"/>
  <c r="N26" i="42"/>
  <c r="L26" i="42"/>
  <c r="B26" i="42"/>
  <c r="Z25" i="42"/>
  <c r="X25" i="42"/>
  <c r="N25" i="42"/>
  <c r="L25" i="42"/>
  <c r="B25" i="42"/>
  <c r="X24" i="42"/>
  <c r="T24" i="42"/>
  <c r="P24" i="42"/>
  <c r="L24" i="42"/>
  <c r="H24" i="42"/>
  <c r="D24" i="42"/>
  <c r="X22" i="42"/>
  <c r="T22" i="42"/>
  <c r="P22" i="42"/>
  <c r="N22" i="42"/>
  <c r="H22" i="42"/>
  <c r="D22" i="42"/>
  <c r="L22" i="42" s="1"/>
  <c r="B22" i="42"/>
  <c r="X21" i="42"/>
  <c r="Z21" i="42" s="1"/>
  <c r="T21" i="42"/>
  <c r="P21" i="42"/>
  <c r="L21" i="42"/>
  <c r="H21" i="42"/>
  <c r="N21" i="42" s="1"/>
  <c r="D21" i="42"/>
  <c r="B21" i="42"/>
  <c r="X20" i="42"/>
  <c r="Z20" i="42" s="1"/>
  <c r="T20" i="42"/>
  <c r="P20" i="42"/>
  <c r="N20" i="42"/>
  <c r="H20" i="42"/>
  <c r="D20" i="42"/>
  <c r="L20" i="42" s="1"/>
  <c r="B20" i="42"/>
  <c r="T19" i="42"/>
  <c r="P19" i="42"/>
  <c r="X19" i="42" s="1"/>
  <c r="Z19" i="42" s="1"/>
  <c r="N19" i="42"/>
  <c r="H19" i="42"/>
  <c r="D19" i="42"/>
  <c r="L19" i="42" s="1"/>
  <c r="B19" i="42"/>
  <c r="T18" i="42"/>
  <c r="P18" i="42"/>
  <c r="X18" i="42" s="1"/>
  <c r="L18" i="42"/>
  <c r="H18" i="42"/>
  <c r="N18" i="42" s="1"/>
  <c r="D18" i="42"/>
  <c r="B18" i="42"/>
  <c r="T17" i="42"/>
  <c r="X17" i="42" s="1"/>
  <c r="Z17" i="42" s="1"/>
  <c r="P17" i="42"/>
  <c r="H17" i="42"/>
  <c r="N17" i="42" s="1"/>
  <c r="D17" i="42"/>
  <c r="L17" i="42" s="1"/>
  <c r="B17" i="42"/>
  <c r="T16" i="42"/>
  <c r="P16" i="42"/>
  <c r="N16" i="42"/>
  <c r="L16" i="42"/>
  <c r="H16" i="42"/>
  <c r="D16" i="42"/>
  <c r="B16" i="42"/>
  <c r="T15" i="42"/>
  <c r="Z15" i="42" s="1"/>
  <c r="P15" i="42"/>
  <c r="X15" i="42" s="1"/>
  <c r="H15" i="42"/>
  <c r="D15" i="42"/>
  <c r="L15" i="42" s="1"/>
  <c r="B15" i="42"/>
  <c r="X14" i="42"/>
  <c r="T14" i="42"/>
  <c r="P14" i="42"/>
  <c r="H14" i="42"/>
  <c r="N14" i="42" s="1"/>
  <c r="D14" i="42"/>
  <c r="L14" i="42" s="1"/>
  <c r="B14" i="42"/>
  <c r="T13" i="42"/>
  <c r="P13" i="42"/>
  <c r="N13" i="42"/>
  <c r="L13" i="42"/>
  <c r="H13" i="42"/>
  <c r="D13" i="42"/>
  <c r="B13" i="42"/>
  <c r="D4" i="42"/>
  <c r="X133" i="39"/>
  <c r="Z133" i="39" s="1"/>
  <c r="L133" i="39"/>
  <c r="N133" i="39" s="1"/>
  <c r="T129" i="39"/>
  <c r="P129" i="39"/>
  <c r="X129" i="39" s="1"/>
  <c r="H129" i="39"/>
  <c r="D129" i="39"/>
  <c r="L129" i="39" s="1"/>
  <c r="B129" i="39"/>
  <c r="X128" i="39"/>
  <c r="Z128" i="39" s="1"/>
  <c r="T128" i="39"/>
  <c r="P128" i="39"/>
  <c r="N128" i="39"/>
  <c r="H128" i="39"/>
  <c r="D128" i="39"/>
  <c r="L128" i="39" s="1"/>
  <c r="B128" i="39"/>
  <c r="Z127" i="39"/>
  <c r="X127" i="39"/>
  <c r="T127" i="39"/>
  <c r="T126" i="39" s="1"/>
  <c r="P127" i="39"/>
  <c r="P126" i="39" s="1"/>
  <c r="X126" i="39" s="1"/>
  <c r="H127" i="39"/>
  <c r="D127" i="39"/>
  <c r="B127" i="39"/>
  <c r="D126" i="39"/>
  <c r="Z124" i="39"/>
  <c r="X124" i="39"/>
  <c r="N124" i="39"/>
  <c r="L124" i="39"/>
  <c r="B124" i="39"/>
  <c r="T123" i="39"/>
  <c r="P123" i="39"/>
  <c r="H123" i="39"/>
  <c r="D123" i="39"/>
  <c r="L123" i="39" s="1"/>
  <c r="B123" i="39"/>
  <c r="X122" i="39"/>
  <c r="Z122" i="39" s="1"/>
  <c r="N122" i="39"/>
  <c r="L122" i="39"/>
  <c r="B122" i="39"/>
  <c r="X121" i="39"/>
  <c r="Z121" i="39" s="1"/>
  <c r="N121" i="39"/>
  <c r="L121" i="39"/>
  <c r="B121" i="39"/>
  <c r="Z120" i="39"/>
  <c r="X120" i="39"/>
  <c r="N120" i="39"/>
  <c r="L120" i="39"/>
  <c r="B120" i="39"/>
  <c r="T119" i="39"/>
  <c r="P119" i="39"/>
  <c r="X119" i="39" s="1"/>
  <c r="H119" i="39"/>
  <c r="D119" i="39"/>
  <c r="L119" i="39" s="1"/>
  <c r="B119" i="39"/>
  <c r="Z118" i="39"/>
  <c r="X118" i="39"/>
  <c r="N118" i="39"/>
  <c r="L118" i="39"/>
  <c r="B118" i="39"/>
  <c r="X117" i="39"/>
  <c r="Z117" i="39" s="1"/>
  <c r="T117" i="39"/>
  <c r="P117" i="39"/>
  <c r="H117" i="39"/>
  <c r="D117" i="39"/>
  <c r="B117" i="39"/>
  <c r="Z116" i="39"/>
  <c r="X116" i="39"/>
  <c r="N116" i="39"/>
  <c r="L116" i="39"/>
  <c r="B116" i="39"/>
  <c r="T115" i="39"/>
  <c r="P115" i="39"/>
  <c r="X115" i="39" s="1"/>
  <c r="H115" i="39"/>
  <c r="D115" i="39"/>
  <c r="L115" i="39" s="1"/>
  <c r="B115" i="39"/>
  <c r="X114" i="39"/>
  <c r="Z114" i="39" s="1"/>
  <c r="N114" i="39"/>
  <c r="L114" i="39"/>
  <c r="B114" i="39"/>
  <c r="X113" i="39"/>
  <c r="Z113" i="39" s="1"/>
  <c r="L113" i="39"/>
  <c r="N113" i="39" s="1"/>
  <c r="B113" i="39"/>
  <c r="Z112" i="39"/>
  <c r="X112" i="39"/>
  <c r="N112" i="39"/>
  <c r="L112" i="39"/>
  <c r="B112" i="39"/>
  <c r="X111" i="39"/>
  <c r="Z111" i="39" s="1"/>
  <c r="N111" i="39"/>
  <c r="L111" i="39"/>
  <c r="B111" i="39"/>
  <c r="X110" i="39"/>
  <c r="Z110" i="39" s="1"/>
  <c r="N110" i="39"/>
  <c r="L110" i="39"/>
  <c r="B110" i="39"/>
  <c r="X109" i="39"/>
  <c r="Z109" i="39" s="1"/>
  <c r="L109" i="39"/>
  <c r="N109" i="39" s="1"/>
  <c r="B109" i="39"/>
  <c r="Z108" i="39"/>
  <c r="X108" i="39"/>
  <c r="N108" i="39"/>
  <c r="L108" i="39"/>
  <c r="B108" i="39"/>
  <c r="X107" i="39"/>
  <c r="Z107" i="39" s="1"/>
  <c r="N107" i="39"/>
  <c r="L107" i="39"/>
  <c r="B107" i="39"/>
  <c r="Z106" i="39"/>
  <c r="X106" i="39"/>
  <c r="N106" i="39"/>
  <c r="L106" i="39"/>
  <c r="B106" i="39"/>
  <c r="X105" i="39"/>
  <c r="Z105" i="39" s="1"/>
  <c r="L105" i="39"/>
  <c r="N105" i="39" s="1"/>
  <c r="B105" i="39"/>
  <c r="T104" i="39"/>
  <c r="P104" i="39"/>
  <c r="X104" i="39" s="1"/>
  <c r="Z104" i="39" s="1"/>
  <c r="L104" i="39"/>
  <c r="N104" i="39" s="1"/>
  <c r="H104" i="39"/>
  <c r="D104" i="39"/>
  <c r="B104" i="39"/>
  <c r="X103" i="39"/>
  <c r="Z103" i="39" s="1"/>
  <c r="N103" i="39"/>
  <c r="L103" i="39"/>
  <c r="J103" i="39"/>
  <c r="B103" i="39"/>
  <c r="Z102" i="39"/>
  <c r="X102" i="39"/>
  <c r="N102" i="39"/>
  <c r="L102" i="39"/>
  <c r="B102" i="39"/>
  <c r="X101" i="39"/>
  <c r="Z101" i="39" s="1"/>
  <c r="T101" i="39"/>
  <c r="P101" i="39"/>
  <c r="H101" i="39"/>
  <c r="D101" i="39"/>
  <c r="B101" i="39"/>
  <c r="Z100" i="39"/>
  <c r="X100" i="39"/>
  <c r="N100" i="39"/>
  <c r="L100" i="39"/>
  <c r="B100" i="39"/>
  <c r="Z99" i="39"/>
  <c r="X99" i="39"/>
  <c r="L99" i="39"/>
  <c r="N99" i="39" s="1"/>
  <c r="B99" i="39"/>
  <c r="Z98" i="39"/>
  <c r="X98" i="39"/>
  <c r="L98" i="39"/>
  <c r="N98" i="39" s="1"/>
  <c r="B98" i="39"/>
  <c r="Z97" i="39"/>
  <c r="X97" i="39"/>
  <c r="L97" i="39"/>
  <c r="N97" i="39" s="1"/>
  <c r="B97" i="39"/>
  <c r="Z96" i="39"/>
  <c r="X96" i="39"/>
  <c r="N96" i="39"/>
  <c r="L96" i="39"/>
  <c r="B96" i="39"/>
  <c r="T95" i="39"/>
  <c r="P95" i="39"/>
  <c r="H95" i="39"/>
  <c r="N95" i="39" s="1"/>
  <c r="D95" i="39"/>
  <c r="L95" i="39" s="1"/>
  <c r="B95" i="39"/>
  <c r="X94" i="39"/>
  <c r="Z94" i="39" s="1"/>
  <c r="N94" i="39"/>
  <c r="L94" i="39"/>
  <c r="B94" i="39"/>
  <c r="X93" i="39"/>
  <c r="Z93" i="39" s="1"/>
  <c r="N93" i="39"/>
  <c r="L93" i="39"/>
  <c r="B93" i="39"/>
  <c r="T92" i="39"/>
  <c r="P92" i="39"/>
  <c r="X92" i="39" s="1"/>
  <c r="Z92" i="39" s="1"/>
  <c r="N92" i="39"/>
  <c r="L92" i="39"/>
  <c r="H92" i="39"/>
  <c r="D92" i="39"/>
  <c r="B92" i="39"/>
  <c r="X91" i="39"/>
  <c r="Z91" i="39" s="1"/>
  <c r="N91" i="39"/>
  <c r="L91" i="39"/>
  <c r="B91" i="39"/>
  <c r="Z90" i="39"/>
  <c r="X90" i="39"/>
  <c r="N90" i="39"/>
  <c r="L90" i="39"/>
  <c r="B90" i="39"/>
  <c r="X89" i="39"/>
  <c r="Z89" i="39" s="1"/>
  <c r="N89" i="39"/>
  <c r="L89" i="39"/>
  <c r="B89" i="39"/>
  <c r="Z88" i="39"/>
  <c r="X88" i="39"/>
  <c r="N88" i="39"/>
  <c r="L88" i="39"/>
  <c r="B88" i="39"/>
  <c r="T87" i="39"/>
  <c r="P87" i="39"/>
  <c r="L87" i="39"/>
  <c r="N87" i="39" s="1"/>
  <c r="H87" i="39"/>
  <c r="D87" i="39"/>
  <c r="B87" i="39"/>
  <c r="Z86" i="39"/>
  <c r="X86" i="39"/>
  <c r="L86" i="39"/>
  <c r="N86" i="39" s="1"/>
  <c r="B86" i="39"/>
  <c r="T85" i="39"/>
  <c r="Z85" i="39" s="1"/>
  <c r="P85" i="39"/>
  <c r="X85" i="39" s="1"/>
  <c r="H85" i="39"/>
  <c r="D85" i="39"/>
  <c r="B85" i="39"/>
  <c r="Z84" i="39"/>
  <c r="X84" i="39"/>
  <c r="N84" i="39"/>
  <c r="L84" i="39"/>
  <c r="B84" i="39"/>
  <c r="T83" i="39"/>
  <c r="Z83" i="39" s="1"/>
  <c r="P83" i="39"/>
  <c r="X83" i="39" s="1"/>
  <c r="H83" i="39"/>
  <c r="N83" i="39" s="1"/>
  <c r="D83" i="39"/>
  <c r="L83" i="39" s="1"/>
  <c r="B83" i="39"/>
  <c r="Z82" i="39"/>
  <c r="X82" i="39"/>
  <c r="N82" i="39"/>
  <c r="L82" i="39"/>
  <c r="B82" i="39"/>
  <c r="X81" i="39"/>
  <c r="Z81" i="39" s="1"/>
  <c r="T81" i="39"/>
  <c r="P81" i="39"/>
  <c r="H81" i="39"/>
  <c r="D81" i="39"/>
  <c r="B81" i="39"/>
  <c r="Z80" i="39"/>
  <c r="X80" i="39"/>
  <c r="N80" i="39"/>
  <c r="L80" i="39"/>
  <c r="B80" i="39"/>
  <c r="T79" i="39"/>
  <c r="P79" i="39"/>
  <c r="H79" i="39"/>
  <c r="D79" i="39"/>
  <c r="L79" i="39" s="1"/>
  <c r="B79" i="39"/>
  <c r="X78" i="39"/>
  <c r="Z78" i="39" s="1"/>
  <c r="N78" i="39"/>
  <c r="L78" i="39"/>
  <c r="B78" i="39"/>
  <c r="X77" i="39"/>
  <c r="Z77" i="39" s="1"/>
  <c r="N77" i="39"/>
  <c r="L77" i="39"/>
  <c r="B77" i="39"/>
  <c r="T76" i="39"/>
  <c r="P76" i="39"/>
  <c r="X76" i="39" s="1"/>
  <c r="Z76" i="39" s="1"/>
  <c r="L76" i="39"/>
  <c r="N76" i="39" s="1"/>
  <c r="H76" i="39"/>
  <c r="D76" i="39"/>
  <c r="B76" i="39"/>
  <c r="Z75" i="39"/>
  <c r="X75" i="39"/>
  <c r="N75" i="39"/>
  <c r="L75" i="39"/>
  <c r="B75" i="39"/>
  <c r="Z74" i="39"/>
  <c r="X74" i="39"/>
  <c r="N74" i="39"/>
  <c r="L74" i="39"/>
  <c r="B74" i="39"/>
  <c r="Z73" i="39"/>
  <c r="X73" i="39"/>
  <c r="T73" i="39"/>
  <c r="P73" i="39"/>
  <c r="H73" i="39"/>
  <c r="D73" i="39"/>
  <c r="B73" i="39"/>
  <c r="Z72" i="39"/>
  <c r="X72" i="39"/>
  <c r="N72" i="39"/>
  <c r="L72" i="39"/>
  <c r="B72" i="39"/>
  <c r="T71" i="39"/>
  <c r="P71" i="39"/>
  <c r="X71" i="39" s="1"/>
  <c r="H71" i="39"/>
  <c r="N71" i="39" s="1"/>
  <c r="D71" i="39"/>
  <c r="L71" i="39" s="1"/>
  <c r="B71" i="39"/>
  <c r="X70" i="39"/>
  <c r="Z70" i="39" s="1"/>
  <c r="N70" i="39"/>
  <c r="L70" i="39"/>
  <c r="B70" i="39"/>
  <c r="T69" i="39"/>
  <c r="Z69" i="39" s="1"/>
  <c r="R69" i="39"/>
  <c r="P69" i="39"/>
  <c r="X69" i="39" s="1"/>
  <c r="H69" i="39"/>
  <c r="N69" i="39" s="1"/>
  <c r="D69" i="39"/>
  <c r="L69" i="39" s="1"/>
  <c r="B69" i="39"/>
  <c r="Z68" i="39"/>
  <c r="X68" i="39"/>
  <c r="N68" i="39"/>
  <c r="L68" i="39"/>
  <c r="B68" i="39"/>
  <c r="T67" i="39"/>
  <c r="P67" i="39"/>
  <c r="N67" i="39"/>
  <c r="L67" i="39"/>
  <c r="H67" i="39"/>
  <c r="D67" i="39"/>
  <c r="B67" i="39"/>
  <c r="Z66" i="39"/>
  <c r="X66" i="39"/>
  <c r="N66" i="39"/>
  <c r="L66" i="39"/>
  <c r="B66" i="39"/>
  <c r="T65" i="39"/>
  <c r="Z65" i="39" s="1"/>
  <c r="P65" i="39"/>
  <c r="X65" i="39" s="1"/>
  <c r="H65" i="39"/>
  <c r="N65" i="39" s="1"/>
  <c r="D65" i="39"/>
  <c r="B65" i="39"/>
  <c r="Z64" i="39"/>
  <c r="X64" i="39"/>
  <c r="N64" i="39"/>
  <c r="L64" i="39"/>
  <c r="B64" i="39"/>
  <c r="X63" i="39"/>
  <c r="Z63" i="39" s="1"/>
  <c r="L63" i="39"/>
  <c r="N63" i="39" s="1"/>
  <c r="B63" i="39"/>
  <c r="X62" i="39"/>
  <c r="Z62" i="39" s="1"/>
  <c r="N62" i="39"/>
  <c r="L62" i="39"/>
  <c r="B62" i="39"/>
  <c r="T61" i="39"/>
  <c r="P61" i="39"/>
  <c r="X61" i="39" s="1"/>
  <c r="H61" i="39"/>
  <c r="D61" i="39"/>
  <c r="L61" i="39" s="1"/>
  <c r="B61" i="39"/>
  <c r="Z60" i="39"/>
  <c r="X60" i="39"/>
  <c r="N60" i="39"/>
  <c r="L60" i="39"/>
  <c r="B60" i="39"/>
  <c r="T59" i="39"/>
  <c r="P59" i="39"/>
  <c r="L59" i="39"/>
  <c r="N59" i="39" s="1"/>
  <c r="H59" i="39"/>
  <c r="D59" i="39"/>
  <c r="B59" i="39"/>
  <c r="Z58" i="39"/>
  <c r="X58" i="39"/>
  <c r="N58" i="39"/>
  <c r="L58" i="39"/>
  <c r="B58" i="39"/>
  <c r="T57" i="39"/>
  <c r="Z57" i="39" s="1"/>
  <c r="P57" i="39"/>
  <c r="X57" i="39" s="1"/>
  <c r="H57" i="39"/>
  <c r="N57" i="39" s="1"/>
  <c r="D57" i="39"/>
  <c r="B57" i="39"/>
  <c r="Z56" i="39"/>
  <c r="X56" i="39"/>
  <c r="N56" i="39"/>
  <c r="L56" i="39"/>
  <c r="B56" i="39"/>
  <c r="T55" i="39"/>
  <c r="Z55" i="39" s="1"/>
  <c r="P55" i="39"/>
  <c r="X55" i="39" s="1"/>
  <c r="H55" i="39"/>
  <c r="D55" i="39"/>
  <c r="L55" i="39" s="1"/>
  <c r="B55" i="39"/>
  <c r="Z54" i="39"/>
  <c r="X54" i="39"/>
  <c r="N54" i="39"/>
  <c r="L54" i="39"/>
  <c r="B54" i="39"/>
  <c r="X53" i="39"/>
  <c r="Z53" i="39" s="1"/>
  <c r="N53" i="39"/>
  <c r="L53" i="39"/>
  <c r="B53" i="39"/>
  <c r="Z52" i="39"/>
  <c r="X52" i="39"/>
  <c r="N52" i="39"/>
  <c r="L52" i="39"/>
  <c r="B52" i="39"/>
  <c r="X51" i="39"/>
  <c r="Z51" i="39" s="1"/>
  <c r="N51" i="39"/>
  <c r="L51" i="39"/>
  <c r="B51" i="39"/>
  <c r="Z50" i="39"/>
  <c r="X50" i="39"/>
  <c r="N50" i="39"/>
  <c r="L50" i="39"/>
  <c r="B50" i="39"/>
  <c r="X49" i="39"/>
  <c r="Z49" i="39" s="1"/>
  <c r="N49" i="39"/>
  <c r="L49" i="39"/>
  <c r="B49" i="39"/>
  <c r="Z48" i="39"/>
  <c r="X48" i="39"/>
  <c r="N48" i="39"/>
  <c r="L48" i="39"/>
  <c r="B48" i="39"/>
  <c r="T47" i="39"/>
  <c r="P47" i="39"/>
  <c r="L47" i="39"/>
  <c r="N47" i="39" s="1"/>
  <c r="H47" i="39"/>
  <c r="D47" i="39"/>
  <c r="B47" i="39"/>
  <c r="Z46" i="39"/>
  <c r="X46" i="39"/>
  <c r="L46" i="39"/>
  <c r="N46" i="39" s="1"/>
  <c r="B46" i="39"/>
  <c r="Z45" i="39"/>
  <c r="X45" i="39"/>
  <c r="L45" i="39"/>
  <c r="N45" i="39" s="1"/>
  <c r="B45" i="39"/>
  <c r="Z44" i="39"/>
  <c r="X44" i="39"/>
  <c r="N44" i="39"/>
  <c r="L44" i="39"/>
  <c r="B44" i="39"/>
  <c r="Z43" i="39"/>
  <c r="X43" i="39"/>
  <c r="L43" i="39"/>
  <c r="N43" i="39" s="1"/>
  <c r="B43" i="39"/>
  <c r="Z42" i="39"/>
  <c r="X42" i="39"/>
  <c r="L42" i="39"/>
  <c r="N42" i="39" s="1"/>
  <c r="B42" i="39"/>
  <c r="Z41" i="39"/>
  <c r="X41" i="39"/>
  <c r="L41" i="39"/>
  <c r="N41" i="39" s="1"/>
  <c r="B41" i="39"/>
  <c r="Z40" i="39"/>
  <c r="X40" i="39"/>
  <c r="N40" i="39"/>
  <c r="L40" i="39"/>
  <c r="B40" i="39"/>
  <c r="Z39" i="39"/>
  <c r="X39" i="39"/>
  <c r="L39" i="39"/>
  <c r="N39" i="39" s="1"/>
  <c r="B39" i="39"/>
  <c r="Z38" i="39"/>
  <c r="X38" i="39"/>
  <c r="L38" i="39"/>
  <c r="N38" i="39" s="1"/>
  <c r="B38" i="39"/>
  <c r="T37" i="39"/>
  <c r="P37" i="39"/>
  <c r="X37" i="39" s="1"/>
  <c r="H37" i="39"/>
  <c r="D37" i="39"/>
  <c r="B37" i="39"/>
  <c r="T36" i="39"/>
  <c r="P36" i="39"/>
  <c r="X36" i="39" s="1"/>
  <c r="H36" i="39"/>
  <c r="D36" i="39"/>
  <c r="L36" i="39" s="1"/>
  <c r="N36" i="39" s="1"/>
  <c r="P34" i="39"/>
  <c r="Z32" i="39"/>
  <c r="X32" i="39"/>
  <c r="L32" i="39"/>
  <c r="N32" i="39" s="1"/>
  <c r="B32" i="39"/>
  <c r="X31" i="39"/>
  <c r="Z31" i="39" s="1"/>
  <c r="L31" i="39"/>
  <c r="N31" i="39" s="1"/>
  <c r="B31" i="39"/>
  <c r="X30" i="39"/>
  <c r="Z30" i="39" s="1"/>
  <c r="T30" i="39"/>
  <c r="P30" i="39"/>
  <c r="H30" i="39"/>
  <c r="N30" i="39" s="1"/>
  <c r="D30" i="39"/>
  <c r="L30" i="39" s="1"/>
  <c r="T28" i="39"/>
  <c r="P28" i="39"/>
  <c r="N28" i="39"/>
  <c r="L28" i="39"/>
  <c r="H28" i="39"/>
  <c r="D28" i="39"/>
  <c r="B28" i="39"/>
  <c r="T27" i="39"/>
  <c r="P27" i="39"/>
  <c r="N27" i="39"/>
  <c r="L27" i="39"/>
  <c r="H27" i="39"/>
  <c r="D27" i="39"/>
  <c r="B27" i="39"/>
  <c r="T26" i="39"/>
  <c r="Z26" i="39" s="1"/>
  <c r="P26" i="39"/>
  <c r="X26" i="39" s="1"/>
  <c r="N26" i="39"/>
  <c r="H26" i="39"/>
  <c r="D26" i="39"/>
  <c r="L26" i="39" s="1"/>
  <c r="B26" i="39"/>
  <c r="T25" i="39"/>
  <c r="X25" i="39" s="1"/>
  <c r="P25" i="39"/>
  <c r="H25" i="39"/>
  <c r="N25" i="39" s="1"/>
  <c r="D25" i="39"/>
  <c r="L25" i="39" s="1"/>
  <c r="B25" i="39"/>
  <c r="X24" i="39"/>
  <c r="T24" i="39"/>
  <c r="P24" i="39"/>
  <c r="N24" i="39"/>
  <c r="L24" i="39"/>
  <c r="H24" i="39"/>
  <c r="D24" i="39"/>
  <c r="B24" i="39"/>
  <c r="X23" i="39"/>
  <c r="T23" i="39"/>
  <c r="P23" i="39"/>
  <c r="L23" i="39"/>
  <c r="N23" i="39" s="1"/>
  <c r="H23" i="39"/>
  <c r="D23" i="39"/>
  <c r="B23" i="39"/>
  <c r="T22" i="39"/>
  <c r="P22" i="39"/>
  <c r="X22" i="39" s="1"/>
  <c r="H22" i="39"/>
  <c r="D22" i="39"/>
  <c r="L22" i="39" s="1"/>
  <c r="N22" i="39" s="1"/>
  <c r="B22" i="39"/>
  <c r="T21" i="39"/>
  <c r="X21" i="39" s="1"/>
  <c r="P21" i="39"/>
  <c r="H21" i="39"/>
  <c r="N21" i="39" s="1"/>
  <c r="D21" i="39"/>
  <c r="L21" i="39" s="1"/>
  <c r="B21" i="39"/>
  <c r="T20" i="39"/>
  <c r="P20" i="39"/>
  <c r="L20" i="39"/>
  <c r="N20" i="39" s="1"/>
  <c r="H20" i="39"/>
  <c r="D20" i="39"/>
  <c r="B20" i="39"/>
  <c r="T19" i="39"/>
  <c r="P19" i="39"/>
  <c r="N19" i="39"/>
  <c r="L19" i="39"/>
  <c r="H19" i="39"/>
  <c r="D19" i="39"/>
  <c r="B19" i="39"/>
  <c r="T18" i="39"/>
  <c r="P18" i="39"/>
  <c r="X18" i="39" s="1"/>
  <c r="N18" i="39"/>
  <c r="H18" i="39"/>
  <c r="D18" i="39"/>
  <c r="L18" i="39" s="1"/>
  <c r="B18" i="39"/>
  <c r="T17" i="39"/>
  <c r="X17" i="39" s="1"/>
  <c r="P17" i="39"/>
  <c r="H17" i="39"/>
  <c r="N17" i="39" s="1"/>
  <c r="D17" i="39"/>
  <c r="L17" i="39" s="1"/>
  <c r="B17" i="39"/>
  <c r="T16" i="39"/>
  <c r="P16" i="39"/>
  <c r="N16" i="39"/>
  <c r="L16" i="39"/>
  <c r="H16" i="39"/>
  <c r="D16" i="39"/>
  <c r="B16" i="39"/>
  <c r="X15" i="39"/>
  <c r="T15" i="39"/>
  <c r="P15" i="39"/>
  <c r="N15" i="39"/>
  <c r="L15" i="39"/>
  <c r="H15" i="39"/>
  <c r="D15" i="39"/>
  <c r="B15" i="39"/>
  <c r="T14" i="39"/>
  <c r="P14" i="39"/>
  <c r="X14" i="39" s="1"/>
  <c r="H14" i="39"/>
  <c r="D14" i="39"/>
  <c r="L14" i="39" s="1"/>
  <c r="N14" i="39" s="1"/>
  <c r="B14" i="39"/>
  <c r="T13" i="39"/>
  <c r="X13" i="39" s="1"/>
  <c r="P13" i="39"/>
  <c r="P12" i="39" s="1"/>
  <c r="R60" i="39" s="1"/>
  <c r="H13" i="39"/>
  <c r="H12" i="39" s="1"/>
  <c r="J65" i="39" s="1"/>
  <c r="D13" i="39"/>
  <c r="B13" i="39"/>
  <c r="D4" i="39"/>
  <c r="Z128" i="36"/>
  <c r="X128" i="36"/>
  <c r="L128" i="36"/>
  <c r="N128" i="36" s="1"/>
  <c r="T124" i="36"/>
  <c r="P124" i="36"/>
  <c r="L124" i="36"/>
  <c r="N124" i="36" s="1"/>
  <c r="H124" i="36"/>
  <c r="D124" i="36"/>
  <c r="B124" i="36"/>
  <c r="T123" i="36"/>
  <c r="P123" i="36"/>
  <c r="N123" i="36"/>
  <c r="H123" i="36"/>
  <c r="L123" i="36" s="1"/>
  <c r="D123" i="36"/>
  <c r="B123" i="36"/>
  <c r="X122" i="36"/>
  <c r="Z122" i="36" s="1"/>
  <c r="T122" i="36"/>
  <c r="P122" i="36"/>
  <c r="P121" i="36" s="1"/>
  <c r="X121" i="36" s="1"/>
  <c r="H122" i="36"/>
  <c r="H121" i="36" s="1"/>
  <c r="D122" i="36"/>
  <c r="L122" i="36" s="1"/>
  <c r="B122" i="36"/>
  <c r="T121" i="36"/>
  <c r="X119" i="36"/>
  <c r="Z119" i="36" s="1"/>
  <c r="N119" i="36"/>
  <c r="L119" i="36"/>
  <c r="B119" i="36"/>
  <c r="T118" i="36"/>
  <c r="P118" i="36"/>
  <c r="L118" i="36"/>
  <c r="N118" i="36" s="1"/>
  <c r="H118" i="36"/>
  <c r="D118" i="36"/>
  <c r="B118" i="36"/>
  <c r="Z117" i="36"/>
  <c r="X117" i="36"/>
  <c r="L117" i="36"/>
  <c r="N117" i="36" s="1"/>
  <c r="B117" i="36"/>
  <c r="Z116" i="36"/>
  <c r="X116" i="36"/>
  <c r="N116" i="36"/>
  <c r="L116" i="36"/>
  <c r="J116" i="36"/>
  <c r="B116" i="36"/>
  <c r="Z115" i="36"/>
  <c r="X115" i="36"/>
  <c r="N115" i="36"/>
  <c r="L115" i="36"/>
  <c r="B115" i="36"/>
  <c r="T114" i="36"/>
  <c r="Z114" i="36" s="1"/>
  <c r="P114" i="36"/>
  <c r="X114" i="36" s="1"/>
  <c r="H114" i="36"/>
  <c r="D114" i="36"/>
  <c r="L114" i="36" s="1"/>
  <c r="B114" i="36"/>
  <c r="X113" i="36"/>
  <c r="Z113" i="36" s="1"/>
  <c r="L113" i="36"/>
  <c r="N113" i="36" s="1"/>
  <c r="B113" i="36"/>
  <c r="T112" i="36"/>
  <c r="P112" i="36"/>
  <c r="X112" i="36" s="1"/>
  <c r="Z112" i="36" s="1"/>
  <c r="H112" i="36"/>
  <c r="D112" i="36"/>
  <c r="L112" i="36" s="1"/>
  <c r="B112" i="36"/>
  <c r="X111" i="36"/>
  <c r="Z111" i="36" s="1"/>
  <c r="N111" i="36"/>
  <c r="L111" i="36"/>
  <c r="B111" i="36"/>
  <c r="T110" i="36"/>
  <c r="P110" i="36"/>
  <c r="N110" i="36"/>
  <c r="L110" i="36"/>
  <c r="H110" i="36"/>
  <c r="D110" i="36"/>
  <c r="B110" i="36"/>
  <c r="Z109" i="36"/>
  <c r="X109" i="36"/>
  <c r="N109" i="36"/>
  <c r="L109" i="36"/>
  <c r="B109" i="36"/>
  <c r="Z108" i="36"/>
  <c r="X108" i="36"/>
  <c r="L108" i="36"/>
  <c r="N108" i="36" s="1"/>
  <c r="B108" i="36"/>
  <c r="Z107" i="36"/>
  <c r="X107" i="36"/>
  <c r="N107" i="36"/>
  <c r="L107" i="36"/>
  <c r="B107" i="36"/>
  <c r="Z106" i="36"/>
  <c r="X106" i="36"/>
  <c r="N106" i="36"/>
  <c r="L106" i="36"/>
  <c r="B106" i="36"/>
  <c r="Z105" i="36"/>
  <c r="X105" i="36"/>
  <c r="L105" i="36"/>
  <c r="N105" i="36" s="1"/>
  <c r="J105" i="36"/>
  <c r="B105" i="36"/>
  <c r="Z104" i="36"/>
  <c r="X104" i="36"/>
  <c r="L104" i="36"/>
  <c r="N104" i="36" s="1"/>
  <c r="B104" i="36"/>
  <c r="Z103" i="36"/>
  <c r="X103" i="36"/>
  <c r="N103" i="36"/>
  <c r="L103" i="36"/>
  <c r="J103" i="36"/>
  <c r="B103" i="36"/>
  <c r="Z102" i="36"/>
  <c r="X102" i="36"/>
  <c r="L102" i="36"/>
  <c r="N102" i="36" s="1"/>
  <c r="B102" i="36"/>
  <c r="Z101" i="36"/>
  <c r="X101" i="36"/>
  <c r="N101" i="36"/>
  <c r="L101" i="36"/>
  <c r="B101" i="36"/>
  <c r="Z100" i="36"/>
  <c r="X100" i="36"/>
  <c r="L100" i="36"/>
  <c r="N100" i="36" s="1"/>
  <c r="B100" i="36"/>
  <c r="T99" i="36"/>
  <c r="P99" i="36"/>
  <c r="X99" i="36" s="1"/>
  <c r="Z99" i="36" s="1"/>
  <c r="H99" i="36"/>
  <c r="D99" i="36"/>
  <c r="B99" i="36"/>
  <c r="X98" i="36"/>
  <c r="Z98" i="36" s="1"/>
  <c r="L98" i="36"/>
  <c r="N98" i="36" s="1"/>
  <c r="B98" i="36"/>
  <c r="X97" i="36"/>
  <c r="Z97" i="36" s="1"/>
  <c r="N97" i="36"/>
  <c r="L97" i="36"/>
  <c r="B97" i="36"/>
  <c r="X96" i="36"/>
  <c r="Z96" i="36" s="1"/>
  <c r="T96" i="36"/>
  <c r="P96" i="36"/>
  <c r="H96" i="36"/>
  <c r="D96" i="36"/>
  <c r="L96" i="36" s="1"/>
  <c r="B96" i="36"/>
  <c r="Z95" i="36"/>
  <c r="X95" i="36"/>
  <c r="N95" i="36"/>
  <c r="L95" i="36"/>
  <c r="B95" i="36"/>
  <c r="X94" i="36"/>
  <c r="Z94" i="36" s="1"/>
  <c r="N94" i="36"/>
  <c r="L94" i="36"/>
  <c r="B94" i="36"/>
  <c r="Z93" i="36"/>
  <c r="X93" i="36"/>
  <c r="N93" i="36"/>
  <c r="L93" i="36"/>
  <c r="B93" i="36"/>
  <c r="X92" i="36"/>
  <c r="Z92" i="36" s="1"/>
  <c r="N92" i="36"/>
  <c r="L92" i="36"/>
  <c r="B92" i="36"/>
  <c r="X91" i="36"/>
  <c r="Z91" i="36" s="1"/>
  <c r="N91" i="36"/>
  <c r="L91" i="36"/>
  <c r="B91" i="36"/>
  <c r="T90" i="36"/>
  <c r="P90" i="36"/>
  <c r="N90" i="36"/>
  <c r="L90" i="36"/>
  <c r="H90" i="36"/>
  <c r="D90" i="36"/>
  <c r="B90" i="36"/>
  <c r="Z89" i="36"/>
  <c r="X89" i="36"/>
  <c r="N89" i="36"/>
  <c r="L89" i="36"/>
  <c r="B89" i="36"/>
  <c r="Z88" i="36"/>
  <c r="X88" i="36"/>
  <c r="N88" i="36"/>
  <c r="L88" i="36"/>
  <c r="B88" i="36"/>
  <c r="T87" i="36"/>
  <c r="P87" i="36"/>
  <c r="X87" i="36" s="1"/>
  <c r="Z87" i="36" s="1"/>
  <c r="H87" i="36"/>
  <c r="N87" i="36" s="1"/>
  <c r="D87" i="36"/>
  <c r="B87" i="36"/>
  <c r="X86" i="36"/>
  <c r="Z86" i="36" s="1"/>
  <c r="L86" i="36"/>
  <c r="N86" i="36" s="1"/>
  <c r="B86" i="36"/>
  <c r="X85" i="36"/>
  <c r="Z85" i="36" s="1"/>
  <c r="N85" i="36"/>
  <c r="L85" i="36"/>
  <c r="B85" i="36"/>
  <c r="X84" i="36"/>
  <c r="Z84" i="36" s="1"/>
  <c r="L84" i="36"/>
  <c r="N84" i="36" s="1"/>
  <c r="B84" i="36"/>
  <c r="Z83" i="36"/>
  <c r="X83" i="36"/>
  <c r="N83" i="36"/>
  <c r="L83" i="36"/>
  <c r="B83" i="36"/>
  <c r="T82" i="36"/>
  <c r="P82" i="36"/>
  <c r="X82" i="36" s="1"/>
  <c r="H82" i="36"/>
  <c r="D82" i="36"/>
  <c r="L82" i="36" s="1"/>
  <c r="N82" i="36" s="1"/>
  <c r="B82" i="36"/>
  <c r="Z81" i="36"/>
  <c r="X81" i="36"/>
  <c r="N81" i="36"/>
  <c r="L81" i="36"/>
  <c r="B81" i="36"/>
  <c r="X80" i="36"/>
  <c r="T80" i="36"/>
  <c r="Z80" i="36" s="1"/>
  <c r="P80" i="36"/>
  <c r="L80" i="36"/>
  <c r="H80" i="36"/>
  <c r="D80" i="36"/>
  <c r="B80" i="36"/>
  <c r="Z79" i="36"/>
  <c r="X79" i="36"/>
  <c r="N79" i="36"/>
  <c r="L79" i="36"/>
  <c r="B79" i="36"/>
  <c r="Z78" i="36"/>
  <c r="T78" i="36"/>
  <c r="P78" i="36"/>
  <c r="X78" i="36" s="1"/>
  <c r="H78" i="36"/>
  <c r="D78" i="36"/>
  <c r="L78" i="36" s="1"/>
  <c r="B78" i="36"/>
  <c r="X77" i="36"/>
  <c r="Z77" i="36" s="1"/>
  <c r="N77" i="36"/>
  <c r="L77" i="36"/>
  <c r="B77" i="36"/>
  <c r="X76" i="36"/>
  <c r="Z76" i="36" s="1"/>
  <c r="T76" i="36"/>
  <c r="R76" i="36"/>
  <c r="P76" i="36"/>
  <c r="L76" i="36"/>
  <c r="H76" i="36"/>
  <c r="N76" i="36" s="1"/>
  <c r="D76" i="36"/>
  <c r="B76" i="36"/>
  <c r="X75" i="36"/>
  <c r="Z75" i="36" s="1"/>
  <c r="N75" i="36"/>
  <c r="L75" i="36"/>
  <c r="J75" i="36"/>
  <c r="B75" i="36"/>
  <c r="X74" i="36"/>
  <c r="T74" i="36"/>
  <c r="P74" i="36"/>
  <c r="H74" i="36"/>
  <c r="D74" i="36"/>
  <c r="B74" i="36"/>
  <c r="Z73" i="36"/>
  <c r="X73" i="36"/>
  <c r="L73" i="36"/>
  <c r="N73" i="36" s="1"/>
  <c r="B73" i="36"/>
  <c r="T72" i="36"/>
  <c r="P72" i="36"/>
  <c r="N72" i="36"/>
  <c r="H72" i="36"/>
  <c r="D72" i="36"/>
  <c r="L72" i="36" s="1"/>
  <c r="B72" i="36"/>
  <c r="Z71" i="36"/>
  <c r="X71" i="36"/>
  <c r="L71" i="36"/>
  <c r="N71" i="36" s="1"/>
  <c r="B71" i="36"/>
  <c r="X70" i="36"/>
  <c r="Z70" i="36" s="1"/>
  <c r="N70" i="36"/>
  <c r="L70" i="36"/>
  <c r="B70" i="36"/>
  <c r="T69" i="36"/>
  <c r="P69" i="36"/>
  <c r="X69" i="36" s="1"/>
  <c r="Z69" i="36" s="1"/>
  <c r="H69" i="36"/>
  <c r="N69" i="36" s="1"/>
  <c r="D69" i="36"/>
  <c r="L69" i="36" s="1"/>
  <c r="B69" i="36"/>
  <c r="Z68" i="36"/>
  <c r="X68" i="36"/>
  <c r="N68" i="36"/>
  <c r="L68" i="36"/>
  <c r="B68" i="36"/>
  <c r="T67" i="36"/>
  <c r="Z67" i="36" s="1"/>
  <c r="P67" i="36"/>
  <c r="N67" i="36"/>
  <c r="L67" i="36"/>
  <c r="H67" i="36"/>
  <c r="D67" i="36"/>
  <c r="B67" i="36"/>
  <c r="Z66" i="36"/>
  <c r="X66" i="36"/>
  <c r="L66" i="36"/>
  <c r="N66" i="36" s="1"/>
  <c r="B66" i="36"/>
  <c r="T65" i="36"/>
  <c r="P65" i="36"/>
  <c r="J65" i="36"/>
  <c r="H65" i="36"/>
  <c r="D65" i="36"/>
  <c r="L65" i="36" s="1"/>
  <c r="N65" i="36" s="1"/>
  <c r="B65" i="36"/>
  <c r="X64" i="36"/>
  <c r="Z64" i="36" s="1"/>
  <c r="N64" i="36"/>
  <c r="L64" i="36"/>
  <c r="B64" i="36"/>
  <c r="T63" i="36"/>
  <c r="Z63" i="36" s="1"/>
  <c r="P63" i="36"/>
  <c r="X63" i="36" s="1"/>
  <c r="N63" i="36"/>
  <c r="L63" i="36"/>
  <c r="H63" i="36"/>
  <c r="D63" i="36"/>
  <c r="B63" i="36"/>
  <c r="X62" i="36"/>
  <c r="Z62" i="36" s="1"/>
  <c r="N62" i="36"/>
  <c r="L62" i="36"/>
  <c r="B62" i="36"/>
  <c r="X61" i="36"/>
  <c r="Z61" i="36" s="1"/>
  <c r="T61" i="36"/>
  <c r="P61" i="36"/>
  <c r="H61" i="36"/>
  <c r="N61" i="36" s="1"/>
  <c r="D61" i="36"/>
  <c r="B61" i="36"/>
  <c r="Z60" i="36"/>
  <c r="X60" i="36"/>
  <c r="N60" i="36"/>
  <c r="L60" i="36"/>
  <c r="B60" i="36"/>
  <c r="T59" i="36"/>
  <c r="P59" i="36"/>
  <c r="N59" i="36"/>
  <c r="J59" i="36"/>
  <c r="H59" i="36"/>
  <c r="D59" i="36"/>
  <c r="L59" i="36" s="1"/>
  <c r="B59" i="36"/>
  <c r="X58" i="36"/>
  <c r="Z58" i="36" s="1"/>
  <c r="L58" i="36"/>
  <c r="N58" i="36" s="1"/>
  <c r="B58" i="36"/>
  <c r="X57" i="36"/>
  <c r="Z57" i="36" s="1"/>
  <c r="L57" i="36"/>
  <c r="N57" i="36" s="1"/>
  <c r="B57" i="36"/>
  <c r="X56" i="36"/>
  <c r="Z56" i="36" s="1"/>
  <c r="N56" i="36"/>
  <c r="L56" i="36"/>
  <c r="B56" i="36"/>
  <c r="T55" i="36"/>
  <c r="Z55" i="36" s="1"/>
  <c r="P55" i="36"/>
  <c r="X55" i="36" s="1"/>
  <c r="L55" i="36"/>
  <c r="N55" i="36" s="1"/>
  <c r="H55" i="36"/>
  <c r="D55" i="36"/>
  <c r="B55" i="36"/>
  <c r="X54" i="36"/>
  <c r="Z54" i="36" s="1"/>
  <c r="N54" i="36"/>
  <c r="L54" i="36"/>
  <c r="J54" i="36"/>
  <c r="B54" i="36"/>
  <c r="X53" i="36"/>
  <c r="Z53" i="36" s="1"/>
  <c r="T53" i="36"/>
  <c r="P53" i="36"/>
  <c r="H53" i="36"/>
  <c r="D53" i="36"/>
  <c r="B53" i="36"/>
  <c r="Z52" i="36"/>
  <c r="X52" i="36"/>
  <c r="N52" i="36"/>
  <c r="L52" i="36"/>
  <c r="B52" i="36"/>
  <c r="Z51" i="36"/>
  <c r="T51" i="36"/>
  <c r="X51" i="36" s="1"/>
  <c r="P51" i="36"/>
  <c r="N51" i="36"/>
  <c r="H51" i="36"/>
  <c r="D51" i="36"/>
  <c r="L51" i="36" s="1"/>
  <c r="B51" i="36"/>
  <c r="X50" i="36"/>
  <c r="Z50" i="36" s="1"/>
  <c r="L50" i="36"/>
  <c r="N50" i="36" s="1"/>
  <c r="J50" i="36"/>
  <c r="B50" i="36"/>
  <c r="X49" i="36"/>
  <c r="T49" i="36"/>
  <c r="P49" i="36"/>
  <c r="H49" i="36"/>
  <c r="D49" i="36"/>
  <c r="L49" i="36" s="1"/>
  <c r="B49" i="36"/>
  <c r="X48" i="36"/>
  <c r="Z48" i="36" s="1"/>
  <c r="N48" i="36"/>
  <c r="L48" i="36"/>
  <c r="B48" i="36"/>
  <c r="X47" i="36"/>
  <c r="Z47" i="36" s="1"/>
  <c r="N47" i="36"/>
  <c r="L47" i="36"/>
  <c r="B47" i="36"/>
  <c r="X46" i="36"/>
  <c r="Z46" i="36" s="1"/>
  <c r="N46" i="36"/>
  <c r="L46" i="36"/>
  <c r="B46" i="36"/>
  <c r="Z45" i="36"/>
  <c r="X45" i="36"/>
  <c r="N45" i="36"/>
  <c r="L45" i="36"/>
  <c r="B45" i="36"/>
  <c r="Z44" i="36"/>
  <c r="X44" i="36"/>
  <c r="N44" i="36"/>
  <c r="L44" i="36"/>
  <c r="B44" i="36"/>
  <c r="Z43" i="36"/>
  <c r="X43" i="36"/>
  <c r="N43" i="36"/>
  <c r="L43" i="36"/>
  <c r="B43" i="36"/>
  <c r="X42" i="36"/>
  <c r="Z42" i="36" s="1"/>
  <c r="R42" i="36"/>
  <c r="L42" i="36"/>
  <c r="N42" i="36" s="1"/>
  <c r="J42" i="36"/>
  <c r="B42" i="36"/>
  <c r="T41" i="36"/>
  <c r="P41" i="36"/>
  <c r="X41" i="36" s="1"/>
  <c r="Z41" i="36" s="1"/>
  <c r="N41" i="36"/>
  <c r="H41" i="36"/>
  <c r="L41" i="36" s="1"/>
  <c r="D41" i="36"/>
  <c r="B41" i="36"/>
  <c r="Z40" i="36"/>
  <c r="X40" i="36"/>
  <c r="L40" i="36"/>
  <c r="N40" i="36" s="1"/>
  <c r="J40" i="36"/>
  <c r="B40" i="36"/>
  <c r="Z39" i="36"/>
  <c r="X39" i="36"/>
  <c r="N39" i="36"/>
  <c r="L39" i="36"/>
  <c r="B39" i="36"/>
  <c r="Z38" i="36"/>
  <c r="X38" i="36"/>
  <c r="R38" i="36"/>
  <c r="L38" i="36"/>
  <c r="N38" i="36" s="1"/>
  <c r="B38" i="36"/>
  <c r="Z37" i="36"/>
  <c r="X37" i="36"/>
  <c r="L37" i="36"/>
  <c r="N37" i="36" s="1"/>
  <c r="B37" i="36"/>
  <c r="Z36" i="36"/>
  <c r="X36" i="36"/>
  <c r="L36" i="36"/>
  <c r="N36" i="36" s="1"/>
  <c r="J36" i="36"/>
  <c r="B36" i="36"/>
  <c r="Z35" i="36"/>
  <c r="X35" i="36"/>
  <c r="N35" i="36"/>
  <c r="L35" i="36"/>
  <c r="B35" i="36"/>
  <c r="Z34" i="36"/>
  <c r="X34" i="36"/>
  <c r="L34" i="36"/>
  <c r="N34" i="36" s="1"/>
  <c r="B34" i="36"/>
  <c r="Z33" i="36"/>
  <c r="X33" i="36"/>
  <c r="R33" i="36"/>
  <c r="L33" i="36"/>
  <c r="N33" i="36" s="1"/>
  <c r="J33" i="36"/>
  <c r="B33" i="36"/>
  <c r="Z32" i="36"/>
  <c r="X32" i="36"/>
  <c r="L32" i="36"/>
  <c r="N32" i="36" s="1"/>
  <c r="B32" i="36"/>
  <c r="Z31" i="36"/>
  <c r="T31" i="36"/>
  <c r="X31" i="36" s="1"/>
  <c r="P31" i="36"/>
  <c r="H31" i="36"/>
  <c r="D31" i="36"/>
  <c r="B31" i="36"/>
  <c r="T30" i="36"/>
  <c r="P30" i="36"/>
  <c r="X30" i="36" s="1"/>
  <c r="J30" i="36"/>
  <c r="H30" i="36"/>
  <c r="D30" i="36"/>
  <c r="L30" i="36" s="1"/>
  <c r="X26" i="36"/>
  <c r="Z26" i="36" s="1"/>
  <c r="L26" i="36"/>
  <c r="N26" i="36" s="1"/>
  <c r="B26" i="36"/>
  <c r="X25" i="36"/>
  <c r="Z25" i="36" s="1"/>
  <c r="L25" i="36"/>
  <c r="N25" i="36" s="1"/>
  <c r="B25" i="36"/>
  <c r="T24" i="36"/>
  <c r="Z24" i="36" s="1"/>
  <c r="R24" i="36"/>
  <c r="P24" i="36"/>
  <c r="X24" i="36" s="1"/>
  <c r="H24" i="36"/>
  <c r="D24" i="36"/>
  <c r="L24" i="36" s="1"/>
  <c r="T22" i="36"/>
  <c r="P22" i="36"/>
  <c r="N22" i="36"/>
  <c r="L22" i="36"/>
  <c r="H22" i="36"/>
  <c r="D22" i="36"/>
  <c r="B22" i="36"/>
  <c r="T21" i="36"/>
  <c r="Z21" i="36" s="1"/>
  <c r="P21" i="36"/>
  <c r="X21" i="36" s="1"/>
  <c r="N21" i="36"/>
  <c r="L21" i="36"/>
  <c r="H21" i="36"/>
  <c r="D21" i="36"/>
  <c r="B21" i="36"/>
  <c r="T20" i="36"/>
  <c r="Z20" i="36" s="1"/>
  <c r="P20" i="36"/>
  <c r="X20" i="36" s="1"/>
  <c r="H20" i="36"/>
  <c r="D20" i="36"/>
  <c r="L20" i="36" s="1"/>
  <c r="B20" i="36"/>
  <c r="X19" i="36"/>
  <c r="T19" i="36"/>
  <c r="P19" i="36"/>
  <c r="L19" i="36"/>
  <c r="H19" i="36"/>
  <c r="N19" i="36" s="1"/>
  <c r="D19" i="36"/>
  <c r="B19" i="36"/>
  <c r="T18" i="36"/>
  <c r="P18" i="36"/>
  <c r="L18" i="36"/>
  <c r="N18" i="36" s="1"/>
  <c r="H18" i="36"/>
  <c r="D18" i="36"/>
  <c r="B18" i="36"/>
  <c r="T17" i="36"/>
  <c r="P17" i="36"/>
  <c r="X17" i="36" s="1"/>
  <c r="N17" i="36"/>
  <c r="H17" i="36"/>
  <c r="D17" i="36"/>
  <c r="L17" i="36" s="1"/>
  <c r="B17" i="36"/>
  <c r="T16" i="36"/>
  <c r="P16" i="36"/>
  <c r="X16" i="36" s="1"/>
  <c r="H16" i="36"/>
  <c r="N16" i="36" s="1"/>
  <c r="D16" i="36"/>
  <c r="L16" i="36" s="1"/>
  <c r="B16" i="36"/>
  <c r="T15" i="36"/>
  <c r="P15" i="36"/>
  <c r="L15" i="36"/>
  <c r="H15" i="36"/>
  <c r="N15" i="36" s="1"/>
  <c r="D15" i="36"/>
  <c r="B15" i="36"/>
  <c r="T14" i="36"/>
  <c r="P14" i="36"/>
  <c r="P12" i="36" s="1"/>
  <c r="R75" i="36" s="1"/>
  <c r="N14" i="36"/>
  <c r="L14" i="36"/>
  <c r="H14" i="36"/>
  <c r="D14" i="36"/>
  <c r="B14" i="36"/>
  <c r="T13" i="36"/>
  <c r="Z13" i="36" s="1"/>
  <c r="P13" i="36"/>
  <c r="X13" i="36" s="1"/>
  <c r="N13" i="36"/>
  <c r="L13" i="36"/>
  <c r="H13" i="36"/>
  <c r="H12" i="36" s="1"/>
  <c r="J87" i="36" s="1"/>
  <c r="D13" i="36"/>
  <c r="B13" i="36"/>
  <c r="D4" i="36"/>
  <c r="Z103" i="33"/>
  <c r="X103" i="33"/>
  <c r="N103" i="33"/>
  <c r="L103" i="33"/>
  <c r="X99" i="33"/>
  <c r="Z99" i="33" s="1"/>
  <c r="T99" i="33"/>
  <c r="P99" i="33"/>
  <c r="L99" i="33"/>
  <c r="N99" i="33" s="1"/>
  <c r="H99" i="33"/>
  <c r="D99" i="33"/>
  <c r="B99" i="33"/>
  <c r="Z98" i="33"/>
  <c r="T98" i="33"/>
  <c r="X98" i="33" s="1"/>
  <c r="P98" i="33"/>
  <c r="N98" i="33"/>
  <c r="H98" i="33"/>
  <c r="D98" i="33"/>
  <c r="L98" i="33" s="1"/>
  <c r="B98" i="33"/>
  <c r="X97" i="33"/>
  <c r="Z97" i="33" s="1"/>
  <c r="T97" i="33"/>
  <c r="P97" i="33"/>
  <c r="H97" i="33"/>
  <c r="D97" i="33"/>
  <c r="L97" i="33" s="1"/>
  <c r="N97" i="33" s="1"/>
  <c r="B97" i="33"/>
  <c r="Z96" i="33"/>
  <c r="X96" i="33"/>
  <c r="T96" i="33"/>
  <c r="P96" i="33"/>
  <c r="H96" i="33"/>
  <c r="D96" i="33"/>
  <c r="L96" i="33" s="1"/>
  <c r="B96" i="33"/>
  <c r="Z95" i="33"/>
  <c r="T95" i="33"/>
  <c r="P95" i="33"/>
  <c r="X95" i="33" s="1"/>
  <c r="H95" i="33"/>
  <c r="N95" i="33" s="1"/>
  <c r="D95" i="33"/>
  <c r="B95" i="33"/>
  <c r="T94" i="33"/>
  <c r="T93" i="33" s="1"/>
  <c r="P94" i="33"/>
  <c r="X94" i="33" s="1"/>
  <c r="H94" i="33"/>
  <c r="N94" i="33" s="1"/>
  <c r="D94" i="33"/>
  <c r="B94" i="33"/>
  <c r="Z91" i="33"/>
  <c r="X91" i="33"/>
  <c r="N91" i="33"/>
  <c r="L91" i="33"/>
  <c r="F91" i="33"/>
  <c r="B91" i="33"/>
  <c r="Z90" i="33"/>
  <c r="X90" i="33"/>
  <c r="T90" i="33"/>
  <c r="P90" i="33"/>
  <c r="H90" i="33"/>
  <c r="N90" i="33" s="1"/>
  <c r="D90" i="33"/>
  <c r="B90" i="33"/>
  <c r="Z89" i="33"/>
  <c r="X89" i="33"/>
  <c r="N89" i="33"/>
  <c r="L89" i="33"/>
  <c r="B89" i="33"/>
  <c r="Z88" i="33"/>
  <c r="T88" i="33"/>
  <c r="X88" i="33" s="1"/>
  <c r="P88" i="33"/>
  <c r="H88" i="33"/>
  <c r="N88" i="33" s="1"/>
  <c r="D88" i="33"/>
  <c r="L88" i="33" s="1"/>
  <c r="B88" i="33"/>
  <c r="X87" i="33"/>
  <c r="Z87" i="33" s="1"/>
  <c r="L87" i="33"/>
  <c r="N87" i="33" s="1"/>
  <c r="B87" i="33"/>
  <c r="T86" i="33"/>
  <c r="P86" i="33"/>
  <c r="X86" i="33" s="1"/>
  <c r="H86" i="33"/>
  <c r="N86" i="33" s="1"/>
  <c r="D86" i="33"/>
  <c r="L86" i="33" s="1"/>
  <c r="B86" i="33"/>
  <c r="Z85" i="33"/>
  <c r="X85" i="33"/>
  <c r="N85" i="33"/>
  <c r="L85" i="33"/>
  <c r="B85" i="33"/>
  <c r="X84" i="33"/>
  <c r="Z84" i="33" s="1"/>
  <c r="N84" i="33"/>
  <c r="L84" i="33"/>
  <c r="B84" i="33"/>
  <c r="X83" i="33"/>
  <c r="Z83" i="33" s="1"/>
  <c r="N83" i="33"/>
  <c r="L83" i="33"/>
  <c r="B83" i="33"/>
  <c r="X82" i="33"/>
  <c r="Z82" i="33" s="1"/>
  <c r="N82" i="33"/>
  <c r="L82" i="33"/>
  <c r="B82" i="33"/>
  <c r="Z81" i="33"/>
  <c r="X81" i="33"/>
  <c r="N81" i="33"/>
  <c r="L81" i="33"/>
  <c r="B81" i="33"/>
  <c r="X80" i="33"/>
  <c r="Z80" i="33" s="1"/>
  <c r="N80" i="33"/>
  <c r="L80" i="33"/>
  <c r="B80" i="33"/>
  <c r="X79" i="33"/>
  <c r="Z79" i="33" s="1"/>
  <c r="T79" i="33"/>
  <c r="P79" i="33"/>
  <c r="L79" i="33"/>
  <c r="N79" i="33" s="1"/>
  <c r="H79" i="33"/>
  <c r="D79" i="33"/>
  <c r="B79" i="33"/>
  <c r="X78" i="33"/>
  <c r="Z78" i="33" s="1"/>
  <c r="L78" i="33"/>
  <c r="N78" i="33" s="1"/>
  <c r="F78" i="33"/>
  <c r="B78" i="33"/>
  <c r="T77" i="33"/>
  <c r="X77" i="33" s="1"/>
  <c r="Z77" i="33" s="1"/>
  <c r="P77" i="33"/>
  <c r="H77" i="33"/>
  <c r="D77" i="33"/>
  <c r="B77" i="33"/>
  <c r="X76" i="33"/>
  <c r="Z76" i="33" s="1"/>
  <c r="L76" i="33"/>
  <c r="N76" i="33" s="1"/>
  <c r="B76" i="33"/>
  <c r="X75" i="33"/>
  <c r="Z75" i="33" s="1"/>
  <c r="L75" i="33"/>
  <c r="N75" i="33" s="1"/>
  <c r="B75" i="33"/>
  <c r="Z74" i="33"/>
  <c r="X74" i="33"/>
  <c r="N74" i="33"/>
  <c r="L74" i="33"/>
  <c r="B74" i="33"/>
  <c r="T73" i="33"/>
  <c r="P73" i="33"/>
  <c r="X73" i="33" s="1"/>
  <c r="Z73" i="33" s="1"/>
  <c r="L73" i="33"/>
  <c r="N73" i="33" s="1"/>
  <c r="H73" i="33"/>
  <c r="D73" i="33"/>
  <c r="B73" i="33"/>
  <c r="X72" i="33"/>
  <c r="Z72" i="33" s="1"/>
  <c r="N72" i="33"/>
  <c r="L72" i="33"/>
  <c r="B72" i="33"/>
  <c r="X71" i="33"/>
  <c r="Z71" i="33" s="1"/>
  <c r="T71" i="33"/>
  <c r="P71" i="33"/>
  <c r="H71" i="33"/>
  <c r="F71" i="33"/>
  <c r="D71" i="33"/>
  <c r="B71" i="33"/>
  <c r="Z70" i="33"/>
  <c r="X70" i="33"/>
  <c r="N70" i="33"/>
  <c r="L70" i="33"/>
  <c r="B70" i="33"/>
  <c r="T69" i="33"/>
  <c r="X69" i="33" s="1"/>
  <c r="Z69" i="33" s="1"/>
  <c r="P69" i="33"/>
  <c r="H69" i="33"/>
  <c r="N69" i="33" s="1"/>
  <c r="D69" i="33"/>
  <c r="B69" i="33"/>
  <c r="X68" i="33"/>
  <c r="Z68" i="33" s="1"/>
  <c r="L68" i="33"/>
  <c r="N68" i="33" s="1"/>
  <c r="B68" i="33"/>
  <c r="X67" i="33"/>
  <c r="Z67" i="33" s="1"/>
  <c r="L67" i="33"/>
  <c r="N67" i="33" s="1"/>
  <c r="B67" i="33"/>
  <c r="X66" i="33"/>
  <c r="T66" i="33"/>
  <c r="P66" i="33"/>
  <c r="H66" i="33"/>
  <c r="D66" i="33"/>
  <c r="L66" i="33" s="1"/>
  <c r="B66" i="33"/>
  <c r="X65" i="33"/>
  <c r="Z65" i="33" s="1"/>
  <c r="N65" i="33"/>
  <c r="L65" i="33"/>
  <c r="B65" i="33"/>
  <c r="T64" i="33"/>
  <c r="P64" i="33"/>
  <c r="X64" i="33" s="1"/>
  <c r="N64" i="33"/>
  <c r="L64" i="33"/>
  <c r="H64" i="33"/>
  <c r="D64" i="33"/>
  <c r="B64" i="33"/>
  <c r="Z63" i="33"/>
  <c r="X63" i="33"/>
  <c r="N63" i="33"/>
  <c r="L63" i="33"/>
  <c r="B63" i="33"/>
  <c r="T62" i="33"/>
  <c r="P62" i="33"/>
  <c r="X62" i="33" s="1"/>
  <c r="H62" i="33"/>
  <c r="L62" i="33" s="1"/>
  <c r="N62" i="33" s="1"/>
  <c r="D62" i="33"/>
  <c r="B62" i="33"/>
  <c r="Z61" i="33"/>
  <c r="X61" i="33"/>
  <c r="L61" i="33"/>
  <c r="N61" i="33" s="1"/>
  <c r="F61" i="33"/>
  <c r="B61" i="33"/>
  <c r="T60" i="33"/>
  <c r="P60" i="33"/>
  <c r="X60" i="33" s="1"/>
  <c r="L60" i="33"/>
  <c r="H60" i="33"/>
  <c r="D60" i="33"/>
  <c r="B60" i="33"/>
  <c r="X59" i="33"/>
  <c r="Z59" i="33" s="1"/>
  <c r="N59" i="33"/>
  <c r="L59" i="33"/>
  <c r="B59" i="33"/>
  <c r="Z58" i="33"/>
  <c r="X58" i="33"/>
  <c r="T58" i="33"/>
  <c r="P58" i="33"/>
  <c r="H58" i="33"/>
  <c r="N58" i="33" s="1"/>
  <c r="D58" i="33"/>
  <c r="L58" i="33" s="1"/>
  <c r="B58" i="33"/>
  <c r="Z57" i="33"/>
  <c r="X57" i="33"/>
  <c r="N57" i="33"/>
  <c r="L57" i="33"/>
  <c r="B57" i="33"/>
  <c r="X56" i="33"/>
  <c r="Z56" i="33" s="1"/>
  <c r="N56" i="33"/>
  <c r="L56" i="33"/>
  <c r="B56" i="33"/>
  <c r="Z55" i="33"/>
  <c r="X55" i="33"/>
  <c r="N55" i="33"/>
  <c r="L55" i="33"/>
  <c r="B55" i="33"/>
  <c r="X54" i="33"/>
  <c r="Z54" i="33" s="1"/>
  <c r="N54" i="33"/>
  <c r="L54" i="33"/>
  <c r="B54" i="33"/>
  <c r="Z53" i="33"/>
  <c r="X53" i="33"/>
  <c r="N53" i="33"/>
  <c r="L53" i="33"/>
  <c r="B53" i="33"/>
  <c r="T52" i="33"/>
  <c r="P52" i="33"/>
  <c r="H52" i="33"/>
  <c r="D52" i="33"/>
  <c r="B52" i="33"/>
  <c r="Z51" i="33"/>
  <c r="X51" i="33"/>
  <c r="N51" i="33"/>
  <c r="L51" i="33"/>
  <c r="B51" i="33"/>
  <c r="X50" i="33"/>
  <c r="Z50" i="33" s="1"/>
  <c r="L50" i="33"/>
  <c r="N50" i="33" s="1"/>
  <c r="B50" i="33"/>
  <c r="Z49" i="33"/>
  <c r="X49" i="33"/>
  <c r="L49" i="33"/>
  <c r="N49" i="33" s="1"/>
  <c r="B49" i="33"/>
  <c r="X48" i="33"/>
  <c r="Z48" i="33" s="1"/>
  <c r="L48" i="33"/>
  <c r="N48" i="33" s="1"/>
  <c r="B48" i="33"/>
  <c r="Z47" i="33"/>
  <c r="X47" i="33"/>
  <c r="L47" i="33"/>
  <c r="N47" i="33" s="1"/>
  <c r="B47" i="33"/>
  <c r="X46" i="33"/>
  <c r="Z46" i="33" s="1"/>
  <c r="N46" i="33"/>
  <c r="L46" i="33"/>
  <c r="B46" i="33"/>
  <c r="Z45" i="33"/>
  <c r="X45" i="33"/>
  <c r="N45" i="33"/>
  <c r="L45" i="33"/>
  <c r="B45" i="33"/>
  <c r="X44" i="33"/>
  <c r="Z44" i="33" s="1"/>
  <c r="L44" i="33"/>
  <c r="N44" i="33" s="1"/>
  <c r="B44" i="33"/>
  <c r="X43" i="33"/>
  <c r="Z43" i="33" s="1"/>
  <c r="T43" i="33"/>
  <c r="P43" i="33"/>
  <c r="H43" i="33"/>
  <c r="D43" i="33"/>
  <c r="L43" i="33" s="1"/>
  <c r="N43" i="33" s="1"/>
  <c r="B43" i="33"/>
  <c r="T42" i="33"/>
  <c r="P42" i="33"/>
  <c r="X42" i="33" s="1"/>
  <c r="Z42" i="33" s="1"/>
  <c r="H42" i="33"/>
  <c r="D42" i="33"/>
  <c r="L42" i="33" s="1"/>
  <c r="Z38" i="33"/>
  <c r="X38" i="33"/>
  <c r="N38" i="33"/>
  <c r="L38" i="33"/>
  <c r="B38" i="33"/>
  <c r="Z37" i="33"/>
  <c r="X37" i="33"/>
  <c r="N37" i="33"/>
  <c r="L37" i="33"/>
  <c r="B37" i="33"/>
  <c r="X36" i="33"/>
  <c r="Z36" i="33" s="1"/>
  <c r="L36" i="33"/>
  <c r="N36" i="33" s="1"/>
  <c r="B36" i="33"/>
  <c r="X35" i="33"/>
  <c r="Z35" i="33" s="1"/>
  <c r="N35" i="33"/>
  <c r="L35" i="33"/>
  <c r="B35" i="33"/>
  <c r="X34" i="33"/>
  <c r="Z34" i="33" s="1"/>
  <c r="N34" i="33"/>
  <c r="L34" i="33"/>
  <c r="F34" i="33"/>
  <c r="B34" i="33"/>
  <c r="X33" i="33"/>
  <c r="T33" i="33"/>
  <c r="Z33" i="33" s="1"/>
  <c r="P33" i="33"/>
  <c r="L33" i="33"/>
  <c r="N33" i="33" s="1"/>
  <c r="H33" i="33"/>
  <c r="D33" i="33"/>
  <c r="T31" i="33"/>
  <c r="P31" i="33"/>
  <c r="X31" i="33" s="1"/>
  <c r="Z31" i="33" s="1"/>
  <c r="N31" i="33"/>
  <c r="H31" i="33"/>
  <c r="D31" i="33"/>
  <c r="L31" i="33" s="1"/>
  <c r="B31" i="33"/>
  <c r="X30" i="33"/>
  <c r="T30" i="33"/>
  <c r="P30" i="33"/>
  <c r="N30" i="33"/>
  <c r="L30" i="33"/>
  <c r="H30" i="33"/>
  <c r="D30" i="33"/>
  <c r="B30" i="33"/>
  <c r="X29" i="33"/>
  <c r="T29" i="33"/>
  <c r="P29" i="33"/>
  <c r="H29" i="33"/>
  <c r="N29" i="33" s="1"/>
  <c r="D29" i="33"/>
  <c r="L29" i="33" s="1"/>
  <c r="B29" i="33"/>
  <c r="Z28" i="33"/>
  <c r="X28" i="33"/>
  <c r="T28" i="33"/>
  <c r="P28" i="33"/>
  <c r="N28" i="33"/>
  <c r="H28" i="33"/>
  <c r="D28" i="33"/>
  <c r="L28" i="33" s="1"/>
  <c r="B28" i="33"/>
  <c r="T27" i="33"/>
  <c r="P27" i="33"/>
  <c r="X27" i="33" s="1"/>
  <c r="Z27" i="33" s="1"/>
  <c r="N27" i="33"/>
  <c r="H27" i="33"/>
  <c r="D27" i="33"/>
  <c r="L27" i="33" s="1"/>
  <c r="B27" i="33"/>
  <c r="T26" i="33"/>
  <c r="P26" i="33"/>
  <c r="X26" i="33" s="1"/>
  <c r="H26" i="33"/>
  <c r="N26" i="33" s="1"/>
  <c r="D26" i="33"/>
  <c r="B26" i="33"/>
  <c r="X25" i="33"/>
  <c r="T25" i="33"/>
  <c r="P25" i="33"/>
  <c r="N25" i="33"/>
  <c r="H25" i="33"/>
  <c r="D25" i="33"/>
  <c r="B25" i="33"/>
  <c r="X24" i="33"/>
  <c r="Z24" i="33" s="1"/>
  <c r="T24" i="33"/>
  <c r="P24" i="33"/>
  <c r="N24" i="33"/>
  <c r="L24" i="33"/>
  <c r="H24" i="33"/>
  <c r="D24" i="33"/>
  <c r="B24" i="33"/>
  <c r="T23" i="33"/>
  <c r="P23" i="33"/>
  <c r="N23" i="33"/>
  <c r="H23" i="33"/>
  <c r="D23" i="33"/>
  <c r="L23" i="33" s="1"/>
  <c r="B23" i="33"/>
  <c r="X22" i="33"/>
  <c r="T22" i="33"/>
  <c r="P22" i="33"/>
  <c r="N22" i="33"/>
  <c r="H22" i="33"/>
  <c r="D22" i="33"/>
  <c r="L22" i="33" s="1"/>
  <c r="B22" i="33"/>
  <c r="X21" i="33"/>
  <c r="T21" i="33"/>
  <c r="P21" i="33"/>
  <c r="N21" i="33"/>
  <c r="H21" i="33"/>
  <c r="D21" i="33"/>
  <c r="B21" i="33"/>
  <c r="Z20" i="33"/>
  <c r="X20" i="33"/>
  <c r="T20" i="33"/>
  <c r="P20" i="33"/>
  <c r="N20" i="33"/>
  <c r="L20" i="33"/>
  <c r="H20" i="33"/>
  <c r="D20" i="33"/>
  <c r="B20" i="33"/>
  <c r="T19" i="33"/>
  <c r="P19" i="33"/>
  <c r="X19" i="33" s="1"/>
  <c r="Z19" i="33" s="1"/>
  <c r="H19" i="33"/>
  <c r="D19" i="33"/>
  <c r="L19" i="33" s="1"/>
  <c r="N19" i="33" s="1"/>
  <c r="B19" i="33"/>
  <c r="X18" i="33"/>
  <c r="T18" i="33"/>
  <c r="P18" i="33"/>
  <c r="N18" i="33"/>
  <c r="L18" i="33"/>
  <c r="H18" i="33"/>
  <c r="D18" i="33"/>
  <c r="B18" i="33"/>
  <c r="X17" i="33"/>
  <c r="T17" i="33"/>
  <c r="P17" i="33"/>
  <c r="H17" i="33"/>
  <c r="N17" i="33" s="1"/>
  <c r="D17" i="33"/>
  <c r="B17" i="33"/>
  <c r="X16" i="33"/>
  <c r="Z16" i="33" s="1"/>
  <c r="T16" i="33"/>
  <c r="P16" i="33"/>
  <c r="H16" i="33"/>
  <c r="D16" i="33"/>
  <c r="L16" i="33" s="1"/>
  <c r="N16" i="33" s="1"/>
  <c r="B16" i="33"/>
  <c r="T15" i="33"/>
  <c r="P15" i="33"/>
  <c r="X15" i="33" s="1"/>
  <c r="Z15" i="33" s="1"/>
  <c r="N15" i="33"/>
  <c r="H15" i="33"/>
  <c r="D15" i="33"/>
  <c r="L15" i="33" s="1"/>
  <c r="B15" i="33"/>
  <c r="T14" i="33"/>
  <c r="P14" i="33"/>
  <c r="L14" i="33"/>
  <c r="H14" i="33"/>
  <c r="N14" i="33" s="1"/>
  <c r="D14" i="33"/>
  <c r="B14" i="33"/>
  <c r="X13" i="33"/>
  <c r="T13" i="33"/>
  <c r="P13" i="33"/>
  <c r="N13" i="33"/>
  <c r="H13" i="33"/>
  <c r="D13" i="33"/>
  <c r="B13" i="33"/>
  <c r="D12" i="33"/>
  <c r="F97" i="33" s="1"/>
  <c r="D4" i="33"/>
  <c r="X170" i="30"/>
  <c r="Z170" i="30" s="1"/>
  <c r="N170" i="30"/>
  <c r="L170" i="30"/>
  <c r="Z166" i="30"/>
  <c r="T166" i="30"/>
  <c r="P166" i="30"/>
  <c r="X166" i="30" s="1"/>
  <c r="H166" i="30"/>
  <c r="N166" i="30" s="1"/>
  <c r="D166" i="30"/>
  <c r="B166" i="30"/>
  <c r="Z165" i="30"/>
  <c r="T165" i="30"/>
  <c r="P165" i="30"/>
  <c r="X165" i="30" s="1"/>
  <c r="H165" i="30"/>
  <c r="D165" i="30"/>
  <c r="L165" i="30" s="1"/>
  <c r="B165" i="30"/>
  <c r="Z164" i="30"/>
  <c r="X164" i="30"/>
  <c r="T164" i="30"/>
  <c r="T163" i="30" s="1"/>
  <c r="P164" i="30"/>
  <c r="N164" i="30"/>
  <c r="L164" i="30"/>
  <c r="H164" i="30"/>
  <c r="D164" i="30"/>
  <c r="B164" i="30"/>
  <c r="P163" i="30"/>
  <c r="D163" i="30"/>
  <c r="X161" i="30"/>
  <c r="Z161" i="30" s="1"/>
  <c r="L161" i="30"/>
  <c r="N161" i="30" s="1"/>
  <c r="B161" i="30"/>
  <c r="T160" i="30"/>
  <c r="P160" i="30"/>
  <c r="X160" i="30" s="1"/>
  <c r="H160" i="30"/>
  <c r="D160" i="30"/>
  <c r="B160" i="30"/>
  <c r="Z159" i="30"/>
  <c r="X159" i="30"/>
  <c r="N159" i="30"/>
  <c r="L159" i="30"/>
  <c r="B159" i="30"/>
  <c r="Z158" i="30"/>
  <c r="X158" i="30"/>
  <c r="N158" i="30"/>
  <c r="L158" i="30"/>
  <c r="B158" i="30"/>
  <c r="X157" i="30"/>
  <c r="T157" i="30"/>
  <c r="P157" i="30"/>
  <c r="H157" i="30"/>
  <c r="N157" i="30" s="1"/>
  <c r="D157" i="30"/>
  <c r="L157" i="30" s="1"/>
  <c r="B157" i="30"/>
  <c r="X156" i="30"/>
  <c r="Z156" i="30" s="1"/>
  <c r="N156" i="30"/>
  <c r="L156" i="30"/>
  <c r="B156" i="30"/>
  <c r="T155" i="30"/>
  <c r="Z155" i="30" s="1"/>
  <c r="P155" i="30"/>
  <c r="X155" i="30" s="1"/>
  <c r="L155" i="30"/>
  <c r="H155" i="30"/>
  <c r="N155" i="30" s="1"/>
  <c r="D155" i="30"/>
  <c r="B155" i="30"/>
  <c r="Z154" i="30"/>
  <c r="X154" i="30"/>
  <c r="N154" i="30"/>
  <c r="L154" i="30"/>
  <c r="B154" i="30"/>
  <c r="T153" i="30"/>
  <c r="P153" i="30"/>
  <c r="X153" i="30" s="1"/>
  <c r="Z153" i="30" s="1"/>
  <c r="H153" i="30"/>
  <c r="D153" i="30"/>
  <c r="L153" i="30" s="1"/>
  <c r="B153" i="30"/>
  <c r="X152" i="30"/>
  <c r="Z152" i="30" s="1"/>
  <c r="N152" i="30"/>
  <c r="L152" i="30"/>
  <c r="B152" i="30"/>
  <c r="X151" i="30"/>
  <c r="Z151" i="30" s="1"/>
  <c r="N151" i="30"/>
  <c r="L151" i="30"/>
  <c r="B151" i="30"/>
  <c r="Z150" i="30"/>
  <c r="X150" i="30"/>
  <c r="L150" i="30"/>
  <c r="N150" i="30" s="1"/>
  <c r="B150" i="30"/>
  <c r="X149" i="30"/>
  <c r="Z149" i="30" s="1"/>
  <c r="N149" i="30"/>
  <c r="L149" i="30"/>
  <c r="B149" i="30"/>
  <c r="Z148" i="30"/>
  <c r="X148" i="30"/>
  <c r="N148" i="30"/>
  <c r="L148" i="30"/>
  <c r="B148" i="30"/>
  <c r="X147" i="30"/>
  <c r="Z147" i="30" s="1"/>
  <c r="N147" i="30"/>
  <c r="L147" i="30"/>
  <c r="B147" i="30"/>
  <c r="T146" i="30"/>
  <c r="P146" i="30"/>
  <c r="L146" i="30"/>
  <c r="N146" i="30" s="1"/>
  <c r="H146" i="30"/>
  <c r="D146" i="30"/>
  <c r="B146" i="30"/>
  <c r="X145" i="30"/>
  <c r="Z145" i="30" s="1"/>
  <c r="N145" i="30"/>
  <c r="L145" i="30"/>
  <c r="B145" i="30"/>
  <c r="Z144" i="30"/>
  <c r="X144" i="30"/>
  <c r="N144" i="30"/>
  <c r="L144" i="30"/>
  <c r="B144" i="30"/>
  <c r="T143" i="30"/>
  <c r="Z143" i="30" s="1"/>
  <c r="P143" i="30"/>
  <c r="X143" i="30" s="1"/>
  <c r="H143" i="30"/>
  <c r="D143" i="30"/>
  <c r="B143" i="30"/>
  <c r="Z142" i="30"/>
  <c r="X142" i="30"/>
  <c r="N142" i="30"/>
  <c r="L142" i="30"/>
  <c r="B142" i="30"/>
  <c r="Z141" i="30"/>
  <c r="X141" i="30"/>
  <c r="L141" i="30"/>
  <c r="N141" i="30" s="1"/>
  <c r="B141" i="30"/>
  <c r="Z140" i="30"/>
  <c r="X140" i="30"/>
  <c r="N140" i="30"/>
  <c r="L140" i="30"/>
  <c r="B140" i="30"/>
  <c r="T139" i="30"/>
  <c r="Z139" i="30" s="1"/>
  <c r="P139" i="30"/>
  <c r="X139" i="30" s="1"/>
  <c r="H139" i="30"/>
  <c r="D139" i="30"/>
  <c r="B139" i="30"/>
  <c r="Z138" i="30"/>
  <c r="X138" i="30"/>
  <c r="N138" i="30"/>
  <c r="L138" i="30"/>
  <c r="B138" i="30"/>
  <c r="X137" i="30"/>
  <c r="Z137" i="30" s="1"/>
  <c r="L137" i="30"/>
  <c r="N137" i="30" s="1"/>
  <c r="B137" i="30"/>
  <c r="T136" i="30"/>
  <c r="R136" i="30"/>
  <c r="P136" i="30"/>
  <c r="X136" i="30" s="1"/>
  <c r="Z136" i="30" s="1"/>
  <c r="H136" i="30"/>
  <c r="D136" i="30"/>
  <c r="B136" i="30"/>
  <c r="X135" i="30"/>
  <c r="Z135" i="30" s="1"/>
  <c r="N135" i="30"/>
  <c r="L135" i="30"/>
  <c r="B135" i="30"/>
  <c r="X134" i="30"/>
  <c r="Z134" i="30" s="1"/>
  <c r="N134" i="30"/>
  <c r="L134" i="30"/>
  <c r="B134" i="30"/>
  <c r="Z133" i="30"/>
  <c r="X133" i="30"/>
  <c r="N133" i="30"/>
  <c r="L133" i="30"/>
  <c r="B133" i="30"/>
  <c r="T132" i="30"/>
  <c r="P132" i="30"/>
  <c r="N132" i="30"/>
  <c r="L132" i="30"/>
  <c r="H132" i="30"/>
  <c r="D132" i="30"/>
  <c r="B132" i="30"/>
  <c r="Z131" i="30"/>
  <c r="X131" i="30"/>
  <c r="L131" i="30"/>
  <c r="N131" i="30" s="1"/>
  <c r="B131" i="30"/>
  <c r="T130" i="30"/>
  <c r="Z130" i="30" s="1"/>
  <c r="P130" i="30"/>
  <c r="X130" i="30" s="1"/>
  <c r="N130" i="30"/>
  <c r="H130" i="30"/>
  <c r="D130" i="30"/>
  <c r="L130" i="30" s="1"/>
  <c r="B130" i="30"/>
  <c r="X129" i="30"/>
  <c r="Z129" i="30" s="1"/>
  <c r="L129" i="30"/>
  <c r="N129" i="30" s="1"/>
  <c r="B129" i="30"/>
  <c r="T128" i="30"/>
  <c r="P128" i="30"/>
  <c r="X128" i="30" s="1"/>
  <c r="Z128" i="30" s="1"/>
  <c r="L128" i="30"/>
  <c r="N128" i="30" s="1"/>
  <c r="H128" i="30"/>
  <c r="D128" i="30"/>
  <c r="B128" i="30"/>
  <c r="Z127" i="30"/>
  <c r="X127" i="30"/>
  <c r="N127" i="30"/>
  <c r="L127" i="30"/>
  <c r="B127" i="30"/>
  <c r="X126" i="30"/>
  <c r="Z126" i="30" s="1"/>
  <c r="N126" i="30"/>
  <c r="L126" i="30"/>
  <c r="B126" i="30"/>
  <c r="X125" i="30"/>
  <c r="Z125" i="30" s="1"/>
  <c r="T125" i="30"/>
  <c r="P125" i="30"/>
  <c r="H125" i="30"/>
  <c r="D125" i="30"/>
  <c r="B125" i="30"/>
  <c r="Z124" i="30"/>
  <c r="X124" i="30"/>
  <c r="L124" i="30"/>
  <c r="N124" i="30" s="1"/>
  <c r="B124" i="30"/>
  <c r="T123" i="30"/>
  <c r="P123" i="30"/>
  <c r="X123" i="30" s="1"/>
  <c r="H123" i="30"/>
  <c r="N123" i="30" s="1"/>
  <c r="D123" i="30"/>
  <c r="L123" i="30" s="1"/>
  <c r="B123" i="30"/>
  <c r="X122" i="30"/>
  <c r="Z122" i="30" s="1"/>
  <c r="N122" i="30"/>
  <c r="L122" i="30"/>
  <c r="B122" i="30"/>
  <c r="T121" i="30"/>
  <c r="Z121" i="30" s="1"/>
  <c r="R121" i="30"/>
  <c r="P121" i="30"/>
  <c r="X121" i="30" s="1"/>
  <c r="N121" i="30"/>
  <c r="H121" i="30"/>
  <c r="D121" i="30"/>
  <c r="L121" i="30" s="1"/>
  <c r="B121" i="30"/>
  <c r="Z120" i="30"/>
  <c r="X120" i="30"/>
  <c r="N120" i="30"/>
  <c r="L120" i="30"/>
  <c r="B120" i="30"/>
  <c r="X119" i="30"/>
  <c r="Z119" i="30" s="1"/>
  <c r="N119" i="30"/>
  <c r="L119" i="30"/>
  <c r="J119" i="30"/>
  <c r="B119" i="30"/>
  <c r="X118" i="30"/>
  <c r="Z118" i="30" s="1"/>
  <c r="T118" i="30"/>
  <c r="P118" i="30"/>
  <c r="H118" i="30"/>
  <c r="D118" i="30"/>
  <c r="B118" i="30"/>
  <c r="Z117" i="30"/>
  <c r="X117" i="30"/>
  <c r="N117" i="30"/>
  <c r="L117" i="30"/>
  <c r="B117" i="30"/>
  <c r="T116" i="30"/>
  <c r="X116" i="30" s="1"/>
  <c r="Z116" i="30" s="1"/>
  <c r="P116" i="30"/>
  <c r="H116" i="30"/>
  <c r="N116" i="30" s="1"/>
  <c r="D116" i="30"/>
  <c r="L116" i="30" s="1"/>
  <c r="B116" i="30"/>
  <c r="X115" i="30"/>
  <c r="Z115" i="30" s="1"/>
  <c r="N115" i="30"/>
  <c r="L115" i="30"/>
  <c r="B115" i="30"/>
  <c r="X114" i="30"/>
  <c r="Z114" i="30" s="1"/>
  <c r="L114" i="30"/>
  <c r="N114" i="30" s="1"/>
  <c r="B114" i="30"/>
  <c r="T113" i="30"/>
  <c r="R113" i="30"/>
  <c r="P113" i="30"/>
  <c r="X113" i="30" s="1"/>
  <c r="H113" i="30"/>
  <c r="D113" i="30"/>
  <c r="L113" i="30" s="1"/>
  <c r="N113" i="30" s="1"/>
  <c r="B113" i="30"/>
  <c r="X112" i="30"/>
  <c r="Z112" i="30" s="1"/>
  <c r="R112" i="30"/>
  <c r="N112" i="30"/>
  <c r="L112" i="30"/>
  <c r="B112" i="30"/>
  <c r="T111" i="30"/>
  <c r="P111" i="30"/>
  <c r="N111" i="30"/>
  <c r="L111" i="30"/>
  <c r="H111" i="30"/>
  <c r="D111" i="30"/>
  <c r="B111" i="30"/>
  <c r="Z110" i="30"/>
  <c r="X110" i="30"/>
  <c r="N110" i="30"/>
  <c r="L110" i="30"/>
  <c r="B110" i="30"/>
  <c r="T109" i="30"/>
  <c r="P109" i="30"/>
  <c r="X109" i="30" s="1"/>
  <c r="H109" i="30"/>
  <c r="N109" i="30" s="1"/>
  <c r="D109" i="30"/>
  <c r="L109" i="30" s="1"/>
  <c r="B109" i="30"/>
  <c r="X108" i="30"/>
  <c r="Z108" i="30" s="1"/>
  <c r="N108" i="30"/>
  <c r="L108" i="30"/>
  <c r="B108" i="30"/>
  <c r="T107" i="30"/>
  <c r="P107" i="30"/>
  <c r="X107" i="30" s="1"/>
  <c r="Z107" i="30" s="1"/>
  <c r="H107" i="30"/>
  <c r="D107" i="30"/>
  <c r="L107" i="30" s="1"/>
  <c r="B107" i="30"/>
  <c r="X106" i="30"/>
  <c r="Z106" i="30" s="1"/>
  <c r="N106" i="30"/>
  <c r="L106" i="30"/>
  <c r="B106" i="30"/>
  <c r="X105" i="30"/>
  <c r="Z105" i="30" s="1"/>
  <c r="N105" i="30"/>
  <c r="L105" i="30"/>
  <c r="B105" i="30"/>
  <c r="Z104" i="30"/>
  <c r="X104" i="30"/>
  <c r="R104" i="30"/>
  <c r="N104" i="30"/>
  <c r="L104" i="30"/>
  <c r="B104" i="30"/>
  <c r="X103" i="30"/>
  <c r="Z103" i="30" s="1"/>
  <c r="N103" i="30"/>
  <c r="L103" i="30"/>
  <c r="B103" i="30"/>
  <c r="X102" i="30"/>
  <c r="Z102" i="30" s="1"/>
  <c r="N102" i="30"/>
  <c r="L102" i="30"/>
  <c r="B102" i="30"/>
  <c r="Z101" i="30"/>
  <c r="X101" i="30"/>
  <c r="N101" i="30"/>
  <c r="L101" i="30"/>
  <c r="B101" i="30"/>
  <c r="T100" i="30"/>
  <c r="P100" i="30"/>
  <c r="L100" i="30"/>
  <c r="N100" i="30" s="1"/>
  <c r="H100" i="30"/>
  <c r="D100" i="30"/>
  <c r="B100" i="30"/>
  <c r="Z99" i="30"/>
  <c r="X99" i="30"/>
  <c r="L99" i="30"/>
  <c r="N99" i="30" s="1"/>
  <c r="B99" i="30"/>
  <c r="Z98" i="30"/>
  <c r="X98" i="30"/>
  <c r="L98" i="30"/>
  <c r="N98" i="30" s="1"/>
  <c r="B98" i="30"/>
  <c r="Z97" i="30"/>
  <c r="X97" i="30"/>
  <c r="L97" i="30"/>
  <c r="N97" i="30" s="1"/>
  <c r="B97" i="30"/>
  <c r="Z96" i="30"/>
  <c r="X96" i="30"/>
  <c r="L96" i="30"/>
  <c r="N96" i="30" s="1"/>
  <c r="B96" i="30"/>
  <c r="Z95" i="30"/>
  <c r="X95" i="30"/>
  <c r="R95" i="30"/>
  <c r="L95" i="30"/>
  <c r="N95" i="30" s="1"/>
  <c r="B95" i="30"/>
  <c r="Z94" i="30"/>
  <c r="X94" i="30"/>
  <c r="L94" i="30"/>
  <c r="N94" i="30" s="1"/>
  <c r="B94" i="30"/>
  <c r="Z93" i="30"/>
  <c r="X93" i="30"/>
  <c r="L93" i="30"/>
  <c r="N93" i="30" s="1"/>
  <c r="B93" i="30"/>
  <c r="Z92" i="30"/>
  <c r="X92" i="30"/>
  <c r="L92" i="30"/>
  <c r="N92" i="30" s="1"/>
  <c r="B92" i="30"/>
  <c r="T91" i="30"/>
  <c r="P91" i="30"/>
  <c r="X91" i="30" s="1"/>
  <c r="H91" i="30"/>
  <c r="N91" i="30" s="1"/>
  <c r="D91" i="30"/>
  <c r="L91" i="30" s="1"/>
  <c r="B91" i="30"/>
  <c r="T90" i="30"/>
  <c r="X90" i="30" s="1"/>
  <c r="Z90" i="30" s="1"/>
  <c r="P90" i="30"/>
  <c r="H90" i="30"/>
  <c r="D90" i="30"/>
  <c r="X86" i="30"/>
  <c r="Z86" i="30" s="1"/>
  <c r="L86" i="30"/>
  <c r="N86" i="30" s="1"/>
  <c r="B86" i="30"/>
  <c r="X85" i="30"/>
  <c r="Z85" i="30" s="1"/>
  <c r="N85" i="30"/>
  <c r="L85" i="30"/>
  <c r="B85" i="30"/>
  <c r="X84" i="30"/>
  <c r="Z84" i="30" s="1"/>
  <c r="N84" i="30"/>
  <c r="L84" i="30"/>
  <c r="B84" i="30"/>
  <c r="X83" i="30"/>
  <c r="Z83" i="30" s="1"/>
  <c r="L83" i="30"/>
  <c r="N83" i="30" s="1"/>
  <c r="B83" i="30"/>
  <c r="X82" i="30"/>
  <c r="Z82" i="30" s="1"/>
  <c r="L82" i="30"/>
  <c r="N82" i="30" s="1"/>
  <c r="B82" i="30"/>
  <c r="X81" i="30"/>
  <c r="Z81" i="30" s="1"/>
  <c r="N81" i="30"/>
  <c r="L81" i="30"/>
  <c r="B81" i="30"/>
  <c r="Z80" i="30"/>
  <c r="X80" i="30"/>
  <c r="N80" i="30"/>
  <c r="L80" i="30"/>
  <c r="B80" i="30"/>
  <c r="Z79" i="30"/>
  <c r="X79" i="30"/>
  <c r="N79" i="30"/>
  <c r="L79" i="30"/>
  <c r="B79" i="30"/>
  <c r="Z78" i="30"/>
  <c r="X78" i="30"/>
  <c r="N78" i="30"/>
  <c r="L78" i="30"/>
  <c r="B78" i="30"/>
  <c r="Z77" i="30"/>
  <c r="X77" i="30"/>
  <c r="N77" i="30"/>
  <c r="L77" i="30"/>
  <c r="B77" i="30"/>
  <c r="X76" i="30"/>
  <c r="Z76" i="30" s="1"/>
  <c r="N76" i="30"/>
  <c r="L76" i="30"/>
  <c r="B76" i="30"/>
  <c r="X75" i="30"/>
  <c r="Z75" i="30" s="1"/>
  <c r="L75" i="30"/>
  <c r="N75" i="30" s="1"/>
  <c r="B75" i="30"/>
  <c r="X74" i="30"/>
  <c r="Z74" i="30" s="1"/>
  <c r="L74" i="30"/>
  <c r="N74" i="30" s="1"/>
  <c r="B74" i="30"/>
  <c r="X73" i="30"/>
  <c r="Z73" i="30" s="1"/>
  <c r="N73" i="30"/>
  <c r="L73" i="30"/>
  <c r="B73" i="30"/>
  <c r="X72" i="30"/>
  <c r="Z72" i="30" s="1"/>
  <c r="N72" i="30"/>
  <c r="L72" i="30"/>
  <c r="B72" i="30"/>
  <c r="Z71" i="30"/>
  <c r="X71" i="30"/>
  <c r="N71" i="30"/>
  <c r="L71" i="30"/>
  <c r="B71" i="30"/>
  <c r="X70" i="30"/>
  <c r="Z70" i="30" s="1"/>
  <c r="N70" i="30"/>
  <c r="L70" i="30"/>
  <c r="B70" i="30"/>
  <c r="X69" i="30"/>
  <c r="Z69" i="30" s="1"/>
  <c r="N69" i="30"/>
  <c r="L69" i="30"/>
  <c r="B69" i="30"/>
  <c r="X68" i="30"/>
  <c r="Z68" i="30" s="1"/>
  <c r="L68" i="30"/>
  <c r="N68" i="30" s="1"/>
  <c r="B68" i="30"/>
  <c r="X67" i="30"/>
  <c r="Z67" i="30" s="1"/>
  <c r="L67" i="30"/>
  <c r="N67" i="30" s="1"/>
  <c r="B67" i="30"/>
  <c r="X66" i="30"/>
  <c r="Z66" i="30" s="1"/>
  <c r="L66" i="30"/>
  <c r="N66" i="30" s="1"/>
  <c r="B66" i="30"/>
  <c r="X65" i="30"/>
  <c r="Z65" i="30" s="1"/>
  <c r="N65" i="30"/>
  <c r="L65" i="30"/>
  <c r="B65" i="30"/>
  <c r="X64" i="30"/>
  <c r="Z64" i="30" s="1"/>
  <c r="L64" i="30"/>
  <c r="N64" i="30" s="1"/>
  <c r="B64" i="30"/>
  <c r="X63" i="30"/>
  <c r="Z63" i="30" s="1"/>
  <c r="N63" i="30"/>
  <c r="L63" i="30"/>
  <c r="B63" i="30"/>
  <c r="Z62" i="30"/>
  <c r="X62" i="30"/>
  <c r="N62" i="30"/>
  <c r="L62" i="30"/>
  <c r="B62" i="30"/>
  <c r="Z61" i="30"/>
  <c r="X61" i="30"/>
  <c r="N61" i="30"/>
  <c r="L61" i="30"/>
  <c r="B61" i="30"/>
  <c r="X60" i="30"/>
  <c r="Z60" i="30" s="1"/>
  <c r="N60" i="30"/>
  <c r="L60" i="30"/>
  <c r="B60" i="30"/>
  <c r="X59" i="30"/>
  <c r="Z59" i="30" s="1"/>
  <c r="N59" i="30"/>
  <c r="L59" i="30"/>
  <c r="B59" i="30"/>
  <c r="X58" i="30"/>
  <c r="Z58" i="30" s="1"/>
  <c r="N58" i="30"/>
  <c r="L58" i="30"/>
  <c r="B58" i="30"/>
  <c r="Z57" i="30"/>
  <c r="X57" i="30"/>
  <c r="N57" i="30"/>
  <c r="L57" i="30"/>
  <c r="B57" i="30"/>
  <c r="T56" i="30"/>
  <c r="P56" i="30"/>
  <c r="X56" i="30" s="1"/>
  <c r="L56" i="30"/>
  <c r="N56" i="30" s="1"/>
  <c r="H56" i="30"/>
  <c r="D56" i="30"/>
  <c r="T54" i="30"/>
  <c r="Z54" i="30" s="1"/>
  <c r="P54" i="30"/>
  <c r="X54" i="30" s="1"/>
  <c r="N54" i="30"/>
  <c r="H54" i="30"/>
  <c r="D54" i="30"/>
  <c r="L54" i="30" s="1"/>
  <c r="B54" i="30"/>
  <c r="T53" i="30"/>
  <c r="X53" i="30" s="1"/>
  <c r="P53" i="30"/>
  <c r="H53" i="30"/>
  <c r="N53" i="30" s="1"/>
  <c r="D53" i="30"/>
  <c r="L53" i="30" s="1"/>
  <c r="B53" i="30"/>
  <c r="T52" i="30"/>
  <c r="P52" i="30"/>
  <c r="L52" i="30"/>
  <c r="N52" i="30" s="1"/>
  <c r="H52" i="30"/>
  <c r="D52" i="30"/>
  <c r="B52" i="30"/>
  <c r="T51" i="30"/>
  <c r="P51" i="30"/>
  <c r="N51" i="30"/>
  <c r="L51" i="30"/>
  <c r="H51" i="30"/>
  <c r="D51" i="30"/>
  <c r="B51" i="30"/>
  <c r="T50" i="30"/>
  <c r="Z50" i="30" s="1"/>
  <c r="P50" i="30"/>
  <c r="X50" i="30" s="1"/>
  <c r="N50" i="30"/>
  <c r="H50" i="30"/>
  <c r="D50" i="30"/>
  <c r="L50" i="30" s="1"/>
  <c r="B50" i="30"/>
  <c r="T49" i="30"/>
  <c r="X49" i="30" s="1"/>
  <c r="P49" i="30"/>
  <c r="H49" i="30"/>
  <c r="N49" i="30" s="1"/>
  <c r="D49" i="30"/>
  <c r="L49" i="30" s="1"/>
  <c r="B49" i="30"/>
  <c r="T48" i="30"/>
  <c r="T12" i="30" s="1"/>
  <c r="P48" i="30"/>
  <c r="L48" i="30"/>
  <c r="N48" i="30" s="1"/>
  <c r="H48" i="30"/>
  <c r="D48" i="30"/>
  <c r="B48" i="30"/>
  <c r="T47" i="30"/>
  <c r="P47" i="30"/>
  <c r="L47" i="30"/>
  <c r="N47" i="30" s="1"/>
  <c r="H47" i="30"/>
  <c r="D47" i="30"/>
  <c r="B47" i="30"/>
  <c r="T46" i="30"/>
  <c r="P46" i="30"/>
  <c r="X46" i="30" s="1"/>
  <c r="H46" i="30"/>
  <c r="D46" i="30"/>
  <c r="L46" i="30" s="1"/>
  <c r="N46" i="30" s="1"/>
  <c r="B46" i="30"/>
  <c r="T45" i="30"/>
  <c r="X45" i="30" s="1"/>
  <c r="P45" i="30"/>
  <c r="H45" i="30"/>
  <c r="D45" i="30"/>
  <c r="L45" i="30" s="1"/>
  <c r="B45" i="30"/>
  <c r="T44" i="30"/>
  <c r="Z44" i="30" s="1"/>
  <c r="P44" i="30"/>
  <c r="N44" i="30"/>
  <c r="L44" i="30"/>
  <c r="H44" i="30"/>
  <c r="D44" i="30"/>
  <c r="B44" i="30"/>
  <c r="T43" i="30"/>
  <c r="Z43" i="30" s="1"/>
  <c r="P43" i="30"/>
  <c r="N43" i="30"/>
  <c r="L43" i="30"/>
  <c r="H43" i="30"/>
  <c r="D43" i="30"/>
  <c r="B43" i="30"/>
  <c r="T42" i="30"/>
  <c r="P42" i="30"/>
  <c r="X42" i="30" s="1"/>
  <c r="N42" i="30"/>
  <c r="H42" i="30"/>
  <c r="D42" i="30"/>
  <c r="L42" i="30" s="1"/>
  <c r="B42" i="30"/>
  <c r="T41" i="30"/>
  <c r="X41" i="30" s="1"/>
  <c r="P41" i="30"/>
  <c r="H41" i="30"/>
  <c r="N41" i="30" s="1"/>
  <c r="D41" i="30"/>
  <c r="L41" i="30" s="1"/>
  <c r="B41" i="30"/>
  <c r="T40" i="30"/>
  <c r="X40" i="30" s="1"/>
  <c r="P40" i="30"/>
  <c r="L40" i="30"/>
  <c r="N40" i="30" s="1"/>
  <c r="H40" i="30"/>
  <c r="D40" i="30"/>
  <c r="B40" i="30"/>
  <c r="T39" i="30"/>
  <c r="Z39" i="30" s="1"/>
  <c r="P39" i="30"/>
  <c r="L39" i="30"/>
  <c r="N39" i="30" s="1"/>
  <c r="H39" i="30"/>
  <c r="D39" i="30"/>
  <c r="B39" i="30"/>
  <c r="T38" i="30"/>
  <c r="P38" i="30"/>
  <c r="X38" i="30" s="1"/>
  <c r="H38" i="30"/>
  <c r="D38" i="30"/>
  <c r="L38" i="30" s="1"/>
  <c r="N38" i="30" s="1"/>
  <c r="B38" i="30"/>
  <c r="T37" i="30"/>
  <c r="X37" i="30" s="1"/>
  <c r="P37" i="30"/>
  <c r="H37" i="30"/>
  <c r="D37" i="30"/>
  <c r="L37" i="30" s="1"/>
  <c r="B37" i="30"/>
  <c r="T36" i="30"/>
  <c r="X36" i="30" s="1"/>
  <c r="P36" i="30"/>
  <c r="L36" i="30"/>
  <c r="N36" i="30" s="1"/>
  <c r="H36" i="30"/>
  <c r="D36" i="30"/>
  <c r="B36" i="30"/>
  <c r="T35" i="30"/>
  <c r="P35" i="30"/>
  <c r="N35" i="30"/>
  <c r="L35" i="30"/>
  <c r="H35" i="30"/>
  <c r="D35" i="30"/>
  <c r="B35" i="30"/>
  <c r="T34" i="30"/>
  <c r="Z34" i="30" s="1"/>
  <c r="P34" i="30"/>
  <c r="X34" i="30" s="1"/>
  <c r="N34" i="30"/>
  <c r="H34" i="30"/>
  <c r="D34" i="30"/>
  <c r="L34" i="30" s="1"/>
  <c r="B34" i="30"/>
  <c r="T33" i="30"/>
  <c r="X33" i="30" s="1"/>
  <c r="P33" i="30"/>
  <c r="H33" i="30"/>
  <c r="N33" i="30" s="1"/>
  <c r="D33" i="30"/>
  <c r="L33" i="30" s="1"/>
  <c r="B33" i="30"/>
  <c r="T32" i="30"/>
  <c r="Z32" i="30" s="1"/>
  <c r="P32" i="30"/>
  <c r="N32" i="30"/>
  <c r="L32" i="30"/>
  <c r="H32" i="30"/>
  <c r="D32" i="30"/>
  <c r="B32" i="30"/>
  <c r="T31" i="30"/>
  <c r="Z31" i="30" s="1"/>
  <c r="P31" i="30"/>
  <c r="N31" i="30"/>
  <c r="L31" i="30"/>
  <c r="H31" i="30"/>
  <c r="D31" i="30"/>
  <c r="B31" i="30"/>
  <c r="T30" i="30"/>
  <c r="Z30" i="30" s="1"/>
  <c r="P30" i="30"/>
  <c r="X30" i="30" s="1"/>
  <c r="N30" i="30"/>
  <c r="H30" i="30"/>
  <c r="D30" i="30"/>
  <c r="L30" i="30" s="1"/>
  <c r="B30" i="30"/>
  <c r="T29" i="30"/>
  <c r="X29" i="30" s="1"/>
  <c r="P29" i="30"/>
  <c r="H29" i="30"/>
  <c r="N29" i="30" s="1"/>
  <c r="D29" i="30"/>
  <c r="L29" i="30" s="1"/>
  <c r="B29" i="30"/>
  <c r="X28" i="30"/>
  <c r="T28" i="30"/>
  <c r="Z28" i="30" s="1"/>
  <c r="P28" i="30"/>
  <c r="N28" i="30"/>
  <c r="L28" i="30"/>
  <c r="H28" i="30"/>
  <c r="D28" i="30"/>
  <c r="B28" i="30"/>
  <c r="T27" i="30"/>
  <c r="P27" i="30"/>
  <c r="N27" i="30"/>
  <c r="L27" i="30"/>
  <c r="H27" i="30"/>
  <c r="D27" i="30"/>
  <c r="B27" i="30"/>
  <c r="T26" i="30"/>
  <c r="P26" i="30"/>
  <c r="X26" i="30" s="1"/>
  <c r="N26" i="30"/>
  <c r="H26" i="30"/>
  <c r="D26" i="30"/>
  <c r="L26" i="30" s="1"/>
  <c r="B26" i="30"/>
  <c r="T25" i="30"/>
  <c r="X25" i="30" s="1"/>
  <c r="P25" i="30"/>
  <c r="H25" i="30"/>
  <c r="D25" i="30"/>
  <c r="L25" i="30" s="1"/>
  <c r="B25" i="30"/>
  <c r="X24" i="30"/>
  <c r="T24" i="30"/>
  <c r="P24" i="30"/>
  <c r="L24" i="30"/>
  <c r="N24" i="30" s="1"/>
  <c r="H24" i="30"/>
  <c r="D24" i="30"/>
  <c r="B24" i="30"/>
  <c r="T23" i="30"/>
  <c r="P23" i="30"/>
  <c r="N23" i="30"/>
  <c r="L23" i="30"/>
  <c r="H23" i="30"/>
  <c r="D23" i="30"/>
  <c r="B23" i="30"/>
  <c r="T22" i="30"/>
  <c r="P22" i="30"/>
  <c r="H22" i="30"/>
  <c r="D22" i="30"/>
  <c r="L22" i="30" s="1"/>
  <c r="N22" i="30" s="1"/>
  <c r="B22" i="30"/>
  <c r="T21" i="30"/>
  <c r="X21" i="30" s="1"/>
  <c r="P21" i="30"/>
  <c r="H21" i="30"/>
  <c r="D21" i="30"/>
  <c r="L21" i="30" s="1"/>
  <c r="N21" i="30" s="1"/>
  <c r="B21" i="30"/>
  <c r="X20" i="30"/>
  <c r="T20" i="30"/>
  <c r="P20" i="30"/>
  <c r="L20" i="30"/>
  <c r="N20" i="30" s="1"/>
  <c r="H20" i="30"/>
  <c r="D20" i="30"/>
  <c r="B20" i="30"/>
  <c r="T19" i="30"/>
  <c r="Z19" i="30" s="1"/>
  <c r="P19" i="30"/>
  <c r="N19" i="30"/>
  <c r="L19" i="30"/>
  <c r="H19" i="30"/>
  <c r="D19" i="30"/>
  <c r="B19" i="30"/>
  <c r="T18" i="30"/>
  <c r="Z18" i="30" s="1"/>
  <c r="P18" i="30"/>
  <c r="N18" i="30"/>
  <c r="H18" i="30"/>
  <c r="D18" i="30"/>
  <c r="L18" i="30" s="1"/>
  <c r="B18" i="30"/>
  <c r="T17" i="30"/>
  <c r="X17" i="30" s="1"/>
  <c r="P17" i="30"/>
  <c r="N17" i="30"/>
  <c r="H17" i="30"/>
  <c r="D17" i="30"/>
  <c r="L17" i="30" s="1"/>
  <c r="B17" i="30"/>
  <c r="T16" i="30"/>
  <c r="P16" i="30"/>
  <c r="N16" i="30"/>
  <c r="L16" i="30"/>
  <c r="H16" i="30"/>
  <c r="D16" i="30"/>
  <c r="B16" i="30"/>
  <c r="T15" i="30"/>
  <c r="P15" i="30"/>
  <c r="P12" i="30" s="1"/>
  <c r="R151" i="30" s="1"/>
  <c r="N15" i="30"/>
  <c r="L15" i="30"/>
  <c r="H15" i="30"/>
  <c r="D15" i="30"/>
  <c r="B15" i="30"/>
  <c r="T14" i="30"/>
  <c r="P14" i="30"/>
  <c r="N14" i="30"/>
  <c r="H14" i="30"/>
  <c r="D14" i="30"/>
  <c r="L14" i="30" s="1"/>
  <c r="B14" i="30"/>
  <c r="T13" i="30"/>
  <c r="X13" i="30" s="1"/>
  <c r="P13" i="30"/>
  <c r="N13" i="30"/>
  <c r="H13" i="30"/>
  <c r="H12" i="30" s="1"/>
  <c r="J155" i="30" s="1"/>
  <c r="D13" i="30"/>
  <c r="B13" i="30"/>
  <c r="D4" i="30"/>
  <c r="Z126" i="27"/>
  <c r="X126" i="27"/>
  <c r="L126" i="27"/>
  <c r="N126" i="27" s="1"/>
  <c r="T122" i="27"/>
  <c r="P122" i="27"/>
  <c r="L122" i="27"/>
  <c r="N122" i="27" s="1"/>
  <c r="H122" i="27"/>
  <c r="D122" i="27"/>
  <c r="B122" i="27"/>
  <c r="T121" i="27"/>
  <c r="P121" i="27"/>
  <c r="N121" i="27"/>
  <c r="H121" i="27"/>
  <c r="H119" i="27" s="1"/>
  <c r="D121" i="27"/>
  <c r="L121" i="27" s="1"/>
  <c r="B121" i="27"/>
  <c r="V120" i="27"/>
  <c r="T120" i="27"/>
  <c r="P120" i="27"/>
  <c r="H120" i="27"/>
  <c r="D120" i="27"/>
  <c r="L120" i="27" s="1"/>
  <c r="N120" i="27" s="1"/>
  <c r="B120" i="27"/>
  <c r="T119" i="27"/>
  <c r="X117" i="27"/>
  <c r="Z117" i="27" s="1"/>
  <c r="N117" i="27"/>
  <c r="L117" i="27"/>
  <c r="B117" i="27"/>
  <c r="T116" i="27"/>
  <c r="P116" i="27"/>
  <c r="N116" i="27"/>
  <c r="L116" i="27"/>
  <c r="H116" i="27"/>
  <c r="D116" i="27"/>
  <c r="B116" i="27"/>
  <c r="Z115" i="27"/>
  <c r="X115" i="27"/>
  <c r="N115" i="27"/>
  <c r="L115" i="27"/>
  <c r="B115" i="27"/>
  <c r="T114" i="27"/>
  <c r="Z114" i="27" s="1"/>
  <c r="P114" i="27"/>
  <c r="X114" i="27" s="1"/>
  <c r="N114" i="27"/>
  <c r="H114" i="27"/>
  <c r="D114" i="27"/>
  <c r="L114" i="27" s="1"/>
  <c r="B114" i="27"/>
  <c r="X113" i="27"/>
  <c r="Z113" i="27" s="1"/>
  <c r="L113" i="27"/>
  <c r="N113" i="27" s="1"/>
  <c r="B113" i="27"/>
  <c r="X112" i="27"/>
  <c r="Z112" i="27" s="1"/>
  <c r="N112" i="27"/>
  <c r="L112" i="27"/>
  <c r="B112" i="27"/>
  <c r="X111" i="27"/>
  <c r="Z111" i="27" s="1"/>
  <c r="T111" i="27"/>
  <c r="P111" i="27"/>
  <c r="H111" i="27"/>
  <c r="D111" i="27"/>
  <c r="L111" i="27" s="1"/>
  <c r="B111" i="27"/>
  <c r="Z110" i="27"/>
  <c r="X110" i="27"/>
  <c r="N110" i="27"/>
  <c r="L110" i="27"/>
  <c r="B110" i="27"/>
  <c r="X109" i="27"/>
  <c r="Z109" i="27" s="1"/>
  <c r="N109" i="27"/>
  <c r="L109" i="27"/>
  <c r="B109" i="27"/>
  <c r="X108" i="27"/>
  <c r="Z108" i="27" s="1"/>
  <c r="N108" i="27"/>
  <c r="L108" i="27"/>
  <c r="B108" i="27"/>
  <c r="X107" i="27"/>
  <c r="Z107" i="27" s="1"/>
  <c r="T107" i="27"/>
  <c r="P107" i="27"/>
  <c r="H107" i="27"/>
  <c r="D107" i="27"/>
  <c r="B107" i="27"/>
  <c r="Z106" i="27"/>
  <c r="X106" i="27"/>
  <c r="L106" i="27"/>
  <c r="N106" i="27" s="1"/>
  <c r="B106" i="27"/>
  <c r="Z105" i="27"/>
  <c r="X105" i="27"/>
  <c r="L105" i="27"/>
  <c r="N105" i="27" s="1"/>
  <c r="B105" i="27"/>
  <c r="T104" i="27"/>
  <c r="Z104" i="27" s="1"/>
  <c r="P104" i="27"/>
  <c r="X104" i="27" s="1"/>
  <c r="H104" i="27"/>
  <c r="D104" i="27"/>
  <c r="L104" i="27" s="1"/>
  <c r="B104" i="27"/>
  <c r="Z103" i="27"/>
  <c r="X103" i="27"/>
  <c r="N103" i="27"/>
  <c r="L103" i="27"/>
  <c r="B103" i="27"/>
  <c r="X102" i="27"/>
  <c r="Z102" i="27" s="1"/>
  <c r="N102" i="27"/>
  <c r="L102" i="27"/>
  <c r="B102" i="27"/>
  <c r="T101" i="27"/>
  <c r="P101" i="27"/>
  <c r="X101" i="27" s="1"/>
  <c r="L101" i="27"/>
  <c r="N101" i="27" s="1"/>
  <c r="H101" i="27"/>
  <c r="D101" i="27"/>
  <c r="B101" i="27"/>
  <c r="Z100" i="27"/>
  <c r="X100" i="27"/>
  <c r="N100" i="27"/>
  <c r="L100" i="27"/>
  <c r="B100" i="27"/>
  <c r="X99" i="27"/>
  <c r="Z99" i="27" s="1"/>
  <c r="N99" i="27"/>
  <c r="L99" i="27"/>
  <c r="B99" i="27"/>
  <c r="X98" i="27"/>
  <c r="Z98" i="27" s="1"/>
  <c r="T98" i="27"/>
  <c r="P98" i="27"/>
  <c r="H98" i="27"/>
  <c r="D98" i="27"/>
  <c r="B98" i="27"/>
  <c r="Z97" i="27"/>
  <c r="X97" i="27"/>
  <c r="L97" i="27"/>
  <c r="N97" i="27" s="1"/>
  <c r="B97" i="27"/>
  <c r="T96" i="27"/>
  <c r="P96" i="27"/>
  <c r="H96" i="27"/>
  <c r="N96" i="27" s="1"/>
  <c r="D96" i="27"/>
  <c r="L96" i="27" s="1"/>
  <c r="B96" i="27"/>
  <c r="X95" i="27"/>
  <c r="Z95" i="27" s="1"/>
  <c r="N95" i="27"/>
  <c r="L95" i="27"/>
  <c r="B95" i="27"/>
  <c r="X94" i="27"/>
  <c r="Z94" i="27" s="1"/>
  <c r="N94" i="27"/>
  <c r="L94" i="27"/>
  <c r="B94" i="27"/>
  <c r="T93" i="27"/>
  <c r="P93" i="27"/>
  <c r="X93" i="27" s="1"/>
  <c r="L93" i="27"/>
  <c r="N93" i="27" s="1"/>
  <c r="H93" i="27"/>
  <c r="D93" i="27"/>
  <c r="B93" i="27"/>
  <c r="X92" i="27"/>
  <c r="Z92" i="27" s="1"/>
  <c r="N92" i="27"/>
  <c r="L92" i="27"/>
  <c r="B92" i="27"/>
  <c r="X91" i="27"/>
  <c r="Z91" i="27" s="1"/>
  <c r="T91" i="27"/>
  <c r="P91" i="27"/>
  <c r="H91" i="27"/>
  <c r="D91" i="27"/>
  <c r="B91" i="27"/>
  <c r="Z90" i="27"/>
  <c r="X90" i="27"/>
  <c r="N90" i="27"/>
  <c r="L90" i="27"/>
  <c r="B90" i="27"/>
  <c r="T89" i="27"/>
  <c r="X89" i="27" s="1"/>
  <c r="Z89" i="27" s="1"/>
  <c r="P89" i="27"/>
  <c r="H89" i="27"/>
  <c r="N89" i="27" s="1"/>
  <c r="D89" i="27"/>
  <c r="L89" i="27" s="1"/>
  <c r="B89" i="27"/>
  <c r="X88" i="27"/>
  <c r="Z88" i="27" s="1"/>
  <c r="N88" i="27"/>
  <c r="L88" i="27"/>
  <c r="B88" i="27"/>
  <c r="X87" i="27"/>
  <c r="Z87" i="27" s="1"/>
  <c r="V87" i="27"/>
  <c r="L87" i="27"/>
  <c r="N87" i="27" s="1"/>
  <c r="B87" i="27"/>
  <c r="V86" i="27"/>
  <c r="T86" i="27"/>
  <c r="P86" i="27"/>
  <c r="X86" i="27" s="1"/>
  <c r="H86" i="27"/>
  <c r="D86" i="27"/>
  <c r="L86" i="27" s="1"/>
  <c r="N86" i="27" s="1"/>
  <c r="B86" i="27"/>
  <c r="X85" i="27"/>
  <c r="Z85" i="27" s="1"/>
  <c r="N85" i="27"/>
  <c r="L85" i="27"/>
  <c r="B85" i="27"/>
  <c r="T84" i="27"/>
  <c r="P84" i="27"/>
  <c r="N84" i="27"/>
  <c r="L84" i="27"/>
  <c r="H84" i="27"/>
  <c r="D84" i="27"/>
  <c r="B84" i="27"/>
  <c r="Z83" i="27"/>
  <c r="X83" i="27"/>
  <c r="N83" i="27"/>
  <c r="L83" i="27"/>
  <c r="B83" i="27"/>
  <c r="Z82" i="27"/>
  <c r="X82" i="27"/>
  <c r="L82" i="27"/>
  <c r="N82" i="27" s="1"/>
  <c r="B82" i="27"/>
  <c r="Z81" i="27"/>
  <c r="X81" i="27"/>
  <c r="N81" i="27"/>
  <c r="L81" i="27"/>
  <c r="B81" i="27"/>
  <c r="Z80" i="27"/>
  <c r="X80" i="27"/>
  <c r="L80" i="27"/>
  <c r="N80" i="27" s="1"/>
  <c r="B80" i="27"/>
  <c r="Z79" i="27"/>
  <c r="X79" i="27"/>
  <c r="L79" i="27"/>
  <c r="N79" i="27" s="1"/>
  <c r="B79" i="27"/>
  <c r="Z78" i="27"/>
  <c r="X78" i="27"/>
  <c r="L78" i="27"/>
  <c r="N78" i="27" s="1"/>
  <c r="B78" i="27"/>
  <c r="Z77" i="27"/>
  <c r="X77" i="27"/>
  <c r="N77" i="27"/>
  <c r="L77" i="27"/>
  <c r="B77" i="27"/>
  <c r="Z76" i="27"/>
  <c r="V76" i="27"/>
  <c r="T76" i="27"/>
  <c r="P76" i="27"/>
  <c r="X76" i="27" s="1"/>
  <c r="H76" i="27"/>
  <c r="D76" i="27"/>
  <c r="L76" i="27" s="1"/>
  <c r="B76" i="27"/>
  <c r="X75" i="27"/>
  <c r="Z75" i="27" s="1"/>
  <c r="L75" i="27"/>
  <c r="N75" i="27" s="1"/>
  <c r="B75" i="27"/>
  <c r="X74" i="27"/>
  <c r="Z74" i="27" s="1"/>
  <c r="V74" i="27"/>
  <c r="N74" i="27"/>
  <c r="L74" i="27"/>
  <c r="B74" i="27"/>
  <c r="X73" i="27"/>
  <c r="Z73" i="27" s="1"/>
  <c r="L73" i="27"/>
  <c r="N73" i="27" s="1"/>
  <c r="B73" i="27"/>
  <c r="X72" i="27"/>
  <c r="Z72" i="27" s="1"/>
  <c r="L72" i="27"/>
  <c r="N72" i="27" s="1"/>
  <c r="B72" i="27"/>
  <c r="X71" i="27"/>
  <c r="Z71" i="27" s="1"/>
  <c r="V71" i="27"/>
  <c r="L71" i="27"/>
  <c r="N71" i="27" s="1"/>
  <c r="B71" i="27"/>
  <c r="X70" i="27"/>
  <c r="Z70" i="27" s="1"/>
  <c r="N70" i="27"/>
  <c r="L70" i="27"/>
  <c r="B70" i="27"/>
  <c r="X69" i="27"/>
  <c r="Z69" i="27" s="1"/>
  <c r="L69" i="27"/>
  <c r="N69" i="27" s="1"/>
  <c r="B69" i="27"/>
  <c r="X68" i="27"/>
  <c r="Z68" i="27" s="1"/>
  <c r="L68" i="27"/>
  <c r="N68" i="27" s="1"/>
  <c r="B68" i="27"/>
  <c r="X67" i="27"/>
  <c r="Z67" i="27" s="1"/>
  <c r="L67" i="27"/>
  <c r="N67" i="27" s="1"/>
  <c r="B67" i="27"/>
  <c r="T66" i="27"/>
  <c r="P66" i="27"/>
  <c r="X66" i="27" s="1"/>
  <c r="H66" i="27"/>
  <c r="D66" i="27"/>
  <c r="L66" i="27" s="1"/>
  <c r="N66" i="27" s="1"/>
  <c r="B66" i="27"/>
  <c r="T65" i="27"/>
  <c r="X65" i="27" s="1"/>
  <c r="P65" i="27"/>
  <c r="H65" i="27"/>
  <c r="D65" i="27"/>
  <c r="L65" i="27" s="1"/>
  <c r="N65" i="27" s="1"/>
  <c r="T63" i="27"/>
  <c r="X61" i="27"/>
  <c r="Z61" i="27" s="1"/>
  <c r="N61" i="27"/>
  <c r="L61" i="27"/>
  <c r="B61" i="27"/>
  <c r="X60" i="27"/>
  <c r="Z60" i="27" s="1"/>
  <c r="N60" i="27"/>
  <c r="L60" i="27"/>
  <c r="B60" i="27"/>
  <c r="X59" i="27"/>
  <c r="Z59" i="27" s="1"/>
  <c r="N59" i="27"/>
  <c r="L59" i="27"/>
  <c r="B59" i="27"/>
  <c r="X58" i="27"/>
  <c r="Z58" i="27" s="1"/>
  <c r="N58" i="27"/>
  <c r="L58" i="27"/>
  <c r="B58" i="27"/>
  <c r="X57" i="27"/>
  <c r="Z57" i="27" s="1"/>
  <c r="N57" i="27"/>
  <c r="L57" i="27"/>
  <c r="B57" i="27"/>
  <c r="X56" i="27"/>
  <c r="Z56" i="27" s="1"/>
  <c r="N56" i="27"/>
  <c r="L56" i="27"/>
  <c r="B56" i="27"/>
  <c r="X55" i="27"/>
  <c r="Z55" i="27" s="1"/>
  <c r="N55" i="27"/>
  <c r="L55" i="27"/>
  <c r="B55" i="27"/>
  <c r="Z54" i="27"/>
  <c r="X54" i="27"/>
  <c r="N54" i="27"/>
  <c r="L54" i="27"/>
  <c r="B54" i="27"/>
  <c r="X53" i="27"/>
  <c r="Z53" i="27" s="1"/>
  <c r="N53" i="27"/>
  <c r="L53" i="27"/>
  <c r="B53" i="27"/>
  <c r="X52" i="27"/>
  <c r="Z52" i="27" s="1"/>
  <c r="N52" i="27"/>
  <c r="L52" i="27"/>
  <c r="B52" i="27"/>
  <c r="X51" i="27"/>
  <c r="Z51" i="27" s="1"/>
  <c r="N51" i="27"/>
  <c r="L51" i="27"/>
  <c r="B51" i="27"/>
  <c r="Z50" i="27"/>
  <c r="X50" i="27"/>
  <c r="N50" i="27"/>
  <c r="L50" i="27"/>
  <c r="B50" i="27"/>
  <c r="X49" i="27"/>
  <c r="Z49" i="27" s="1"/>
  <c r="N49" i="27"/>
  <c r="L49" i="27"/>
  <c r="B49" i="27"/>
  <c r="X48" i="27"/>
  <c r="Z48" i="27" s="1"/>
  <c r="N48" i="27"/>
  <c r="L48" i="27"/>
  <c r="B48" i="27"/>
  <c r="X47" i="27"/>
  <c r="Z47" i="27" s="1"/>
  <c r="N47" i="27"/>
  <c r="L47" i="27"/>
  <c r="B47" i="27"/>
  <c r="Z46" i="27"/>
  <c r="X46" i="27"/>
  <c r="N46" i="27"/>
  <c r="L46" i="27"/>
  <c r="B46" i="27"/>
  <c r="Z45" i="27"/>
  <c r="X45" i="27"/>
  <c r="N45" i="27"/>
  <c r="L45" i="27"/>
  <c r="B45" i="27"/>
  <c r="T44" i="27"/>
  <c r="P44" i="27"/>
  <c r="L44" i="27"/>
  <c r="N44" i="27" s="1"/>
  <c r="H44" i="27"/>
  <c r="D44" i="27"/>
  <c r="T42" i="27"/>
  <c r="Z42" i="27" s="1"/>
  <c r="P42" i="27"/>
  <c r="X42" i="27" s="1"/>
  <c r="H42" i="27"/>
  <c r="D42" i="27"/>
  <c r="L42" i="27" s="1"/>
  <c r="N42" i="27" s="1"/>
  <c r="B42" i="27"/>
  <c r="X41" i="27"/>
  <c r="Z41" i="27" s="1"/>
  <c r="T41" i="27"/>
  <c r="P41" i="27"/>
  <c r="H41" i="27"/>
  <c r="N41" i="27" s="1"/>
  <c r="D41" i="27"/>
  <c r="L41" i="27" s="1"/>
  <c r="B41" i="27"/>
  <c r="Z40" i="27"/>
  <c r="X40" i="27"/>
  <c r="T40" i="27"/>
  <c r="P40" i="27"/>
  <c r="N40" i="27"/>
  <c r="H40" i="27"/>
  <c r="D40" i="27"/>
  <c r="L40" i="27" s="1"/>
  <c r="B40" i="27"/>
  <c r="X39" i="27"/>
  <c r="Z39" i="27" s="1"/>
  <c r="T39" i="27"/>
  <c r="P39" i="27"/>
  <c r="N39" i="27"/>
  <c r="H39" i="27"/>
  <c r="D39" i="27"/>
  <c r="L39" i="27" s="1"/>
  <c r="B39" i="27"/>
  <c r="T38" i="27"/>
  <c r="P38" i="27"/>
  <c r="X38" i="27" s="1"/>
  <c r="H38" i="27"/>
  <c r="N38" i="27" s="1"/>
  <c r="D38" i="27"/>
  <c r="B38" i="27"/>
  <c r="X37" i="27"/>
  <c r="Z37" i="27" s="1"/>
  <c r="T37" i="27"/>
  <c r="P37" i="27"/>
  <c r="H37" i="27"/>
  <c r="N37" i="27" s="1"/>
  <c r="D37" i="27"/>
  <c r="L37" i="27" s="1"/>
  <c r="B37" i="27"/>
  <c r="X36" i="27"/>
  <c r="Z36" i="27" s="1"/>
  <c r="T36" i="27"/>
  <c r="P36" i="27"/>
  <c r="N36" i="27"/>
  <c r="H36" i="27"/>
  <c r="D36" i="27"/>
  <c r="L36" i="27" s="1"/>
  <c r="B36" i="27"/>
  <c r="X35" i="27"/>
  <c r="Z35" i="27" s="1"/>
  <c r="T35" i="27"/>
  <c r="P35" i="27"/>
  <c r="N35" i="27"/>
  <c r="H35" i="27"/>
  <c r="D35" i="27"/>
  <c r="L35" i="27" s="1"/>
  <c r="B35" i="27"/>
  <c r="T34" i="27"/>
  <c r="Z34" i="27" s="1"/>
  <c r="P34" i="27"/>
  <c r="X34" i="27" s="1"/>
  <c r="H34" i="27"/>
  <c r="D34" i="27"/>
  <c r="B34" i="27"/>
  <c r="X33" i="27"/>
  <c r="Z33" i="27" s="1"/>
  <c r="T33" i="27"/>
  <c r="P33" i="27"/>
  <c r="H33" i="27"/>
  <c r="N33" i="27" s="1"/>
  <c r="D33" i="27"/>
  <c r="L33" i="27" s="1"/>
  <c r="B33" i="27"/>
  <c r="Z32" i="27"/>
  <c r="X32" i="27"/>
  <c r="T32" i="27"/>
  <c r="P32" i="27"/>
  <c r="N32" i="27"/>
  <c r="H32" i="27"/>
  <c r="D32" i="27"/>
  <c r="L32" i="27" s="1"/>
  <c r="B32" i="27"/>
  <c r="Z31" i="27"/>
  <c r="X31" i="27"/>
  <c r="T31" i="27"/>
  <c r="P31" i="27"/>
  <c r="H31" i="27"/>
  <c r="D31" i="27"/>
  <c r="L31" i="27" s="1"/>
  <c r="N31" i="27" s="1"/>
  <c r="B31" i="27"/>
  <c r="T30" i="27"/>
  <c r="P30" i="27"/>
  <c r="X30" i="27" s="1"/>
  <c r="N30" i="27"/>
  <c r="H30" i="27"/>
  <c r="D30" i="27"/>
  <c r="L30" i="27" s="1"/>
  <c r="B30" i="27"/>
  <c r="X29" i="27"/>
  <c r="Z29" i="27" s="1"/>
  <c r="T29" i="27"/>
  <c r="P29" i="27"/>
  <c r="H29" i="27"/>
  <c r="D29" i="27"/>
  <c r="L29" i="27" s="1"/>
  <c r="B29" i="27"/>
  <c r="X28" i="27"/>
  <c r="Z28" i="27" s="1"/>
  <c r="T28" i="27"/>
  <c r="P28" i="27"/>
  <c r="H28" i="27"/>
  <c r="D28" i="27"/>
  <c r="L28" i="27" s="1"/>
  <c r="N28" i="27" s="1"/>
  <c r="B28" i="27"/>
  <c r="T27" i="27"/>
  <c r="P27" i="27"/>
  <c r="X27" i="27" s="1"/>
  <c r="Z27" i="27" s="1"/>
  <c r="H27" i="27"/>
  <c r="D27" i="27"/>
  <c r="L27" i="27" s="1"/>
  <c r="N27" i="27" s="1"/>
  <c r="B27" i="27"/>
  <c r="T26" i="27"/>
  <c r="P26" i="27"/>
  <c r="X26" i="27" s="1"/>
  <c r="H26" i="27"/>
  <c r="D26" i="27"/>
  <c r="B26" i="27"/>
  <c r="X25" i="27"/>
  <c r="Z25" i="27" s="1"/>
  <c r="T25" i="27"/>
  <c r="P25" i="27"/>
  <c r="H25" i="27"/>
  <c r="N25" i="27" s="1"/>
  <c r="D25" i="27"/>
  <c r="L25" i="27" s="1"/>
  <c r="B25" i="27"/>
  <c r="X24" i="27"/>
  <c r="Z24" i="27" s="1"/>
  <c r="T24" i="27"/>
  <c r="P24" i="27"/>
  <c r="H24" i="27"/>
  <c r="D24" i="27"/>
  <c r="L24" i="27" s="1"/>
  <c r="N24" i="27" s="1"/>
  <c r="B24" i="27"/>
  <c r="T23" i="27"/>
  <c r="P23" i="27"/>
  <c r="X23" i="27" s="1"/>
  <c r="Z23" i="27" s="1"/>
  <c r="N23" i="27"/>
  <c r="H23" i="27"/>
  <c r="D23" i="27"/>
  <c r="L23" i="27" s="1"/>
  <c r="B23" i="27"/>
  <c r="T22" i="27"/>
  <c r="Z22" i="27" s="1"/>
  <c r="P22" i="27"/>
  <c r="X22" i="27" s="1"/>
  <c r="H22" i="27"/>
  <c r="D22" i="27"/>
  <c r="L22" i="27" s="1"/>
  <c r="N22" i="27" s="1"/>
  <c r="B22" i="27"/>
  <c r="X21" i="27"/>
  <c r="Z21" i="27" s="1"/>
  <c r="T21" i="27"/>
  <c r="P21" i="27"/>
  <c r="H21" i="27"/>
  <c r="N21" i="27" s="1"/>
  <c r="D21" i="27"/>
  <c r="L21" i="27" s="1"/>
  <c r="B21" i="27"/>
  <c r="Z20" i="27"/>
  <c r="X20" i="27"/>
  <c r="T20" i="27"/>
  <c r="P20" i="27"/>
  <c r="N20" i="27"/>
  <c r="H20" i="27"/>
  <c r="D20" i="27"/>
  <c r="L20" i="27" s="1"/>
  <c r="B20" i="27"/>
  <c r="T19" i="27"/>
  <c r="P19" i="27"/>
  <c r="X19" i="27" s="1"/>
  <c r="Z19" i="27" s="1"/>
  <c r="N19" i="27"/>
  <c r="H19" i="27"/>
  <c r="D19" i="27"/>
  <c r="L19" i="27" s="1"/>
  <c r="B19" i="27"/>
  <c r="T18" i="27"/>
  <c r="P18" i="27"/>
  <c r="X18" i="27" s="1"/>
  <c r="H18" i="27"/>
  <c r="N18" i="27" s="1"/>
  <c r="D18" i="27"/>
  <c r="B18" i="27"/>
  <c r="X17" i="27"/>
  <c r="Z17" i="27" s="1"/>
  <c r="T17" i="27"/>
  <c r="P17" i="27"/>
  <c r="H17" i="27"/>
  <c r="N17" i="27" s="1"/>
  <c r="D17" i="27"/>
  <c r="L17" i="27" s="1"/>
  <c r="B17" i="27"/>
  <c r="X16" i="27"/>
  <c r="Z16" i="27" s="1"/>
  <c r="T16" i="27"/>
  <c r="P16" i="27"/>
  <c r="N16" i="27"/>
  <c r="H16" i="27"/>
  <c r="D16" i="27"/>
  <c r="L16" i="27" s="1"/>
  <c r="B16" i="27"/>
  <c r="T15" i="27"/>
  <c r="T12" i="27" s="1"/>
  <c r="V75" i="27" s="1"/>
  <c r="P15" i="27"/>
  <c r="X15" i="27" s="1"/>
  <c r="Z15" i="27" s="1"/>
  <c r="N15" i="27"/>
  <c r="H15" i="27"/>
  <c r="D15" i="27"/>
  <c r="L15" i="27" s="1"/>
  <c r="B15" i="27"/>
  <c r="T14" i="27"/>
  <c r="P14" i="27"/>
  <c r="H14" i="27"/>
  <c r="D14" i="27"/>
  <c r="L14" i="27" s="1"/>
  <c r="N14" i="27" s="1"/>
  <c r="B14" i="27"/>
  <c r="Z13" i="27"/>
  <c r="X13" i="27"/>
  <c r="T13" i="27"/>
  <c r="P13" i="27"/>
  <c r="H13" i="27"/>
  <c r="D13" i="27"/>
  <c r="B13" i="27"/>
  <c r="D4" i="27"/>
  <c r="X138" i="24"/>
  <c r="Z138" i="24" s="1"/>
  <c r="L138" i="24"/>
  <c r="N138" i="24" s="1"/>
  <c r="T134" i="24"/>
  <c r="P134" i="24"/>
  <c r="N134" i="24"/>
  <c r="H134" i="24"/>
  <c r="H133" i="24" s="1"/>
  <c r="N133" i="24" s="1"/>
  <c r="D134" i="24"/>
  <c r="B134" i="24"/>
  <c r="P133" i="24"/>
  <c r="D133" i="24"/>
  <c r="X131" i="24"/>
  <c r="Z131" i="24" s="1"/>
  <c r="N131" i="24"/>
  <c r="L131" i="24"/>
  <c r="B131" i="24"/>
  <c r="T130" i="24"/>
  <c r="P130" i="24"/>
  <c r="X130" i="24" s="1"/>
  <c r="N130" i="24"/>
  <c r="L130" i="24"/>
  <c r="H130" i="24"/>
  <c r="D130" i="24"/>
  <c r="B130" i="24"/>
  <c r="X129" i="24"/>
  <c r="Z129" i="24" s="1"/>
  <c r="N129" i="24"/>
  <c r="L129" i="24"/>
  <c r="B129" i="24"/>
  <c r="X128" i="24"/>
  <c r="Z128" i="24" s="1"/>
  <c r="T128" i="24"/>
  <c r="P128" i="24"/>
  <c r="L128" i="24"/>
  <c r="H128" i="24"/>
  <c r="N128" i="24" s="1"/>
  <c r="D128" i="24"/>
  <c r="B128" i="24"/>
  <c r="Z127" i="24"/>
  <c r="X127" i="24"/>
  <c r="L127" i="24"/>
  <c r="N127" i="24" s="1"/>
  <c r="B127" i="24"/>
  <c r="Z126" i="24"/>
  <c r="T126" i="24"/>
  <c r="X126" i="24" s="1"/>
  <c r="P126" i="24"/>
  <c r="H126" i="24"/>
  <c r="D126" i="24"/>
  <c r="L126" i="24" s="1"/>
  <c r="B126" i="24"/>
  <c r="X125" i="24"/>
  <c r="Z125" i="24" s="1"/>
  <c r="L125" i="24"/>
  <c r="N125" i="24" s="1"/>
  <c r="B125" i="24"/>
  <c r="X124" i="24"/>
  <c r="Z124" i="24" s="1"/>
  <c r="N124" i="24"/>
  <c r="L124" i="24"/>
  <c r="B124" i="24"/>
  <c r="X123" i="24"/>
  <c r="Z123" i="24" s="1"/>
  <c r="N123" i="24"/>
  <c r="L123" i="24"/>
  <c r="B123" i="24"/>
  <c r="Z122" i="24"/>
  <c r="X122" i="24"/>
  <c r="N122" i="24"/>
  <c r="L122" i="24"/>
  <c r="B122" i="24"/>
  <c r="T121" i="24"/>
  <c r="P121" i="24"/>
  <c r="X121" i="24" s="1"/>
  <c r="Z121" i="24" s="1"/>
  <c r="L121" i="24"/>
  <c r="H121" i="24"/>
  <c r="N121" i="24" s="1"/>
  <c r="D121" i="24"/>
  <c r="B121" i="24"/>
  <c r="X120" i="24"/>
  <c r="Z120" i="24" s="1"/>
  <c r="N120" i="24"/>
  <c r="L120" i="24"/>
  <c r="B120" i="24"/>
  <c r="Z119" i="24"/>
  <c r="X119" i="24"/>
  <c r="T119" i="24"/>
  <c r="P119" i="24"/>
  <c r="H119" i="24"/>
  <c r="D119" i="24"/>
  <c r="B119" i="24"/>
  <c r="Z118" i="24"/>
  <c r="X118" i="24"/>
  <c r="L118" i="24"/>
  <c r="N118" i="24" s="1"/>
  <c r="B118" i="24"/>
  <c r="Z117" i="24"/>
  <c r="X117" i="24"/>
  <c r="L117" i="24"/>
  <c r="N117" i="24" s="1"/>
  <c r="B117" i="24"/>
  <c r="T116" i="24"/>
  <c r="P116" i="24"/>
  <c r="H116" i="24"/>
  <c r="D116" i="24"/>
  <c r="L116" i="24" s="1"/>
  <c r="N116" i="24" s="1"/>
  <c r="B116" i="24"/>
  <c r="X115" i="24"/>
  <c r="Z115" i="24" s="1"/>
  <c r="N115" i="24"/>
  <c r="L115" i="24"/>
  <c r="B115" i="24"/>
  <c r="X114" i="24"/>
  <c r="Z114" i="24" s="1"/>
  <c r="N114" i="24"/>
  <c r="L114" i="24"/>
  <c r="B114" i="24"/>
  <c r="T113" i="24"/>
  <c r="P113" i="24"/>
  <c r="X113" i="24" s="1"/>
  <c r="Z113" i="24" s="1"/>
  <c r="L113" i="24"/>
  <c r="H113" i="24"/>
  <c r="N113" i="24" s="1"/>
  <c r="D113" i="24"/>
  <c r="B113" i="24"/>
  <c r="X112" i="24"/>
  <c r="Z112" i="24" s="1"/>
  <c r="N112" i="24"/>
  <c r="L112" i="24"/>
  <c r="B112" i="24"/>
  <c r="X111" i="24"/>
  <c r="Z111" i="24" s="1"/>
  <c r="T111" i="24"/>
  <c r="P111" i="24"/>
  <c r="H111" i="24"/>
  <c r="D111" i="24"/>
  <c r="B111" i="24"/>
  <c r="Z110" i="24"/>
  <c r="X110" i="24"/>
  <c r="N110" i="24"/>
  <c r="L110" i="24"/>
  <c r="B110" i="24"/>
  <c r="Z109" i="24"/>
  <c r="T109" i="24"/>
  <c r="X109" i="24" s="1"/>
  <c r="P109" i="24"/>
  <c r="H109" i="24"/>
  <c r="N109" i="24" s="1"/>
  <c r="D109" i="24"/>
  <c r="L109" i="24" s="1"/>
  <c r="B109" i="24"/>
  <c r="X108" i="24"/>
  <c r="Z108" i="24" s="1"/>
  <c r="N108" i="24"/>
  <c r="L108" i="24"/>
  <c r="B108" i="24"/>
  <c r="X107" i="24"/>
  <c r="T107" i="24"/>
  <c r="P107" i="24"/>
  <c r="N107" i="24"/>
  <c r="H107" i="24"/>
  <c r="D107" i="24"/>
  <c r="L107" i="24" s="1"/>
  <c r="B107" i="24"/>
  <c r="Z106" i="24"/>
  <c r="X106" i="24"/>
  <c r="N106" i="24"/>
  <c r="L106" i="24"/>
  <c r="B106" i="24"/>
  <c r="X105" i="24"/>
  <c r="Z105" i="24" s="1"/>
  <c r="N105" i="24"/>
  <c r="L105" i="24"/>
  <c r="B105" i="24"/>
  <c r="X104" i="24"/>
  <c r="Z104" i="24" s="1"/>
  <c r="T104" i="24"/>
  <c r="P104" i="24"/>
  <c r="N104" i="24"/>
  <c r="H104" i="24"/>
  <c r="L104" i="24" s="1"/>
  <c r="D104" i="24"/>
  <c r="B104" i="24"/>
  <c r="Z103" i="24"/>
  <c r="X103" i="24"/>
  <c r="N103" i="24"/>
  <c r="L103" i="24"/>
  <c r="B103" i="24"/>
  <c r="Z102" i="24"/>
  <c r="T102" i="24"/>
  <c r="X102" i="24" s="1"/>
  <c r="P102" i="24"/>
  <c r="H102" i="24"/>
  <c r="N102" i="24" s="1"/>
  <c r="D102" i="24"/>
  <c r="B102" i="24"/>
  <c r="X101" i="24"/>
  <c r="Z101" i="24" s="1"/>
  <c r="N101" i="24"/>
  <c r="L101" i="24"/>
  <c r="B101" i="24"/>
  <c r="X100" i="24"/>
  <c r="Z100" i="24" s="1"/>
  <c r="T100" i="24"/>
  <c r="P100" i="24"/>
  <c r="H100" i="24"/>
  <c r="N100" i="24" s="1"/>
  <c r="D100" i="24"/>
  <c r="L100" i="24" s="1"/>
  <c r="B100" i="24"/>
  <c r="X99" i="24"/>
  <c r="Z99" i="24" s="1"/>
  <c r="N99" i="24"/>
  <c r="L99" i="24"/>
  <c r="B99" i="24"/>
  <c r="X98" i="24"/>
  <c r="Z98" i="24" s="1"/>
  <c r="N98" i="24"/>
  <c r="L98" i="24"/>
  <c r="B98" i="24"/>
  <c r="X97" i="24"/>
  <c r="Z97" i="24" s="1"/>
  <c r="N97" i="24"/>
  <c r="L97" i="24"/>
  <c r="B97" i="24"/>
  <c r="X96" i="24"/>
  <c r="Z96" i="24" s="1"/>
  <c r="N96" i="24"/>
  <c r="L96" i="24"/>
  <c r="B96" i="24"/>
  <c r="X95" i="24"/>
  <c r="Z95" i="24" s="1"/>
  <c r="N95" i="24"/>
  <c r="L95" i="24"/>
  <c r="B95" i="24"/>
  <c r="X94" i="24"/>
  <c r="T94" i="24"/>
  <c r="Z94" i="24" s="1"/>
  <c r="P94" i="24"/>
  <c r="L94" i="24"/>
  <c r="N94" i="24" s="1"/>
  <c r="H94" i="24"/>
  <c r="D94" i="24"/>
  <c r="B94" i="24"/>
  <c r="Z93" i="24"/>
  <c r="X93" i="24"/>
  <c r="L93" i="24"/>
  <c r="N93" i="24" s="1"/>
  <c r="B93" i="24"/>
  <c r="Z92" i="24"/>
  <c r="X92" i="24"/>
  <c r="L92" i="24"/>
  <c r="N92" i="24" s="1"/>
  <c r="B92" i="24"/>
  <c r="Z91" i="24"/>
  <c r="X91" i="24"/>
  <c r="L91" i="24"/>
  <c r="N91" i="24" s="1"/>
  <c r="B91" i="24"/>
  <c r="Z90" i="24"/>
  <c r="X90" i="24"/>
  <c r="L90" i="24"/>
  <c r="N90" i="24" s="1"/>
  <c r="B90" i="24"/>
  <c r="Z89" i="24"/>
  <c r="X89" i="24"/>
  <c r="L89" i="24"/>
  <c r="N89" i="24" s="1"/>
  <c r="B89" i="24"/>
  <c r="Z88" i="24"/>
  <c r="X88" i="24"/>
  <c r="L88" i="24"/>
  <c r="N88" i="24" s="1"/>
  <c r="B88" i="24"/>
  <c r="Z87" i="24"/>
  <c r="X87" i="24"/>
  <c r="L87" i="24"/>
  <c r="N87" i="24" s="1"/>
  <c r="B87" i="24"/>
  <c r="Z86" i="24"/>
  <c r="X86" i="24"/>
  <c r="L86" i="24"/>
  <c r="N86" i="24" s="1"/>
  <c r="B86" i="24"/>
  <c r="Z85" i="24"/>
  <c r="X85" i="24"/>
  <c r="L85" i="24"/>
  <c r="N85" i="24" s="1"/>
  <c r="B85" i="24"/>
  <c r="T84" i="24"/>
  <c r="P84" i="24"/>
  <c r="X84" i="24" s="1"/>
  <c r="N84" i="24"/>
  <c r="H84" i="24"/>
  <c r="D84" i="24"/>
  <c r="L84" i="24" s="1"/>
  <c r="B84" i="24"/>
  <c r="T83" i="24"/>
  <c r="P83" i="24"/>
  <c r="X83" i="24" s="1"/>
  <c r="H83" i="24"/>
  <c r="D83" i="24"/>
  <c r="L83" i="24" s="1"/>
  <c r="X79" i="24"/>
  <c r="Z79" i="24" s="1"/>
  <c r="N79" i="24"/>
  <c r="L79" i="24"/>
  <c r="B79" i="24"/>
  <c r="Z78" i="24"/>
  <c r="X78" i="24"/>
  <c r="N78" i="24"/>
  <c r="L78" i="24"/>
  <c r="B78" i="24"/>
  <c r="X77" i="24"/>
  <c r="Z77" i="24" s="1"/>
  <c r="N77" i="24"/>
  <c r="L77" i="24"/>
  <c r="B77" i="24"/>
  <c r="X76" i="24"/>
  <c r="Z76" i="24" s="1"/>
  <c r="N76" i="24"/>
  <c r="L76" i="24"/>
  <c r="B76" i="24"/>
  <c r="X75" i="24"/>
  <c r="Z75" i="24" s="1"/>
  <c r="N75" i="24"/>
  <c r="L75" i="24"/>
  <c r="B75" i="24"/>
  <c r="Z74" i="24"/>
  <c r="X74" i="24"/>
  <c r="L74" i="24"/>
  <c r="N74" i="24" s="1"/>
  <c r="B74" i="24"/>
  <c r="X73" i="24"/>
  <c r="Z73" i="24" s="1"/>
  <c r="L73" i="24"/>
  <c r="N73" i="24" s="1"/>
  <c r="B73" i="24"/>
  <c r="X72" i="24"/>
  <c r="Z72" i="24" s="1"/>
  <c r="N72" i="24"/>
  <c r="L72" i="24"/>
  <c r="B72" i="24"/>
  <c r="X71" i="24"/>
  <c r="Z71" i="24" s="1"/>
  <c r="N71" i="24"/>
  <c r="L71" i="24"/>
  <c r="B71" i="24"/>
  <c r="Z70" i="24"/>
  <c r="X70" i="24"/>
  <c r="N70" i="24"/>
  <c r="L70" i="24"/>
  <c r="B70" i="24"/>
  <c r="X69" i="24"/>
  <c r="Z69" i="24" s="1"/>
  <c r="N69" i="24"/>
  <c r="L69" i="24"/>
  <c r="B69" i="24"/>
  <c r="X68" i="24"/>
  <c r="Z68" i="24" s="1"/>
  <c r="N68" i="24"/>
  <c r="L68" i="24"/>
  <c r="B68" i="24"/>
  <c r="X67" i="24"/>
  <c r="Z67" i="24" s="1"/>
  <c r="N67" i="24"/>
  <c r="L67" i="24"/>
  <c r="B67" i="24"/>
  <c r="Z66" i="24"/>
  <c r="X66" i="24"/>
  <c r="N66" i="24"/>
  <c r="L66" i="24"/>
  <c r="B66" i="24"/>
  <c r="X65" i="24"/>
  <c r="Z65" i="24" s="1"/>
  <c r="L65" i="24"/>
  <c r="N65" i="24" s="1"/>
  <c r="B65" i="24"/>
  <c r="X64" i="24"/>
  <c r="Z64" i="24" s="1"/>
  <c r="N64" i="24"/>
  <c r="L64" i="24"/>
  <c r="B64" i="24"/>
  <c r="X63" i="24"/>
  <c r="Z63" i="24" s="1"/>
  <c r="N63" i="24"/>
  <c r="L63" i="24"/>
  <c r="B63" i="24"/>
  <c r="Z62" i="24"/>
  <c r="X62" i="24"/>
  <c r="L62" i="24"/>
  <c r="N62" i="24" s="1"/>
  <c r="B62" i="24"/>
  <c r="X61" i="24"/>
  <c r="Z61" i="24" s="1"/>
  <c r="L61" i="24"/>
  <c r="N61" i="24" s="1"/>
  <c r="B61" i="24"/>
  <c r="X60" i="24"/>
  <c r="Z60" i="24" s="1"/>
  <c r="L60" i="24"/>
  <c r="N60" i="24" s="1"/>
  <c r="B60" i="24"/>
  <c r="X59" i="24"/>
  <c r="Z59" i="24" s="1"/>
  <c r="N59" i="24"/>
  <c r="L59" i="24"/>
  <c r="B59" i="24"/>
  <c r="Z58" i="24"/>
  <c r="X58" i="24"/>
  <c r="N58" i="24"/>
  <c r="L58" i="24"/>
  <c r="B58" i="24"/>
  <c r="X57" i="24"/>
  <c r="Z57" i="24" s="1"/>
  <c r="N57" i="24"/>
  <c r="L57" i="24"/>
  <c r="B57" i="24"/>
  <c r="Z56" i="24"/>
  <c r="X56" i="24"/>
  <c r="N56" i="24"/>
  <c r="L56" i="24"/>
  <c r="B56" i="24"/>
  <c r="T55" i="24"/>
  <c r="P55" i="24"/>
  <c r="X55" i="24" s="1"/>
  <c r="H55" i="24"/>
  <c r="N55" i="24" s="1"/>
  <c r="D55" i="24"/>
  <c r="L55" i="24" s="1"/>
  <c r="X53" i="24"/>
  <c r="T53" i="24"/>
  <c r="P53" i="24"/>
  <c r="N53" i="24"/>
  <c r="L53" i="24"/>
  <c r="H53" i="24"/>
  <c r="D53" i="24"/>
  <c r="B53" i="24"/>
  <c r="T52" i="24"/>
  <c r="P52" i="24"/>
  <c r="N52" i="24"/>
  <c r="L52" i="24"/>
  <c r="H52" i="24"/>
  <c r="D52" i="24"/>
  <c r="B52" i="24"/>
  <c r="T51" i="24"/>
  <c r="P51" i="24"/>
  <c r="N51" i="24"/>
  <c r="H51" i="24"/>
  <c r="D51" i="24"/>
  <c r="L51" i="24" s="1"/>
  <c r="B51" i="24"/>
  <c r="X50" i="24"/>
  <c r="T50" i="24"/>
  <c r="P50" i="24"/>
  <c r="N50" i="24"/>
  <c r="L50" i="24"/>
  <c r="H50" i="24"/>
  <c r="D50" i="24"/>
  <c r="B50" i="24"/>
  <c r="T49" i="24"/>
  <c r="P49" i="24"/>
  <c r="N49" i="24"/>
  <c r="L49" i="24"/>
  <c r="H49" i="24"/>
  <c r="D49" i="24"/>
  <c r="B49" i="24"/>
  <c r="T48" i="24"/>
  <c r="P48" i="24"/>
  <c r="N48" i="24"/>
  <c r="H48" i="24"/>
  <c r="D48" i="24"/>
  <c r="L48" i="24" s="1"/>
  <c r="B48" i="24"/>
  <c r="T47" i="24"/>
  <c r="P47" i="24"/>
  <c r="N47" i="24"/>
  <c r="L47" i="24"/>
  <c r="H47" i="24"/>
  <c r="D47" i="24"/>
  <c r="B47" i="24"/>
  <c r="T46" i="24"/>
  <c r="P46" i="24"/>
  <c r="N46" i="24"/>
  <c r="L46" i="24"/>
  <c r="H46" i="24"/>
  <c r="D46" i="24"/>
  <c r="B46" i="24"/>
  <c r="X45" i="24"/>
  <c r="T45" i="24"/>
  <c r="P45" i="24"/>
  <c r="N45" i="24"/>
  <c r="L45" i="24"/>
  <c r="H45" i="24"/>
  <c r="D45" i="24"/>
  <c r="B45" i="24"/>
  <c r="T44" i="24"/>
  <c r="P44" i="24"/>
  <c r="N44" i="24"/>
  <c r="L44" i="24"/>
  <c r="H44" i="24"/>
  <c r="D44" i="24"/>
  <c r="B44" i="24"/>
  <c r="T43" i="24"/>
  <c r="P43" i="24"/>
  <c r="N43" i="24"/>
  <c r="H43" i="24"/>
  <c r="D43" i="24"/>
  <c r="L43" i="24" s="1"/>
  <c r="B43" i="24"/>
  <c r="X42" i="24"/>
  <c r="T42" i="24"/>
  <c r="P42" i="24"/>
  <c r="N42" i="24"/>
  <c r="L42" i="24"/>
  <c r="H42" i="24"/>
  <c r="D42" i="24"/>
  <c r="B42" i="24"/>
  <c r="T41" i="24"/>
  <c r="P41" i="24"/>
  <c r="N41" i="24"/>
  <c r="L41" i="24"/>
  <c r="H41" i="24"/>
  <c r="D41" i="24"/>
  <c r="B41" i="24"/>
  <c r="T40" i="24"/>
  <c r="P40" i="24"/>
  <c r="N40" i="24"/>
  <c r="H40" i="24"/>
  <c r="D40" i="24"/>
  <c r="L40" i="24" s="1"/>
  <c r="B40" i="24"/>
  <c r="T39" i="24"/>
  <c r="P39" i="24"/>
  <c r="L39" i="24"/>
  <c r="N39" i="24" s="1"/>
  <c r="H39" i="24"/>
  <c r="D39" i="24"/>
  <c r="B39" i="24"/>
  <c r="T38" i="24"/>
  <c r="P38" i="24"/>
  <c r="N38" i="24"/>
  <c r="L38" i="24"/>
  <c r="H38" i="24"/>
  <c r="D38" i="24"/>
  <c r="B38" i="24"/>
  <c r="T37" i="24"/>
  <c r="P37" i="24"/>
  <c r="N37" i="24"/>
  <c r="L37" i="24"/>
  <c r="H37" i="24"/>
  <c r="D37" i="24"/>
  <c r="B37" i="24"/>
  <c r="T36" i="24"/>
  <c r="P36" i="24"/>
  <c r="N36" i="24"/>
  <c r="H36" i="24"/>
  <c r="D36" i="24"/>
  <c r="L36" i="24" s="1"/>
  <c r="B36" i="24"/>
  <c r="T35" i="24"/>
  <c r="P35" i="24"/>
  <c r="L35" i="24"/>
  <c r="N35" i="24" s="1"/>
  <c r="H35" i="24"/>
  <c r="D35" i="24"/>
  <c r="B35" i="24"/>
  <c r="X34" i="24"/>
  <c r="T34" i="24"/>
  <c r="P34" i="24"/>
  <c r="L34" i="24"/>
  <c r="N34" i="24" s="1"/>
  <c r="H34" i="24"/>
  <c r="D34" i="24"/>
  <c r="B34" i="24"/>
  <c r="T33" i="24"/>
  <c r="P33" i="24"/>
  <c r="N33" i="24"/>
  <c r="L33" i="24"/>
  <c r="H33" i="24"/>
  <c r="D33" i="24"/>
  <c r="B33" i="24"/>
  <c r="T32" i="24"/>
  <c r="P32" i="24"/>
  <c r="N32" i="24"/>
  <c r="H32" i="24"/>
  <c r="D32" i="24"/>
  <c r="L32" i="24" s="1"/>
  <c r="B32" i="24"/>
  <c r="T31" i="24"/>
  <c r="P31" i="24"/>
  <c r="N31" i="24"/>
  <c r="H31" i="24"/>
  <c r="D31" i="24"/>
  <c r="L31" i="24" s="1"/>
  <c r="B31" i="24"/>
  <c r="T30" i="24"/>
  <c r="P30" i="24"/>
  <c r="N30" i="24"/>
  <c r="L30" i="24"/>
  <c r="H30" i="24"/>
  <c r="D30" i="24"/>
  <c r="B30" i="24"/>
  <c r="T29" i="24"/>
  <c r="P29" i="24"/>
  <c r="X29" i="24" s="1"/>
  <c r="N29" i="24"/>
  <c r="L29" i="24"/>
  <c r="H29" i="24"/>
  <c r="D29" i="24"/>
  <c r="B29" i="24"/>
  <c r="T28" i="24"/>
  <c r="P28" i="24"/>
  <c r="N28" i="24"/>
  <c r="L28" i="24"/>
  <c r="H28" i="24"/>
  <c r="D28" i="24"/>
  <c r="B28" i="24"/>
  <c r="T27" i="24"/>
  <c r="P27" i="24"/>
  <c r="N27" i="24"/>
  <c r="H27" i="24"/>
  <c r="D27" i="24"/>
  <c r="L27" i="24" s="1"/>
  <c r="B27" i="24"/>
  <c r="X26" i="24"/>
  <c r="Z26" i="24" s="1"/>
  <c r="T26" i="24"/>
  <c r="P26" i="24"/>
  <c r="N26" i="24"/>
  <c r="L26" i="24"/>
  <c r="H26" i="24"/>
  <c r="D26" i="24"/>
  <c r="B26" i="24"/>
  <c r="T25" i="24"/>
  <c r="P25" i="24"/>
  <c r="N25" i="24"/>
  <c r="L25" i="24"/>
  <c r="H25" i="24"/>
  <c r="D25" i="24"/>
  <c r="B25" i="24"/>
  <c r="T24" i="24"/>
  <c r="P24" i="24"/>
  <c r="H24" i="24"/>
  <c r="N24" i="24" s="1"/>
  <c r="D24" i="24"/>
  <c r="L24" i="24" s="1"/>
  <c r="B24" i="24"/>
  <c r="T23" i="24"/>
  <c r="P23" i="24"/>
  <c r="N23" i="24"/>
  <c r="H23" i="24"/>
  <c r="D23" i="24"/>
  <c r="L23" i="24" s="1"/>
  <c r="B23" i="24"/>
  <c r="T22" i="24"/>
  <c r="P22" i="24"/>
  <c r="N22" i="24"/>
  <c r="L22" i="24"/>
  <c r="H22" i="24"/>
  <c r="D22" i="24"/>
  <c r="B22" i="24"/>
  <c r="T21" i="24"/>
  <c r="P21" i="24"/>
  <c r="N21" i="24"/>
  <c r="L21" i="24"/>
  <c r="H21" i="24"/>
  <c r="D21" i="24"/>
  <c r="B21" i="24"/>
  <c r="T20" i="24"/>
  <c r="P20" i="24"/>
  <c r="H20" i="24"/>
  <c r="N20" i="24" s="1"/>
  <c r="D20" i="24"/>
  <c r="L20" i="24" s="1"/>
  <c r="B20" i="24"/>
  <c r="T19" i="24"/>
  <c r="P19" i="24"/>
  <c r="L19" i="24"/>
  <c r="N19" i="24" s="1"/>
  <c r="H19" i="24"/>
  <c r="D19" i="24"/>
  <c r="B19" i="24"/>
  <c r="T18" i="24"/>
  <c r="X18" i="24" s="1"/>
  <c r="Z18" i="24" s="1"/>
  <c r="P18" i="24"/>
  <c r="L18" i="24"/>
  <c r="N18" i="24" s="1"/>
  <c r="H18" i="24"/>
  <c r="D18" i="24"/>
  <c r="B18" i="24"/>
  <c r="T17" i="24"/>
  <c r="P17" i="24"/>
  <c r="N17" i="24"/>
  <c r="L17" i="24"/>
  <c r="H17" i="24"/>
  <c r="D17" i="24"/>
  <c r="B17" i="24"/>
  <c r="T16" i="24"/>
  <c r="P16" i="24"/>
  <c r="H16" i="24"/>
  <c r="N16" i="24" s="1"/>
  <c r="D16" i="24"/>
  <c r="B16" i="24"/>
  <c r="T15" i="24"/>
  <c r="P15" i="24"/>
  <c r="N15" i="24"/>
  <c r="H15" i="24"/>
  <c r="D15" i="24"/>
  <c r="L15" i="24" s="1"/>
  <c r="B15" i="24"/>
  <c r="T14" i="24"/>
  <c r="P14" i="24"/>
  <c r="L14" i="24"/>
  <c r="N14" i="24" s="1"/>
  <c r="H14" i="24"/>
  <c r="D14" i="24"/>
  <c r="B14" i="24"/>
  <c r="T13" i="24"/>
  <c r="Z13" i="24" s="1"/>
  <c r="P13" i="24"/>
  <c r="N13" i="24"/>
  <c r="L13" i="24"/>
  <c r="H13" i="24"/>
  <c r="D13" i="24"/>
  <c r="B13" i="24"/>
  <c r="D4" i="24"/>
  <c r="Z107" i="21"/>
  <c r="X107" i="21"/>
  <c r="L107" i="21"/>
  <c r="N107" i="21" s="1"/>
  <c r="T103" i="21"/>
  <c r="X103" i="21" s="1"/>
  <c r="P103" i="21"/>
  <c r="H103" i="21"/>
  <c r="N103" i="21" s="1"/>
  <c r="D103" i="21"/>
  <c r="L103" i="21" s="1"/>
  <c r="X101" i="21"/>
  <c r="Z101" i="21" s="1"/>
  <c r="L101" i="21"/>
  <c r="N101" i="21" s="1"/>
  <c r="B101" i="21"/>
  <c r="X100" i="21"/>
  <c r="Z100" i="21" s="1"/>
  <c r="T100" i="21"/>
  <c r="P100" i="21"/>
  <c r="H100" i="21"/>
  <c r="D100" i="21"/>
  <c r="L100" i="21" s="1"/>
  <c r="N100" i="21" s="1"/>
  <c r="B100" i="21"/>
  <c r="X99" i="21"/>
  <c r="Z99" i="21" s="1"/>
  <c r="L99" i="21"/>
  <c r="N99" i="21" s="1"/>
  <c r="B99" i="21"/>
  <c r="T98" i="21"/>
  <c r="P98" i="21"/>
  <c r="H98" i="21"/>
  <c r="D98" i="21"/>
  <c r="L98" i="21" s="1"/>
  <c r="N98" i="21" s="1"/>
  <c r="B98" i="21"/>
  <c r="Z97" i="21"/>
  <c r="X97" i="21"/>
  <c r="N97" i="21"/>
  <c r="L97" i="21"/>
  <c r="B97" i="21"/>
  <c r="T96" i="21"/>
  <c r="P96" i="21"/>
  <c r="X96" i="21" s="1"/>
  <c r="N96" i="21"/>
  <c r="H96" i="21"/>
  <c r="D96" i="21"/>
  <c r="L96" i="21" s="1"/>
  <c r="B96" i="21"/>
  <c r="X95" i="21"/>
  <c r="Z95" i="21" s="1"/>
  <c r="L95" i="21"/>
  <c r="N95" i="21" s="1"/>
  <c r="B95" i="21"/>
  <c r="T94" i="21"/>
  <c r="P94" i="21"/>
  <c r="X94" i="21" s="1"/>
  <c r="Z94" i="21" s="1"/>
  <c r="L94" i="21"/>
  <c r="N94" i="21" s="1"/>
  <c r="H94" i="21"/>
  <c r="D94" i="21"/>
  <c r="B94" i="21"/>
  <c r="X93" i="21"/>
  <c r="Z93" i="21" s="1"/>
  <c r="N93" i="21"/>
  <c r="L93" i="21"/>
  <c r="B93" i="21"/>
  <c r="Z92" i="21"/>
  <c r="X92" i="21"/>
  <c r="N92" i="21"/>
  <c r="L92" i="21"/>
  <c r="B92" i="21"/>
  <c r="X91" i="21"/>
  <c r="Z91" i="21" s="1"/>
  <c r="N91" i="21"/>
  <c r="L91" i="21"/>
  <c r="B91" i="21"/>
  <c r="X90" i="21"/>
  <c r="Z90" i="21" s="1"/>
  <c r="N90" i="21"/>
  <c r="L90" i="21"/>
  <c r="B90" i="21"/>
  <c r="X89" i="21"/>
  <c r="Z89" i="21" s="1"/>
  <c r="N89" i="21"/>
  <c r="L89" i="21"/>
  <c r="B89" i="21"/>
  <c r="Z88" i="21"/>
  <c r="X88" i="21"/>
  <c r="N88" i="21"/>
  <c r="L88" i="21"/>
  <c r="B88" i="21"/>
  <c r="X87" i="21"/>
  <c r="Z87" i="21" s="1"/>
  <c r="N87" i="21"/>
  <c r="L87" i="21"/>
  <c r="B87" i="21"/>
  <c r="Z86" i="21"/>
  <c r="X86" i="21"/>
  <c r="N86" i="21"/>
  <c r="L86" i="21"/>
  <c r="B86" i="21"/>
  <c r="X85" i="21"/>
  <c r="Z85" i="21" s="1"/>
  <c r="N85" i="21"/>
  <c r="L85" i="21"/>
  <c r="B85" i="21"/>
  <c r="T84" i="21"/>
  <c r="P84" i="21"/>
  <c r="X84" i="21" s="1"/>
  <c r="Z84" i="21" s="1"/>
  <c r="H84" i="21"/>
  <c r="D84" i="21"/>
  <c r="B84" i="21"/>
  <c r="X83" i="21"/>
  <c r="Z83" i="21" s="1"/>
  <c r="N83" i="21"/>
  <c r="L83" i="21"/>
  <c r="B83" i="21"/>
  <c r="T82" i="21"/>
  <c r="X82" i="21" s="1"/>
  <c r="Z82" i="21" s="1"/>
  <c r="P82" i="21"/>
  <c r="H82" i="21"/>
  <c r="N82" i="21" s="1"/>
  <c r="D82" i="21"/>
  <c r="L82" i="21" s="1"/>
  <c r="B82" i="21"/>
  <c r="X81" i="21"/>
  <c r="Z81" i="21" s="1"/>
  <c r="N81" i="21"/>
  <c r="L81" i="21"/>
  <c r="B81" i="21"/>
  <c r="X80" i="21"/>
  <c r="Z80" i="21" s="1"/>
  <c r="N80" i="21"/>
  <c r="L80" i="21"/>
  <c r="B80" i="21"/>
  <c r="X79" i="21"/>
  <c r="Z79" i="21" s="1"/>
  <c r="L79" i="21"/>
  <c r="N79" i="21" s="1"/>
  <c r="B79" i="21"/>
  <c r="Z78" i="21"/>
  <c r="X78" i="21"/>
  <c r="L78" i="21"/>
  <c r="N78" i="21" s="1"/>
  <c r="B78" i="21"/>
  <c r="T77" i="21"/>
  <c r="X77" i="21" s="1"/>
  <c r="P77" i="21"/>
  <c r="H77" i="21"/>
  <c r="N77" i="21" s="1"/>
  <c r="D77" i="21"/>
  <c r="L77" i="21" s="1"/>
  <c r="B77" i="21"/>
  <c r="Z76" i="21"/>
  <c r="X76" i="21"/>
  <c r="N76" i="21"/>
  <c r="L76" i="21"/>
  <c r="B76" i="21"/>
  <c r="Z75" i="21"/>
  <c r="X75" i="21"/>
  <c r="T75" i="21"/>
  <c r="P75" i="21"/>
  <c r="H75" i="21"/>
  <c r="N75" i="21" s="1"/>
  <c r="D75" i="21"/>
  <c r="L75" i="21" s="1"/>
  <c r="B75" i="21"/>
  <c r="Z74" i="21"/>
  <c r="X74" i="21"/>
  <c r="N74" i="21"/>
  <c r="L74" i="21"/>
  <c r="B74" i="21"/>
  <c r="Z73" i="21"/>
  <c r="X73" i="21"/>
  <c r="R73" i="21"/>
  <c r="N73" i="21"/>
  <c r="L73" i="21"/>
  <c r="B73" i="21"/>
  <c r="X72" i="21"/>
  <c r="Z72" i="21" s="1"/>
  <c r="N72" i="21"/>
  <c r="L72" i="21"/>
  <c r="B72" i="21"/>
  <c r="T71" i="21"/>
  <c r="Z71" i="21" s="1"/>
  <c r="P71" i="21"/>
  <c r="X71" i="21" s="1"/>
  <c r="H71" i="21"/>
  <c r="D71" i="21"/>
  <c r="B71" i="21"/>
  <c r="Z70" i="21"/>
  <c r="X70" i="21"/>
  <c r="L70" i="21"/>
  <c r="N70" i="21" s="1"/>
  <c r="B70" i="21"/>
  <c r="T69" i="21"/>
  <c r="X69" i="21" s="1"/>
  <c r="P69" i="21"/>
  <c r="H69" i="21"/>
  <c r="D69" i="21"/>
  <c r="L69" i="21" s="1"/>
  <c r="B69" i="21"/>
  <c r="Z68" i="21"/>
  <c r="X68" i="21"/>
  <c r="N68" i="21"/>
  <c r="L68" i="21"/>
  <c r="B68" i="21"/>
  <c r="X67" i="21"/>
  <c r="Z67" i="21" s="1"/>
  <c r="T67" i="21"/>
  <c r="P67" i="21"/>
  <c r="H67" i="21"/>
  <c r="N67" i="21" s="1"/>
  <c r="D67" i="21"/>
  <c r="L67" i="21" s="1"/>
  <c r="B67" i="21"/>
  <c r="Z66" i="21"/>
  <c r="X66" i="21"/>
  <c r="N66" i="21"/>
  <c r="L66" i="21"/>
  <c r="B66" i="21"/>
  <c r="T65" i="21"/>
  <c r="P65" i="21"/>
  <c r="H65" i="21"/>
  <c r="D65" i="21"/>
  <c r="L65" i="21" s="1"/>
  <c r="B65" i="21"/>
  <c r="X64" i="21"/>
  <c r="Z64" i="21" s="1"/>
  <c r="N64" i="21"/>
  <c r="L64" i="21"/>
  <c r="B64" i="21"/>
  <c r="T63" i="21"/>
  <c r="P63" i="21"/>
  <c r="X63" i="21" s="1"/>
  <c r="H63" i="21"/>
  <c r="L63" i="21" s="1"/>
  <c r="D63" i="21"/>
  <c r="B63" i="21"/>
  <c r="X62" i="21"/>
  <c r="Z62" i="21" s="1"/>
  <c r="N62" i="21"/>
  <c r="L62" i="21"/>
  <c r="B62" i="21"/>
  <c r="T61" i="21"/>
  <c r="Z61" i="21" s="1"/>
  <c r="P61" i="21"/>
  <c r="X61" i="21" s="1"/>
  <c r="L61" i="21"/>
  <c r="N61" i="21" s="1"/>
  <c r="H61" i="21"/>
  <c r="D61" i="21"/>
  <c r="B61" i="21"/>
  <c r="Z60" i="21"/>
  <c r="X60" i="21"/>
  <c r="L60" i="21"/>
  <c r="N60" i="21" s="1"/>
  <c r="B60" i="21"/>
  <c r="T59" i="21"/>
  <c r="Z59" i="21" s="1"/>
  <c r="P59" i="21"/>
  <c r="X59" i="21" s="1"/>
  <c r="H59" i="21"/>
  <c r="D59" i="21"/>
  <c r="B59" i="21"/>
  <c r="Z58" i="21"/>
  <c r="X58" i="21"/>
  <c r="N58" i="21"/>
  <c r="L58" i="21"/>
  <c r="B58" i="21"/>
  <c r="T57" i="21"/>
  <c r="X57" i="21" s="1"/>
  <c r="P57" i="21"/>
  <c r="H57" i="21"/>
  <c r="N57" i="21" s="1"/>
  <c r="D57" i="21"/>
  <c r="L57" i="21" s="1"/>
  <c r="B57" i="21"/>
  <c r="Z56" i="21"/>
  <c r="X56" i="21"/>
  <c r="N56" i="21"/>
  <c r="L56" i="21"/>
  <c r="B56" i="21"/>
  <c r="X55" i="21"/>
  <c r="Z55" i="21" s="1"/>
  <c r="T55" i="21"/>
  <c r="P55" i="21"/>
  <c r="H55" i="21"/>
  <c r="N55" i="21" s="1"/>
  <c r="D55" i="21"/>
  <c r="L55" i="21" s="1"/>
  <c r="B55" i="21"/>
  <c r="Z54" i="21"/>
  <c r="X54" i="21"/>
  <c r="N54" i="21"/>
  <c r="L54" i="21"/>
  <c r="B54" i="21"/>
  <c r="Z53" i="21"/>
  <c r="X53" i="21"/>
  <c r="L53" i="21"/>
  <c r="N53" i="21" s="1"/>
  <c r="B53" i="21"/>
  <c r="T52" i="21"/>
  <c r="P52" i="21"/>
  <c r="X52" i="21" s="1"/>
  <c r="N52" i="21"/>
  <c r="H52" i="21"/>
  <c r="D52" i="21"/>
  <c r="L52" i="21" s="1"/>
  <c r="B52" i="21"/>
  <c r="X51" i="21"/>
  <c r="Z51" i="21" s="1"/>
  <c r="N51" i="21"/>
  <c r="L51" i="21"/>
  <c r="B51" i="21"/>
  <c r="T50" i="21"/>
  <c r="P50" i="21"/>
  <c r="X50" i="21" s="1"/>
  <c r="Z50" i="21" s="1"/>
  <c r="L50" i="21"/>
  <c r="N50" i="21" s="1"/>
  <c r="H50" i="21"/>
  <c r="D50" i="21"/>
  <c r="B50" i="21"/>
  <c r="X49" i="21"/>
  <c r="Z49" i="21" s="1"/>
  <c r="N49" i="21"/>
  <c r="L49" i="21"/>
  <c r="B49" i="21"/>
  <c r="Z48" i="21"/>
  <c r="X48" i="21"/>
  <c r="T48" i="21"/>
  <c r="P48" i="21"/>
  <c r="H48" i="21"/>
  <c r="D48" i="21"/>
  <c r="B48" i="21"/>
  <c r="X47" i="21"/>
  <c r="Z47" i="21" s="1"/>
  <c r="N47" i="21"/>
  <c r="L47" i="21"/>
  <c r="B47" i="21"/>
  <c r="T46" i="21"/>
  <c r="P46" i="21"/>
  <c r="X46" i="21" s="1"/>
  <c r="Z46" i="21" s="1"/>
  <c r="H46" i="21"/>
  <c r="N46" i="21" s="1"/>
  <c r="D46" i="21"/>
  <c r="L46" i="21" s="1"/>
  <c r="B46" i="21"/>
  <c r="X45" i="21"/>
  <c r="Z45" i="21" s="1"/>
  <c r="N45" i="21"/>
  <c r="L45" i="21"/>
  <c r="B45" i="21"/>
  <c r="X44" i="21"/>
  <c r="Z44" i="21" s="1"/>
  <c r="N44" i="21"/>
  <c r="L44" i="21"/>
  <c r="B44" i="21"/>
  <c r="X43" i="21"/>
  <c r="Z43" i="21" s="1"/>
  <c r="N43" i="21"/>
  <c r="L43" i="21"/>
  <c r="B43" i="21"/>
  <c r="Z42" i="21"/>
  <c r="X42" i="21"/>
  <c r="N42" i="21"/>
  <c r="L42" i="21"/>
  <c r="B42" i="21"/>
  <c r="X41" i="21"/>
  <c r="Z41" i="21" s="1"/>
  <c r="L41" i="21"/>
  <c r="N41" i="21" s="1"/>
  <c r="B41" i="21"/>
  <c r="X40" i="21"/>
  <c r="Z40" i="21" s="1"/>
  <c r="N40" i="21"/>
  <c r="L40" i="21"/>
  <c r="B40" i="21"/>
  <c r="T39" i="21"/>
  <c r="P39" i="21"/>
  <c r="X39" i="21" s="1"/>
  <c r="L39" i="21"/>
  <c r="H39" i="21"/>
  <c r="N39" i="21" s="1"/>
  <c r="D39" i="21"/>
  <c r="B39" i="21"/>
  <c r="X38" i="21"/>
  <c r="Z38" i="21" s="1"/>
  <c r="N38" i="21"/>
  <c r="L38" i="21"/>
  <c r="B38" i="21"/>
  <c r="X37" i="21"/>
  <c r="Z37" i="21" s="1"/>
  <c r="N37" i="21"/>
  <c r="L37" i="21"/>
  <c r="B37" i="21"/>
  <c r="Z36" i="21"/>
  <c r="X36" i="21"/>
  <c r="N36" i="21"/>
  <c r="L36" i="21"/>
  <c r="B36" i="21"/>
  <c r="Z35" i="21"/>
  <c r="X35" i="21"/>
  <c r="L35" i="21"/>
  <c r="N35" i="21" s="1"/>
  <c r="B35" i="21"/>
  <c r="X34" i="21"/>
  <c r="Z34" i="21" s="1"/>
  <c r="N34" i="21"/>
  <c r="L34" i="21"/>
  <c r="B34" i="21"/>
  <c r="X33" i="21"/>
  <c r="Z33" i="21" s="1"/>
  <c r="N33" i="21"/>
  <c r="L33" i="21"/>
  <c r="B33" i="21"/>
  <c r="Z32" i="21"/>
  <c r="X32" i="21"/>
  <c r="N32" i="21"/>
  <c r="L32" i="21"/>
  <c r="B32" i="21"/>
  <c r="X31" i="21"/>
  <c r="Z31" i="21" s="1"/>
  <c r="L31" i="21"/>
  <c r="N31" i="21" s="1"/>
  <c r="B31" i="21"/>
  <c r="T30" i="21"/>
  <c r="P30" i="21"/>
  <c r="H30" i="21"/>
  <c r="D30" i="21"/>
  <c r="L30" i="21" s="1"/>
  <c r="N30" i="21" s="1"/>
  <c r="B30" i="21"/>
  <c r="T29" i="21"/>
  <c r="P29" i="21"/>
  <c r="H29" i="21"/>
  <c r="D29" i="21"/>
  <c r="L29" i="21" s="1"/>
  <c r="Z25" i="21"/>
  <c r="X25" i="21"/>
  <c r="L25" i="21"/>
  <c r="N25" i="21" s="1"/>
  <c r="B25" i="21"/>
  <c r="Z24" i="21"/>
  <c r="X24" i="21"/>
  <c r="L24" i="21"/>
  <c r="N24" i="21" s="1"/>
  <c r="B24" i="21"/>
  <c r="T23" i="21"/>
  <c r="Z23" i="21" s="1"/>
  <c r="P23" i="21"/>
  <c r="X23" i="21" s="1"/>
  <c r="H23" i="21"/>
  <c r="D23" i="21"/>
  <c r="T21" i="21"/>
  <c r="P21" i="21"/>
  <c r="X21" i="21" s="1"/>
  <c r="Z21" i="21" s="1"/>
  <c r="H21" i="21"/>
  <c r="N21" i="21" s="1"/>
  <c r="D21" i="21"/>
  <c r="B21" i="21"/>
  <c r="T20" i="21"/>
  <c r="P20" i="21"/>
  <c r="X20" i="21" s="1"/>
  <c r="Z20" i="21" s="1"/>
  <c r="H20" i="21"/>
  <c r="N20" i="21" s="1"/>
  <c r="D20" i="21"/>
  <c r="L20" i="21" s="1"/>
  <c r="B20" i="21"/>
  <c r="T19" i="21"/>
  <c r="P19" i="21"/>
  <c r="L19" i="21"/>
  <c r="H19" i="21"/>
  <c r="N19" i="21" s="1"/>
  <c r="D19" i="21"/>
  <c r="B19" i="21"/>
  <c r="T18" i="21"/>
  <c r="Z18" i="21" s="1"/>
  <c r="P18" i="21"/>
  <c r="X18" i="21" s="1"/>
  <c r="L18" i="21"/>
  <c r="H18" i="21"/>
  <c r="D18" i="21"/>
  <c r="B18" i="21"/>
  <c r="T17" i="21"/>
  <c r="P17" i="21"/>
  <c r="X17" i="21" s="1"/>
  <c r="Z17" i="21" s="1"/>
  <c r="H17" i="21"/>
  <c r="N17" i="21" s="1"/>
  <c r="D17" i="21"/>
  <c r="B17" i="21"/>
  <c r="T16" i="21"/>
  <c r="P16" i="21"/>
  <c r="X16" i="21" s="1"/>
  <c r="Z16" i="21" s="1"/>
  <c r="H16" i="21"/>
  <c r="N16" i="21" s="1"/>
  <c r="D16" i="21"/>
  <c r="L16" i="21" s="1"/>
  <c r="B16" i="21"/>
  <c r="T15" i="21"/>
  <c r="P15" i="21"/>
  <c r="L15" i="21"/>
  <c r="H15" i="21"/>
  <c r="N15" i="21" s="1"/>
  <c r="D15" i="21"/>
  <c r="B15" i="21"/>
  <c r="T14" i="21"/>
  <c r="P14" i="21"/>
  <c r="X14" i="21" s="1"/>
  <c r="H14" i="21"/>
  <c r="D14" i="21"/>
  <c r="B14" i="21"/>
  <c r="T13" i="21"/>
  <c r="P13" i="21"/>
  <c r="P12" i="21" s="1"/>
  <c r="R34" i="21" s="1"/>
  <c r="H13" i="21"/>
  <c r="D13" i="21"/>
  <c r="D12" i="21" s="1"/>
  <c r="B13" i="21"/>
  <c r="D4" i="21"/>
  <c r="Z301" i="18"/>
  <c r="X301" i="18"/>
  <c r="L301" i="18"/>
  <c r="N301" i="18" s="1"/>
  <c r="T297" i="18"/>
  <c r="Z297" i="18" s="1"/>
  <c r="P297" i="18"/>
  <c r="X297" i="18" s="1"/>
  <c r="L297" i="18"/>
  <c r="H297" i="18"/>
  <c r="N297" i="18" s="1"/>
  <c r="D297" i="18"/>
  <c r="B297" i="18"/>
  <c r="T296" i="18"/>
  <c r="P296" i="18"/>
  <c r="N296" i="18"/>
  <c r="H296" i="18"/>
  <c r="D296" i="18"/>
  <c r="L296" i="18" s="1"/>
  <c r="B296" i="18"/>
  <c r="T295" i="18"/>
  <c r="P295" i="18"/>
  <c r="X295" i="18" s="1"/>
  <c r="H295" i="18"/>
  <c r="N295" i="18" s="1"/>
  <c r="D295" i="18"/>
  <c r="L295" i="18" s="1"/>
  <c r="B295" i="18"/>
  <c r="X294" i="18"/>
  <c r="Z294" i="18" s="1"/>
  <c r="T294" i="18"/>
  <c r="P294" i="18"/>
  <c r="H294" i="18"/>
  <c r="D294" i="18"/>
  <c r="L294" i="18" s="1"/>
  <c r="N294" i="18" s="1"/>
  <c r="B294" i="18"/>
  <c r="X293" i="18"/>
  <c r="Z293" i="18" s="1"/>
  <c r="T293" i="18"/>
  <c r="P293" i="18"/>
  <c r="H293" i="18"/>
  <c r="N293" i="18" s="1"/>
  <c r="D293" i="18"/>
  <c r="B293" i="18"/>
  <c r="T292" i="18"/>
  <c r="P292" i="18"/>
  <c r="X292" i="18" s="1"/>
  <c r="Z292" i="18" s="1"/>
  <c r="H292" i="18"/>
  <c r="N292" i="18" s="1"/>
  <c r="D292" i="18"/>
  <c r="L292" i="18" s="1"/>
  <c r="B292" i="18"/>
  <c r="X291" i="18"/>
  <c r="T291" i="18"/>
  <c r="Z291" i="18" s="1"/>
  <c r="P291" i="18"/>
  <c r="H291" i="18"/>
  <c r="N291" i="18" s="1"/>
  <c r="D291" i="18"/>
  <c r="L291" i="18" s="1"/>
  <c r="B291" i="18"/>
  <c r="T290" i="18"/>
  <c r="P290" i="18"/>
  <c r="X290" i="18" s="1"/>
  <c r="Z290" i="18" s="1"/>
  <c r="H290" i="18"/>
  <c r="D290" i="18"/>
  <c r="B290" i="18"/>
  <c r="T289" i="18"/>
  <c r="Z289" i="18" s="1"/>
  <c r="P289" i="18"/>
  <c r="X289" i="18" s="1"/>
  <c r="H289" i="18"/>
  <c r="D289" i="18"/>
  <c r="D285" i="18" s="1"/>
  <c r="B289" i="18"/>
  <c r="T288" i="18"/>
  <c r="P288" i="18"/>
  <c r="X288" i="18" s="1"/>
  <c r="Z288" i="18" s="1"/>
  <c r="N288" i="18"/>
  <c r="L288" i="18"/>
  <c r="H288" i="18"/>
  <c r="D288" i="18"/>
  <c r="B288" i="18"/>
  <c r="T287" i="18"/>
  <c r="P287" i="18"/>
  <c r="L287" i="18"/>
  <c r="N287" i="18" s="1"/>
  <c r="H287" i="18"/>
  <c r="D287" i="18"/>
  <c r="B287" i="18"/>
  <c r="T286" i="18"/>
  <c r="P286" i="18"/>
  <c r="X286" i="18" s="1"/>
  <c r="N286" i="18"/>
  <c r="H286" i="18"/>
  <c r="D286" i="18"/>
  <c r="L286" i="18" s="1"/>
  <c r="B286" i="18"/>
  <c r="X283" i="18"/>
  <c r="Z283" i="18" s="1"/>
  <c r="N283" i="18"/>
  <c r="L283" i="18"/>
  <c r="B283" i="18"/>
  <c r="T282" i="18"/>
  <c r="P282" i="18"/>
  <c r="X282" i="18" s="1"/>
  <c r="Z282" i="18" s="1"/>
  <c r="L282" i="18"/>
  <c r="N282" i="18" s="1"/>
  <c r="H282" i="18"/>
  <c r="D282" i="18"/>
  <c r="B282" i="18"/>
  <c r="X281" i="18"/>
  <c r="Z281" i="18" s="1"/>
  <c r="N281" i="18"/>
  <c r="L281" i="18"/>
  <c r="B281" i="18"/>
  <c r="Z280" i="18"/>
  <c r="X280" i="18"/>
  <c r="N280" i="18"/>
  <c r="L280" i="18"/>
  <c r="B280" i="18"/>
  <c r="Z279" i="18"/>
  <c r="X279" i="18"/>
  <c r="N279" i="18"/>
  <c r="L279" i="18"/>
  <c r="B279" i="18"/>
  <c r="T278" i="18"/>
  <c r="P278" i="18"/>
  <c r="H278" i="18"/>
  <c r="D278" i="18"/>
  <c r="L278" i="18" s="1"/>
  <c r="N278" i="18" s="1"/>
  <c r="B278" i="18"/>
  <c r="Z277" i="18"/>
  <c r="X277" i="18"/>
  <c r="L277" i="18"/>
  <c r="N277" i="18" s="1"/>
  <c r="B277" i="18"/>
  <c r="T276" i="18"/>
  <c r="Z276" i="18" s="1"/>
  <c r="P276" i="18"/>
  <c r="X276" i="18" s="1"/>
  <c r="H276" i="18"/>
  <c r="D276" i="18"/>
  <c r="L276" i="18" s="1"/>
  <c r="N276" i="18" s="1"/>
  <c r="B276" i="18"/>
  <c r="X275" i="18"/>
  <c r="Z275" i="18" s="1"/>
  <c r="N275" i="18"/>
  <c r="L275" i="18"/>
  <c r="B275" i="18"/>
  <c r="Z274" i="18"/>
  <c r="X274" i="18"/>
  <c r="N274" i="18"/>
  <c r="L274" i="18"/>
  <c r="B274" i="18"/>
  <c r="X273" i="18"/>
  <c r="T273" i="18"/>
  <c r="Z273" i="18" s="1"/>
  <c r="P273" i="18"/>
  <c r="H273" i="18"/>
  <c r="N273" i="18" s="1"/>
  <c r="D273" i="18"/>
  <c r="L273" i="18" s="1"/>
  <c r="B273" i="18"/>
  <c r="Z272" i="18"/>
  <c r="X272" i="18"/>
  <c r="N272" i="18"/>
  <c r="L272" i="18"/>
  <c r="B272" i="18"/>
  <c r="Z271" i="18"/>
  <c r="X271" i="18"/>
  <c r="L271" i="18"/>
  <c r="N271" i="18" s="1"/>
  <c r="B271" i="18"/>
  <c r="X270" i="18"/>
  <c r="Z270" i="18" s="1"/>
  <c r="N270" i="18"/>
  <c r="L270" i="18"/>
  <c r="B270" i="18"/>
  <c r="X269" i="18"/>
  <c r="Z269" i="18" s="1"/>
  <c r="N269" i="18"/>
  <c r="L269" i="18"/>
  <c r="B269" i="18"/>
  <c r="Z268" i="18"/>
  <c r="X268" i="18"/>
  <c r="N268" i="18"/>
  <c r="L268" i="18"/>
  <c r="B268" i="18"/>
  <c r="Z267" i="18"/>
  <c r="X267" i="18"/>
  <c r="L267" i="18"/>
  <c r="N267" i="18" s="1"/>
  <c r="B267" i="18"/>
  <c r="Z266" i="18"/>
  <c r="X266" i="18"/>
  <c r="N266" i="18"/>
  <c r="L266" i="18"/>
  <c r="B266" i="18"/>
  <c r="X265" i="18"/>
  <c r="Z265" i="18" s="1"/>
  <c r="N265" i="18"/>
  <c r="L265" i="18"/>
  <c r="B265" i="18"/>
  <c r="T264" i="18"/>
  <c r="P264" i="18"/>
  <c r="X264" i="18" s="1"/>
  <c r="Z264" i="18" s="1"/>
  <c r="H264" i="18"/>
  <c r="D264" i="18"/>
  <c r="B264" i="18"/>
  <c r="X263" i="18"/>
  <c r="Z263" i="18" s="1"/>
  <c r="L263" i="18"/>
  <c r="N263" i="18" s="1"/>
  <c r="B263" i="18"/>
  <c r="Z262" i="18"/>
  <c r="X262" i="18"/>
  <c r="N262" i="18"/>
  <c r="L262" i="18"/>
  <c r="B262" i="18"/>
  <c r="T261" i="18"/>
  <c r="P261" i="18"/>
  <c r="H261" i="18"/>
  <c r="D261" i="18"/>
  <c r="L261" i="18" s="1"/>
  <c r="B261" i="18"/>
  <c r="X260" i="18"/>
  <c r="Z260" i="18" s="1"/>
  <c r="N260" i="18"/>
  <c r="L260" i="18"/>
  <c r="B260" i="18"/>
  <c r="X259" i="18"/>
  <c r="Z259" i="18" s="1"/>
  <c r="N259" i="18"/>
  <c r="L259" i="18"/>
  <c r="B259" i="18"/>
  <c r="Z258" i="18"/>
  <c r="X258" i="18"/>
  <c r="N258" i="18"/>
  <c r="L258" i="18"/>
  <c r="B258" i="18"/>
  <c r="X257" i="18"/>
  <c r="Z257" i="18" s="1"/>
  <c r="L257" i="18"/>
  <c r="N257" i="18" s="1"/>
  <c r="B257" i="18"/>
  <c r="X256" i="18"/>
  <c r="Z256" i="18" s="1"/>
  <c r="T256" i="18"/>
  <c r="P256" i="18"/>
  <c r="H256" i="18"/>
  <c r="D256" i="18"/>
  <c r="L256" i="18" s="1"/>
  <c r="N256" i="18" s="1"/>
  <c r="B256" i="18"/>
  <c r="X255" i="18"/>
  <c r="Z255" i="18" s="1"/>
  <c r="L255" i="18"/>
  <c r="N255" i="18" s="1"/>
  <c r="B255" i="18"/>
  <c r="X254" i="18"/>
  <c r="Z254" i="18" s="1"/>
  <c r="N254" i="18"/>
  <c r="L254" i="18"/>
  <c r="B254" i="18"/>
  <c r="X253" i="18"/>
  <c r="Z253" i="18" s="1"/>
  <c r="N253" i="18"/>
  <c r="L253" i="18"/>
  <c r="B253" i="18"/>
  <c r="T252" i="18"/>
  <c r="P252" i="18"/>
  <c r="X252" i="18" s="1"/>
  <c r="Z252" i="18" s="1"/>
  <c r="L252" i="18"/>
  <c r="H252" i="18"/>
  <c r="D252" i="18"/>
  <c r="B252" i="18"/>
  <c r="X251" i="18"/>
  <c r="Z251" i="18" s="1"/>
  <c r="L251" i="18"/>
  <c r="N251" i="18" s="1"/>
  <c r="B251" i="18"/>
  <c r="Z250" i="18"/>
  <c r="X250" i="18"/>
  <c r="N250" i="18"/>
  <c r="L250" i="18"/>
  <c r="B250" i="18"/>
  <c r="Z249" i="18"/>
  <c r="X249" i="18"/>
  <c r="N249" i="18"/>
  <c r="L249" i="18"/>
  <c r="B249" i="18"/>
  <c r="Z248" i="18"/>
  <c r="X248" i="18"/>
  <c r="L248" i="18"/>
  <c r="N248" i="18" s="1"/>
  <c r="B248" i="18"/>
  <c r="T247" i="18"/>
  <c r="P247" i="18"/>
  <c r="X247" i="18" s="1"/>
  <c r="H247" i="18"/>
  <c r="D247" i="18"/>
  <c r="L247" i="18" s="1"/>
  <c r="N247" i="18" s="1"/>
  <c r="B247" i="18"/>
  <c r="Z246" i="18"/>
  <c r="X246" i="18"/>
  <c r="L246" i="18"/>
  <c r="N246" i="18" s="1"/>
  <c r="B246" i="18"/>
  <c r="X245" i="18"/>
  <c r="T245" i="18"/>
  <c r="Z245" i="18" s="1"/>
  <c r="P245" i="18"/>
  <c r="H245" i="18"/>
  <c r="D245" i="18"/>
  <c r="L245" i="18" s="1"/>
  <c r="B245" i="18"/>
  <c r="Z244" i="18"/>
  <c r="X244" i="18"/>
  <c r="N244" i="18"/>
  <c r="L244" i="18"/>
  <c r="B244" i="18"/>
  <c r="X243" i="18"/>
  <c r="Z243" i="18" s="1"/>
  <c r="T243" i="18"/>
  <c r="P243" i="18"/>
  <c r="H243" i="18"/>
  <c r="D243" i="18"/>
  <c r="B243" i="18"/>
  <c r="Z242" i="18"/>
  <c r="X242" i="18"/>
  <c r="N242" i="18"/>
  <c r="L242" i="18"/>
  <c r="B242" i="18"/>
  <c r="Z241" i="18"/>
  <c r="X241" i="18"/>
  <c r="N241" i="18"/>
  <c r="L241" i="18"/>
  <c r="B241" i="18"/>
  <c r="Z240" i="18"/>
  <c r="X240" i="18"/>
  <c r="L240" i="18"/>
  <c r="N240" i="18" s="1"/>
  <c r="B240" i="18"/>
  <c r="T239" i="18"/>
  <c r="P239" i="18"/>
  <c r="X239" i="18" s="1"/>
  <c r="H239" i="18"/>
  <c r="D239" i="18"/>
  <c r="L239" i="18" s="1"/>
  <c r="N239" i="18" s="1"/>
  <c r="B239" i="18"/>
  <c r="Z238" i="18"/>
  <c r="X238" i="18"/>
  <c r="L238" i="18"/>
  <c r="N238" i="18" s="1"/>
  <c r="B238" i="18"/>
  <c r="X237" i="18"/>
  <c r="T237" i="18"/>
  <c r="Z237" i="18" s="1"/>
  <c r="P237" i="18"/>
  <c r="H237" i="18"/>
  <c r="D237" i="18"/>
  <c r="L237" i="18" s="1"/>
  <c r="B237" i="18"/>
  <c r="Z236" i="18"/>
  <c r="X236" i="18"/>
  <c r="N236" i="18"/>
  <c r="L236" i="18"/>
  <c r="B236" i="18"/>
  <c r="Z235" i="18"/>
  <c r="X235" i="18"/>
  <c r="T235" i="18"/>
  <c r="P235" i="18"/>
  <c r="H235" i="18"/>
  <c r="D235" i="18"/>
  <c r="B235" i="18"/>
  <c r="Z234" i="18"/>
  <c r="X234" i="18"/>
  <c r="N234" i="18"/>
  <c r="L234" i="18"/>
  <c r="B234" i="18"/>
  <c r="Z233" i="18"/>
  <c r="X233" i="18"/>
  <c r="L233" i="18"/>
  <c r="N233" i="18" s="1"/>
  <c r="B233" i="18"/>
  <c r="T232" i="18"/>
  <c r="P232" i="18"/>
  <c r="N232" i="18"/>
  <c r="H232" i="18"/>
  <c r="D232" i="18"/>
  <c r="L232" i="18" s="1"/>
  <c r="B232" i="18"/>
  <c r="X231" i="18"/>
  <c r="Z231" i="18" s="1"/>
  <c r="N231" i="18"/>
  <c r="L231" i="18"/>
  <c r="B231" i="18"/>
  <c r="T230" i="18"/>
  <c r="P230" i="18"/>
  <c r="X230" i="18" s="1"/>
  <c r="Z230" i="18" s="1"/>
  <c r="L230" i="18"/>
  <c r="N230" i="18" s="1"/>
  <c r="H230" i="18"/>
  <c r="D230" i="18"/>
  <c r="B230" i="18"/>
  <c r="X229" i="18"/>
  <c r="Z229" i="18" s="1"/>
  <c r="N229" i="18"/>
  <c r="L229" i="18"/>
  <c r="B229" i="18"/>
  <c r="Z228" i="18"/>
  <c r="X228" i="18"/>
  <c r="T228" i="18"/>
  <c r="P228" i="18"/>
  <c r="H228" i="18"/>
  <c r="D228" i="18"/>
  <c r="B228" i="18"/>
  <c r="Z227" i="18"/>
  <c r="X227" i="18"/>
  <c r="N227" i="18"/>
  <c r="L227" i="18"/>
  <c r="B227" i="18"/>
  <c r="T226" i="18"/>
  <c r="X226" i="18" s="1"/>
  <c r="Z226" i="18" s="1"/>
  <c r="P226" i="18"/>
  <c r="H226" i="18"/>
  <c r="N226" i="18" s="1"/>
  <c r="D226" i="18"/>
  <c r="B226" i="18"/>
  <c r="X225" i="18"/>
  <c r="Z225" i="18" s="1"/>
  <c r="L225" i="18"/>
  <c r="N225" i="18" s="1"/>
  <c r="B225" i="18"/>
  <c r="X224" i="18"/>
  <c r="Z224" i="18" s="1"/>
  <c r="N224" i="18"/>
  <c r="L224" i="18"/>
  <c r="B224" i="18"/>
  <c r="T223" i="18"/>
  <c r="P223" i="18"/>
  <c r="X223" i="18" s="1"/>
  <c r="L223" i="18"/>
  <c r="H223" i="18"/>
  <c r="N223" i="18" s="1"/>
  <c r="D223" i="18"/>
  <c r="B223" i="18"/>
  <c r="Z222" i="18"/>
  <c r="X222" i="18"/>
  <c r="N222" i="18"/>
  <c r="L222" i="18"/>
  <c r="B222" i="18"/>
  <c r="X221" i="18"/>
  <c r="Z221" i="18" s="1"/>
  <c r="N221" i="18"/>
  <c r="L221" i="18"/>
  <c r="B221" i="18"/>
  <c r="Z220" i="18"/>
  <c r="X220" i="18"/>
  <c r="N220" i="18"/>
  <c r="L220" i="18"/>
  <c r="B220" i="18"/>
  <c r="Z219" i="18"/>
  <c r="X219" i="18"/>
  <c r="T219" i="18"/>
  <c r="P219" i="18"/>
  <c r="H219" i="18"/>
  <c r="D219" i="18"/>
  <c r="B219" i="18"/>
  <c r="Z218" i="18"/>
  <c r="X218" i="18"/>
  <c r="N218" i="18"/>
  <c r="L218" i="18"/>
  <c r="B218" i="18"/>
  <c r="T217" i="18"/>
  <c r="P217" i="18"/>
  <c r="H217" i="18"/>
  <c r="N217" i="18" s="1"/>
  <c r="D217" i="18"/>
  <c r="L217" i="18" s="1"/>
  <c r="B217" i="18"/>
  <c r="X216" i="18"/>
  <c r="Z216" i="18" s="1"/>
  <c r="N216" i="18"/>
  <c r="L216" i="18"/>
  <c r="B216" i="18"/>
  <c r="X215" i="18"/>
  <c r="Z215" i="18" s="1"/>
  <c r="N215" i="18"/>
  <c r="L215" i="18"/>
  <c r="B215" i="18"/>
  <c r="T214" i="18"/>
  <c r="P214" i="18"/>
  <c r="X214" i="18" s="1"/>
  <c r="Z214" i="18" s="1"/>
  <c r="L214" i="18"/>
  <c r="N214" i="18" s="1"/>
  <c r="H214" i="18"/>
  <c r="D214" i="18"/>
  <c r="B214" i="18"/>
  <c r="X213" i="18"/>
  <c r="Z213" i="18" s="1"/>
  <c r="N213" i="18"/>
  <c r="L213" i="18"/>
  <c r="B213" i="18"/>
  <c r="Z212" i="18"/>
  <c r="X212" i="18"/>
  <c r="T212" i="18"/>
  <c r="P212" i="18"/>
  <c r="H212" i="18"/>
  <c r="D212" i="18"/>
  <c r="B212" i="18"/>
  <c r="Z211" i="18"/>
  <c r="X211" i="18"/>
  <c r="L211" i="18"/>
  <c r="N211" i="18" s="1"/>
  <c r="B211" i="18"/>
  <c r="Z210" i="18"/>
  <c r="X210" i="18"/>
  <c r="N210" i="18"/>
  <c r="L210" i="18"/>
  <c r="B210" i="18"/>
  <c r="Z209" i="18"/>
  <c r="X209" i="18"/>
  <c r="L209" i="18"/>
  <c r="N209" i="18" s="1"/>
  <c r="B209" i="18"/>
  <c r="Z208" i="18"/>
  <c r="X208" i="18"/>
  <c r="L208" i="18"/>
  <c r="N208" i="18" s="1"/>
  <c r="B208" i="18"/>
  <c r="Z207" i="18"/>
  <c r="X207" i="18"/>
  <c r="L207" i="18"/>
  <c r="N207" i="18" s="1"/>
  <c r="B207" i="18"/>
  <c r="Z206" i="18"/>
  <c r="X206" i="18"/>
  <c r="N206" i="18"/>
  <c r="L206" i="18"/>
  <c r="B206" i="18"/>
  <c r="Z205" i="18"/>
  <c r="X205" i="18"/>
  <c r="N205" i="18"/>
  <c r="L205" i="18"/>
  <c r="B205" i="18"/>
  <c r="T204" i="18"/>
  <c r="P204" i="18"/>
  <c r="H204" i="18"/>
  <c r="D204" i="18"/>
  <c r="L204" i="18" s="1"/>
  <c r="N204" i="18" s="1"/>
  <c r="B204" i="18"/>
  <c r="X203" i="18"/>
  <c r="Z203" i="18" s="1"/>
  <c r="N203" i="18"/>
  <c r="L203" i="18"/>
  <c r="B203" i="18"/>
  <c r="X202" i="18"/>
  <c r="Z202" i="18" s="1"/>
  <c r="N202" i="18"/>
  <c r="L202" i="18"/>
  <c r="B202" i="18"/>
  <c r="X201" i="18"/>
  <c r="Z201" i="18" s="1"/>
  <c r="L201" i="18"/>
  <c r="N201" i="18" s="1"/>
  <c r="B201" i="18"/>
  <c r="X200" i="18"/>
  <c r="Z200" i="18" s="1"/>
  <c r="N200" i="18"/>
  <c r="L200" i="18"/>
  <c r="B200" i="18"/>
  <c r="Z199" i="18"/>
  <c r="X199" i="18"/>
  <c r="N199" i="18"/>
  <c r="L199" i="18"/>
  <c r="B199" i="18"/>
  <c r="X198" i="18"/>
  <c r="Z198" i="18" s="1"/>
  <c r="N198" i="18"/>
  <c r="L198" i="18"/>
  <c r="B198" i="18"/>
  <c r="X197" i="18"/>
  <c r="Z197" i="18" s="1"/>
  <c r="L197" i="18"/>
  <c r="N197" i="18" s="1"/>
  <c r="B197" i="18"/>
  <c r="X196" i="18"/>
  <c r="Z196" i="18" s="1"/>
  <c r="N196" i="18"/>
  <c r="L196" i="18"/>
  <c r="B196" i="18"/>
  <c r="X195" i="18"/>
  <c r="Z195" i="18" s="1"/>
  <c r="N195" i="18"/>
  <c r="L195" i="18"/>
  <c r="B195" i="18"/>
  <c r="X194" i="18"/>
  <c r="Z194" i="18" s="1"/>
  <c r="N194" i="18"/>
  <c r="L194" i="18"/>
  <c r="B194" i="18"/>
  <c r="X193" i="18"/>
  <c r="T193" i="18"/>
  <c r="Z193" i="18" s="1"/>
  <c r="P193" i="18"/>
  <c r="H193" i="18"/>
  <c r="D193" i="18"/>
  <c r="L193" i="18" s="1"/>
  <c r="B193" i="18"/>
  <c r="T192" i="18"/>
  <c r="P192" i="18"/>
  <c r="H192" i="18"/>
  <c r="D192" i="18"/>
  <c r="Z188" i="18"/>
  <c r="X188" i="18"/>
  <c r="N188" i="18"/>
  <c r="L188" i="18"/>
  <c r="B188" i="18"/>
  <c r="X187" i="18"/>
  <c r="Z187" i="18" s="1"/>
  <c r="N187" i="18"/>
  <c r="L187" i="18"/>
  <c r="B187" i="18"/>
  <c r="Z186" i="18"/>
  <c r="X186" i="18"/>
  <c r="N186" i="18"/>
  <c r="L186" i="18"/>
  <c r="B186" i="18"/>
  <c r="Z185" i="18"/>
  <c r="X185" i="18"/>
  <c r="N185" i="18"/>
  <c r="L185" i="18"/>
  <c r="B185" i="18"/>
  <c r="Z184" i="18"/>
  <c r="X184" i="18"/>
  <c r="N184" i="18"/>
  <c r="L184" i="18"/>
  <c r="B184" i="18"/>
  <c r="Z183" i="18"/>
  <c r="X183" i="18"/>
  <c r="N183" i="18"/>
  <c r="L183" i="18"/>
  <c r="B183" i="18"/>
  <c r="Z182" i="18"/>
  <c r="X182" i="18"/>
  <c r="N182" i="18"/>
  <c r="L182" i="18"/>
  <c r="B182" i="18"/>
  <c r="Z181" i="18"/>
  <c r="X181" i="18"/>
  <c r="N181" i="18"/>
  <c r="L181" i="18"/>
  <c r="B181" i="18"/>
  <c r="Z180" i="18"/>
  <c r="X180" i="18"/>
  <c r="N180" i="18"/>
  <c r="L180" i="18"/>
  <c r="B180" i="18"/>
  <c r="X179" i="18"/>
  <c r="Z179" i="18" s="1"/>
  <c r="N179" i="18"/>
  <c r="L179" i="18"/>
  <c r="B179" i="18"/>
  <c r="X178" i="18"/>
  <c r="Z178" i="18" s="1"/>
  <c r="N178" i="18"/>
  <c r="L178" i="18"/>
  <c r="B178" i="18"/>
  <c r="Z177" i="18"/>
  <c r="X177" i="18"/>
  <c r="N177" i="18"/>
  <c r="L177" i="18"/>
  <c r="B177" i="18"/>
  <c r="Z176" i="18"/>
  <c r="X176" i="18"/>
  <c r="L176" i="18"/>
  <c r="N176" i="18" s="1"/>
  <c r="B176" i="18"/>
  <c r="Z175" i="18"/>
  <c r="X175" i="18"/>
  <c r="N175" i="18"/>
  <c r="L175" i="18"/>
  <c r="B175" i="18"/>
  <c r="Z174" i="18"/>
  <c r="X174" i="18"/>
  <c r="N174" i="18"/>
  <c r="L174" i="18"/>
  <c r="B174" i="18"/>
  <c r="Z173" i="18"/>
  <c r="X173" i="18"/>
  <c r="N173" i="18"/>
  <c r="L173" i="18"/>
  <c r="B173" i="18"/>
  <c r="Z172" i="18"/>
  <c r="X172" i="18"/>
  <c r="N172" i="18"/>
  <c r="L172" i="18"/>
  <c r="B172" i="18"/>
  <c r="Z171" i="18"/>
  <c r="X171" i="18"/>
  <c r="N171" i="18"/>
  <c r="L171" i="18"/>
  <c r="B171" i="18"/>
  <c r="X170" i="18"/>
  <c r="Z170" i="18" s="1"/>
  <c r="N170" i="18"/>
  <c r="L170" i="18"/>
  <c r="B170" i="18"/>
  <c r="Z169" i="18"/>
  <c r="X169" i="18"/>
  <c r="N169" i="18"/>
  <c r="L169" i="18"/>
  <c r="B169" i="18"/>
  <c r="Z168" i="18"/>
  <c r="X168" i="18"/>
  <c r="L168" i="18"/>
  <c r="N168" i="18" s="1"/>
  <c r="B168" i="18"/>
  <c r="X167" i="18"/>
  <c r="Z167" i="18" s="1"/>
  <c r="N167" i="18"/>
  <c r="L167" i="18"/>
  <c r="B167" i="18"/>
  <c r="Z166" i="18"/>
  <c r="X166" i="18"/>
  <c r="N166" i="18"/>
  <c r="L166" i="18"/>
  <c r="B166" i="18"/>
  <c r="Z165" i="18"/>
  <c r="X165" i="18"/>
  <c r="N165" i="18"/>
  <c r="L165" i="18"/>
  <c r="B165" i="18"/>
  <c r="Z164" i="18"/>
  <c r="X164" i="18"/>
  <c r="N164" i="18"/>
  <c r="L164" i="18"/>
  <c r="B164" i="18"/>
  <c r="Z163" i="18"/>
  <c r="X163" i="18"/>
  <c r="L163" i="18"/>
  <c r="N163" i="18" s="1"/>
  <c r="B163" i="18"/>
  <c r="Z162" i="18"/>
  <c r="X162" i="18"/>
  <c r="N162" i="18"/>
  <c r="L162" i="18"/>
  <c r="B162" i="18"/>
  <c r="Z161" i="18"/>
  <c r="X161" i="18"/>
  <c r="N161" i="18"/>
  <c r="L161" i="18"/>
  <c r="B161" i="18"/>
  <c r="Z160" i="18"/>
  <c r="X160" i="18"/>
  <c r="L160" i="18"/>
  <c r="N160" i="18" s="1"/>
  <c r="B160" i="18"/>
  <c r="Z159" i="18"/>
  <c r="X159" i="18"/>
  <c r="N159" i="18"/>
  <c r="L159" i="18"/>
  <c r="B159" i="18"/>
  <c r="X158" i="18"/>
  <c r="Z158" i="18" s="1"/>
  <c r="N158" i="18"/>
  <c r="L158" i="18"/>
  <c r="B158" i="18"/>
  <c r="Z157" i="18"/>
  <c r="X157" i="18"/>
  <c r="N157" i="18"/>
  <c r="L157" i="18"/>
  <c r="B157" i="18"/>
  <c r="Z156" i="18"/>
  <c r="X156" i="18"/>
  <c r="L156" i="18"/>
  <c r="N156" i="18" s="1"/>
  <c r="B156" i="18"/>
  <c r="Z155" i="18"/>
  <c r="X155" i="18"/>
  <c r="L155" i="18"/>
  <c r="N155" i="18" s="1"/>
  <c r="B155" i="18"/>
  <c r="X154" i="18"/>
  <c r="Z154" i="18" s="1"/>
  <c r="N154" i="18"/>
  <c r="L154" i="18"/>
  <c r="B154" i="18"/>
  <c r="Z153" i="18"/>
  <c r="X153" i="18"/>
  <c r="N153" i="18"/>
  <c r="L153" i="18"/>
  <c r="B153" i="18"/>
  <c r="Z152" i="18"/>
  <c r="X152" i="18"/>
  <c r="L152" i="18"/>
  <c r="N152" i="18" s="1"/>
  <c r="B152" i="18"/>
  <c r="Z151" i="18"/>
  <c r="X151" i="18"/>
  <c r="L151" i="18"/>
  <c r="N151" i="18" s="1"/>
  <c r="B151" i="18"/>
  <c r="X150" i="18"/>
  <c r="Z150" i="18" s="1"/>
  <c r="N150" i="18"/>
  <c r="L150" i="18"/>
  <c r="B150" i="18"/>
  <c r="Z149" i="18"/>
  <c r="X149" i="18"/>
  <c r="N149" i="18"/>
  <c r="L149" i="18"/>
  <c r="B149" i="18"/>
  <c r="Z148" i="18"/>
  <c r="X148" i="18"/>
  <c r="N148" i="18"/>
  <c r="L148" i="18"/>
  <c r="B148" i="18"/>
  <c r="X147" i="18"/>
  <c r="Z147" i="18" s="1"/>
  <c r="N147" i="18"/>
  <c r="L147" i="18"/>
  <c r="B147" i="18"/>
  <c r="Z146" i="18"/>
  <c r="X146" i="18"/>
  <c r="N146" i="18"/>
  <c r="L146" i="18"/>
  <c r="B146" i="18"/>
  <c r="Z145" i="18"/>
  <c r="X145" i="18"/>
  <c r="N145" i="18"/>
  <c r="L145" i="18"/>
  <c r="B145" i="18"/>
  <c r="Z144" i="18"/>
  <c r="X144" i="18"/>
  <c r="N144" i="18"/>
  <c r="L144" i="18"/>
  <c r="B144" i="18"/>
  <c r="Z143" i="18"/>
  <c r="X143" i="18"/>
  <c r="L143" i="18"/>
  <c r="N143" i="18" s="1"/>
  <c r="B143" i="18"/>
  <c r="X142" i="18"/>
  <c r="Z142" i="18" s="1"/>
  <c r="N142" i="18"/>
  <c r="L142" i="18"/>
  <c r="B142" i="18"/>
  <c r="Z141" i="18"/>
  <c r="X141" i="18"/>
  <c r="N141" i="18"/>
  <c r="L141" i="18"/>
  <c r="B141" i="18"/>
  <c r="Z140" i="18"/>
  <c r="X140" i="18"/>
  <c r="N140" i="18"/>
  <c r="L140" i="18"/>
  <c r="B140" i="18"/>
  <c r="X139" i="18"/>
  <c r="Z139" i="18" s="1"/>
  <c r="L139" i="18"/>
  <c r="N139" i="18" s="1"/>
  <c r="B139" i="18"/>
  <c r="Z138" i="18"/>
  <c r="X138" i="18"/>
  <c r="N138" i="18"/>
  <c r="L138" i="18"/>
  <c r="B138" i="18"/>
  <c r="Z137" i="18"/>
  <c r="X137" i="18"/>
  <c r="N137" i="18"/>
  <c r="L137" i="18"/>
  <c r="B137" i="18"/>
  <c r="Z136" i="18"/>
  <c r="X136" i="18"/>
  <c r="L136" i="18"/>
  <c r="N136" i="18" s="1"/>
  <c r="B136" i="18"/>
  <c r="X135" i="18"/>
  <c r="Z135" i="18" s="1"/>
  <c r="L135" i="18"/>
  <c r="N135" i="18" s="1"/>
  <c r="B135" i="18"/>
  <c r="Z134" i="18"/>
  <c r="X134" i="18"/>
  <c r="N134" i="18"/>
  <c r="L134" i="18"/>
  <c r="B134" i="18"/>
  <c r="Z133" i="18"/>
  <c r="X133" i="18"/>
  <c r="N133" i="18"/>
  <c r="L133" i="18"/>
  <c r="B133" i="18"/>
  <c r="Z132" i="18"/>
  <c r="X132" i="18"/>
  <c r="L132" i="18"/>
  <c r="N132" i="18" s="1"/>
  <c r="B132" i="18"/>
  <c r="X131" i="18"/>
  <c r="Z131" i="18" s="1"/>
  <c r="L131" i="18"/>
  <c r="N131" i="18" s="1"/>
  <c r="B131" i="18"/>
  <c r="Z130" i="18"/>
  <c r="X130" i="18"/>
  <c r="N130" i="18"/>
  <c r="L130" i="18"/>
  <c r="B130" i="18"/>
  <c r="T129" i="18"/>
  <c r="P129" i="18"/>
  <c r="L129" i="18"/>
  <c r="N129" i="18" s="1"/>
  <c r="H129" i="18"/>
  <c r="D129" i="18"/>
  <c r="T127" i="18"/>
  <c r="P127" i="18"/>
  <c r="X127" i="18" s="1"/>
  <c r="N127" i="18"/>
  <c r="H127" i="18"/>
  <c r="D127" i="18"/>
  <c r="B127" i="18"/>
  <c r="T126" i="18"/>
  <c r="P126" i="18"/>
  <c r="X126" i="18" s="1"/>
  <c r="Z126" i="18" s="1"/>
  <c r="H126" i="18"/>
  <c r="N126" i="18" s="1"/>
  <c r="D126" i="18"/>
  <c r="L126" i="18" s="1"/>
  <c r="B126" i="18"/>
  <c r="Z125" i="18"/>
  <c r="X125" i="18"/>
  <c r="T125" i="18"/>
  <c r="P125" i="18"/>
  <c r="L125" i="18"/>
  <c r="H125" i="18"/>
  <c r="N125" i="18" s="1"/>
  <c r="D125" i="18"/>
  <c r="B125" i="18"/>
  <c r="T124" i="18"/>
  <c r="P124" i="18"/>
  <c r="X124" i="18" s="1"/>
  <c r="Z124" i="18" s="1"/>
  <c r="N124" i="18"/>
  <c r="L124" i="18"/>
  <c r="H124" i="18"/>
  <c r="D124" i="18"/>
  <c r="B124" i="18"/>
  <c r="T123" i="18"/>
  <c r="P123" i="18"/>
  <c r="X123" i="18" s="1"/>
  <c r="N123" i="18"/>
  <c r="H123" i="18"/>
  <c r="D123" i="18"/>
  <c r="L123" i="18" s="1"/>
  <c r="B123" i="18"/>
  <c r="T122" i="18"/>
  <c r="P122" i="18"/>
  <c r="X122" i="18" s="1"/>
  <c r="Z122" i="18" s="1"/>
  <c r="H122" i="18"/>
  <c r="N122" i="18" s="1"/>
  <c r="D122" i="18"/>
  <c r="L122" i="18" s="1"/>
  <c r="B122" i="18"/>
  <c r="Z121" i="18"/>
  <c r="X121" i="18"/>
  <c r="T121" i="18"/>
  <c r="P121" i="18"/>
  <c r="L121" i="18"/>
  <c r="H121" i="18"/>
  <c r="N121" i="18" s="1"/>
  <c r="D121" i="18"/>
  <c r="B121" i="18"/>
  <c r="T120" i="18"/>
  <c r="P120" i="18"/>
  <c r="X120" i="18" s="1"/>
  <c r="Z120" i="18" s="1"/>
  <c r="N120" i="18"/>
  <c r="L120" i="18"/>
  <c r="H120" i="18"/>
  <c r="D120" i="18"/>
  <c r="B120" i="18"/>
  <c r="T119" i="18"/>
  <c r="P119" i="18"/>
  <c r="X119" i="18" s="1"/>
  <c r="H119" i="18"/>
  <c r="N119" i="18" s="1"/>
  <c r="D119" i="18"/>
  <c r="B119" i="18"/>
  <c r="T118" i="18"/>
  <c r="P118" i="18"/>
  <c r="X118" i="18" s="1"/>
  <c r="Z118" i="18" s="1"/>
  <c r="H118" i="18"/>
  <c r="N118" i="18" s="1"/>
  <c r="D118" i="18"/>
  <c r="L118" i="18" s="1"/>
  <c r="B118" i="18"/>
  <c r="X117" i="18"/>
  <c r="Z117" i="18" s="1"/>
  <c r="T117" i="18"/>
  <c r="P117" i="18"/>
  <c r="L117" i="18"/>
  <c r="H117" i="18"/>
  <c r="N117" i="18" s="1"/>
  <c r="D117" i="18"/>
  <c r="B117" i="18"/>
  <c r="T116" i="18"/>
  <c r="P116" i="18"/>
  <c r="X116" i="18" s="1"/>
  <c r="Z116" i="18" s="1"/>
  <c r="N116" i="18"/>
  <c r="L116" i="18"/>
  <c r="H116" i="18"/>
  <c r="D116" i="18"/>
  <c r="B116" i="18"/>
  <c r="T115" i="18"/>
  <c r="P115" i="18"/>
  <c r="X115" i="18" s="1"/>
  <c r="H115" i="18"/>
  <c r="D115" i="18"/>
  <c r="B115" i="18"/>
  <c r="T114" i="18"/>
  <c r="P114" i="18"/>
  <c r="X114" i="18" s="1"/>
  <c r="Z114" i="18" s="1"/>
  <c r="H114" i="18"/>
  <c r="N114" i="18" s="1"/>
  <c r="D114" i="18"/>
  <c r="L114" i="18" s="1"/>
  <c r="B114" i="18"/>
  <c r="Z113" i="18"/>
  <c r="X113" i="18"/>
  <c r="T113" i="18"/>
  <c r="P113" i="18"/>
  <c r="L113" i="18"/>
  <c r="H113" i="18"/>
  <c r="N113" i="18" s="1"/>
  <c r="D113" i="18"/>
  <c r="B113" i="18"/>
  <c r="T112" i="18"/>
  <c r="P112" i="18"/>
  <c r="X112" i="18" s="1"/>
  <c r="Z112" i="18" s="1"/>
  <c r="N112" i="18"/>
  <c r="L112" i="18"/>
  <c r="H112" i="18"/>
  <c r="D112" i="18"/>
  <c r="B112" i="18"/>
  <c r="T111" i="18"/>
  <c r="P111" i="18"/>
  <c r="X111" i="18" s="1"/>
  <c r="N111" i="18"/>
  <c r="H111" i="18"/>
  <c r="D111" i="18"/>
  <c r="L111" i="18" s="1"/>
  <c r="B111" i="18"/>
  <c r="T110" i="18"/>
  <c r="P110" i="18"/>
  <c r="X110" i="18" s="1"/>
  <c r="H110" i="18"/>
  <c r="N110" i="18" s="1"/>
  <c r="D110" i="18"/>
  <c r="L110" i="18" s="1"/>
  <c r="B110" i="18"/>
  <c r="Z109" i="18"/>
  <c r="X109" i="18"/>
  <c r="T109" i="18"/>
  <c r="P109" i="18"/>
  <c r="L109" i="18"/>
  <c r="H109" i="18"/>
  <c r="N109" i="18" s="1"/>
  <c r="D109" i="18"/>
  <c r="B109" i="18"/>
  <c r="Z108" i="18"/>
  <c r="T108" i="18"/>
  <c r="P108" i="18"/>
  <c r="X108" i="18" s="1"/>
  <c r="N108" i="18"/>
  <c r="L108" i="18"/>
  <c r="H108" i="18"/>
  <c r="D108" i="18"/>
  <c r="B108" i="18"/>
  <c r="T107" i="18"/>
  <c r="P107" i="18"/>
  <c r="X107" i="18" s="1"/>
  <c r="H107" i="18"/>
  <c r="N107" i="18" s="1"/>
  <c r="D107" i="18"/>
  <c r="B107" i="18"/>
  <c r="T106" i="18"/>
  <c r="Z106" i="18" s="1"/>
  <c r="P106" i="18"/>
  <c r="X106" i="18" s="1"/>
  <c r="H106" i="18"/>
  <c r="N106" i="18" s="1"/>
  <c r="D106" i="18"/>
  <c r="L106" i="18" s="1"/>
  <c r="B106" i="18"/>
  <c r="X105" i="18"/>
  <c r="Z105" i="18" s="1"/>
  <c r="T105" i="18"/>
  <c r="P105" i="18"/>
  <c r="L105" i="18"/>
  <c r="H105" i="18"/>
  <c r="N105" i="18" s="1"/>
  <c r="D105" i="18"/>
  <c r="B105" i="18"/>
  <c r="T104" i="18"/>
  <c r="P104" i="18"/>
  <c r="X104" i="18" s="1"/>
  <c r="Z104" i="18" s="1"/>
  <c r="N104" i="18"/>
  <c r="L104" i="18"/>
  <c r="H104" i="18"/>
  <c r="D104" i="18"/>
  <c r="B104" i="18"/>
  <c r="T103" i="18"/>
  <c r="Z103" i="18" s="1"/>
  <c r="P103" i="18"/>
  <c r="X103" i="18" s="1"/>
  <c r="H103" i="18"/>
  <c r="D103" i="18"/>
  <c r="B103" i="18"/>
  <c r="T102" i="18"/>
  <c r="Z102" i="18" s="1"/>
  <c r="P102" i="18"/>
  <c r="X102" i="18" s="1"/>
  <c r="H102" i="18"/>
  <c r="N102" i="18" s="1"/>
  <c r="D102" i="18"/>
  <c r="L102" i="18" s="1"/>
  <c r="B102" i="18"/>
  <c r="Z101" i="18"/>
  <c r="X101" i="18"/>
  <c r="T101" i="18"/>
  <c r="P101" i="18"/>
  <c r="L101" i="18"/>
  <c r="H101" i="18"/>
  <c r="N101" i="18" s="1"/>
  <c r="D101" i="18"/>
  <c r="B101" i="18"/>
  <c r="T100" i="18"/>
  <c r="P100" i="18"/>
  <c r="X100" i="18" s="1"/>
  <c r="Z100" i="18" s="1"/>
  <c r="N100" i="18"/>
  <c r="L100" i="18"/>
  <c r="H100" i="18"/>
  <c r="D100" i="18"/>
  <c r="B100" i="18"/>
  <c r="T99" i="18"/>
  <c r="P99" i="18"/>
  <c r="X99" i="18" s="1"/>
  <c r="N99" i="18"/>
  <c r="H99" i="18"/>
  <c r="D99" i="18"/>
  <c r="L99" i="18" s="1"/>
  <c r="B99" i="18"/>
  <c r="T98" i="18"/>
  <c r="P98" i="18"/>
  <c r="X98" i="18" s="1"/>
  <c r="H98" i="18"/>
  <c r="D98" i="18"/>
  <c r="B98" i="18"/>
  <c r="T97" i="18"/>
  <c r="P97" i="18"/>
  <c r="L97" i="18"/>
  <c r="H97" i="18"/>
  <c r="N97" i="18" s="1"/>
  <c r="D97" i="18"/>
  <c r="B97" i="18"/>
  <c r="T96" i="18"/>
  <c r="P96" i="18"/>
  <c r="X96" i="18" s="1"/>
  <c r="Z96" i="18" s="1"/>
  <c r="N96" i="18"/>
  <c r="L96" i="18"/>
  <c r="H96" i="18"/>
  <c r="D96" i="18"/>
  <c r="B96" i="18"/>
  <c r="T95" i="18"/>
  <c r="P95" i="18"/>
  <c r="X95" i="18" s="1"/>
  <c r="N95" i="18"/>
  <c r="L95" i="18"/>
  <c r="H95" i="18"/>
  <c r="D95" i="18"/>
  <c r="B95" i="18"/>
  <c r="T94" i="18"/>
  <c r="Z94" i="18" s="1"/>
  <c r="P94" i="18"/>
  <c r="X94" i="18" s="1"/>
  <c r="L94" i="18"/>
  <c r="H94" i="18"/>
  <c r="N94" i="18" s="1"/>
  <c r="D94" i="18"/>
  <c r="B94" i="18"/>
  <c r="T93" i="18"/>
  <c r="P93" i="18"/>
  <c r="L93" i="18"/>
  <c r="H93" i="18"/>
  <c r="N93" i="18" s="1"/>
  <c r="D93" i="18"/>
  <c r="B93" i="18"/>
  <c r="Z92" i="18"/>
  <c r="X92" i="18"/>
  <c r="T92" i="18"/>
  <c r="P92" i="18"/>
  <c r="N92" i="18"/>
  <c r="L92" i="18"/>
  <c r="H92" i="18"/>
  <c r="D92" i="18"/>
  <c r="B92" i="18"/>
  <c r="T91" i="18"/>
  <c r="P91" i="18"/>
  <c r="L91" i="18"/>
  <c r="H91" i="18"/>
  <c r="N91" i="18" s="1"/>
  <c r="D91" i="18"/>
  <c r="B91" i="18"/>
  <c r="T90" i="18"/>
  <c r="Z90" i="18" s="1"/>
  <c r="P90" i="18"/>
  <c r="X90" i="18" s="1"/>
  <c r="L90" i="18"/>
  <c r="H90" i="18"/>
  <c r="N90" i="18" s="1"/>
  <c r="D90" i="18"/>
  <c r="B90" i="18"/>
  <c r="T89" i="18"/>
  <c r="P89" i="18"/>
  <c r="L89" i="18"/>
  <c r="H89" i="18"/>
  <c r="N89" i="18" s="1"/>
  <c r="D89" i="18"/>
  <c r="B89" i="18"/>
  <c r="T88" i="18"/>
  <c r="P88" i="18"/>
  <c r="X88" i="18" s="1"/>
  <c r="Z88" i="18" s="1"/>
  <c r="N88" i="18"/>
  <c r="L88" i="18"/>
  <c r="H88" i="18"/>
  <c r="D88" i="18"/>
  <c r="B88" i="18"/>
  <c r="T87" i="18"/>
  <c r="P87" i="18"/>
  <c r="X87" i="18" s="1"/>
  <c r="L87" i="18"/>
  <c r="N87" i="18" s="1"/>
  <c r="H87" i="18"/>
  <c r="D87" i="18"/>
  <c r="B87" i="18"/>
  <c r="T86" i="18"/>
  <c r="Z86" i="18" s="1"/>
  <c r="P86" i="18"/>
  <c r="X86" i="18" s="1"/>
  <c r="L86" i="18"/>
  <c r="H86" i="18"/>
  <c r="N86" i="18" s="1"/>
  <c r="D86" i="18"/>
  <c r="B86" i="18"/>
  <c r="T85" i="18"/>
  <c r="P85" i="18"/>
  <c r="L85" i="18"/>
  <c r="H85" i="18"/>
  <c r="N85" i="18" s="1"/>
  <c r="D85" i="18"/>
  <c r="B85" i="18"/>
  <c r="Z84" i="18"/>
  <c r="X84" i="18"/>
  <c r="T84" i="18"/>
  <c r="P84" i="18"/>
  <c r="N84" i="18"/>
  <c r="L84" i="18"/>
  <c r="H84" i="18"/>
  <c r="D84" i="18"/>
  <c r="B84" i="18"/>
  <c r="T83" i="18"/>
  <c r="P83" i="18"/>
  <c r="L83" i="18"/>
  <c r="H83" i="18"/>
  <c r="N83" i="18" s="1"/>
  <c r="D83" i="18"/>
  <c r="B83" i="18"/>
  <c r="T82" i="18"/>
  <c r="P82" i="18"/>
  <c r="L82" i="18"/>
  <c r="H82" i="18"/>
  <c r="N82" i="18" s="1"/>
  <c r="D82" i="18"/>
  <c r="B82" i="18"/>
  <c r="T81" i="18"/>
  <c r="P81" i="18"/>
  <c r="L81" i="18"/>
  <c r="H81" i="18"/>
  <c r="N81" i="18" s="1"/>
  <c r="D81" i="18"/>
  <c r="B81" i="18"/>
  <c r="Z80" i="18"/>
  <c r="T80" i="18"/>
  <c r="P80" i="18"/>
  <c r="X80" i="18" s="1"/>
  <c r="N80" i="18"/>
  <c r="L80" i="18"/>
  <c r="H80" i="18"/>
  <c r="D80" i="18"/>
  <c r="B80" i="18"/>
  <c r="T79" i="18"/>
  <c r="P79" i="18"/>
  <c r="X79" i="18" s="1"/>
  <c r="N79" i="18"/>
  <c r="L79" i="18"/>
  <c r="H79" i="18"/>
  <c r="D79" i="18"/>
  <c r="B79" i="18"/>
  <c r="T78" i="18"/>
  <c r="P78" i="18"/>
  <c r="L78" i="18"/>
  <c r="H78" i="18"/>
  <c r="D78" i="18"/>
  <c r="B78" i="18"/>
  <c r="T77" i="18"/>
  <c r="P77" i="18"/>
  <c r="L77" i="18"/>
  <c r="H77" i="18"/>
  <c r="N77" i="18" s="1"/>
  <c r="D77" i="18"/>
  <c r="B77" i="18"/>
  <c r="Z76" i="18"/>
  <c r="X76" i="18"/>
  <c r="T76" i="18"/>
  <c r="P76" i="18"/>
  <c r="N76" i="18"/>
  <c r="L76" i="18"/>
  <c r="H76" i="18"/>
  <c r="D76" i="18"/>
  <c r="B76" i="18"/>
  <c r="T75" i="18"/>
  <c r="P75" i="18"/>
  <c r="L75" i="18"/>
  <c r="H75" i="18"/>
  <c r="N75" i="18" s="1"/>
  <c r="D75" i="18"/>
  <c r="B75" i="18"/>
  <c r="T74" i="18"/>
  <c r="P74" i="18"/>
  <c r="L74" i="18"/>
  <c r="H74" i="18"/>
  <c r="D74" i="18"/>
  <c r="B74" i="18"/>
  <c r="T73" i="18"/>
  <c r="P73" i="18"/>
  <c r="L73" i="18"/>
  <c r="H73" i="18"/>
  <c r="N73" i="18" s="1"/>
  <c r="D73" i="18"/>
  <c r="B73" i="18"/>
  <c r="Z72" i="18"/>
  <c r="T72" i="18"/>
  <c r="P72" i="18"/>
  <c r="X72" i="18" s="1"/>
  <c r="N72" i="18"/>
  <c r="L72" i="18"/>
  <c r="H72" i="18"/>
  <c r="D72" i="18"/>
  <c r="B72" i="18"/>
  <c r="T71" i="18"/>
  <c r="Z71" i="18" s="1"/>
  <c r="P71" i="18"/>
  <c r="X71" i="18" s="1"/>
  <c r="L71" i="18"/>
  <c r="N71" i="18" s="1"/>
  <c r="H71" i="18"/>
  <c r="D71" i="18"/>
  <c r="B71" i="18"/>
  <c r="T70" i="18"/>
  <c r="P70" i="18"/>
  <c r="L70" i="18"/>
  <c r="H70" i="18"/>
  <c r="D70" i="18"/>
  <c r="B70" i="18"/>
  <c r="T69" i="18"/>
  <c r="P69" i="18"/>
  <c r="L69" i="18"/>
  <c r="H69" i="18"/>
  <c r="N69" i="18" s="1"/>
  <c r="D69" i="18"/>
  <c r="B69" i="18"/>
  <c r="Z68" i="18"/>
  <c r="X68" i="18"/>
  <c r="T68" i="18"/>
  <c r="P68" i="18"/>
  <c r="N68" i="18"/>
  <c r="L68" i="18"/>
  <c r="H68" i="18"/>
  <c r="D68" i="18"/>
  <c r="B68" i="18"/>
  <c r="T67" i="18"/>
  <c r="P67" i="18"/>
  <c r="L67" i="18"/>
  <c r="H67" i="18"/>
  <c r="N67" i="18" s="1"/>
  <c r="D67" i="18"/>
  <c r="B67" i="18"/>
  <c r="T66" i="18"/>
  <c r="P66" i="18"/>
  <c r="L66" i="18"/>
  <c r="H66" i="18"/>
  <c r="N66" i="18" s="1"/>
  <c r="D66" i="18"/>
  <c r="B66" i="18"/>
  <c r="T65" i="18"/>
  <c r="P65" i="18"/>
  <c r="L65" i="18"/>
  <c r="H65" i="18"/>
  <c r="N65" i="18" s="1"/>
  <c r="D65" i="18"/>
  <c r="B65" i="18"/>
  <c r="Z64" i="18"/>
  <c r="T64" i="18"/>
  <c r="P64" i="18"/>
  <c r="X64" i="18" s="1"/>
  <c r="N64" i="18"/>
  <c r="L64" i="18"/>
  <c r="H64" i="18"/>
  <c r="D64" i="18"/>
  <c r="B64" i="18"/>
  <c r="T63" i="18"/>
  <c r="P63" i="18"/>
  <c r="X63" i="18" s="1"/>
  <c r="N63" i="18"/>
  <c r="L63" i="18"/>
  <c r="H63" i="18"/>
  <c r="D63" i="18"/>
  <c r="B63" i="18"/>
  <c r="T62" i="18"/>
  <c r="P62" i="18"/>
  <c r="L62" i="18"/>
  <c r="H62" i="18"/>
  <c r="D62" i="18"/>
  <c r="B62" i="18"/>
  <c r="T61" i="18"/>
  <c r="P61" i="18"/>
  <c r="L61" i="18"/>
  <c r="H61" i="18"/>
  <c r="N61" i="18" s="1"/>
  <c r="D61" i="18"/>
  <c r="B61" i="18"/>
  <c r="Z60" i="18"/>
  <c r="X60" i="18"/>
  <c r="T60" i="18"/>
  <c r="P60" i="18"/>
  <c r="N60" i="18"/>
  <c r="L60" i="18"/>
  <c r="H60" i="18"/>
  <c r="D60" i="18"/>
  <c r="B60" i="18"/>
  <c r="T59" i="18"/>
  <c r="P59" i="18"/>
  <c r="L59" i="18"/>
  <c r="H59" i="18"/>
  <c r="N59" i="18" s="1"/>
  <c r="D59" i="18"/>
  <c r="B59" i="18"/>
  <c r="T58" i="18"/>
  <c r="P58" i="18"/>
  <c r="L58" i="18"/>
  <c r="H58" i="18"/>
  <c r="N58" i="18" s="1"/>
  <c r="D58" i="18"/>
  <c r="B58" i="18"/>
  <c r="T57" i="18"/>
  <c r="P57" i="18"/>
  <c r="L57" i="18"/>
  <c r="H57" i="18"/>
  <c r="N57" i="18" s="1"/>
  <c r="D57" i="18"/>
  <c r="B57" i="18"/>
  <c r="T56" i="18"/>
  <c r="P56" i="18"/>
  <c r="X56" i="18" s="1"/>
  <c r="Z56" i="18" s="1"/>
  <c r="H56" i="18"/>
  <c r="D56" i="18"/>
  <c r="B56" i="18"/>
  <c r="T55" i="18"/>
  <c r="P55" i="18"/>
  <c r="X55" i="18" s="1"/>
  <c r="L55" i="18"/>
  <c r="N55" i="18" s="1"/>
  <c r="H55" i="18"/>
  <c r="D55" i="18"/>
  <c r="B55" i="18"/>
  <c r="T54" i="18"/>
  <c r="P54" i="18"/>
  <c r="X54" i="18" s="1"/>
  <c r="Z54" i="18" s="1"/>
  <c r="L54" i="18"/>
  <c r="H54" i="18"/>
  <c r="D54" i="18"/>
  <c r="B54" i="18"/>
  <c r="X53" i="18"/>
  <c r="Z53" i="18" s="1"/>
  <c r="T53" i="18"/>
  <c r="P53" i="18"/>
  <c r="L53" i="18"/>
  <c r="H53" i="18"/>
  <c r="N53" i="18" s="1"/>
  <c r="D53" i="18"/>
  <c r="B53" i="18"/>
  <c r="T52" i="18"/>
  <c r="P52" i="18"/>
  <c r="X52" i="18" s="1"/>
  <c r="Z52" i="18" s="1"/>
  <c r="L52" i="18"/>
  <c r="N52" i="18" s="1"/>
  <c r="H52" i="18"/>
  <c r="D52" i="18"/>
  <c r="B52" i="18"/>
  <c r="T51" i="18"/>
  <c r="P51" i="18"/>
  <c r="N51" i="18"/>
  <c r="L51" i="18"/>
  <c r="H51" i="18"/>
  <c r="D51" i="18"/>
  <c r="B51" i="18"/>
  <c r="T50" i="18"/>
  <c r="P50" i="18"/>
  <c r="H50" i="18"/>
  <c r="D50" i="18"/>
  <c r="L50" i="18" s="1"/>
  <c r="B50" i="18"/>
  <c r="Z49" i="18"/>
  <c r="X49" i="18"/>
  <c r="T49" i="18"/>
  <c r="P49" i="18"/>
  <c r="L49" i="18"/>
  <c r="H49" i="18"/>
  <c r="N49" i="18" s="1"/>
  <c r="D49" i="18"/>
  <c r="B49" i="18"/>
  <c r="X48" i="18"/>
  <c r="T48" i="18"/>
  <c r="Z48" i="18" s="1"/>
  <c r="P48" i="18"/>
  <c r="N48" i="18"/>
  <c r="L48" i="18"/>
  <c r="H48" i="18"/>
  <c r="D48" i="18"/>
  <c r="B48" i="18"/>
  <c r="T47" i="18"/>
  <c r="P47" i="18"/>
  <c r="X47" i="18" s="1"/>
  <c r="H47" i="18"/>
  <c r="D47" i="18"/>
  <c r="L47" i="18" s="1"/>
  <c r="B47" i="18"/>
  <c r="T46" i="18"/>
  <c r="P46" i="18"/>
  <c r="H46" i="18"/>
  <c r="D46" i="18"/>
  <c r="B46" i="18"/>
  <c r="T45" i="18"/>
  <c r="Z45" i="18" s="1"/>
  <c r="P45" i="18"/>
  <c r="X45" i="18" s="1"/>
  <c r="L45" i="18"/>
  <c r="H45" i="18"/>
  <c r="N45" i="18" s="1"/>
  <c r="D45" i="18"/>
  <c r="B45" i="18"/>
  <c r="T44" i="18"/>
  <c r="P44" i="18"/>
  <c r="X44" i="18" s="1"/>
  <c r="Z44" i="18" s="1"/>
  <c r="H44" i="18"/>
  <c r="N44" i="18" s="1"/>
  <c r="D44" i="18"/>
  <c r="B44" i="18"/>
  <c r="T43" i="18"/>
  <c r="P43" i="18"/>
  <c r="H43" i="18"/>
  <c r="D43" i="18"/>
  <c r="B43" i="18"/>
  <c r="T42" i="18"/>
  <c r="Z42" i="18" s="1"/>
  <c r="P42" i="18"/>
  <c r="X42" i="18" s="1"/>
  <c r="H42" i="18"/>
  <c r="D42" i="18"/>
  <c r="L42" i="18" s="1"/>
  <c r="B42" i="18"/>
  <c r="T41" i="18"/>
  <c r="P41" i="18"/>
  <c r="L41" i="18"/>
  <c r="H41" i="18"/>
  <c r="D41" i="18"/>
  <c r="B41" i="18"/>
  <c r="T40" i="18"/>
  <c r="P40" i="18"/>
  <c r="X40" i="18" s="1"/>
  <c r="H40" i="18"/>
  <c r="N40" i="18" s="1"/>
  <c r="D40" i="18"/>
  <c r="B40" i="18"/>
  <c r="T39" i="18"/>
  <c r="P39" i="18"/>
  <c r="X39" i="18" s="1"/>
  <c r="H39" i="18"/>
  <c r="D39" i="18"/>
  <c r="L39" i="18" s="1"/>
  <c r="N39" i="18" s="1"/>
  <c r="B39" i="18"/>
  <c r="T38" i="18"/>
  <c r="Z38" i="18" s="1"/>
  <c r="P38" i="18"/>
  <c r="X38" i="18" s="1"/>
  <c r="H38" i="18"/>
  <c r="D38" i="18"/>
  <c r="B38" i="18"/>
  <c r="T37" i="18"/>
  <c r="P37" i="18"/>
  <c r="X37" i="18" s="1"/>
  <c r="Z37" i="18" s="1"/>
  <c r="L37" i="18"/>
  <c r="H37" i="18"/>
  <c r="D37" i="18"/>
  <c r="B37" i="18"/>
  <c r="X36" i="18"/>
  <c r="Z36" i="18" s="1"/>
  <c r="T36" i="18"/>
  <c r="P36" i="18"/>
  <c r="N36" i="18"/>
  <c r="L36" i="18"/>
  <c r="H36" i="18"/>
  <c r="D36" i="18"/>
  <c r="B36" i="18"/>
  <c r="T35" i="18"/>
  <c r="Z35" i="18" s="1"/>
  <c r="P35" i="18"/>
  <c r="X35" i="18" s="1"/>
  <c r="L35" i="18"/>
  <c r="N35" i="18" s="1"/>
  <c r="H35" i="18"/>
  <c r="D35" i="18"/>
  <c r="B35" i="18"/>
  <c r="T34" i="18"/>
  <c r="P34" i="18"/>
  <c r="X34" i="18" s="1"/>
  <c r="Z34" i="18" s="1"/>
  <c r="L34" i="18"/>
  <c r="H34" i="18"/>
  <c r="D34" i="18"/>
  <c r="B34" i="18"/>
  <c r="X33" i="18"/>
  <c r="Z33" i="18" s="1"/>
  <c r="T33" i="18"/>
  <c r="P33" i="18"/>
  <c r="L33" i="18"/>
  <c r="H33" i="18"/>
  <c r="N33" i="18" s="1"/>
  <c r="D33" i="18"/>
  <c r="B33" i="18"/>
  <c r="T32" i="18"/>
  <c r="P32" i="18"/>
  <c r="X32" i="18" s="1"/>
  <c r="Z32" i="18" s="1"/>
  <c r="N32" i="18"/>
  <c r="L32" i="18"/>
  <c r="H32" i="18"/>
  <c r="D32" i="18"/>
  <c r="B32" i="18"/>
  <c r="T31" i="18"/>
  <c r="P31" i="18"/>
  <c r="X31" i="18" s="1"/>
  <c r="Z31" i="18" s="1"/>
  <c r="N31" i="18"/>
  <c r="H31" i="18"/>
  <c r="D31" i="18"/>
  <c r="L31" i="18" s="1"/>
  <c r="B31" i="18"/>
  <c r="Z30" i="18"/>
  <c r="T30" i="18"/>
  <c r="P30" i="18"/>
  <c r="X30" i="18" s="1"/>
  <c r="H30" i="18"/>
  <c r="N30" i="18" s="1"/>
  <c r="D30" i="18"/>
  <c r="L30" i="18" s="1"/>
  <c r="B30" i="18"/>
  <c r="T29" i="18"/>
  <c r="P29" i="18"/>
  <c r="X29" i="18" s="1"/>
  <c r="Z29" i="18" s="1"/>
  <c r="H29" i="18"/>
  <c r="N29" i="18" s="1"/>
  <c r="D29" i="18"/>
  <c r="L29" i="18" s="1"/>
  <c r="B29" i="18"/>
  <c r="Z28" i="18"/>
  <c r="X28" i="18"/>
  <c r="T28" i="18"/>
  <c r="P28" i="18"/>
  <c r="H28" i="18"/>
  <c r="D28" i="18"/>
  <c r="B28" i="18"/>
  <c r="T27" i="18"/>
  <c r="P27" i="18"/>
  <c r="X27" i="18" s="1"/>
  <c r="Z27" i="18" s="1"/>
  <c r="H27" i="18"/>
  <c r="D27" i="18"/>
  <c r="L27" i="18" s="1"/>
  <c r="N27" i="18" s="1"/>
  <c r="B27" i="18"/>
  <c r="Z26" i="18"/>
  <c r="T26" i="18"/>
  <c r="P26" i="18"/>
  <c r="X26" i="18" s="1"/>
  <c r="H26" i="18"/>
  <c r="D26" i="18"/>
  <c r="B26" i="18"/>
  <c r="T25" i="18"/>
  <c r="P25" i="18"/>
  <c r="X25" i="18" s="1"/>
  <c r="Z25" i="18" s="1"/>
  <c r="H25" i="18"/>
  <c r="N25" i="18" s="1"/>
  <c r="D25" i="18"/>
  <c r="L25" i="18" s="1"/>
  <c r="B25" i="18"/>
  <c r="Z24" i="18"/>
  <c r="X24" i="18"/>
  <c r="T24" i="18"/>
  <c r="P24" i="18"/>
  <c r="H24" i="18"/>
  <c r="D24" i="18"/>
  <c r="B24" i="18"/>
  <c r="T23" i="18"/>
  <c r="P23" i="18"/>
  <c r="X23" i="18" s="1"/>
  <c r="Z23" i="18" s="1"/>
  <c r="N23" i="18"/>
  <c r="H23" i="18"/>
  <c r="D23" i="18"/>
  <c r="L23" i="18" s="1"/>
  <c r="B23" i="18"/>
  <c r="Z22" i="18"/>
  <c r="T22" i="18"/>
  <c r="P22" i="18"/>
  <c r="X22" i="18" s="1"/>
  <c r="H22" i="18"/>
  <c r="N22" i="18" s="1"/>
  <c r="D22" i="18"/>
  <c r="B22" i="18"/>
  <c r="T21" i="18"/>
  <c r="P21" i="18"/>
  <c r="X21" i="18" s="1"/>
  <c r="Z21" i="18" s="1"/>
  <c r="H21" i="18"/>
  <c r="N21" i="18" s="1"/>
  <c r="D21" i="18"/>
  <c r="L21" i="18" s="1"/>
  <c r="B21" i="18"/>
  <c r="Z20" i="18"/>
  <c r="X20" i="18"/>
  <c r="T20" i="18"/>
  <c r="P20" i="18"/>
  <c r="H20" i="18"/>
  <c r="D20" i="18"/>
  <c r="B20" i="18"/>
  <c r="T19" i="18"/>
  <c r="P19" i="18"/>
  <c r="X19" i="18" s="1"/>
  <c r="Z19" i="18" s="1"/>
  <c r="H19" i="18"/>
  <c r="D19" i="18"/>
  <c r="L19" i="18" s="1"/>
  <c r="N19" i="18" s="1"/>
  <c r="B19" i="18"/>
  <c r="T18" i="18"/>
  <c r="P18" i="18"/>
  <c r="X18" i="18" s="1"/>
  <c r="Z18" i="18" s="1"/>
  <c r="H18" i="18"/>
  <c r="N18" i="18" s="1"/>
  <c r="D18" i="18"/>
  <c r="L18" i="18" s="1"/>
  <c r="B18" i="18"/>
  <c r="T17" i="18"/>
  <c r="P17" i="18"/>
  <c r="X17" i="18" s="1"/>
  <c r="Z17" i="18" s="1"/>
  <c r="H17" i="18"/>
  <c r="N17" i="18" s="1"/>
  <c r="D17" i="18"/>
  <c r="L17" i="18" s="1"/>
  <c r="B17" i="18"/>
  <c r="Z16" i="18"/>
  <c r="X16" i="18"/>
  <c r="T16" i="18"/>
  <c r="P16" i="18"/>
  <c r="H16" i="18"/>
  <c r="D16" i="18"/>
  <c r="B16" i="18"/>
  <c r="T15" i="18"/>
  <c r="P15" i="18"/>
  <c r="X15" i="18" s="1"/>
  <c r="Z15" i="18" s="1"/>
  <c r="H15" i="18"/>
  <c r="D15" i="18"/>
  <c r="L15" i="18" s="1"/>
  <c r="N15" i="18" s="1"/>
  <c r="B15" i="18"/>
  <c r="T14" i="18"/>
  <c r="P14" i="18"/>
  <c r="X14" i="18" s="1"/>
  <c r="Z14" i="18" s="1"/>
  <c r="H14" i="18"/>
  <c r="D14" i="18"/>
  <c r="B14" i="18"/>
  <c r="T13" i="18"/>
  <c r="P13" i="18"/>
  <c r="H13" i="18"/>
  <c r="N13" i="18" s="1"/>
  <c r="D13" i="18"/>
  <c r="B13" i="18"/>
  <c r="D4" i="18"/>
  <c r="X272" i="15"/>
  <c r="Z272" i="15" s="1"/>
  <c r="L272" i="15"/>
  <c r="N272" i="15" s="1"/>
  <c r="T268" i="15"/>
  <c r="Z268" i="15" s="1"/>
  <c r="P268" i="15"/>
  <c r="X268" i="15" s="1"/>
  <c r="H268" i="15"/>
  <c r="D268" i="15"/>
  <c r="L268" i="15" s="1"/>
  <c r="N268" i="15" s="1"/>
  <c r="B268" i="15"/>
  <c r="T267" i="15"/>
  <c r="Z267" i="15" s="1"/>
  <c r="R267" i="15"/>
  <c r="P267" i="15"/>
  <c r="X267" i="15" s="1"/>
  <c r="H267" i="15"/>
  <c r="N267" i="15" s="1"/>
  <c r="D267" i="15"/>
  <c r="L267" i="15" s="1"/>
  <c r="B267" i="15"/>
  <c r="T266" i="15"/>
  <c r="R266" i="15"/>
  <c r="P266" i="15"/>
  <c r="H266" i="15"/>
  <c r="D266" i="15"/>
  <c r="B266" i="15"/>
  <c r="T265" i="15"/>
  <c r="Z265" i="15" s="1"/>
  <c r="P265" i="15"/>
  <c r="X265" i="15" s="1"/>
  <c r="J265" i="15"/>
  <c r="H265" i="15"/>
  <c r="D265" i="15"/>
  <c r="L265" i="15" s="1"/>
  <c r="N265" i="15" s="1"/>
  <c r="B265" i="15"/>
  <c r="X264" i="15"/>
  <c r="Z264" i="15" s="1"/>
  <c r="T264" i="15"/>
  <c r="P264" i="15"/>
  <c r="L264" i="15"/>
  <c r="H264" i="15"/>
  <c r="N264" i="15" s="1"/>
  <c r="D264" i="15"/>
  <c r="B264" i="15"/>
  <c r="Z263" i="15"/>
  <c r="X263" i="15"/>
  <c r="T263" i="15"/>
  <c r="P263" i="15"/>
  <c r="N263" i="15"/>
  <c r="H263" i="15"/>
  <c r="D263" i="15"/>
  <c r="L263" i="15" s="1"/>
  <c r="B263" i="15"/>
  <c r="T262" i="15"/>
  <c r="P262" i="15"/>
  <c r="H262" i="15"/>
  <c r="D262" i="15"/>
  <c r="L262" i="15" s="1"/>
  <c r="B262" i="15"/>
  <c r="T261" i="15"/>
  <c r="R261" i="15"/>
  <c r="P261" i="15"/>
  <c r="X261" i="15" s="1"/>
  <c r="H261" i="15"/>
  <c r="N261" i="15" s="1"/>
  <c r="D261" i="15"/>
  <c r="D259" i="15" s="1"/>
  <c r="B261" i="15"/>
  <c r="T260" i="15"/>
  <c r="P260" i="15"/>
  <c r="H260" i="15"/>
  <c r="D260" i="15"/>
  <c r="B260" i="15"/>
  <c r="Z257" i="15"/>
  <c r="X257" i="15"/>
  <c r="L257" i="15"/>
  <c r="N257" i="15" s="1"/>
  <c r="B257" i="15"/>
  <c r="T256" i="15"/>
  <c r="P256" i="15"/>
  <c r="X256" i="15" s="1"/>
  <c r="Z256" i="15" s="1"/>
  <c r="H256" i="15"/>
  <c r="D256" i="15"/>
  <c r="L256" i="15" s="1"/>
  <c r="B256" i="15"/>
  <c r="X255" i="15"/>
  <c r="Z255" i="15" s="1"/>
  <c r="N255" i="15"/>
  <c r="L255" i="15"/>
  <c r="B255" i="15"/>
  <c r="X254" i="15"/>
  <c r="Z254" i="15" s="1"/>
  <c r="N254" i="15"/>
  <c r="L254" i="15"/>
  <c r="B254" i="15"/>
  <c r="X253" i="15"/>
  <c r="Z253" i="15" s="1"/>
  <c r="N253" i="15"/>
  <c r="L253" i="15"/>
  <c r="B253" i="15"/>
  <c r="X252" i="15"/>
  <c r="T252" i="15"/>
  <c r="Z252" i="15" s="1"/>
  <c r="P252" i="15"/>
  <c r="L252" i="15"/>
  <c r="J252" i="15"/>
  <c r="H252" i="15"/>
  <c r="N252" i="15" s="1"/>
  <c r="D252" i="15"/>
  <c r="B252" i="15"/>
  <c r="Z251" i="15"/>
  <c r="X251" i="15"/>
  <c r="N251" i="15"/>
  <c r="L251" i="15"/>
  <c r="J251" i="15"/>
  <c r="B251" i="15"/>
  <c r="T250" i="15"/>
  <c r="P250" i="15"/>
  <c r="H250" i="15"/>
  <c r="D250" i="15"/>
  <c r="B250" i="15"/>
  <c r="Z249" i="15"/>
  <c r="X249" i="15"/>
  <c r="L249" i="15"/>
  <c r="N249" i="15" s="1"/>
  <c r="B249" i="15"/>
  <c r="Z248" i="15"/>
  <c r="X248" i="15"/>
  <c r="N248" i="15"/>
  <c r="L248" i="15"/>
  <c r="B248" i="15"/>
  <c r="T247" i="15"/>
  <c r="P247" i="15"/>
  <c r="X247" i="15" s="1"/>
  <c r="J247" i="15"/>
  <c r="H247" i="15"/>
  <c r="D247" i="15"/>
  <c r="L247" i="15" s="1"/>
  <c r="N247" i="15" s="1"/>
  <c r="B247" i="15"/>
  <c r="X246" i="15"/>
  <c r="Z246" i="15" s="1"/>
  <c r="L246" i="15"/>
  <c r="N246" i="15" s="1"/>
  <c r="B246" i="15"/>
  <c r="X245" i="15"/>
  <c r="Z245" i="15" s="1"/>
  <c r="N245" i="15"/>
  <c r="L245" i="15"/>
  <c r="B245" i="15"/>
  <c r="X244" i="15"/>
  <c r="Z244" i="15" s="1"/>
  <c r="N244" i="15"/>
  <c r="L244" i="15"/>
  <c r="B244" i="15"/>
  <c r="Z243" i="15"/>
  <c r="X243" i="15"/>
  <c r="N243" i="15"/>
  <c r="L243" i="15"/>
  <c r="B243" i="15"/>
  <c r="X242" i="15"/>
  <c r="Z242" i="15" s="1"/>
  <c r="L242" i="15"/>
  <c r="N242" i="15" s="1"/>
  <c r="B242" i="15"/>
  <c r="X241" i="15"/>
  <c r="Z241" i="15" s="1"/>
  <c r="N241" i="15"/>
  <c r="L241" i="15"/>
  <c r="B241" i="15"/>
  <c r="Z240" i="15"/>
  <c r="X240" i="15"/>
  <c r="N240" i="15"/>
  <c r="L240" i="15"/>
  <c r="B240" i="15"/>
  <c r="Z239" i="15"/>
  <c r="X239" i="15"/>
  <c r="N239" i="15"/>
  <c r="L239" i="15"/>
  <c r="B239" i="15"/>
  <c r="X238" i="15"/>
  <c r="T238" i="15"/>
  <c r="Z238" i="15" s="1"/>
  <c r="P238" i="15"/>
  <c r="L238" i="15"/>
  <c r="N238" i="15" s="1"/>
  <c r="H238" i="15"/>
  <c r="D238" i="15"/>
  <c r="B238" i="15"/>
  <c r="Z237" i="15"/>
  <c r="X237" i="15"/>
  <c r="N237" i="15"/>
  <c r="L237" i="15"/>
  <c r="J237" i="15"/>
  <c r="B237" i="15"/>
  <c r="Z236" i="15"/>
  <c r="X236" i="15"/>
  <c r="R236" i="15"/>
  <c r="N236" i="15"/>
  <c r="L236" i="15"/>
  <c r="B236" i="15"/>
  <c r="T235" i="15"/>
  <c r="X235" i="15" s="1"/>
  <c r="Z235" i="15" s="1"/>
  <c r="P235" i="15"/>
  <c r="N235" i="15"/>
  <c r="L235" i="15"/>
  <c r="H235" i="15"/>
  <c r="D235" i="15"/>
  <c r="B235" i="15"/>
  <c r="X234" i="15"/>
  <c r="Z234" i="15" s="1"/>
  <c r="L234" i="15"/>
  <c r="N234" i="15" s="1"/>
  <c r="J234" i="15"/>
  <c r="B234" i="15"/>
  <c r="Z233" i="15"/>
  <c r="X233" i="15"/>
  <c r="L233" i="15"/>
  <c r="N233" i="15" s="1"/>
  <c r="B233" i="15"/>
  <c r="Z232" i="15"/>
  <c r="X232" i="15"/>
  <c r="N232" i="15"/>
  <c r="L232" i="15"/>
  <c r="B232" i="15"/>
  <c r="Z231" i="15"/>
  <c r="X231" i="15"/>
  <c r="R231" i="15"/>
  <c r="L231" i="15"/>
  <c r="N231" i="15" s="1"/>
  <c r="B231" i="15"/>
  <c r="T230" i="15"/>
  <c r="Z230" i="15" s="1"/>
  <c r="P230" i="15"/>
  <c r="X230" i="15" s="1"/>
  <c r="H230" i="15"/>
  <c r="D230" i="15"/>
  <c r="L230" i="15" s="1"/>
  <c r="N230" i="15" s="1"/>
  <c r="B230" i="15"/>
  <c r="X229" i="15"/>
  <c r="Z229" i="15" s="1"/>
  <c r="N229" i="15"/>
  <c r="L229" i="15"/>
  <c r="B229" i="15"/>
  <c r="X228" i="15"/>
  <c r="Z228" i="15" s="1"/>
  <c r="N228" i="15"/>
  <c r="L228" i="15"/>
  <c r="B228" i="15"/>
  <c r="X227" i="15"/>
  <c r="Z227" i="15" s="1"/>
  <c r="N227" i="15"/>
  <c r="L227" i="15"/>
  <c r="B227" i="15"/>
  <c r="X226" i="15"/>
  <c r="T226" i="15"/>
  <c r="Z226" i="15" s="1"/>
  <c r="P226" i="15"/>
  <c r="L226" i="15"/>
  <c r="H226" i="15"/>
  <c r="D226" i="15"/>
  <c r="B226" i="15"/>
  <c r="Z225" i="15"/>
  <c r="X225" i="15"/>
  <c r="N225" i="15"/>
  <c r="L225" i="15"/>
  <c r="J225" i="15"/>
  <c r="B225" i="15"/>
  <c r="Z224" i="15"/>
  <c r="X224" i="15"/>
  <c r="R224" i="15"/>
  <c r="N224" i="15"/>
  <c r="L224" i="15"/>
  <c r="B224" i="15"/>
  <c r="Z223" i="15"/>
  <c r="X223" i="15"/>
  <c r="N223" i="15"/>
  <c r="L223" i="15"/>
  <c r="J223" i="15"/>
  <c r="B223" i="15"/>
  <c r="X222" i="15"/>
  <c r="Z222" i="15" s="1"/>
  <c r="R222" i="15"/>
  <c r="L222" i="15"/>
  <c r="N222" i="15" s="1"/>
  <c r="B222" i="15"/>
  <c r="Z221" i="15"/>
  <c r="X221" i="15"/>
  <c r="T221" i="15"/>
  <c r="P221" i="15"/>
  <c r="H221" i="15"/>
  <c r="D221" i="15"/>
  <c r="L221" i="15" s="1"/>
  <c r="N221" i="15" s="1"/>
  <c r="B221" i="15"/>
  <c r="Z220" i="15"/>
  <c r="X220" i="15"/>
  <c r="L220" i="15"/>
  <c r="N220" i="15" s="1"/>
  <c r="B220" i="15"/>
  <c r="T219" i="15"/>
  <c r="P219" i="15"/>
  <c r="J219" i="15"/>
  <c r="H219" i="15"/>
  <c r="D219" i="15"/>
  <c r="L219" i="15" s="1"/>
  <c r="N219" i="15" s="1"/>
  <c r="B219" i="15"/>
  <c r="X218" i="15"/>
  <c r="Z218" i="15" s="1"/>
  <c r="L218" i="15"/>
  <c r="N218" i="15" s="1"/>
  <c r="B218" i="15"/>
  <c r="T217" i="15"/>
  <c r="Z217" i="15" s="1"/>
  <c r="R217" i="15"/>
  <c r="P217" i="15"/>
  <c r="X217" i="15" s="1"/>
  <c r="H217" i="15"/>
  <c r="D217" i="15"/>
  <c r="L217" i="15" s="1"/>
  <c r="B217" i="15"/>
  <c r="Z216" i="15"/>
  <c r="X216" i="15"/>
  <c r="R216" i="15"/>
  <c r="N216" i="15"/>
  <c r="L216" i="15"/>
  <c r="B216" i="15"/>
  <c r="Z215" i="15"/>
  <c r="X215" i="15"/>
  <c r="N215" i="15"/>
  <c r="L215" i="15"/>
  <c r="J215" i="15"/>
  <c r="B215" i="15"/>
  <c r="X214" i="15"/>
  <c r="Z214" i="15" s="1"/>
  <c r="R214" i="15"/>
  <c r="N214" i="15"/>
  <c r="L214" i="15"/>
  <c r="B214" i="15"/>
  <c r="Z213" i="15"/>
  <c r="X213" i="15"/>
  <c r="T213" i="15"/>
  <c r="P213" i="15"/>
  <c r="N213" i="15"/>
  <c r="H213" i="15"/>
  <c r="D213" i="15"/>
  <c r="L213" i="15" s="1"/>
  <c r="B213" i="15"/>
  <c r="Z212" i="15"/>
  <c r="X212" i="15"/>
  <c r="L212" i="15"/>
  <c r="N212" i="15" s="1"/>
  <c r="B212" i="15"/>
  <c r="T211" i="15"/>
  <c r="P211" i="15"/>
  <c r="J211" i="15"/>
  <c r="H211" i="15"/>
  <c r="D211" i="15"/>
  <c r="L211" i="15" s="1"/>
  <c r="N211" i="15" s="1"/>
  <c r="B211" i="15"/>
  <c r="X210" i="15"/>
  <c r="Z210" i="15" s="1"/>
  <c r="L210" i="15"/>
  <c r="N210" i="15" s="1"/>
  <c r="B210" i="15"/>
  <c r="T209" i="15"/>
  <c r="Z209" i="15" s="1"/>
  <c r="R209" i="15"/>
  <c r="P209" i="15"/>
  <c r="X209" i="15" s="1"/>
  <c r="H209" i="15"/>
  <c r="D209" i="15"/>
  <c r="L209" i="15" s="1"/>
  <c r="B209" i="15"/>
  <c r="Z208" i="15"/>
  <c r="X208" i="15"/>
  <c r="R208" i="15"/>
  <c r="N208" i="15"/>
  <c r="L208" i="15"/>
  <c r="B208" i="15"/>
  <c r="Z207" i="15"/>
  <c r="X207" i="15"/>
  <c r="L207" i="15"/>
  <c r="N207" i="15" s="1"/>
  <c r="J207" i="15"/>
  <c r="B207" i="15"/>
  <c r="T206" i="15"/>
  <c r="P206" i="15"/>
  <c r="H206" i="15"/>
  <c r="D206" i="15"/>
  <c r="L206" i="15" s="1"/>
  <c r="B206" i="15"/>
  <c r="Z205" i="15"/>
  <c r="X205" i="15"/>
  <c r="L205" i="15"/>
  <c r="N205" i="15" s="1"/>
  <c r="B205" i="15"/>
  <c r="T204" i="15"/>
  <c r="P204" i="15"/>
  <c r="X204" i="15" s="1"/>
  <c r="Z204" i="15" s="1"/>
  <c r="H204" i="15"/>
  <c r="D204" i="15"/>
  <c r="L204" i="15" s="1"/>
  <c r="B204" i="15"/>
  <c r="Z203" i="15"/>
  <c r="X203" i="15"/>
  <c r="N203" i="15"/>
  <c r="L203" i="15"/>
  <c r="B203" i="15"/>
  <c r="X202" i="15"/>
  <c r="T202" i="15"/>
  <c r="P202" i="15"/>
  <c r="L202" i="15"/>
  <c r="N202" i="15" s="1"/>
  <c r="H202" i="15"/>
  <c r="D202" i="15"/>
  <c r="B202" i="15"/>
  <c r="Z201" i="15"/>
  <c r="X201" i="15"/>
  <c r="N201" i="15"/>
  <c r="L201" i="15"/>
  <c r="J201" i="15"/>
  <c r="B201" i="15"/>
  <c r="T200" i="15"/>
  <c r="R200" i="15"/>
  <c r="P200" i="15"/>
  <c r="H200" i="15"/>
  <c r="D200" i="15"/>
  <c r="B200" i="15"/>
  <c r="Z199" i="15"/>
  <c r="X199" i="15"/>
  <c r="R199" i="15"/>
  <c r="N199" i="15"/>
  <c r="L199" i="15"/>
  <c r="B199" i="15"/>
  <c r="X198" i="15"/>
  <c r="Z198" i="15" s="1"/>
  <c r="L198" i="15"/>
  <c r="N198" i="15" s="1"/>
  <c r="J198" i="15"/>
  <c r="B198" i="15"/>
  <c r="T197" i="15"/>
  <c r="P197" i="15"/>
  <c r="X197" i="15" s="1"/>
  <c r="Z197" i="15" s="1"/>
  <c r="J197" i="15"/>
  <c r="H197" i="15"/>
  <c r="N197" i="15" s="1"/>
  <c r="D197" i="15"/>
  <c r="L197" i="15" s="1"/>
  <c r="B197" i="15"/>
  <c r="Z196" i="15"/>
  <c r="X196" i="15"/>
  <c r="N196" i="15"/>
  <c r="L196" i="15"/>
  <c r="B196" i="15"/>
  <c r="X195" i="15"/>
  <c r="Z195" i="15" s="1"/>
  <c r="N195" i="15"/>
  <c r="L195" i="15"/>
  <c r="B195" i="15"/>
  <c r="X194" i="15"/>
  <c r="Z194" i="15" s="1"/>
  <c r="L194" i="15"/>
  <c r="N194" i="15" s="1"/>
  <c r="B194" i="15"/>
  <c r="T193" i="15"/>
  <c r="Z193" i="15" s="1"/>
  <c r="R193" i="15"/>
  <c r="P193" i="15"/>
  <c r="X193" i="15" s="1"/>
  <c r="L193" i="15"/>
  <c r="H193" i="15"/>
  <c r="N193" i="15" s="1"/>
  <c r="D193" i="15"/>
  <c r="B193" i="15"/>
  <c r="Z192" i="15"/>
  <c r="X192" i="15"/>
  <c r="R192" i="15"/>
  <c r="N192" i="15"/>
  <c r="L192" i="15"/>
  <c r="B192" i="15"/>
  <c r="T191" i="15"/>
  <c r="P191" i="15"/>
  <c r="X191" i="15" s="1"/>
  <c r="Z191" i="15" s="1"/>
  <c r="N191" i="15"/>
  <c r="L191" i="15"/>
  <c r="H191" i="15"/>
  <c r="D191" i="15"/>
  <c r="B191" i="15"/>
  <c r="X190" i="15"/>
  <c r="Z190" i="15" s="1"/>
  <c r="N190" i="15"/>
  <c r="L190" i="15"/>
  <c r="J190" i="15"/>
  <c r="B190" i="15"/>
  <c r="Z189" i="15"/>
  <c r="X189" i="15"/>
  <c r="L189" i="15"/>
  <c r="N189" i="15" s="1"/>
  <c r="B189" i="15"/>
  <c r="T188" i="15"/>
  <c r="P188" i="15"/>
  <c r="X188" i="15" s="1"/>
  <c r="Z188" i="15" s="1"/>
  <c r="J188" i="15"/>
  <c r="H188" i="15"/>
  <c r="D188" i="15"/>
  <c r="L188" i="15" s="1"/>
  <c r="B188" i="15"/>
  <c r="X187" i="15"/>
  <c r="Z187" i="15" s="1"/>
  <c r="N187" i="15"/>
  <c r="L187" i="15"/>
  <c r="B187" i="15"/>
  <c r="X186" i="15"/>
  <c r="T186" i="15"/>
  <c r="Z186" i="15" s="1"/>
  <c r="P186" i="15"/>
  <c r="L186" i="15"/>
  <c r="H186" i="15"/>
  <c r="N186" i="15" s="1"/>
  <c r="D186" i="15"/>
  <c r="B186" i="15"/>
  <c r="Z185" i="15"/>
  <c r="X185" i="15"/>
  <c r="N185" i="15"/>
  <c r="L185" i="15"/>
  <c r="J185" i="15"/>
  <c r="B185" i="15"/>
  <c r="Z184" i="15"/>
  <c r="X184" i="15"/>
  <c r="R184" i="15"/>
  <c r="N184" i="15"/>
  <c r="L184" i="15"/>
  <c r="B184" i="15"/>
  <c r="Z183" i="15"/>
  <c r="X183" i="15"/>
  <c r="R183" i="15"/>
  <c r="N183" i="15"/>
  <c r="L183" i="15"/>
  <c r="J183" i="15"/>
  <c r="B183" i="15"/>
  <c r="X182" i="15"/>
  <c r="Z182" i="15" s="1"/>
  <c r="R182" i="15"/>
  <c r="L182" i="15"/>
  <c r="N182" i="15" s="1"/>
  <c r="J182" i="15"/>
  <c r="B182" i="15"/>
  <c r="Z181" i="15"/>
  <c r="X181" i="15"/>
  <c r="N181" i="15"/>
  <c r="L181" i="15"/>
  <c r="J181" i="15"/>
  <c r="B181" i="15"/>
  <c r="Z180" i="15"/>
  <c r="X180" i="15"/>
  <c r="R180" i="15"/>
  <c r="N180" i="15"/>
  <c r="L180" i="15"/>
  <c r="B180" i="15"/>
  <c r="Z179" i="15"/>
  <c r="X179" i="15"/>
  <c r="R179" i="15"/>
  <c r="N179" i="15"/>
  <c r="L179" i="15"/>
  <c r="J179" i="15"/>
  <c r="B179" i="15"/>
  <c r="T178" i="15"/>
  <c r="P178" i="15"/>
  <c r="H178" i="15"/>
  <c r="D178" i="15"/>
  <c r="B178" i="15"/>
  <c r="Z177" i="15"/>
  <c r="X177" i="15"/>
  <c r="L177" i="15"/>
  <c r="N177" i="15" s="1"/>
  <c r="B177" i="15"/>
  <c r="Z176" i="15"/>
  <c r="X176" i="15"/>
  <c r="L176" i="15"/>
  <c r="N176" i="15" s="1"/>
  <c r="B176" i="15"/>
  <c r="Z175" i="15"/>
  <c r="X175" i="15"/>
  <c r="R175" i="15"/>
  <c r="N175" i="15"/>
  <c r="L175" i="15"/>
  <c r="B175" i="15"/>
  <c r="X174" i="15"/>
  <c r="Z174" i="15" s="1"/>
  <c r="L174" i="15"/>
  <c r="N174" i="15" s="1"/>
  <c r="J174" i="15"/>
  <c r="B174" i="15"/>
  <c r="Z173" i="15"/>
  <c r="X173" i="15"/>
  <c r="N173" i="15"/>
  <c r="L173" i="15"/>
  <c r="B173" i="15"/>
  <c r="Z172" i="15"/>
  <c r="X172" i="15"/>
  <c r="L172" i="15"/>
  <c r="N172" i="15" s="1"/>
  <c r="B172" i="15"/>
  <c r="Z171" i="15"/>
  <c r="X171" i="15"/>
  <c r="R171" i="15"/>
  <c r="L171" i="15"/>
  <c r="N171" i="15" s="1"/>
  <c r="B171" i="15"/>
  <c r="X170" i="15"/>
  <c r="Z170" i="15" s="1"/>
  <c r="L170" i="15"/>
  <c r="N170" i="15" s="1"/>
  <c r="J170" i="15"/>
  <c r="B170" i="15"/>
  <c r="Z169" i="15"/>
  <c r="X169" i="15"/>
  <c r="L169" i="15"/>
  <c r="N169" i="15" s="1"/>
  <c r="B169" i="15"/>
  <c r="Z168" i="15"/>
  <c r="X168" i="15"/>
  <c r="L168" i="15"/>
  <c r="N168" i="15" s="1"/>
  <c r="B168" i="15"/>
  <c r="T167" i="15"/>
  <c r="P167" i="15"/>
  <c r="X167" i="15" s="1"/>
  <c r="J167" i="15"/>
  <c r="H167" i="15"/>
  <c r="D167" i="15"/>
  <c r="L167" i="15" s="1"/>
  <c r="N167" i="15" s="1"/>
  <c r="B167" i="15"/>
  <c r="T166" i="15"/>
  <c r="P166" i="15"/>
  <c r="X166" i="15" s="1"/>
  <c r="L166" i="15"/>
  <c r="H166" i="15"/>
  <c r="D166" i="15"/>
  <c r="X162" i="15"/>
  <c r="Z162" i="15" s="1"/>
  <c r="N162" i="15"/>
  <c r="L162" i="15"/>
  <c r="B162" i="15"/>
  <c r="X161" i="15"/>
  <c r="Z161" i="15" s="1"/>
  <c r="N161" i="15"/>
  <c r="L161" i="15"/>
  <c r="B161" i="15"/>
  <c r="X160" i="15"/>
  <c r="Z160" i="15" s="1"/>
  <c r="N160" i="15"/>
  <c r="L160" i="15"/>
  <c r="B160" i="15"/>
  <c r="Z159" i="15"/>
  <c r="X159" i="15"/>
  <c r="N159" i="15"/>
  <c r="L159" i="15"/>
  <c r="B159" i="15"/>
  <c r="X158" i="15"/>
  <c r="Z158" i="15" s="1"/>
  <c r="L158" i="15"/>
  <c r="N158" i="15" s="1"/>
  <c r="B158" i="15"/>
  <c r="X157" i="15"/>
  <c r="Z157" i="15" s="1"/>
  <c r="N157" i="15"/>
  <c r="L157" i="15"/>
  <c r="B157" i="15"/>
  <c r="X156" i="15"/>
  <c r="Z156" i="15" s="1"/>
  <c r="N156" i="15"/>
  <c r="L156" i="15"/>
  <c r="B156" i="15"/>
  <c r="Z155" i="15"/>
  <c r="X155" i="15"/>
  <c r="N155" i="15"/>
  <c r="L155" i="15"/>
  <c r="B155" i="15"/>
  <c r="X154" i="15"/>
  <c r="Z154" i="15" s="1"/>
  <c r="N154" i="15"/>
  <c r="L154" i="15"/>
  <c r="B154" i="15"/>
  <c r="X153" i="15"/>
  <c r="Z153" i="15" s="1"/>
  <c r="N153" i="15"/>
  <c r="L153" i="15"/>
  <c r="B153" i="15"/>
  <c r="X152" i="15"/>
  <c r="Z152" i="15" s="1"/>
  <c r="N152" i="15"/>
  <c r="L152" i="15"/>
  <c r="B152" i="15"/>
  <c r="Z151" i="15"/>
  <c r="X151" i="15"/>
  <c r="N151" i="15"/>
  <c r="L151" i="15"/>
  <c r="B151" i="15"/>
  <c r="X150" i="15"/>
  <c r="Z150" i="15" s="1"/>
  <c r="N150" i="15"/>
  <c r="L150" i="15"/>
  <c r="B150" i="15"/>
  <c r="X149" i="15"/>
  <c r="Z149" i="15" s="1"/>
  <c r="N149" i="15"/>
  <c r="L149" i="15"/>
  <c r="B149" i="15"/>
  <c r="X148" i="15"/>
  <c r="Z148" i="15" s="1"/>
  <c r="N148" i="15"/>
  <c r="L148" i="15"/>
  <c r="B148" i="15"/>
  <c r="Z147" i="15"/>
  <c r="X147" i="15"/>
  <c r="N147" i="15"/>
  <c r="L147" i="15"/>
  <c r="B147" i="15"/>
  <c r="X146" i="15"/>
  <c r="Z146" i="15" s="1"/>
  <c r="N146" i="15"/>
  <c r="L146" i="15"/>
  <c r="B146" i="15"/>
  <c r="X145" i="15"/>
  <c r="Z145" i="15" s="1"/>
  <c r="N145" i="15"/>
  <c r="L145" i="15"/>
  <c r="B145" i="15"/>
  <c r="X144" i="15"/>
  <c r="Z144" i="15" s="1"/>
  <c r="N144" i="15"/>
  <c r="L144" i="15"/>
  <c r="B144" i="15"/>
  <c r="Z143" i="15"/>
  <c r="X143" i="15"/>
  <c r="N143" i="15"/>
  <c r="L143" i="15"/>
  <c r="B143" i="15"/>
  <c r="X142" i="15"/>
  <c r="Z142" i="15" s="1"/>
  <c r="L142" i="15"/>
  <c r="N142" i="15" s="1"/>
  <c r="B142" i="15"/>
  <c r="X141" i="15"/>
  <c r="Z141" i="15" s="1"/>
  <c r="N141" i="15"/>
  <c r="L141" i="15"/>
  <c r="B141" i="15"/>
  <c r="X140" i="15"/>
  <c r="Z140" i="15" s="1"/>
  <c r="N140" i="15"/>
  <c r="L140" i="15"/>
  <c r="B140" i="15"/>
  <c r="Z139" i="15"/>
  <c r="X139" i="15"/>
  <c r="N139" i="15"/>
  <c r="L139" i="15"/>
  <c r="B139" i="15"/>
  <c r="X138" i="15"/>
  <c r="Z138" i="15" s="1"/>
  <c r="N138" i="15"/>
  <c r="L138" i="15"/>
  <c r="B138" i="15"/>
  <c r="X137" i="15"/>
  <c r="Z137" i="15" s="1"/>
  <c r="N137" i="15"/>
  <c r="L137" i="15"/>
  <c r="B137" i="15"/>
  <c r="X136" i="15"/>
  <c r="Z136" i="15" s="1"/>
  <c r="N136" i="15"/>
  <c r="L136" i="15"/>
  <c r="B136" i="15"/>
  <c r="Z135" i="15"/>
  <c r="X135" i="15"/>
  <c r="N135" i="15"/>
  <c r="L135" i="15"/>
  <c r="B135" i="15"/>
  <c r="X134" i="15"/>
  <c r="Z134" i="15" s="1"/>
  <c r="L134" i="15"/>
  <c r="N134" i="15" s="1"/>
  <c r="B134" i="15"/>
  <c r="X133" i="15"/>
  <c r="Z133" i="15" s="1"/>
  <c r="N133" i="15"/>
  <c r="L133" i="15"/>
  <c r="B133" i="15"/>
  <c r="X132" i="15"/>
  <c r="Z132" i="15" s="1"/>
  <c r="N132" i="15"/>
  <c r="L132" i="15"/>
  <c r="B132" i="15"/>
  <c r="Z131" i="15"/>
  <c r="X131" i="15"/>
  <c r="N131" i="15"/>
  <c r="L131" i="15"/>
  <c r="B131" i="15"/>
  <c r="X130" i="15"/>
  <c r="Z130" i="15" s="1"/>
  <c r="N130" i="15"/>
  <c r="L130" i="15"/>
  <c r="B130" i="15"/>
  <c r="X129" i="15"/>
  <c r="Z129" i="15" s="1"/>
  <c r="N129" i="15"/>
  <c r="L129" i="15"/>
  <c r="B129" i="15"/>
  <c r="X128" i="15"/>
  <c r="Z128" i="15" s="1"/>
  <c r="N128" i="15"/>
  <c r="L128" i="15"/>
  <c r="B128" i="15"/>
  <c r="Z127" i="15"/>
  <c r="X127" i="15"/>
  <c r="N127" i="15"/>
  <c r="L127" i="15"/>
  <c r="B127" i="15"/>
  <c r="X126" i="15"/>
  <c r="Z126" i="15" s="1"/>
  <c r="N126" i="15"/>
  <c r="L126" i="15"/>
  <c r="B126" i="15"/>
  <c r="X125" i="15"/>
  <c r="Z125" i="15" s="1"/>
  <c r="N125" i="15"/>
  <c r="L125" i="15"/>
  <c r="B125" i="15"/>
  <c r="X124" i="15"/>
  <c r="Z124" i="15" s="1"/>
  <c r="N124" i="15"/>
  <c r="L124" i="15"/>
  <c r="B124" i="15"/>
  <c r="Z123" i="15"/>
  <c r="X123" i="15"/>
  <c r="N123" i="15"/>
  <c r="L123" i="15"/>
  <c r="B123" i="15"/>
  <c r="X122" i="15"/>
  <c r="Z122" i="15" s="1"/>
  <c r="N122" i="15"/>
  <c r="L122" i="15"/>
  <c r="B122" i="15"/>
  <c r="X121" i="15"/>
  <c r="Z121" i="15" s="1"/>
  <c r="L121" i="15"/>
  <c r="N121" i="15" s="1"/>
  <c r="B121" i="15"/>
  <c r="X120" i="15"/>
  <c r="Z120" i="15" s="1"/>
  <c r="N120" i="15"/>
  <c r="L120" i="15"/>
  <c r="B120" i="15"/>
  <c r="Z119" i="15"/>
  <c r="X119" i="15"/>
  <c r="N119" i="15"/>
  <c r="L119" i="15"/>
  <c r="B119" i="15"/>
  <c r="X118" i="15"/>
  <c r="Z118" i="15" s="1"/>
  <c r="L118" i="15"/>
  <c r="N118" i="15" s="1"/>
  <c r="B118" i="15"/>
  <c r="X117" i="15"/>
  <c r="Z117" i="15" s="1"/>
  <c r="L117" i="15"/>
  <c r="N117" i="15" s="1"/>
  <c r="B117" i="15"/>
  <c r="X116" i="15"/>
  <c r="Z116" i="15" s="1"/>
  <c r="N116" i="15"/>
  <c r="L116" i="15"/>
  <c r="B116" i="15"/>
  <c r="Z115" i="15"/>
  <c r="X115" i="15"/>
  <c r="N115" i="15"/>
  <c r="L115" i="15"/>
  <c r="B115" i="15"/>
  <c r="X114" i="15"/>
  <c r="Z114" i="15" s="1"/>
  <c r="L114" i="15"/>
  <c r="N114" i="15" s="1"/>
  <c r="B114" i="15"/>
  <c r="X113" i="15"/>
  <c r="Z113" i="15" s="1"/>
  <c r="L113" i="15"/>
  <c r="N113" i="15" s="1"/>
  <c r="B113" i="15"/>
  <c r="Z112" i="15"/>
  <c r="X112" i="15"/>
  <c r="N112" i="15"/>
  <c r="L112" i="15"/>
  <c r="B112" i="15"/>
  <c r="T111" i="15"/>
  <c r="R111" i="15"/>
  <c r="P111" i="15"/>
  <c r="X111" i="15" s="1"/>
  <c r="Z111" i="15" s="1"/>
  <c r="H111" i="15"/>
  <c r="D111" i="15"/>
  <c r="L111" i="15" s="1"/>
  <c r="N111" i="15" s="1"/>
  <c r="T109" i="15"/>
  <c r="P109" i="15"/>
  <c r="N109" i="15"/>
  <c r="H109" i="15"/>
  <c r="D109" i="15"/>
  <c r="L109" i="15" s="1"/>
  <c r="B109" i="15"/>
  <c r="X108" i="15"/>
  <c r="T108" i="15"/>
  <c r="P108" i="15"/>
  <c r="N108" i="15"/>
  <c r="H108" i="15"/>
  <c r="D108" i="15"/>
  <c r="L108" i="15" s="1"/>
  <c r="B108" i="15"/>
  <c r="X107" i="15"/>
  <c r="T107" i="15"/>
  <c r="Z107" i="15" s="1"/>
  <c r="P107" i="15"/>
  <c r="N107" i="15"/>
  <c r="L107" i="15"/>
  <c r="H107" i="15"/>
  <c r="D107" i="15"/>
  <c r="B107" i="15"/>
  <c r="X106" i="15"/>
  <c r="T106" i="15"/>
  <c r="Z106" i="15" s="1"/>
  <c r="P106" i="15"/>
  <c r="N106" i="15"/>
  <c r="H106" i="15"/>
  <c r="D106" i="15"/>
  <c r="L106" i="15" s="1"/>
  <c r="B106" i="15"/>
  <c r="T105" i="15"/>
  <c r="P105" i="15"/>
  <c r="N105" i="15"/>
  <c r="H105" i="15"/>
  <c r="D105" i="15"/>
  <c r="L105" i="15" s="1"/>
  <c r="B105" i="15"/>
  <c r="T104" i="15"/>
  <c r="P104" i="15"/>
  <c r="N104" i="15"/>
  <c r="H104" i="15"/>
  <c r="D104" i="15"/>
  <c r="L104" i="15" s="1"/>
  <c r="B104" i="15"/>
  <c r="X103" i="15"/>
  <c r="T103" i="15"/>
  <c r="Z103" i="15" s="1"/>
  <c r="P103" i="15"/>
  <c r="N103" i="15"/>
  <c r="L103" i="15"/>
  <c r="H103" i="15"/>
  <c r="D103" i="15"/>
  <c r="B103" i="15"/>
  <c r="X102" i="15"/>
  <c r="T102" i="15"/>
  <c r="P102" i="15"/>
  <c r="N102" i="15"/>
  <c r="H102" i="15"/>
  <c r="D102" i="15"/>
  <c r="L102" i="15" s="1"/>
  <c r="B102" i="15"/>
  <c r="T101" i="15"/>
  <c r="P101" i="15"/>
  <c r="N101" i="15"/>
  <c r="H101" i="15"/>
  <c r="D101" i="15"/>
  <c r="L101" i="15" s="1"/>
  <c r="B101" i="15"/>
  <c r="T100" i="15"/>
  <c r="P100" i="15"/>
  <c r="H100" i="15"/>
  <c r="D100" i="15"/>
  <c r="L100" i="15" s="1"/>
  <c r="N100" i="15" s="1"/>
  <c r="B100" i="15"/>
  <c r="X99" i="15"/>
  <c r="T99" i="15"/>
  <c r="Z99" i="15" s="1"/>
  <c r="P99" i="15"/>
  <c r="N99" i="15"/>
  <c r="L99" i="15"/>
  <c r="H99" i="15"/>
  <c r="D99" i="15"/>
  <c r="B99" i="15"/>
  <c r="X98" i="15"/>
  <c r="T98" i="15"/>
  <c r="Z98" i="15" s="1"/>
  <c r="P98" i="15"/>
  <c r="N98" i="15"/>
  <c r="H98" i="15"/>
  <c r="D98" i="15"/>
  <c r="L98" i="15" s="1"/>
  <c r="B98" i="15"/>
  <c r="T97" i="15"/>
  <c r="Z97" i="15" s="1"/>
  <c r="P97" i="15"/>
  <c r="X97" i="15" s="1"/>
  <c r="N97" i="15"/>
  <c r="H97" i="15"/>
  <c r="D97" i="15"/>
  <c r="L97" i="15" s="1"/>
  <c r="B97" i="15"/>
  <c r="T96" i="15"/>
  <c r="P96" i="15"/>
  <c r="H96" i="15"/>
  <c r="D96" i="15"/>
  <c r="L96" i="15" s="1"/>
  <c r="N96" i="15" s="1"/>
  <c r="B96" i="15"/>
  <c r="X95" i="15"/>
  <c r="T95" i="15"/>
  <c r="Z95" i="15" s="1"/>
  <c r="P95" i="15"/>
  <c r="N95" i="15"/>
  <c r="L95" i="15"/>
  <c r="H95" i="15"/>
  <c r="D95" i="15"/>
  <c r="B95" i="15"/>
  <c r="X94" i="15"/>
  <c r="T94" i="15"/>
  <c r="Z94" i="15" s="1"/>
  <c r="P94" i="15"/>
  <c r="N94" i="15"/>
  <c r="H94" i="15"/>
  <c r="D94" i="15"/>
  <c r="L94" i="15" s="1"/>
  <c r="B94" i="15"/>
  <c r="T93" i="15"/>
  <c r="P93" i="15"/>
  <c r="N93" i="15"/>
  <c r="H93" i="15"/>
  <c r="D93" i="15"/>
  <c r="L93" i="15" s="1"/>
  <c r="B93" i="15"/>
  <c r="X92" i="15"/>
  <c r="T92" i="15"/>
  <c r="P92" i="15"/>
  <c r="N92" i="15"/>
  <c r="H92" i="15"/>
  <c r="D92" i="15"/>
  <c r="L92" i="15" s="1"/>
  <c r="B92" i="15"/>
  <c r="X91" i="15"/>
  <c r="T91" i="15"/>
  <c r="Z91" i="15" s="1"/>
  <c r="P91" i="15"/>
  <c r="N91" i="15"/>
  <c r="L91" i="15"/>
  <c r="H91" i="15"/>
  <c r="D91" i="15"/>
  <c r="B91" i="15"/>
  <c r="X90" i="15"/>
  <c r="T90" i="15"/>
  <c r="P90" i="15"/>
  <c r="H90" i="15"/>
  <c r="D90" i="15"/>
  <c r="L90" i="15" s="1"/>
  <c r="N90" i="15" s="1"/>
  <c r="B90" i="15"/>
  <c r="T89" i="15"/>
  <c r="P89" i="15"/>
  <c r="H89" i="15"/>
  <c r="D89" i="15"/>
  <c r="L89" i="15" s="1"/>
  <c r="N89" i="15" s="1"/>
  <c r="B89" i="15"/>
  <c r="X88" i="15"/>
  <c r="T88" i="15"/>
  <c r="P88" i="15"/>
  <c r="H88" i="15"/>
  <c r="D88" i="15"/>
  <c r="L88" i="15" s="1"/>
  <c r="N88" i="15" s="1"/>
  <c r="B88" i="15"/>
  <c r="X87" i="15"/>
  <c r="T87" i="15"/>
  <c r="Z87" i="15" s="1"/>
  <c r="P87" i="15"/>
  <c r="L87" i="15"/>
  <c r="N87" i="15" s="1"/>
  <c r="H87" i="15"/>
  <c r="D87" i="15"/>
  <c r="B87" i="15"/>
  <c r="X86" i="15"/>
  <c r="T86" i="15"/>
  <c r="P86" i="15"/>
  <c r="N86" i="15"/>
  <c r="H86" i="15"/>
  <c r="D86" i="15"/>
  <c r="L86" i="15" s="1"/>
  <c r="B86" i="15"/>
  <c r="T85" i="15"/>
  <c r="P85" i="15"/>
  <c r="N85" i="15"/>
  <c r="H85" i="15"/>
  <c r="D85" i="15"/>
  <c r="L85" i="15" s="1"/>
  <c r="B85" i="15"/>
  <c r="T84" i="15"/>
  <c r="P84" i="15"/>
  <c r="N84" i="15"/>
  <c r="H84" i="15"/>
  <c r="D84" i="15"/>
  <c r="L84" i="15" s="1"/>
  <c r="B84" i="15"/>
  <c r="X83" i="15"/>
  <c r="T83" i="15"/>
  <c r="Z83" i="15" s="1"/>
  <c r="P83" i="15"/>
  <c r="N83" i="15"/>
  <c r="L83" i="15"/>
  <c r="H83" i="15"/>
  <c r="D83" i="15"/>
  <c r="B83" i="15"/>
  <c r="X82" i="15"/>
  <c r="T82" i="15"/>
  <c r="P82" i="15"/>
  <c r="N82" i="15"/>
  <c r="H82" i="15"/>
  <c r="D82" i="15"/>
  <c r="L82" i="15" s="1"/>
  <c r="B82" i="15"/>
  <c r="T81" i="15"/>
  <c r="P81" i="15"/>
  <c r="N81" i="15"/>
  <c r="H81" i="15"/>
  <c r="D81" i="15"/>
  <c r="L81" i="15" s="1"/>
  <c r="B81" i="15"/>
  <c r="X80" i="15"/>
  <c r="T80" i="15"/>
  <c r="P80" i="15"/>
  <c r="N80" i="15"/>
  <c r="H80" i="15"/>
  <c r="D80" i="15"/>
  <c r="L80" i="15" s="1"/>
  <c r="B80" i="15"/>
  <c r="X79" i="15"/>
  <c r="T79" i="15"/>
  <c r="Z79" i="15" s="1"/>
  <c r="P79" i="15"/>
  <c r="N79" i="15"/>
  <c r="L79" i="15"/>
  <c r="H79" i="15"/>
  <c r="D79" i="15"/>
  <c r="B79" i="15"/>
  <c r="X78" i="15"/>
  <c r="T78" i="15"/>
  <c r="Z78" i="15" s="1"/>
  <c r="P78" i="15"/>
  <c r="H78" i="15"/>
  <c r="D78" i="15"/>
  <c r="L78" i="15" s="1"/>
  <c r="N78" i="15" s="1"/>
  <c r="B78" i="15"/>
  <c r="T77" i="15"/>
  <c r="P77" i="15"/>
  <c r="N77" i="15"/>
  <c r="H77" i="15"/>
  <c r="D77" i="15"/>
  <c r="L77" i="15" s="1"/>
  <c r="B77" i="15"/>
  <c r="T76" i="15"/>
  <c r="P76" i="15"/>
  <c r="N76" i="15"/>
  <c r="H76" i="15"/>
  <c r="D76" i="15"/>
  <c r="L76" i="15" s="1"/>
  <c r="B76" i="15"/>
  <c r="X75" i="15"/>
  <c r="T75" i="15"/>
  <c r="Z75" i="15" s="1"/>
  <c r="P75" i="15"/>
  <c r="L75" i="15"/>
  <c r="N75" i="15" s="1"/>
  <c r="H75" i="15"/>
  <c r="D75" i="15"/>
  <c r="B75" i="15"/>
  <c r="X74" i="15"/>
  <c r="T74" i="15"/>
  <c r="Z74" i="15" s="1"/>
  <c r="P74" i="15"/>
  <c r="H74" i="15"/>
  <c r="D74" i="15"/>
  <c r="L74" i="15" s="1"/>
  <c r="N74" i="15" s="1"/>
  <c r="B74" i="15"/>
  <c r="T73" i="15"/>
  <c r="P73" i="15"/>
  <c r="N73" i="15"/>
  <c r="H73" i="15"/>
  <c r="D73" i="15"/>
  <c r="L73" i="15" s="1"/>
  <c r="B73" i="15"/>
  <c r="T72" i="15"/>
  <c r="P72" i="15"/>
  <c r="N72" i="15"/>
  <c r="H72" i="15"/>
  <c r="D72" i="15"/>
  <c r="L72" i="15" s="1"/>
  <c r="B72" i="15"/>
  <c r="X71" i="15"/>
  <c r="T71" i="15"/>
  <c r="Z71" i="15" s="1"/>
  <c r="P71" i="15"/>
  <c r="L71" i="15"/>
  <c r="N71" i="15" s="1"/>
  <c r="H71" i="15"/>
  <c r="D71" i="15"/>
  <c r="B71" i="15"/>
  <c r="X70" i="15"/>
  <c r="T70" i="15"/>
  <c r="P70" i="15"/>
  <c r="N70" i="15"/>
  <c r="H70" i="15"/>
  <c r="D70" i="15"/>
  <c r="L70" i="15" s="1"/>
  <c r="B70" i="15"/>
  <c r="T69" i="15"/>
  <c r="P69" i="15"/>
  <c r="H69" i="15"/>
  <c r="D69" i="15"/>
  <c r="L69" i="15" s="1"/>
  <c r="N69" i="15" s="1"/>
  <c r="B69" i="15"/>
  <c r="T68" i="15"/>
  <c r="P68" i="15"/>
  <c r="H68" i="15"/>
  <c r="D68" i="15"/>
  <c r="L68" i="15" s="1"/>
  <c r="N68" i="15" s="1"/>
  <c r="B68" i="15"/>
  <c r="X67" i="15"/>
  <c r="T67" i="15"/>
  <c r="Z67" i="15" s="1"/>
  <c r="P67" i="15"/>
  <c r="N67" i="15"/>
  <c r="L67" i="15"/>
  <c r="H67" i="15"/>
  <c r="D67" i="15"/>
  <c r="B67" i="15"/>
  <c r="X66" i="15"/>
  <c r="T66" i="15"/>
  <c r="P66" i="15"/>
  <c r="H66" i="15"/>
  <c r="D66" i="15"/>
  <c r="L66" i="15" s="1"/>
  <c r="N66" i="15" s="1"/>
  <c r="B66" i="15"/>
  <c r="T65" i="15"/>
  <c r="P65" i="15"/>
  <c r="H65" i="15"/>
  <c r="D65" i="15"/>
  <c r="L65" i="15" s="1"/>
  <c r="N65" i="15" s="1"/>
  <c r="B65" i="15"/>
  <c r="X64" i="15"/>
  <c r="T64" i="15"/>
  <c r="P64" i="15"/>
  <c r="N64" i="15"/>
  <c r="H64" i="15"/>
  <c r="D64" i="15"/>
  <c r="L64" i="15" s="1"/>
  <c r="B64" i="15"/>
  <c r="X63" i="15"/>
  <c r="T63" i="15"/>
  <c r="Z63" i="15" s="1"/>
  <c r="P63" i="15"/>
  <c r="N63" i="15"/>
  <c r="L63" i="15"/>
  <c r="H63" i="15"/>
  <c r="D63" i="15"/>
  <c r="B63" i="15"/>
  <c r="X62" i="15"/>
  <c r="T62" i="15"/>
  <c r="Z62" i="15" s="1"/>
  <c r="P62" i="15"/>
  <c r="N62" i="15"/>
  <c r="H62" i="15"/>
  <c r="D62" i="15"/>
  <c r="L62" i="15" s="1"/>
  <c r="B62" i="15"/>
  <c r="T61" i="15"/>
  <c r="P61" i="15"/>
  <c r="N61" i="15"/>
  <c r="H61" i="15"/>
  <c r="D61" i="15"/>
  <c r="L61" i="15" s="1"/>
  <c r="B61" i="15"/>
  <c r="T60" i="15"/>
  <c r="P60" i="15"/>
  <c r="N60" i="15"/>
  <c r="H60" i="15"/>
  <c r="D60" i="15"/>
  <c r="L60" i="15" s="1"/>
  <c r="B60" i="15"/>
  <c r="X59" i="15"/>
  <c r="T59" i="15"/>
  <c r="Z59" i="15" s="1"/>
  <c r="P59" i="15"/>
  <c r="N59" i="15"/>
  <c r="L59" i="15"/>
  <c r="H59" i="15"/>
  <c r="D59" i="15"/>
  <c r="B59" i="15"/>
  <c r="X58" i="15"/>
  <c r="T58" i="15"/>
  <c r="P58" i="15"/>
  <c r="N58" i="15"/>
  <c r="H58" i="15"/>
  <c r="D58" i="15"/>
  <c r="L58" i="15" s="1"/>
  <c r="B58" i="15"/>
  <c r="T57" i="15"/>
  <c r="P57" i="15"/>
  <c r="N57" i="15"/>
  <c r="H57" i="15"/>
  <c r="D57" i="15"/>
  <c r="L57" i="15" s="1"/>
  <c r="B57" i="15"/>
  <c r="T56" i="15"/>
  <c r="P56" i="15"/>
  <c r="H56" i="15"/>
  <c r="D56" i="15"/>
  <c r="L56" i="15" s="1"/>
  <c r="N56" i="15" s="1"/>
  <c r="B56" i="15"/>
  <c r="X55" i="15"/>
  <c r="T55" i="15"/>
  <c r="Z55" i="15" s="1"/>
  <c r="P55" i="15"/>
  <c r="N55" i="15"/>
  <c r="L55" i="15"/>
  <c r="H55" i="15"/>
  <c r="D55" i="15"/>
  <c r="B55" i="15"/>
  <c r="X54" i="15"/>
  <c r="T54" i="15"/>
  <c r="Z54" i="15" s="1"/>
  <c r="P54" i="15"/>
  <c r="H54" i="15"/>
  <c r="D54" i="15"/>
  <c r="L54" i="15" s="1"/>
  <c r="N54" i="15" s="1"/>
  <c r="B54" i="15"/>
  <c r="T53" i="15"/>
  <c r="P53" i="15"/>
  <c r="X53" i="15" s="1"/>
  <c r="H53" i="15"/>
  <c r="D53" i="15"/>
  <c r="L53" i="15" s="1"/>
  <c r="N53" i="15" s="1"/>
  <c r="B53" i="15"/>
  <c r="T52" i="15"/>
  <c r="P52" i="15"/>
  <c r="H52" i="15"/>
  <c r="D52" i="15"/>
  <c r="L52" i="15" s="1"/>
  <c r="N52" i="15" s="1"/>
  <c r="B52" i="15"/>
  <c r="X51" i="15"/>
  <c r="T51" i="15"/>
  <c r="Z51" i="15" s="1"/>
  <c r="P51" i="15"/>
  <c r="N51" i="15"/>
  <c r="L51" i="15"/>
  <c r="H51" i="15"/>
  <c r="D51" i="15"/>
  <c r="B51" i="15"/>
  <c r="X50" i="15"/>
  <c r="T50" i="15"/>
  <c r="P50" i="15"/>
  <c r="N50" i="15"/>
  <c r="H50" i="15"/>
  <c r="D50" i="15"/>
  <c r="L50" i="15" s="1"/>
  <c r="B50" i="15"/>
  <c r="T49" i="15"/>
  <c r="Z49" i="15" s="1"/>
  <c r="P49" i="15"/>
  <c r="X49" i="15" s="1"/>
  <c r="H49" i="15"/>
  <c r="D49" i="15"/>
  <c r="L49" i="15" s="1"/>
  <c r="N49" i="15" s="1"/>
  <c r="B49" i="15"/>
  <c r="T48" i="15"/>
  <c r="X48" i="15" s="1"/>
  <c r="P48" i="15"/>
  <c r="H48" i="15"/>
  <c r="D48" i="15"/>
  <c r="L48" i="15" s="1"/>
  <c r="N48" i="15" s="1"/>
  <c r="B48" i="15"/>
  <c r="X47" i="15"/>
  <c r="T47" i="15"/>
  <c r="Z47" i="15" s="1"/>
  <c r="P47" i="15"/>
  <c r="L47" i="15"/>
  <c r="N47" i="15" s="1"/>
  <c r="H47" i="15"/>
  <c r="D47" i="15"/>
  <c r="B47" i="15"/>
  <c r="X46" i="15"/>
  <c r="T46" i="15"/>
  <c r="Z46" i="15" s="1"/>
  <c r="P46" i="15"/>
  <c r="N46" i="15"/>
  <c r="H46" i="15"/>
  <c r="D46" i="15"/>
  <c r="L46" i="15" s="1"/>
  <c r="B46" i="15"/>
  <c r="T45" i="15"/>
  <c r="P45" i="15"/>
  <c r="X45" i="15" s="1"/>
  <c r="N45" i="15"/>
  <c r="H45" i="15"/>
  <c r="D45" i="15"/>
  <c r="L45" i="15" s="1"/>
  <c r="B45" i="15"/>
  <c r="T44" i="15"/>
  <c r="P44" i="15"/>
  <c r="H44" i="15"/>
  <c r="N44" i="15" s="1"/>
  <c r="D44" i="15"/>
  <c r="L44" i="15" s="1"/>
  <c r="B44" i="15"/>
  <c r="X43" i="15"/>
  <c r="T43" i="15"/>
  <c r="Z43" i="15" s="1"/>
  <c r="P43" i="15"/>
  <c r="N43" i="15"/>
  <c r="L43" i="15"/>
  <c r="H43" i="15"/>
  <c r="D43" i="15"/>
  <c r="B43" i="15"/>
  <c r="X42" i="15"/>
  <c r="T42" i="15"/>
  <c r="Z42" i="15" s="1"/>
  <c r="P42" i="15"/>
  <c r="N42" i="15"/>
  <c r="H42" i="15"/>
  <c r="D42" i="15"/>
  <c r="L42" i="15" s="1"/>
  <c r="B42" i="15"/>
  <c r="T41" i="15"/>
  <c r="P41" i="15"/>
  <c r="X41" i="15" s="1"/>
  <c r="N41" i="15"/>
  <c r="H41" i="15"/>
  <c r="D41" i="15"/>
  <c r="L41" i="15" s="1"/>
  <c r="B41" i="15"/>
  <c r="X40" i="15"/>
  <c r="T40" i="15"/>
  <c r="P40" i="15"/>
  <c r="N40" i="15"/>
  <c r="H40" i="15"/>
  <c r="D40" i="15"/>
  <c r="L40" i="15" s="1"/>
  <c r="B40" i="15"/>
  <c r="X39" i="15"/>
  <c r="T39" i="15"/>
  <c r="Z39" i="15" s="1"/>
  <c r="P39" i="15"/>
  <c r="N39" i="15"/>
  <c r="L39" i="15"/>
  <c r="H39" i="15"/>
  <c r="D39" i="15"/>
  <c r="B39" i="15"/>
  <c r="X38" i="15"/>
  <c r="T38" i="15"/>
  <c r="Z38" i="15" s="1"/>
  <c r="P38" i="15"/>
  <c r="H38" i="15"/>
  <c r="D38" i="15"/>
  <c r="L38" i="15" s="1"/>
  <c r="N38" i="15" s="1"/>
  <c r="B38" i="15"/>
  <c r="T37" i="15"/>
  <c r="P37" i="15"/>
  <c r="H37" i="15"/>
  <c r="D37" i="15"/>
  <c r="L37" i="15" s="1"/>
  <c r="N37" i="15" s="1"/>
  <c r="B37" i="15"/>
  <c r="T36" i="15"/>
  <c r="P36" i="15"/>
  <c r="H36" i="15"/>
  <c r="D36" i="15"/>
  <c r="L36" i="15" s="1"/>
  <c r="N36" i="15" s="1"/>
  <c r="B36" i="15"/>
  <c r="X35" i="15"/>
  <c r="T35" i="15"/>
  <c r="Z35" i="15" s="1"/>
  <c r="P35" i="15"/>
  <c r="N35" i="15"/>
  <c r="L35" i="15"/>
  <c r="H35" i="15"/>
  <c r="D35" i="15"/>
  <c r="B35" i="15"/>
  <c r="X34" i="15"/>
  <c r="T34" i="15"/>
  <c r="P34" i="15"/>
  <c r="H34" i="15"/>
  <c r="D34" i="15"/>
  <c r="L34" i="15" s="1"/>
  <c r="N34" i="15" s="1"/>
  <c r="B34" i="15"/>
  <c r="T33" i="15"/>
  <c r="P33" i="15"/>
  <c r="N33" i="15"/>
  <c r="H33" i="15"/>
  <c r="D33" i="15"/>
  <c r="L33" i="15" s="1"/>
  <c r="B33" i="15"/>
  <c r="X32" i="15"/>
  <c r="T32" i="15"/>
  <c r="P32" i="15"/>
  <c r="N32" i="15"/>
  <c r="H32" i="15"/>
  <c r="D32" i="15"/>
  <c r="L32" i="15" s="1"/>
  <c r="B32" i="15"/>
  <c r="X31" i="15"/>
  <c r="T31" i="15"/>
  <c r="Z31" i="15" s="1"/>
  <c r="P31" i="15"/>
  <c r="N31" i="15"/>
  <c r="L31" i="15"/>
  <c r="H31" i="15"/>
  <c r="D31" i="15"/>
  <c r="B31" i="15"/>
  <c r="X30" i="15"/>
  <c r="T30" i="15"/>
  <c r="P30" i="15"/>
  <c r="N30" i="15"/>
  <c r="H30" i="15"/>
  <c r="D30" i="15"/>
  <c r="L30" i="15" s="1"/>
  <c r="B30" i="15"/>
  <c r="T29" i="15"/>
  <c r="P29" i="15"/>
  <c r="N29" i="15"/>
  <c r="H29" i="15"/>
  <c r="D29" i="15"/>
  <c r="L29" i="15" s="1"/>
  <c r="B29" i="15"/>
  <c r="T28" i="15"/>
  <c r="P28" i="15"/>
  <c r="N28" i="15"/>
  <c r="H28" i="15"/>
  <c r="D28" i="15"/>
  <c r="L28" i="15" s="1"/>
  <c r="B28" i="15"/>
  <c r="X27" i="15"/>
  <c r="T27" i="15"/>
  <c r="Z27" i="15" s="1"/>
  <c r="P27" i="15"/>
  <c r="N27" i="15"/>
  <c r="L27" i="15"/>
  <c r="H27" i="15"/>
  <c r="D27" i="15"/>
  <c r="B27" i="15"/>
  <c r="X26" i="15"/>
  <c r="T26" i="15"/>
  <c r="P26" i="15"/>
  <c r="H26" i="15"/>
  <c r="D26" i="15"/>
  <c r="L26" i="15" s="1"/>
  <c r="N26" i="15" s="1"/>
  <c r="B26" i="15"/>
  <c r="T25" i="15"/>
  <c r="P25" i="15"/>
  <c r="H25" i="15"/>
  <c r="D25" i="15"/>
  <c r="L25" i="15" s="1"/>
  <c r="N25" i="15" s="1"/>
  <c r="B25" i="15"/>
  <c r="X24" i="15"/>
  <c r="T24" i="15"/>
  <c r="P24" i="15"/>
  <c r="N24" i="15"/>
  <c r="H24" i="15"/>
  <c r="D24" i="15"/>
  <c r="L24" i="15" s="1"/>
  <c r="B24" i="15"/>
  <c r="X23" i="15"/>
  <c r="T23" i="15"/>
  <c r="Z23" i="15" s="1"/>
  <c r="P23" i="15"/>
  <c r="N23" i="15"/>
  <c r="L23" i="15"/>
  <c r="H23" i="15"/>
  <c r="D23" i="15"/>
  <c r="B23" i="15"/>
  <c r="X22" i="15"/>
  <c r="T22" i="15"/>
  <c r="Z22" i="15" s="1"/>
  <c r="P22" i="15"/>
  <c r="N22" i="15"/>
  <c r="H22" i="15"/>
  <c r="D22" i="15"/>
  <c r="L22" i="15" s="1"/>
  <c r="B22" i="15"/>
  <c r="T21" i="15"/>
  <c r="Z21" i="15" s="1"/>
  <c r="P21" i="15"/>
  <c r="X21" i="15" s="1"/>
  <c r="N21" i="15"/>
  <c r="H21" i="15"/>
  <c r="D21" i="15"/>
  <c r="L21" i="15" s="1"/>
  <c r="B21" i="15"/>
  <c r="T20" i="15"/>
  <c r="P20" i="15"/>
  <c r="H20" i="15"/>
  <c r="N20" i="15" s="1"/>
  <c r="D20" i="15"/>
  <c r="L20" i="15" s="1"/>
  <c r="B20" i="15"/>
  <c r="X19" i="15"/>
  <c r="T19" i="15"/>
  <c r="Z19" i="15" s="1"/>
  <c r="P19" i="15"/>
  <c r="L19" i="15"/>
  <c r="N19" i="15" s="1"/>
  <c r="H19" i="15"/>
  <c r="D19" i="15"/>
  <c r="B19" i="15"/>
  <c r="X18" i="15"/>
  <c r="T18" i="15"/>
  <c r="Z18" i="15" s="1"/>
  <c r="P18" i="15"/>
  <c r="N18" i="15"/>
  <c r="H18" i="15"/>
  <c r="D18" i="15"/>
  <c r="L18" i="15" s="1"/>
  <c r="B18" i="15"/>
  <c r="T17" i="15"/>
  <c r="P17" i="15"/>
  <c r="X17" i="15" s="1"/>
  <c r="N17" i="15"/>
  <c r="H17" i="15"/>
  <c r="D17" i="15"/>
  <c r="L17" i="15" s="1"/>
  <c r="B17" i="15"/>
  <c r="X16" i="15"/>
  <c r="T16" i="15"/>
  <c r="P16" i="15"/>
  <c r="N16" i="15"/>
  <c r="H16" i="15"/>
  <c r="D16" i="15"/>
  <c r="L16" i="15" s="1"/>
  <c r="B16" i="15"/>
  <c r="X15" i="15"/>
  <c r="T15" i="15"/>
  <c r="Z15" i="15" s="1"/>
  <c r="P15" i="15"/>
  <c r="N15" i="15"/>
  <c r="L15" i="15"/>
  <c r="H15" i="15"/>
  <c r="D15" i="15"/>
  <c r="B15" i="15"/>
  <c r="X14" i="15"/>
  <c r="T14" i="15"/>
  <c r="P14" i="15"/>
  <c r="H14" i="15"/>
  <c r="D14" i="15"/>
  <c r="L14" i="15" s="1"/>
  <c r="N14" i="15" s="1"/>
  <c r="B14" i="15"/>
  <c r="T13" i="15"/>
  <c r="Z13" i="15" s="1"/>
  <c r="P13" i="15"/>
  <c r="N13" i="15"/>
  <c r="H13" i="15"/>
  <c r="D13" i="15"/>
  <c r="L13" i="15" s="1"/>
  <c r="B13" i="15"/>
  <c r="P12" i="15"/>
  <c r="R272" i="15" s="1"/>
  <c r="H12" i="15"/>
  <c r="J253" i="15" s="1"/>
  <c r="D4" i="15"/>
  <c r="Z281" i="12"/>
  <c r="X281" i="12"/>
  <c r="L281" i="12"/>
  <c r="N281" i="12" s="1"/>
  <c r="T277" i="12"/>
  <c r="X277" i="12" s="1"/>
  <c r="P277" i="12"/>
  <c r="N277" i="12"/>
  <c r="L277" i="12"/>
  <c r="H277" i="12"/>
  <c r="D277" i="12"/>
  <c r="B277" i="12"/>
  <c r="T276" i="12"/>
  <c r="P276" i="12"/>
  <c r="X276" i="12" s="1"/>
  <c r="N276" i="12"/>
  <c r="H276" i="12"/>
  <c r="D276" i="12"/>
  <c r="L276" i="12" s="1"/>
  <c r="B276" i="12"/>
  <c r="X275" i="12"/>
  <c r="T275" i="12"/>
  <c r="P275" i="12"/>
  <c r="H275" i="12"/>
  <c r="N275" i="12" s="1"/>
  <c r="D275" i="12"/>
  <c r="L275" i="12" s="1"/>
  <c r="B275" i="12"/>
  <c r="Z274" i="12"/>
  <c r="T274" i="12"/>
  <c r="X274" i="12" s="1"/>
  <c r="P274" i="12"/>
  <c r="H274" i="12"/>
  <c r="D274" i="12"/>
  <c r="B274" i="12"/>
  <c r="T273" i="12"/>
  <c r="P273" i="12"/>
  <c r="X273" i="12" s="1"/>
  <c r="N273" i="12"/>
  <c r="H273" i="12"/>
  <c r="D273" i="12"/>
  <c r="L273" i="12" s="1"/>
  <c r="B273" i="12"/>
  <c r="X272" i="12"/>
  <c r="Z272" i="12" s="1"/>
  <c r="T272" i="12"/>
  <c r="P272" i="12"/>
  <c r="L272" i="12"/>
  <c r="H272" i="12"/>
  <c r="N272" i="12" s="1"/>
  <c r="D272" i="12"/>
  <c r="B272" i="12"/>
  <c r="Z271" i="12"/>
  <c r="X271" i="12"/>
  <c r="T271" i="12"/>
  <c r="P271" i="12"/>
  <c r="N271" i="12"/>
  <c r="H271" i="12"/>
  <c r="L271" i="12" s="1"/>
  <c r="D271" i="12"/>
  <c r="B271" i="12"/>
  <c r="Z270" i="12"/>
  <c r="T270" i="12"/>
  <c r="P270" i="12"/>
  <c r="X270" i="12" s="1"/>
  <c r="H270" i="12"/>
  <c r="N270" i="12" s="1"/>
  <c r="D270" i="12"/>
  <c r="L270" i="12" s="1"/>
  <c r="B270" i="12"/>
  <c r="T269" i="12"/>
  <c r="P269" i="12"/>
  <c r="X269" i="12" s="1"/>
  <c r="H269" i="12"/>
  <c r="N269" i="12" s="1"/>
  <c r="D269" i="12"/>
  <c r="B269" i="12"/>
  <c r="X266" i="12"/>
  <c r="Z266" i="12" s="1"/>
  <c r="N266" i="12"/>
  <c r="L266" i="12"/>
  <c r="B266" i="12"/>
  <c r="Z265" i="12"/>
  <c r="X265" i="12"/>
  <c r="T265" i="12"/>
  <c r="P265" i="12"/>
  <c r="H265" i="12"/>
  <c r="L265" i="12" s="1"/>
  <c r="D265" i="12"/>
  <c r="B265" i="12"/>
  <c r="Z264" i="12"/>
  <c r="X264" i="12"/>
  <c r="L264" i="12"/>
  <c r="N264" i="12" s="1"/>
  <c r="B264" i="12"/>
  <c r="Z263" i="12"/>
  <c r="X263" i="12"/>
  <c r="N263" i="12"/>
  <c r="L263" i="12"/>
  <c r="B263" i="12"/>
  <c r="Z262" i="12"/>
  <c r="X262" i="12"/>
  <c r="N262" i="12"/>
  <c r="L262" i="12"/>
  <c r="B262" i="12"/>
  <c r="T261" i="12"/>
  <c r="P261" i="12"/>
  <c r="X261" i="12" s="1"/>
  <c r="Z261" i="12" s="1"/>
  <c r="H261" i="12"/>
  <c r="D261" i="12"/>
  <c r="B261" i="12"/>
  <c r="X260" i="12"/>
  <c r="Z260" i="12" s="1"/>
  <c r="N260" i="12"/>
  <c r="L260" i="12"/>
  <c r="B260" i="12"/>
  <c r="T259" i="12"/>
  <c r="Z259" i="12" s="1"/>
  <c r="P259" i="12"/>
  <c r="X259" i="12" s="1"/>
  <c r="L259" i="12"/>
  <c r="H259" i="12"/>
  <c r="D259" i="12"/>
  <c r="B259" i="12"/>
  <c r="X258" i="12"/>
  <c r="Z258" i="12" s="1"/>
  <c r="N258" i="12"/>
  <c r="L258" i="12"/>
  <c r="B258" i="12"/>
  <c r="X257" i="12"/>
  <c r="Z257" i="12" s="1"/>
  <c r="N257" i="12"/>
  <c r="L257" i="12"/>
  <c r="B257" i="12"/>
  <c r="T256" i="12"/>
  <c r="P256" i="12"/>
  <c r="H256" i="12"/>
  <c r="D256" i="12"/>
  <c r="B256" i="12"/>
  <c r="Z255" i="12"/>
  <c r="X255" i="12"/>
  <c r="N255" i="12"/>
  <c r="L255" i="12"/>
  <c r="B255" i="12"/>
  <c r="Z254" i="12"/>
  <c r="X254" i="12"/>
  <c r="L254" i="12"/>
  <c r="N254" i="12" s="1"/>
  <c r="B254" i="12"/>
  <c r="Z253" i="12"/>
  <c r="X253" i="12"/>
  <c r="L253" i="12"/>
  <c r="N253" i="12" s="1"/>
  <c r="B253" i="12"/>
  <c r="Z252" i="12"/>
  <c r="X252" i="12"/>
  <c r="L252" i="12"/>
  <c r="N252" i="12" s="1"/>
  <c r="B252" i="12"/>
  <c r="Z251" i="12"/>
  <c r="X251" i="12"/>
  <c r="L251" i="12"/>
  <c r="N251" i="12" s="1"/>
  <c r="B251" i="12"/>
  <c r="Z250" i="12"/>
  <c r="X250" i="12"/>
  <c r="N250" i="12"/>
  <c r="L250" i="12"/>
  <c r="B250" i="12"/>
  <c r="Z249" i="12"/>
  <c r="X249" i="12"/>
  <c r="L249" i="12"/>
  <c r="N249" i="12" s="1"/>
  <c r="B249" i="12"/>
  <c r="Z248" i="12"/>
  <c r="X248" i="12"/>
  <c r="N248" i="12"/>
  <c r="L248" i="12"/>
  <c r="B248" i="12"/>
  <c r="Z247" i="12"/>
  <c r="X247" i="12"/>
  <c r="L247" i="12"/>
  <c r="N247" i="12" s="1"/>
  <c r="B247" i="12"/>
  <c r="T246" i="12"/>
  <c r="Z246" i="12" s="1"/>
  <c r="P246" i="12"/>
  <c r="X246" i="12" s="1"/>
  <c r="N246" i="12"/>
  <c r="H246" i="12"/>
  <c r="D246" i="12"/>
  <c r="L246" i="12" s="1"/>
  <c r="B246" i="12"/>
  <c r="X245" i="12"/>
  <c r="Z245" i="12" s="1"/>
  <c r="L245" i="12"/>
  <c r="N245" i="12" s="1"/>
  <c r="B245" i="12"/>
  <c r="X244" i="12"/>
  <c r="Z244" i="12" s="1"/>
  <c r="N244" i="12"/>
  <c r="L244" i="12"/>
  <c r="B244" i="12"/>
  <c r="T243" i="12"/>
  <c r="Z243" i="12" s="1"/>
  <c r="P243" i="12"/>
  <c r="X243" i="12" s="1"/>
  <c r="L243" i="12"/>
  <c r="H243" i="12"/>
  <c r="D243" i="12"/>
  <c r="B243" i="12"/>
  <c r="X242" i="12"/>
  <c r="Z242" i="12" s="1"/>
  <c r="N242" i="12"/>
  <c r="L242" i="12"/>
  <c r="B242" i="12"/>
  <c r="Z241" i="12"/>
  <c r="X241" i="12"/>
  <c r="N241" i="12"/>
  <c r="L241" i="12"/>
  <c r="B241" i="12"/>
  <c r="Z240" i="12"/>
  <c r="X240" i="12"/>
  <c r="N240" i="12"/>
  <c r="L240" i="12"/>
  <c r="B240" i="12"/>
  <c r="Z239" i="12"/>
  <c r="X239" i="12"/>
  <c r="N239" i="12"/>
  <c r="L239" i="12"/>
  <c r="B239" i="12"/>
  <c r="X238" i="12"/>
  <c r="Z238" i="12" s="1"/>
  <c r="N238" i="12"/>
  <c r="L238" i="12"/>
  <c r="B238" i="12"/>
  <c r="X237" i="12"/>
  <c r="Z237" i="12" s="1"/>
  <c r="T237" i="12"/>
  <c r="P237" i="12"/>
  <c r="H237" i="12"/>
  <c r="L237" i="12" s="1"/>
  <c r="D237" i="12"/>
  <c r="B237" i="12"/>
  <c r="Z236" i="12"/>
  <c r="X236" i="12"/>
  <c r="L236" i="12"/>
  <c r="N236" i="12" s="1"/>
  <c r="B236" i="12"/>
  <c r="Z235" i="12"/>
  <c r="X235" i="12"/>
  <c r="N235" i="12"/>
  <c r="L235" i="12"/>
  <c r="B235" i="12"/>
  <c r="Z234" i="12"/>
  <c r="X234" i="12"/>
  <c r="L234" i="12"/>
  <c r="N234" i="12" s="1"/>
  <c r="B234" i="12"/>
  <c r="T233" i="12"/>
  <c r="P233" i="12"/>
  <c r="X233" i="12" s="1"/>
  <c r="Z233" i="12" s="1"/>
  <c r="H233" i="12"/>
  <c r="D233" i="12"/>
  <c r="B233" i="12"/>
  <c r="X232" i="12"/>
  <c r="Z232" i="12" s="1"/>
  <c r="N232" i="12"/>
  <c r="L232" i="12"/>
  <c r="B232" i="12"/>
  <c r="X231" i="12"/>
  <c r="Z231" i="12" s="1"/>
  <c r="N231" i="12"/>
  <c r="L231" i="12"/>
  <c r="B231" i="12"/>
  <c r="X230" i="12"/>
  <c r="Z230" i="12" s="1"/>
  <c r="N230" i="12"/>
  <c r="L230" i="12"/>
  <c r="B230" i="12"/>
  <c r="X229" i="12"/>
  <c r="Z229" i="12" s="1"/>
  <c r="N229" i="12"/>
  <c r="L229" i="12"/>
  <c r="B229" i="12"/>
  <c r="X228" i="12"/>
  <c r="T228" i="12"/>
  <c r="Z228" i="12" s="1"/>
  <c r="P228" i="12"/>
  <c r="L228" i="12"/>
  <c r="H228" i="12"/>
  <c r="D228" i="12"/>
  <c r="B228" i="12"/>
  <c r="Z227" i="12"/>
  <c r="X227" i="12"/>
  <c r="N227" i="12"/>
  <c r="L227" i="12"/>
  <c r="B227" i="12"/>
  <c r="T226" i="12"/>
  <c r="P226" i="12"/>
  <c r="N226" i="12"/>
  <c r="H226" i="12"/>
  <c r="L226" i="12" s="1"/>
  <c r="D226" i="12"/>
  <c r="B226" i="12"/>
  <c r="Z225" i="12"/>
  <c r="X225" i="12"/>
  <c r="L225" i="12"/>
  <c r="N225" i="12" s="1"/>
  <c r="B225" i="12"/>
  <c r="T224" i="12"/>
  <c r="P224" i="12"/>
  <c r="X224" i="12" s="1"/>
  <c r="Z224" i="12" s="1"/>
  <c r="H224" i="12"/>
  <c r="N224" i="12" s="1"/>
  <c r="D224" i="12"/>
  <c r="L224" i="12" s="1"/>
  <c r="B224" i="12"/>
  <c r="Z223" i="12"/>
  <c r="X223" i="12"/>
  <c r="N223" i="12"/>
  <c r="L223" i="12"/>
  <c r="B223" i="12"/>
  <c r="Z222" i="12"/>
  <c r="X222" i="12"/>
  <c r="N222" i="12"/>
  <c r="L222" i="12"/>
  <c r="B222" i="12"/>
  <c r="X221" i="12"/>
  <c r="Z221" i="12" s="1"/>
  <c r="L221" i="12"/>
  <c r="N221" i="12" s="1"/>
  <c r="B221" i="12"/>
  <c r="X220" i="12"/>
  <c r="T220" i="12"/>
  <c r="Z220" i="12" s="1"/>
  <c r="P220" i="12"/>
  <c r="L220" i="12"/>
  <c r="H220" i="12"/>
  <c r="N220" i="12" s="1"/>
  <c r="D220" i="12"/>
  <c r="B220" i="12"/>
  <c r="Z219" i="12"/>
  <c r="X219" i="12"/>
  <c r="N219" i="12"/>
  <c r="L219" i="12"/>
  <c r="B219" i="12"/>
  <c r="T218" i="12"/>
  <c r="P218" i="12"/>
  <c r="H218" i="12"/>
  <c r="L218" i="12" s="1"/>
  <c r="D218" i="12"/>
  <c r="B218" i="12"/>
  <c r="Z217" i="12"/>
  <c r="X217" i="12"/>
  <c r="L217" i="12"/>
  <c r="N217" i="12" s="1"/>
  <c r="B217" i="12"/>
  <c r="T216" i="12"/>
  <c r="P216" i="12"/>
  <c r="X216" i="12" s="1"/>
  <c r="Z216" i="12" s="1"/>
  <c r="H216" i="12"/>
  <c r="D216" i="12"/>
  <c r="L216" i="12" s="1"/>
  <c r="B216" i="12"/>
  <c r="Z215" i="12"/>
  <c r="X215" i="12"/>
  <c r="N215" i="12"/>
  <c r="L215" i="12"/>
  <c r="B215" i="12"/>
  <c r="X214" i="12"/>
  <c r="T214" i="12"/>
  <c r="P214" i="12"/>
  <c r="L214" i="12"/>
  <c r="N214" i="12" s="1"/>
  <c r="H214" i="12"/>
  <c r="D214" i="12"/>
  <c r="B214" i="12"/>
  <c r="X213" i="12"/>
  <c r="Z213" i="12" s="1"/>
  <c r="N213" i="12"/>
  <c r="L213" i="12"/>
  <c r="B213" i="12"/>
  <c r="Z212" i="12"/>
  <c r="X212" i="12"/>
  <c r="N212" i="12"/>
  <c r="L212" i="12"/>
  <c r="B212" i="12"/>
  <c r="T211" i="12"/>
  <c r="P211" i="12"/>
  <c r="N211" i="12"/>
  <c r="L211" i="12"/>
  <c r="H211" i="12"/>
  <c r="D211" i="12"/>
  <c r="B211" i="12"/>
  <c r="X210" i="12"/>
  <c r="Z210" i="12" s="1"/>
  <c r="L210" i="12"/>
  <c r="N210" i="12" s="1"/>
  <c r="B210" i="12"/>
  <c r="T209" i="12"/>
  <c r="P209" i="12"/>
  <c r="X209" i="12" s="1"/>
  <c r="Z209" i="12" s="1"/>
  <c r="H209" i="12"/>
  <c r="D209" i="12"/>
  <c r="B209" i="12"/>
  <c r="X208" i="12"/>
  <c r="Z208" i="12" s="1"/>
  <c r="N208" i="12"/>
  <c r="L208" i="12"/>
  <c r="B208" i="12"/>
  <c r="T207" i="12"/>
  <c r="P207" i="12"/>
  <c r="H207" i="12"/>
  <c r="D207" i="12"/>
  <c r="L207" i="12" s="1"/>
  <c r="B207" i="12"/>
  <c r="X206" i="12"/>
  <c r="Z206" i="12" s="1"/>
  <c r="N206" i="12"/>
  <c r="L206" i="12"/>
  <c r="B206" i="12"/>
  <c r="Z205" i="12"/>
  <c r="X205" i="12"/>
  <c r="T205" i="12"/>
  <c r="P205" i="12"/>
  <c r="N205" i="12"/>
  <c r="H205" i="12"/>
  <c r="D205" i="12"/>
  <c r="B205" i="12"/>
  <c r="Z204" i="12"/>
  <c r="X204" i="12"/>
  <c r="L204" i="12"/>
  <c r="N204" i="12" s="1"/>
  <c r="B204" i="12"/>
  <c r="Z203" i="12"/>
  <c r="X203" i="12"/>
  <c r="L203" i="12"/>
  <c r="N203" i="12" s="1"/>
  <c r="B203" i="12"/>
  <c r="T202" i="12"/>
  <c r="Z202" i="12" s="1"/>
  <c r="P202" i="12"/>
  <c r="X202" i="12" s="1"/>
  <c r="H202" i="12"/>
  <c r="D202" i="12"/>
  <c r="L202" i="12" s="1"/>
  <c r="N202" i="12" s="1"/>
  <c r="B202" i="12"/>
  <c r="Z201" i="12"/>
  <c r="X201" i="12"/>
  <c r="N201" i="12"/>
  <c r="L201" i="12"/>
  <c r="B201" i="12"/>
  <c r="X200" i="12"/>
  <c r="Z200" i="12" s="1"/>
  <c r="N200" i="12"/>
  <c r="L200" i="12"/>
  <c r="B200" i="12"/>
  <c r="X199" i="12"/>
  <c r="Z199" i="12" s="1"/>
  <c r="N199" i="12"/>
  <c r="L199" i="12"/>
  <c r="B199" i="12"/>
  <c r="X198" i="12"/>
  <c r="T198" i="12"/>
  <c r="P198" i="12"/>
  <c r="L198" i="12"/>
  <c r="N198" i="12" s="1"/>
  <c r="H198" i="12"/>
  <c r="D198" i="12"/>
  <c r="B198" i="12"/>
  <c r="X197" i="12"/>
  <c r="Z197" i="12" s="1"/>
  <c r="N197" i="12"/>
  <c r="L197" i="12"/>
  <c r="B197" i="12"/>
  <c r="T196" i="12"/>
  <c r="X196" i="12" s="1"/>
  <c r="Z196" i="12" s="1"/>
  <c r="P196" i="12"/>
  <c r="H196" i="12"/>
  <c r="D196" i="12"/>
  <c r="B196" i="12"/>
  <c r="Z195" i="12"/>
  <c r="X195" i="12"/>
  <c r="N195" i="12"/>
  <c r="L195" i="12"/>
  <c r="B195" i="12"/>
  <c r="X194" i="12"/>
  <c r="Z194" i="12" s="1"/>
  <c r="L194" i="12"/>
  <c r="N194" i="12" s="1"/>
  <c r="B194" i="12"/>
  <c r="T193" i="12"/>
  <c r="P193" i="12"/>
  <c r="X193" i="12" s="1"/>
  <c r="Z193" i="12" s="1"/>
  <c r="H193" i="12"/>
  <c r="D193" i="12"/>
  <c r="L193" i="12" s="1"/>
  <c r="B193" i="12"/>
  <c r="X192" i="12"/>
  <c r="Z192" i="12" s="1"/>
  <c r="N192" i="12"/>
  <c r="L192" i="12"/>
  <c r="B192" i="12"/>
  <c r="T191" i="12"/>
  <c r="P191" i="12"/>
  <c r="X191" i="12" s="1"/>
  <c r="L191" i="12"/>
  <c r="H191" i="12"/>
  <c r="D191" i="12"/>
  <c r="B191" i="12"/>
  <c r="X190" i="12"/>
  <c r="Z190" i="12" s="1"/>
  <c r="L190" i="12"/>
  <c r="N190" i="12" s="1"/>
  <c r="B190" i="12"/>
  <c r="X189" i="12"/>
  <c r="Z189" i="12" s="1"/>
  <c r="N189" i="12"/>
  <c r="L189" i="12"/>
  <c r="B189" i="12"/>
  <c r="Z188" i="12"/>
  <c r="X188" i="12"/>
  <c r="N188" i="12"/>
  <c r="L188" i="12"/>
  <c r="B188" i="12"/>
  <c r="Z187" i="12"/>
  <c r="X187" i="12"/>
  <c r="N187" i="12"/>
  <c r="L187" i="12"/>
  <c r="B187" i="12"/>
  <c r="X186" i="12"/>
  <c r="Z186" i="12" s="1"/>
  <c r="L186" i="12"/>
  <c r="N186" i="12" s="1"/>
  <c r="B186" i="12"/>
  <c r="Z185" i="12"/>
  <c r="X185" i="12"/>
  <c r="N185" i="12"/>
  <c r="L185" i="12"/>
  <c r="B185" i="12"/>
  <c r="Z184" i="12"/>
  <c r="X184" i="12"/>
  <c r="N184" i="12"/>
  <c r="L184" i="12"/>
  <c r="B184" i="12"/>
  <c r="T183" i="12"/>
  <c r="P183" i="12"/>
  <c r="L183" i="12"/>
  <c r="N183" i="12" s="1"/>
  <c r="H183" i="12"/>
  <c r="D183" i="12"/>
  <c r="B183" i="12"/>
  <c r="X182" i="12"/>
  <c r="Z182" i="12" s="1"/>
  <c r="L182" i="12"/>
  <c r="N182" i="12" s="1"/>
  <c r="B182" i="12"/>
  <c r="Z181" i="12"/>
  <c r="X181" i="12"/>
  <c r="L181" i="12"/>
  <c r="N181" i="12" s="1"/>
  <c r="B181" i="12"/>
  <c r="Z180" i="12"/>
  <c r="X180" i="12"/>
  <c r="L180" i="12"/>
  <c r="N180" i="12" s="1"/>
  <c r="B180" i="12"/>
  <c r="Z179" i="12"/>
  <c r="X179" i="12"/>
  <c r="L179" i="12"/>
  <c r="N179" i="12" s="1"/>
  <c r="B179" i="12"/>
  <c r="Z178" i="12"/>
  <c r="X178" i="12"/>
  <c r="N178" i="12"/>
  <c r="L178" i="12"/>
  <c r="B178" i="12"/>
  <c r="Z177" i="12"/>
  <c r="X177" i="12"/>
  <c r="L177" i="12"/>
  <c r="N177" i="12" s="1"/>
  <c r="B177" i="12"/>
  <c r="Z176" i="12"/>
  <c r="X176" i="12"/>
  <c r="L176" i="12"/>
  <c r="N176" i="12" s="1"/>
  <c r="B176" i="12"/>
  <c r="Z175" i="12"/>
  <c r="X175" i="12"/>
  <c r="L175" i="12"/>
  <c r="N175" i="12" s="1"/>
  <c r="B175" i="12"/>
  <c r="X174" i="12"/>
  <c r="Z174" i="12" s="1"/>
  <c r="L174" i="12"/>
  <c r="N174" i="12" s="1"/>
  <c r="B174" i="12"/>
  <c r="Z173" i="12"/>
  <c r="X173" i="12"/>
  <c r="L173" i="12"/>
  <c r="N173" i="12" s="1"/>
  <c r="B173" i="12"/>
  <c r="T172" i="12"/>
  <c r="P172" i="12"/>
  <c r="H172" i="12"/>
  <c r="D172" i="12"/>
  <c r="B172" i="12"/>
  <c r="T171" i="12"/>
  <c r="P171" i="12"/>
  <c r="X171" i="12" s="1"/>
  <c r="H171" i="12"/>
  <c r="D171" i="12"/>
  <c r="X167" i="12"/>
  <c r="Z167" i="12" s="1"/>
  <c r="N167" i="12"/>
  <c r="L167" i="12"/>
  <c r="B167" i="12"/>
  <c r="Z166" i="12"/>
  <c r="X166" i="12"/>
  <c r="L166" i="12"/>
  <c r="N166" i="12" s="1"/>
  <c r="B166" i="12"/>
  <c r="X165" i="12"/>
  <c r="Z165" i="12" s="1"/>
  <c r="N165" i="12"/>
  <c r="L165" i="12"/>
  <c r="B165" i="12"/>
  <c r="X164" i="12"/>
  <c r="Z164" i="12" s="1"/>
  <c r="N164" i="12"/>
  <c r="L164" i="12"/>
  <c r="B164" i="12"/>
  <c r="X163" i="12"/>
  <c r="Z163" i="12" s="1"/>
  <c r="N163" i="12"/>
  <c r="L163" i="12"/>
  <c r="B163" i="12"/>
  <c r="X162" i="12"/>
  <c r="Z162" i="12" s="1"/>
  <c r="L162" i="12"/>
  <c r="N162" i="12" s="1"/>
  <c r="B162" i="12"/>
  <c r="X161" i="12"/>
  <c r="Z161" i="12" s="1"/>
  <c r="L161" i="12"/>
  <c r="N161" i="12" s="1"/>
  <c r="B161" i="12"/>
  <c r="Z160" i="12"/>
  <c r="X160" i="12"/>
  <c r="N160" i="12"/>
  <c r="L160" i="12"/>
  <c r="B160" i="12"/>
  <c r="X159" i="12"/>
  <c r="Z159" i="12" s="1"/>
  <c r="N159" i="12"/>
  <c r="L159" i="12"/>
  <c r="B159" i="12"/>
  <c r="Z158" i="12"/>
  <c r="X158" i="12"/>
  <c r="N158" i="12"/>
  <c r="L158" i="12"/>
  <c r="B158" i="12"/>
  <c r="X157" i="12"/>
  <c r="Z157" i="12" s="1"/>
  <c r="N157" i="12"/>
  <c r="L157" i="12"/>
  <c r="B157" i="12"/>
  <c r="X156" i="12"/>
  <c r="Z156" i="12" s="1"/>
  <c r="N156" i="12"/>
  <c r="L156" i="12"/>
  <c r="B156" i="12"/>
  <c r="X155" i="12"/>
  <c r="Z155" i="12" s="1"/>
  <c r="N155" i="12"/>
  <c r="L155" i="12"/>
  <c r="B155" i="12"/>
  <c r="Z154" i="12"/>
  <c r="X154" i="12"/>
  <c r="N154" i="12"/>
  <c r="L154" i="12"/>
  <c r="B154" i="12"/>
  <c r="X153" i="12"/>
  <c r="Z153" i="12" s="1"/>
  <c r="L153" i="12"/>
  <c r="N153" i="12" s="1"/>
  <c r="B153" i="12"/>
  <c r="X152" i="12"/>
  <c r="Z152" i="12" s="1"/>
  <c r="N152" i="12"/>
  <c r="L152" i="12"/>
  <c r="B152" i="12"/>
  <c r="X151" i="12"/>
  <c r="Z151" i="12" s="1"/>
  <c r="N151" i="12"/>
  <c r="L151" i="12"/>
  <c r="B151" i="12"/>
  <c r="Z150" i="12"/>
  <c r="X150" i="12"/>
  <c r="L150" i="12"/>
  <c r="N150" i="12" s="1"/>
  <c r="B150" i="12"/>
  <c r="X149" i="12"/>
  <c r="Z149" i="12" s="1"/>
  <c r="N149" i="12"/>
  <c r="L149" i="12"/>
  <c r="B149" i="12"/>
  <c r="Z148" i="12"/>
  <c r="X148" i="12"/>
  <c r="N148" i="12"/>
  <c r="L148" i="12"/>
  <c r="B148" i="12"/>
  <c r="X147" i="12"/>
  <c r="Z147" i="12" s="1"/>
  <c r="N147" i="12"/>
  <c r="L147" i="12"/>
  <c r="B147" i="12"/>
  <c r="X146" i="12"/>
  <c r="Z146" i="12" s="1"/>
  <c r="N146" i="12"/>
  <c r="L146" i="12"/>
  <c r="B146" i="12"/>
  <c r="X145" i="12"/>
  <c r="Z145" i="12" s="1"/>
  <c r="N145" i="12"/>
  <c r="L145" i="12"/>
  <c r="B145" i="12"/>
  <c r="X144" i="12"/>
  <c r="Z144" i="12" s="1"/>
  <c r="N144" i="12"/>
  <c r="L144" i="12"/>
  <c r="B144" i="12"/>
  <c r="X143" i="12"/>
  <c r="Z143" i="12" s="1"/>
  <c r="N143" i="12"/>
  <c r="L143" i="12"/>
  <c r="B143" i="12"/>
  <c r="X142" i="12"/>
  <c r="Z142" i="12" s="1"/>
  <c r="L142" i="12"/>
  <c r="N142" i="12" s="1"/>
  <c r="B142" i="12"/>
  <c r="X141" i="12"/>
  <c r="Z141" i="12" s="1"/>
  <c r="L141" i="12"/>
  <c r="N141" i="12" s="1"/>
  <c r="B141" i="12"/>
  <c r="X140" i="12"/>
  <c r="Z140" i="12" s="1"/>
  <c r="L140" i="12"/>
  <c r="N140" i="12" s="1"/>
  <c r="B140" i="12"/>
  <c r="X139" i="12"/>
  <c r="Z139" i="12" s="1"/>
  <c r="L139" i="12"/>
  <c r="N139" i="12" s="1"/>
  <c r="B139" i="12"/>
  <c r="X138" i="12"/>
  <c r="Z138" i="12" s="1"/>
  <c r="L138" i="12"/>
  <c r="N138" i="12" s="1"/>
  <c r="B138" i="12"/>
  <c r="X137" i="12"/>
  <c r="Z137" i="12" s="1"/>
  <c r="L137" i="12"/>
  <c r="N137" i="12" s="1"/>
  <c r="B137" i="12"/>
  <c r="Z136" i="12"/>
  <c r="X136" i="12"/>
  <c r="N136" i="12"/>
  <c r="L136" i="12"/>
  <c r="B136" i="12"/>
  <c r="X135" i="12"/>
  <c r="Z135" i="12" s="1"/>
  <c r="L135" i="12"/>
  <c r="N135" i="12" s="1"/>
  <c r="B135" i="12"/>
  <c r="Z134" i="12"/>
  <c r="X134" i="12"/>
  <c r="N134" i="12"/>
  <c r="L134" i="12"/>
  <c r="B134" i="12"/>
  <c r="X133" i="12"/>
  <c r="Z133" i="12" s="1"/>
  <c r="N133" i="12"/>
  <c r="L133" i="12"/>
  <c r="B133" i="12"/>
  <c r="X132" i="12"/>
  <c r="Z132" i="12" s="1"/>
  <c r="N132" i="12"/>
  <c r="L132" i="12"/>
  <c r="B132" i="12"/>
  <c r="X131" i="12"/>
  <c r="Z131" i="12" s="1"/>
  <c r="L131" i="12"/>
  <c r="N131" i="12" s="1"/>
  <c r="B131" i="12"/>
  <c r="X130" i="12"/>
  <c r="Z130" i="12" s="1"/>
  <c r="N130" i="12"/>
  <c r="L130" i="12"/>
  <c r="B130" i="12"/>
  <c r="X129" i="12"/>
  <c r="Z129" i="12" s="1"/>
  <c r="N129" i="12"/>
  <c r="L129" i="12"/>
  <c r="B129" i="12"/>
  <c r="X128" i="12"/>
  <c r="Z128" i="12" s="1"/>
  <c r="N128" i="12"/>
  <c r="L128" i="12"/>
  <c r="B128" i="12"/>
  <c r="X127" i="12"/>
  <c r="Z127" i="12" s="1"/>
  <c r="L127" i="12"/>
  <c r="N127" i="12" s="1"/>
  <c r="B127" i="12"/>
  <c r="Z126" i="12"/>
  <c r="X126" i="12"/>
  <c r="N126" i="12"/>
  <c r="L126" i="12"/>
  <c r="B126" i="12"/>
  <c r="X125" i="12"/>
  <c r="Z125" i="12" s="1"/>
  <c r="N125" i="12"/>
  <c r="L125" i="12"/>
  <c r="B125" i="12"/>
  <c r="X124" i="12"/>
  <c r="Z124" i="12" s="1"/>
  <c r="N124" i="12"/>
  <c r="L124" i="12"/>
  <c r="B124" i="12"/>
  <c r="X123" i="12"/>
  <c r="Z123" i="12" s="1"/>
  <c r="N123" i="12"/>
  <c r="L123" i="12"/>
  <c r="B123" i="12"/>
  <c r="Z122" i="12"/>
  <c r="X122" i="12"/>
  <c r="N122" i="12"/>
  <c r="L122" i="12"/>
  <c r="B122" i="12"/>
  <c r="X121" i="12"/>
  <c r="Z121" i="12" s="1"/>
  <c r="N121" i="12"/>
  <c r="L121" i="12"/>
  <c r="B121" i="12"/>
  <c r="X120" i="12"/>
  <c r="Z120" i="12" s="1"/>
  <c r="N120" i="12"/>
  <c r="L120" i="12"/>
  <c r="B120" i="12"/>
  <c r="X119" i="12"/>
  <c r="Z119" i="12" s="1"/>
  <c r="L119" i="12"/>
  <c r="N119" i="12" s="1"/>
  <c r="B119" i="12"/>
  <c r="X118" i="12"/>
  <c r="Z118" i="12" s="1"/>
  <c r="N118" i="12"/>
  <c r="L118" i="12"/>
  <c r="B118" i="12"/>
  <c r="X117" i="12"/>
  <c r="Z117" i="12" s="1"/>
  <c r="N117" i="12"/>
  <c r="L117" i="12"/>
  <c r="B117" i="12"/>
  <c r="X116" i="12"/>
  <c r="Z116" i="12" s="1"/>
  <c r="N116" i="12"/>
  <c r="L116" i="12"/>
  <c r="B116" i="12"/>
  <c r="Z115" i="12"/>
  <c r="X115" i="12"/>
  <c r="N115" i="12"/>
  <c r="L115" i="12"/>
  <c r="B115" i="12"/>
  <c r="Z114" i="12"/>
  <c r="X114" i="12"/>
  <c r="T114" i="12"/>
  <c r="P114" i="12"/>
  <c r="H114" i="12"/>
  <c r="D114" i="12"/>
  <c r="L114" i="12" s="1"/>
  <c r="Z112" i="12"/>
  <c r="X112" i="12"/>
  <c r="T112" i="12"/>
  <c r="P112" i="12"/>
  <c r="N112" i="12"/>
  <c r="L112" i="12"/>
  <c r="H112" i="12"/>
  <c r="D112" i="12"/>
  <c r="B112" i="12"/>
  <c r="T111" i="12"/>
  <c r="P111" i="12"/>
  <c r="X111" i="12" s="1"/>
  <c r="N111" i="12"/>
  <c r="H111" i="12"/>
  <c r="D111" i="12"/>
  <c r="L111" i="12" s="1"/>
  <c r="B111" i="12"/>
  <c r="T110" i="12"/>
  <c r="P110" i="12"/>
  <c r="X110" i="12" s="1"/>
  <c r="H110" i="12"/>
  <c r="N110" i="12" s="1"/>
  <c r="D110" i="12"/>
  <c r="L110" i="12" s="1"/>
  <c r="B110" i="12"/>
  <c r="T109" i="12"/>
  <c r="P109" i="12"/>
  <c r="L109" i="12"/>
  <c r="H109" i="12"/>
  <c r="N109" i="12" s="1"/>
  <c r="D109" i="12"/>
  <c r="B109" i="12"/>
  <c r="Z108" i="12"/>
  <c r="X108" i="12"/>
  <c r="T108" i="12"/>
  <c r="P108" i="12"/>
  <c r="L108" i="12"/>
  <c r="N108" i="12" s="1"/>
  <c r="H108" i="12"/>
  <c r="D108" i="12"/>
  <c r="B108" i="12"/>
  <c r="T107" i="12"/>
  <c r="P107" i="12"/>
  <c r="X107" i="12" s="1"/>
  <c r="N107" i="12"/>
  <c r="H107" i="12"/>
  <c r="D107" i="12"/>
  <c r="L107" i="12" s="1"/>
  <c r="B107" i="12"/>
  <c r="T106" i="12"/>
  <c r="P106" i="12"/>
  <c r="X106" i="12" s="1"/>
  <c r="H106" i="12"/>
  <c r="N106" i="12" s="1"/>
  <c r="D106" i="12"/>
  <c r="B106" i="12"/>
  <c r="T105" i="12"/>
  <c r="P105" i="12"/>
  <c r="L105" i="12"/>
  <c r="H105" i="12"/>
  <c r="N105" i="12" s="1"/>
  <c r="D105" i="12"/>
  <c r="B105" i="12"/>
  <c r="X104" i="12"/>
  <c r="Z104" i="12" s="1"/>
  <c r="T104" i="12"/>
  <c r="P104" i="12"/>
  <c r="L104" i="12"/>
  <c r="N104" i="12" s="1"/>
  <c r="H104" i="12"/>
  <c r="D104" i="12"/>
  <c r="B104" i="12"/>
  <c r="T103" i="12"/>
  <c r="P103" i="12"/>
  <c r="X103" i="12" s="1"/>
  <c r="N103" i="12"/>
  <c r="H103" i="12"/>
  <c r="D103" i="12"/>
  <c r="L103" i="12" s="1"/>
  <c r="B103" i="12"/>
  <c r="T102" i="12"/>
  <c r="P102" i="12"/>
  <c r="X102" i="12" s="1"/>
  <c r="H102" i="12"/>
  <c r="N102" i="12" s="1"/>
  <c r="D102" i="12"/>
  <c r="B102" i="12"/>
  <c r="T101" i="12"/>
  <c r="P101" i="12"/>
  <c r="L101" i="12"/>
  <c r="H101" i="12"/>
  <c r="N101" i="12" s="1"/>
  <c r="D101" i="12"/>
  <c r="B101" i="12"/>
  <c r="X100" i="12"/>
  <c r="Z100" i="12" s="1"/>
  <c r="T100" i="12"/>
  <c r="P100" i="12"/>
  <c r="N100" i="12"/>
  <c r="L100" i="12"/>
  <c r="H100" i="12"/>
  <c r="D100" i="12"/>
  <c r="B100" i="12"/>
  <c r="T99" i="12"/>
  <c r="Z99" i="12" s="1"/>
  <c r="P99" i="12"/>
  <c r="X99" i="12" s="1"/>
  <c r="H99" i="12"/>
  <c r="D99" i="12"/>
  <c r="L99" i="12" s="1"/>
  <c r="N99" i="12" s="1"/>
  <c r="B99" i="12"/>
  <c r="T98" i="12"/>
  <c r="Z98" i="12" s="1"/>
  <c r="P98" i="12"/>
  <c r="X98" i="12" s="1"/>
  <c r="H98" i="12"/>
  <c r="N98" i="12" s="1"/>
  <c r="D98" i="12"/>
  <c r="L98" i="12" s="1"/>
  <c r="B98" i="12"/>
  <c r="T97" i="12"/>
  <c r="P97" i="12"/>
  <c r="L97" i="12"/>
  <c r="H97" i="12"/>
  <c r="N97" i="12" s="1"/>
  <c r="D97" i="12"/>
  <c r="B97" i="12"/>
  <c r="Z96" i="12"/>
  <c r="X96" i="12"/>
  <c r="T96" i="12"/>
  <c r="P96" i="12"/>
  <c r="N96" i="12"/>
  <c r="L96" i="12"/>
  <c r="H96" i="12"/>
  <c r="D96" i="12"/>
  <c r="B96" i="12"/>
  <c r="T95" i="12"/>
  <c r="P95" i="12"/>
  <c r="X95" i="12" s="1"/>
  <c r="N95" i="12"/>
  <c r="H95" i="12"/>
  <c r="D95" i="12"/>
  <c r="L95" i="12" s="1"/>
  <c r="B95" i="12"/>
  <c r="T94" i="12"/>
  <c r="P94" i="12"/>
  <c r="X94" i="12" s="1"/>
  <c r="H94" i="12"/>
  <c r="N94" i="12" s="1"/>
  <c r="D94" i="12"/>
  <c r="L94" i="12" s="1"/>
  <c r="B94" i="12"/>
  <c r="T93" i="12"/>
  <c r="P93" i="12"/>
  <c r="L93" i="12"/>
  <c r="H93" i="12"/>
  <c r="N93" i="12" s="1"/>
  <c r="D93" i="12"/>
  <c r="B93" i="12"/>
  <c r="Z92" i="12"/>
  <c r="X92" i="12"/>
  <c r="T92" i="12"/>
  <c r="P92" i="12"/>
  <c r="L92" i="12"/>
  <c r="N92" i="12" s="1"/>
  <c r="H92" i="12"/>
  <c r="D92" i="12"/>
  <c r="B92" i="12"/>
  <c r="T91" i="12"/>
  <c r="P91" i="12"/>
  <c r="X91" i="12" s="1"/>
  <c r="N91" i="12"/>
  <c r="L91" i="12"/>
  <c r="H91" i="12"/>
  <c r="D91" i="12"/>
  <c r="B91" i="12"/>
  <c r="T90" i="12"/>
  <c r="P90" i="12"/>
  <c r="X90" i="12" s="1"/>
  <c r="H90" i="12"/>
  <c r="D90" i="12"/>
  <c r="B90" i="12"/>
  <c r="T89" i="12"/>
  <c r="P89" i="12"/>
  <c r="L89" i="12"/>
  <c r="H89" i="12"/>
  <c r="N89" i="12" s="1"/>
  <c r="D89" i="12"/>
  <c r="B89" i="12"/>
  <c r="X88" i="12"/>
  <c r="Z88" i="12" s="1"/>
  <c r="T88" i="12"/>
  <c r="P88" i="12"/>
  <c r="N88" i="12"/>
  <c r="L88" i="12"/>
  <c r="H88" i="12"/>
  <c r="D88" i="12"/>
  <c r="B88" i="12"/>
  <c r="T87" i="12"/>
  <c r="Z87" i="12" s="1"/>
  <c r="P87" i="12"/>
  <c r="X87" i="12" s="1"/>
  <c r="N87" i="12"/>
  <c r="L87" i="12"/>
  <c r="H87" i="12"/>
  <c r="D87" i="12"/>
  <c r="B87" i="12"/>
  <c r="T86" i="12"/>
  <c r="Z86" i="12" s="1"/>
  <c r="P86" i="12"/>
  <c r="X86" i="12" s="1"/>
  <c r="H86" i="12"/>
  <c r="N86" i="12" s="1"/>
  <c r="D86" i="12"/>
  <c r="L86" i="12" s="1"/>
  <c r="B86" i="12"/>
  <c r="T85" i="12"/>
  <c r="P85" i="12"/>
  <c r="L85" i="12"/>
  <c r="H85" i="12"/>
  <c r="N85" i="12" s="1"/>
  <c r="D85" i="12"/>
  <c r="B85" i="12"/>
  <c r="Z84" i="12"/>
  <c r="X84" i="12"/>
  <c r="T84" i="12"/>
  <c r="P84" i="12"/>
  <c r="N84" i="12"/>
  <c r="L84" i="12"/>
  <c r="H84" i="12"/>
  <c r="D84" i="12"/>
  <c r="B84" i="12"/>
  <c r="T83" i="12"/>
  <c r="P83" i="12"/>
  <c r="X83" i="12" s="1"/>
  <c r="N83" i="12"/>
  <c r="L83" i="12"/>
  <c r="H83" i="12"/>
  <c r="D83" i="12"/>
  <c r="B83" i="12"/>
  <c r="T82" i="12"/>
  <c r="P82" i="12"/>
  <c r="X82" i="12" s="1"/>
  <c r="H82" i="12"/>
  <c r="N82" i="12" s="1"/>
  <c r="D82" i="12"/>
  <c r="B82" i="12"/>
  <c r="T81" i="12"/>
  <c r="P81" i="12"/>
  <c r="L81" i="12"/>
  <c r="H81" i="12"/>
  <c r="N81" i="12" s="1"/>
  <c r="D81" i="12"/>
  <c r="B81" i="12"/>
  <c r="X80" i="12"/>
  <c r="Z80" i="12" s="1"/>
  <c r="T80" i="12"/>
  <c r="P80" i="12"/>
  <c r="N80" i="12"/>
  <c r="L80" i="12"/>
  <c r="H80" i="12"/>
  <c r="D80" i="12"/>
  <c r="B80" i="12"/>
  <c r="T79" i="12"/>
  <c r="Z79" i="12" s="1"/>
  <c r="P79" i="12"/>
  <c r="X79" i="12" s="1"/>
  <c r="N79" i="12"/>
  <c r="L79" i="12"/>
  <c r="H79" i="12"/>
  <c r="D79" i="12"/>
  <c r="B79" i="12"/>
  <c r="T78" i="12"/>
  <c r="Z78" i="12" s="1"/>
  <c r="P78" i="12"/>
  <c r="X78" i="12" s="1"/>
  <c r="H78" i="12"/>
  <c r="D78" i="12"/>
  <c r="L78" i="12" s="1"/>
  <c r="B78" i="12"/>
  <c r="T77" i="12"/>
  <c r="P77" i="12"/>
  <c r="L77" i="12"/>
  <c r="H77" i="12"/>
  <c r="N77" i="12" s="1"/>
  <c r="D77" i="12"/>
  <c r="B77" i="12"/>
  <c r="Z76" i="12"/>
  <c r="X76" i="12"/>
  <c r="T76" i="12"/>
  <c r="P76" i="12"/>
  <c r="N76" i="12"/>
  <c r="L76" i="12"/>
  <c r="H76" i="12"/>
  <c r="D76" i="12"/>
  <c r="B76" i="12"/>
  <c r="T75" i="12"/>
  <c r="P75" i="12"/>
  <c r="X75" i="12" s="1"/>
  <c r="N75" i="12"/>
  <c r="L75" i="12"/>
  <c r="H75" i="12"/>
  <c r="D75" i="12"/>
  <c r="B75" i="12"/>
  <c r="T74" i="12"/>
  <c r="P74" i="12"/>
  <c r="X74" i="12" s="1"/>
  <c r="H74" i="12"/>
  <c r="N74" i="12" s="1"/>
  <c r="D74" i="12"/>
  <c r="B74" i="12"/>
  <c r="T73" i="12"/>
  <c r="P73" i="12"/>
  <c r="N73" i="12"/>
  <c r="L73" i="12"/>
  <c r="H73" i="12"/>
  <c r="D73" i="12"/>
  <c r="B73" i="12"/>
  <c r="X72" i="12"/>
  <c r="Z72" i="12" s="1"/>
  <c r="T72" i="12"/>
  <c r="P72" i="12"/>
  <c r="L72" i="12"/>
  <c r="N72" i="12" s="1"/>
  <c r="H72" i="12"/>
  <c r="D72" i="12"/>
  <c r="B72" i="12"/>
  <c r="T71" i="12"/>
  <c r="Z71" i="12" s="1"/>
  <c r="P71" i="12"/>
  <c r="X71" i="12" s="1"/>
  <c r="N71" i="12"/>
  <c r="L71" i="12"/>
  <c r="H71" i="12"/>
  <c r="D71" i="12"/>
  <c r="B71" i="12"/>
  <c r="T70" i="12"/>
  <c r="P70" i="12"/>
  <c r="H70" i="12"/>
  <c r="D70" i="12"/>
  <c r="L70" i="12" s="1"/>
  <c r="B70" i="12"/>
  <c r="T69" i="12"/>
  <c r="Z69" i="12" s="1"/>
  <c r="P69" i="12"/>
  <c r="L69" i="12"/>
  <c r="N69" i="12" s="1"/>
  <c r="H69" i="12"/>
  <c r="D69" i="12"/>
  <c r="B69" i="12"/>
  <c r="Z68" i="12"/>
  <c r="X68" i="12"/>
  <c r="T68" i="12"/>
  <c r="P68" i="12"/>
  <c r="L68" i="12"/>
  <c r="N68" i="12" s="1"/>
  <c r="H68" i="12"/>
  <c r="D68" i="12"/>
  <c r="B68" i="12"/>
  <c r="T67" i="12"/>
  <c r="P67" i="12"/>
  <c r="X67" i="12" s="1"/>
  <c r="N67" i="12"/>
  <c r="L67" i="12"/>
  <c r="H67" i="12"/>
  <c r="D67" i="12"/>
  <c r="B67" i="12"/>
  <c r="T66" i="12"/>
  <c r="P66" i="12"/>
  <c r="H66" i="12"/>
  <c r="D66" i="12"/>
  <c r="B66" i="12"/>
  <c r="T65" i="12"/>
  <c r="P65" i="12"/>
  <c r="L65" i="12"/>
  <c r="N65" i="12" s="1"/>
  <c r="H65" i="12"/>
  <c r="D65" i="12"/>
  <c r="B65" i="12"/>
  <c r="X64" i="12"/>
  <c r="Z64" i="12" s="1"/>
  <c r="T64" i="12"/>
  <c r="P64" i="12"/>
  <c r="N64" i="12"/>
  <c r="L64" i="12"/>
  <c r="H64" i="12"/>
  <c r="D64" i="12"/>
  <c r="B64" i="12"/>
  <c r="T63" i="12"/>
  <c r="Z63" i="12" s="1"/>
  <c r="P63" i="12"/>
  <c r="X63" i="12" s="1"/>
  <c r="N63" i="12"/>
  <c r="L63" i="12"/>
  <c r="H63" i="12"/>
  <c r="D63" i="12"/>
  <c r="B63" i="12"/>
  <c r="T62" i="12"/>
  <c r="P62" i="12"/>
  <c r="H62" i="12"/>
  <c r="D62" i="12"/>
  <c r="L62" i="12" s="1"/>
  <c r="B62" i="12"/>
  <c r="T61" i="12"/>
  <c r="P61" i="12"/>
  <c r="L61" i="12"/>
  <c r="N61" i="12" s="1"/>
  <c r="H61" i="12"/>
  <c r="D61" i="12"/>
  <c r="B61" i="12"/>
  <c r="Z60" i="12"/>
  <c r="X60" i="12"/>
  <c r="T60" i="12"/>
  <c r="P60" i="12"/>
  <c r="L60" i="12"/>
  <c r="N60" i="12" s="1"/>
  <c r="H60" i="12"/>
  <c r="D60" i="12"/>
  <c r="B60" i="12"/>
  <c r="T59" i="12"/>
  <c r="Z59" i="12" s="1"/>
  <c r="P59" i="12"/>
  <c r="X59" i="12" s="1"/>
  <c r="N59" i="12"/>
  <c r="L59" i="12"/>
  <c r="H59" i="12"/>
  <c r="D59" i="12"/>
  <c r="B59" i="12"/>
  <c r="T58" i="12"/>
  <c r="P58" i="12"/>
  <c r="H58" i="12"/>
  <c r="D58" i="12"/>
  <c r="L58" i="12" s="1"/>
  <c r="B58" i="12"/>
  <c r="T57" i="12"/>
  <c r="P57" i="12"/>
  <c r="L57" i="12"/>
  <c r="N57" i="12" s="1"/>
  <c r="H57" i="12"/>
  <c r="D57" i="12"/>
  <c r="B57" i="12"/>
  <c r="Z56" i="12"/>
  <c r="X56" i="12"/>
  <c r="T56" i="12"/>
  <c r="P56" i="12"/>
  <c r="N56" i="12"/>
  <c r="L56" i="12"/>
  <c r="H56" i="12"/>
  <c r="D56" i="12"/>
  <c r="B56" i="12"/>
  <c r="T55" i="12"/>
  <c r="P55" i="12"/>
  <c r="X55" i="12" s="1"/>
  <c r="N55" i="12"/>
  <c r="L55" i="12"/>
  <c r="H55" i="12"/>
  <c r="D55" i="12"/>
  <c r="B55" i="12"/>
  <c r="T54" i="12"/>
  <c r="P54" i="12"/>
  <c r="H54" i="12"/>
  <c r="D54" i="12"/>
  <c r="B54" i="12"/>
  <c r="T53" i="12"/>
  <c r="P53" i="12"/>
  <c r="L53" i="12"/>
  <c r="N53" i="12" s="1"/>
  <c r="H53" i="12"/>
  <c r="D53" i="12"/>
  <c r="B53" i="12"/>
  <c r="X52" i="12"/>
  <c r="Z52" i="12" s="1"/>
  <c r="T52" i="12"/>
  <c r="P52" i="12"/>
  <c r="L52" i="12"/>
  <c r="N52" i="12" s="1"/>
  <c r="H52" i="12"/>
  <c r="D52" i="12"/>
  <c r="B52" i="12"/>
  <c r="T51" i="12"/>
  <c r="Z51" i="12" s="1"/>
  <c r="P51" i="12"/>
  <c r="X51" i="12" s="1"/>
  <c r="N51" i="12"/>
  <c r="L51" i="12"/>
  <c r="H51" i="12"/>
  <c r="D51" i="12"/>
  <c r="B51" i="12"/>
  <c r="T50" i="12"/>
  <c r="P50" i="12"/>
  <c r="H50" i="12"/>
  <c r="D50" i="12"/>
  <c r="L50" i="12" s="1"/>
  <c r="B50" i="12"/>
  <c r="T49" i="12"/>
  <c r="P49" i="12"/>
  <c r="L49" i="12"/>
  <c r="N49" i="12" s="1"/>
  <c r="H49" i="12"/>
  <c r="D49" i="12"/>
  <c r="B49" i="12"/>
  <c r="X48" i="12"/>
  <c r="Z48" i="12" s="1"/>
  <c r="T48" i="12"/>
  <c r="P48" i="12"/>
  <c r="L48" i="12"/>
  <c r="N48" i="12" s="1"/>
  <c r="H48" i="12"/>
  <c r="D48" i="12"/>
  <c r="B48" i="12"/>
  <c r="T47" i="12"/>
  <c r="P47" i="12"/>
  <c r="X47" i="12" s="1"/>
  <c r="N47" i="12"/>
  <c r="L47" i="12"/>
  <c r="H47" i="12"/>
  <c r="D47" i="12"/>
  <c r="B47" i="12"/>
  <c r="T46" i="12"/>
  <c r="P46" i="12"/>
  <c r="H46" i="12"/>
  <c r="D46" i="12"/>
  <c r="L46" i="12" s="1"/>
  <c r="B46" i="12"/>
  <c r="T45" i="12"/>
  <c r="P45" i="12"/>
  <c r="N45" i="12"/>
  <c r="L45" i="12"/>
  <c r="H45" i="12"/>
  <c r="D45" i="12"/>
  <c r="B45" i="12"/>
  <c r="X44" i="12"/>
  <c r="Z44" i="12" s="1"/>
  <c r="T44" i="12"/>
  <c r="P44" i="12"/>
  <c r="N44" i="12"/>
  <c r="L44" i="12"/>
  <c r="H44" i="12"/>
  <c r="D44" i="12"/>
  <c r="B44" i="12"/>
  <c r="T43" i="12"/>
  <c r="P43" i="12"/>
  <c r="X43" i="12" s="1"/>
  <c r="N43" i="12"/>
  <c r="L43" i="12"/>
  <c r="H43" i="12"/>
  <c r="D43" i="12"/>
  <c r="B43" i="12"/>
  <c r="T42" i="12"/>
  <c r="P42" i="12"/>
  <c r="H42" i="12"/>
  <c r="N42" i="12" s="1"/>
  <c r="D42" i="12"/>
  <c r="L42" i="12" s="1"/>
  <c r="B42" i="12"/>
  <c r="T41" i="12"/>
  <c r="P41" i="12"/>
  <c r="N41" i="12"/>
  <c r="L41" i="12"/>
  <c r="H41" i="12"/>
  <c r="D41" i="12"/>
  <c r="B41" i="12"/>
  <c r="Z40" i="12"/>
  <c r="X40" i="12"/>
  <c r="T40" i="12"/>
  <c r="P40" i="12"/>
  <c r="N40" i="12"/>
  <c r="L40" i="12"/>
  <c r="H40" i="12"/>
  <c r="D40" i="12"/>
  <c r="B40" i="12"/>
  <c r="T39" i="12"/>
  <c r="P39" i="12"/>
  <c r="X39" i="12" s="1"/>
  <c r="N39" i="12"/>
  <c r="L39" i="12"/>
  <c r="H39" i="12"/>
  <c r="D39" i="12"/>
  <c r="B39" i="12"/>
  <c r="T38" i="12"/>
  <c r="P38" i="12"/>
  <c r="H38" i="12"/>
  <c r="D38" i="12"/>
  <c r="B38" i="12"/>
  <c r="T37" i="12"/>
  <c r="P37" i="12"/>
  <c r="L37" i="12"/>
  <c r="N37" i="12" s="1"/>
  <c r="H37" i="12"/>
  <c r="D37" i="12"/>
  <c r="B37" i="12"/>
  <c r="X36" i="12"/>
  <c r="Z36" i="12" s="1"/>
  <c r="T36" i="12"/>
  <c r="P36" i="12"/>
  <c r="L36" i="12"/>
  <c r="N36" i="12" s="1"/>
  <c r="H36" i="12"/>
  <c r="D36" i="12"/>
  <c r="B36" i="12"/>
  <c r="T35" i="12"/>
  <c r="Z35" i="12" s="1"/>
  <c r="P35" i="12"/>
  <c r="X35" i="12" s="1"/>
  <c r="N35" i="12"/>
  <c r="L35" i="12"/>
  <c r="H35" i="12"/>
  <c r="D35" i="12"/>
  <c r="B35" i="12"/>
  <c r="T34" i="12"/>
  <c r="P34" i="12"/>
  <c r="H34" i="12"/>
  <c r="D34" i="12"/>
  <c r="L34" i="12" s="1"/>
  <c r="B34" i="12"/>
  <c r="T33" i="12"/>
  <c r="P33" i="12"/>
  <c r="N33" i="12"/>
  <c r="L33" i="12"/>
  <c r="H33" i="12"/>
  <c r="D33" i="12"/>
  <c r="B33" i="12"/>
  <c r="Z32" i="12"/>
  <c r="X32" i="12"/>
  <c r="T32" i="12"/>
  <c r="P32" i="12"/>
  <c r="N32" i="12"/>
  <c r="L32" i="12"/>
  <c r="H32" i="12"/>
  <c r="D32" i="12"/>
  <c r="B32" i="12"/>
  <c r="T31" i="12"/>
  <c r="P31" i="12"/>
  <c r="X31" i="12" s="1"/>
  <c r="N31" i="12"/>
  <c r="L31" i="12"/>
  <c r="H31" i="12"/>
  <c r="D31" i="12"/>
  <c r="B31" i="12"/>
  <c r="T30" i="12"/>
  <c r="P30" i="12"/>
  <c r="H30" i="12"/>
  <c r="N30" i="12" s="1"/>
  <c r="D30" i="12"/>
  <c r="B30" i="12"/>
  <c r="T29" i="12"/>
  <c r="P29" i="12"/>
  <c r="L29" i="12"/>
  <c r="N29" i="12" s="1"/>
  <c r="H29" i="12"/>
  <c r="D29" i="12"/>
  <c r="B29" i="12"/>
  <c r="X28" i="12"/>
  <c r="Z28" i="12" s="1"/>
  <c r="T28" i="12"/>
  <c r="P28" i="12"/>
  <c r="N28" i="12"/>
  <c r="L28" i="12"/>
  <c r="H28" i="12"/>
  <c r="D28" i="12"/>
  <c r="B28" i="12"/>
  <c r="T27" i="12"/>
  <c r="Z27" i="12" s="1"/>
  <c r="P27" i="12"/>
  <c r="X27" i="12" s="1"/>
  <c r="N27" i="12"/>
  <c r="L27" i="12"/>
  <c r="H27" i="12"/>
  <c r="D27" i="12"/>
  <c r="B27" i="12"/>
  <c r="T26" i="12"/>
  <c r="P26" i="12"/>
  <c r="H26" i="12"/>
  <c r="D26" i="12"/>
  <c r="L26" i="12" s="1"/>
  <c r="B26" i="12"/>
  <c r="T25" i="12"/>
  <c r="P25" i="12"/>
  <c r="L25" i="12"/>
  <c r="N25" i="12" s="1"/>
  <c r="H25" i="12"/>
  <c r="D25" i="12"/>
  <c r="B25" i="12"/>
  <c r="Z24" i="12"/>
  <c r="X24" i="12"/>
  <c r="T24" i="12"/>
  <c r="P24" i="12"/>
  <c r="N24" i="12"/>
  <c r="L24" i="12"/>
  <c r="H24" i="12"/>
  <c r="D24" i="12"/>
  <c r="B24" i="12"/>
  <c r="T23" i="12"/>
  <c r="P23" i="12"/>
  <c r="X23" i="12" s="1"/>
  <c r="N23" i="12"/>
  <c r="L23" i="12"/>
  <c r="H23" i="12"/>
  <c r="D23" i="12"/>
  <c r="B23" i="12"/>
  <c r="T22" i="12"/>
  <c r="P22" i="12"/>
  <c r="H22" i="12"/>
  <c r="N22" i="12" s="1"/>
  <c r="D22" i="12"/>
  <c r="B22" i="12"/>
  <c r="T21" i="12"/>
  <c r="P21" i="12"/>
  <c r="L21" i="12"/>
  <c r="N21" i="12" s="1"/>
  <c r="H21" i="12"/>
  <c r="D21" i="12"/>
  <c r="B21" i="12"/>
  <c r="X20" i="12"/>
  <c r="Z20" i="12" s="1"/>
  <c r="T20" i="12"/>
  <c r="P20" i="12"/>
  <c r="N20" i="12"/>
  <c r="L20" i="12"/>
  <c r="H20" i="12"/>
  <c r="D20" i="12"/>
  <c r="B20" i="12"/>
  <c r="T19" i="12"/>
  <c r="Z19" i="12" s="1"/>
  <c r="P19" i="12"/>
  <c r="X19" i="12" s="1"/>
  <c r="N19" i="12"/>
  <c r="L19" i="12"/>
  <c r="H19" i="12"/>
  <c r="D19" i="12"/>
  <c r="B19" i="12"/>
  <c r="T18" i="12"/>
  <c r="P18" i="12"/>
  <c r="H18" i="12"/>
  <c r="N18" i="12" s="1"/>
  <c r="D18" i="12"/>
  <c r="L18" i="12" s="1"/>
  <c r="B18" i="12"/>
  <c r="T17" i="12"/>
  <c r="P17" i="12"/>
  <c r="N17" i="12"/>
  <c r="L17" i="12"/>
  <c r="H17" i="12"/>
  <c r="D17" i="12"/>
  <c r="B17" i="12"/>
  <c r="X16" i="12"/>
  <c r="Z16" i="12" s="1"/>
  <c r="T16" i="12"/>
  <c r="P16" i="12"/>
  <c r="N16" i="12"/>
  <c r="L16" i="12"/>
  <c r="H16" i="12"/>
  <c r="D16" i="12"/>
  <c r="B16" i="12"/>
  <c r="T15" i="12"/>
  <c r="P15" i="12"/>
  <c r="N15" i="12"/>
  <c r="L15" i="12"/>
  <c r="H15" i="12"/>
  <c r="D15" i="12"/>
  <c r="B15" i="12"/>
  <c r="T14" i="12"/>
  <c r="P14" i="12"/>
  <c r="H14" i="12"/>
  <c r="D14" i="12"/>
  <c r="B14" i="12"/>
  <c r="T13" i="12"/>
  <c r="Z13" i="12" s="1"/>
  <c r="P13" i="12"/>
  <c r="N13" i="12"/>
  <c r="L13" i="12"/>
  <c r="H13" i="12"/>
  <c r="D13" i="12"/>
  <c r="B13" i="12"/>
  <c r="D4" i="12"/>
  <c r="V98" i="9"/>
  <c r="V95" i="9"/>
  <c r="Z93" i="9"/>
  <c r="X93" i="9"/>
  <c r="V93" i="9"/>
  <c r="N93" i="9"/>
  <c r="L93" i="9"/>
  <c r="Z89" i="9"/>
  <c r="T89" i="9"/>
  <c r="P89" i="9"/>
  <c r="X89" i="9" s="1"/>
  <c r="N89" i="9"/>
  <c r="L89" i="9"/>
  <c r="H89" i="9"/>
  <c r="D89" i="9"/>
  <c r="X87" i="9"/>
  <c r="Z87" i="9" s="1"/>
  <c r="N87" i="9"/>
  <c r="L87" i="9"/>
  <c r="J87" i="9"/>
  <c r="B87" i="9"/>
  <c r="X86" i="9"/>
  <c r="Z86" i="9" s="1"/>
  <c r="N86" i="9"/>
  <c r="L86" i="9"/>
  <c r="B86" i="9"/>
  <c r="Z85" i="9"/>
  <c r="X85" i="9"/>
  <c r="T85" i="9"/>
  <c r="P85" i="9"/>
  <c r="N85" i="9"/>
  <c r="H85" i="9"/>
  <c r="D85" i="9"/>
  <c r="L85" i="9" s="1"/>
  <c r="B85" i="9"/>
  <c r="Z84" i="9"/>
  <c r="X84" i="9"/>
  <c r="L84" i="9"/>
  <c r="N84" i="9" s="1"/>
  <c r="J84" i="9"/>
  <c r="B84" i="9"/>
  <c r="X83" i="9"/>
  <c r="Z83" i="9" s="1"/>
  <c r="V83" i="9"/>
  <c r="T83" i="9"/>
  <c r="P83" i="9"/>
  <c r="H83" i="9"/>
  <c r="D83" i="9"/>
  <c r="L83" i="9" s="1"/>
  <c r="B83" i="9"/>
  <c r="Z82" i="9"/>
  <c r="X82" i="9"/>
  <c r="L82" i="9"/>
  <c r="N82" i="9" s="1"/>
  <c r="B82" i="9"/>
  <c r="X81" i="9"/>
  <c r="Z81" i="9" s="1"/>
  <c r="R81" i="9"/>
  <c r="N81" i="9"/>
  <c r="L81" i="9"/>
  <c r="B81" i="9"/>
  <c r="V80" i="9"/>
  <c r="T80" i="9"/>
  <c r="P80" i="9"/>
  <c r="X80" i="9" s="1"/>
  <c r="Z80" i="9" s="1"/>
  <c r="N80" i="9"/>
  <c r="L80" i="9"/>
  <c r="H80" i="9"/>
  <c r="D80" i="9"/>
  <c r="B80" i="9"/>
  <c r="X79" i="9"/>
  <c r="Z79" i="9" s="1"/>
  <c r="N79" i="9"/>
  <c r="L79" i="9"/>
  <c r="J79" i="9"/>
  <c r="B79" i="9"/>
  <c r="X78" i="9"/>
  <c r="Z78" i="9" s="1"/>
  <c r="N78" i="9"/>
  <c r="L78" i="9"/>
  <c r="B78" i="9"/>
  <c r="Z77" i="9"/>
  <c r="X77" i="9"/>
  <c r="N77" i="9"/>
  <c r="L77" i="9"/>
  <c r="F77" i="9"/>
  <c r="B77" i="9"/>
  <c r="X76" i="9"/>
  <c r="Z76" i="9" s="1"/>
  <c r="V76" i="9"/>
  <c r="R76" i="9"/>
  <c r="N76" i="9"/>
  <c r="L76" i="9"/>
  <c r="B76" i="9"/>
  <c r="X75" i="9"/>
  <c r="Z75" i="9" s="1"/>
  <c r="L75" i="9"/>
  <c r="N75" i="9" s="1"/>
  <c r="J75" i="9"/>
  <c r="B75" i="9"/>
  <c r="X74" i="9"/>
  <c r="T74" i="9"/>
  <c r="Z74" i="9" s="1"/>
  <c r="R74" i="9"/>
  <c r="P74" i="9"/>
  <c r="J74" i="9"/>
  <c r="H74" i="9"/>
  <c r="D74" i="9"/>
  <c r="B74" i="9"/>
  <c r="Z73" i="9"/>
  <c r="X73" i="9"/>
  <c r="R73" i="9"/>
  <c r="L73" i="9"/>
  <c r="N73" i="9" s="1"/>
  <c r="F73" i="9"/>
  <c r="B73" i="9"/>
  <c r="T72" i="9"/>
  <c r="X72" i="9" s="1"/>
  <c r="P72" i="9"/>
  <c r="H72" i="9"/>
  <c r="F72" i="9"/>
  <c r="D72" i="9"/>
  <c r="L72" i="9" s="1"/>
  <c r="N72" i="9" s="1"/>
  <c r="B72" i="9"/>
  <c r="Z71" i="9"/>
  <c r="X71" i="9"/>
  <c r="N71" i="9"/>
  <c r="L71" i="9"/>
  <c r="B71" i="9"/>
  <c r="Z70" i="9"/>
  <c r="X70" i="9"/>
  <c r="L70" i="9"/>
  <c r="N70" i="9" s="1"/>
  <c r="B70" i="9"/>
  <c r="T69" i="9"/>
  <c r="R69" i="9"/>
  <c r="P69" i="9"/>
  <c r="H69" i="9"/>
  <c r="D69" i="9"/>
  <c r="L69" i="9" s="1"/>
  <c r="N69" i="9" s="1"/>
  <c r="B69" i="9"/>
  <c r="X68" i="9"/>
  <c r="Z68" i="9" s="1"/>
  <c r="V68" i="9"/>
  <c r="R68" i="9"/>
  <c r="N68" i="9"/>
  <c r="L68" i="9"/>
  <c r="B68" i="9"/>
  <c r="X67" i="9"/>
  <c r="Z67" i="9" s="1"/>
  <c r="L67" i="9"/>
  <c r="N67" i="9" s="1"/>
  <c r="J67" i="9"/>
  <c r="B67" i="9"/>
  <c r="X66" i="9"/>
  <c r="Z66" i="9" s="1"/>
  <c r="N66" i="9"/>
  <c r="L66" i="9"/>
  <c r="B66" i="9"/>
  <c r="Z65" i="9"/>
  <c r="X65" i="9"/>
  <c r="T65" i="9"/>
  <c r="P65" i="9"/>
  <c r="H65" i="9"/>
  <c r="N65" i="9" s="1"/>
  <c r="D65" i="9"/>
  <c r="L65" i="9" s="1"/>
  <c r="B65" i="9"/>
  <c r="Z64" i="9"/>
  <c r="X64" i="9"/>
  <c r="N64" i="9"/>
  <c r="L64" i="9"/>
  <c r="J64" i="9"/>
  <c r="B64" i="9"/>
  <c r="X63" i="9"/>
  <c r="Z63" i="9" s="1"/>
  <c r="V63" i="9"/>
  <c r="N63" i="9"/>
  <c r="L63" i="9"/>
  <c r="B63" i="9"/>
  <c r="Z62" i="9"/>
  <c r="X62" i="9"/>
  <c r="N62" i="9"/>
  <c r="L62" i="9"/>
  <c r="B62" i="9"/>
  <c r="Z61" i="9"/>
  <c r="X61" i="9"/>
  <c r="R61" i="9"/>
  <c r="N61" i="9"/>
  <c r="L61" i="9"/>
  <c r="F61" i="9"/>
  <c r="B61" i="9"/>
  <c r="T60" i="9"/>
  <c r="X60" i="9" s="1"/>
  <c r="P60" i="9"/>
  <c r="H60" i="9"/>
  <c r="F60" i="9"/>
  <c r="D60" i="9"/>
  <c r="L60" i="9" s="1"/>
  <c r="N60" i="9" s="1"/>
  <c r="B60" i="9"/>
  <c r="Z59" i="9"/>
  <c r="X59" i="9"/>
  <c r="L59" i="9"/>
  <c r="N59" i="9" s="1"/>
  <c r="B59" i="9"/>
  <c r="Z58" i="9"/>
  <c r="X58" i="9"/>
  <c r="T58" i="9"/>
  <c r="P58" i="9"/>
  <c r="J58" i="9"/>
  <c r="H58" i="9"/>
  <c r="D58" i="9"/>
  <c r="L58" i="9" s="1"/>
  <c r="N58" i="9" s="1"/>
  <c r="B58" i="9"/>
  <c r="Z57" i="9"/>
  <c r="X57" i="9"/>
  <c r="N57" i="9"/>
  <c r="L57" i="9"/>
  <c r="F57" i="9"/>
  <c r="B57" i="9"/>
  <c r="V56" i="9"/>
  <c r="T56" i="9"/>
  <c r="P56" i="9"/>
  <c r="L56" i="9"/>
  <c r="H56" i="9"/>
  <c r="N56" i="9" s="1"/>
  <c r="F56" i="9"/>
  <c r="D56" i="9"/>
  <c r="B56" i="9"/>
  <c r="X55" i="9"/>
  <c r="Z55" i="9" s="1"/>
  <c r="V55" i="9"/>
  <c r="N55" i="9"/>
  <c r="L55" i="9"/>
  <c r="B55" i="9"/>
  <c r="Z54" i="9"/>
  <c r="X54" i="9"/>
  <c r="N54" i="9"/>
  <c r="L54" i="9"/>
  <c r="B54" i="9"/>
  <c r="T53" i="9"/>
  <c r="P53" i="9"/>
  <c r="L53" i="9"/>
  <c r="N53" i="9" s="1"/>
  <c r="J53" i="9"/>
  <c r="H53" i="9"/>
  <c r="D53" i="9"/>
  <c r="B53" i="9"/>
  <c r="Z52" i="9"/>
  <c r="X52" i="9"/>
  <c r="V52" i="9"/>
  <c r="L52" i="9"/>
  <c r="N52" i="9" s="1"/>
  <c r="J52" i="9"/>
  <c r="F52" i="9"/>
  <c r="B52" i="9"/>
  <c r="T51" i="9"/>
  <c r="P51" i="9"/>
  <c r="X51" i="9" s="1"/>
  <c r="Z51" i="9" s="1"/>
  <c r="H51" i="9"/>
  <c r="F51" i="9"/>
  <c r="D51" i="9"/>
  <c r="B51" i="9"/>
  <c r="X50" i="9"/>
  <c r="Z50" i="9" s="1"/>
  <c r="N50" i="9"/>
  <c r="L50" i="9"/>
  <c r="F50" i="9"/>
  <c r="B50" i="9"/>
  <c r="Z49" i="9"/>
  <c r="X49" i="9"/>
  <c r="T49" i="9"/>
  <c r="P49" i="9"/>
  <c r="H49" i="9"/>
  <c r="N49" i="9" s="1"/>
  <c r="F49" i="9"/>
  <c r="D49" i="9"/>
  <c r="L49" i="9" s="1"/>
  <c r="B49" i="9"/>
  <c r="Z48" i="9"/>
  <c r="X48" i="9"/>
  <c r="N48" i="9"/>
  <c r="L48" i="9"/>
  <c r="J48" i="9"/>
  <c r="B48" i="9"/>
  <c r="X47" i="9"/>
  <c r="Z47" i="9" s="1"/>
  <c r="V47" i="9"/>
  <c r="T47" i="9"/>
  <c r="P47" i="9"/>
  <c r="H47" i="9"/>
  <c r="N47" i="9" s="1"/>
  <c r="D47" i="9"/>
  <c r="L47" i="9" s="1"/>
  <c r="B47" i="9"/>
  <c r="X46" i="9"/>
  <c r="Z46" i="9" s="1"/>
  <c r="L46" i="9"/>
  <c r="N46" i="9" s="1"/>
  <c r="B46" i="9"/>
  <c r="T45" i="9"/>
  <c r="R45" i="9"/>
  <c r="P45" i="9"/>
  <c r="X45" i="9" s="1"/>
  <c r="H45" i="9"/>
  <c r="D45" i="9"/>
  <c r="L45" i="9" s="1"/>
  <c r="N45" i="9" s="1"/>
  <c r="B45" i="9"/>
  <c r="X44" i="9"/>
  <c r="Z44" i="9" s="1"/>
  <c r="V44" i="9"/>
  <c r="R44" i="9"/>
  <c r="N44" i="9"/>
  <c r="L44" i="9"/>
  <c r="B44" i="9"/>
  <c r="T43" i="9"/>
  <c r="P43" i="9"/>
  <c r="X43" i="9" s="1"/>
  <c r="N43" i="9"/>
  <c r="L43" i="9"/>
  <c r="H43" i="9"/>
  <c r="D43" i="9"/>
  <c r="B43" i="9"/>
  <c r="Z42" i="9"/>
  <c r="X42" i="9"/>
  <c r="N42" i="9"/>
  <c r="L42" i="9"/>
  <c r="B42" i="9"/>
  <c r="T41" i="9"/>
  <c r="P41" i="9"/>
  <c r="L41" i="9"/>
  <c r="N41" i="9" s="1"/>
  <c r="J41" i="9"/>
  <c r="H41" i="9"/>
  <c r="D41" i="9"/>
  <c r="B41" i="9"/>
  <c r="Z40" i="9"/>
  <c r="X40" i="9"/>
  <c r="V40" i="9"/>
  <c r="L40" i="9"/>
  <c r="N40" i="9" s="1"/>
  <c r="J40" i="9"/>
  <c r="F40" i="9"/>
  <c r="B40" i="9"/>
  <c r="T39" i="9"/>
  <c r="Z39" i="9" s="1"/>
  <c r="P39" i="9"/>
  <c r="X39" i="9" s="1"/>
  <c r="J39" i="9"/>
  <c r="H39" i="9"/>
  <c r="F39" i="9"/>
  <c r="D39" i="9"/>
  <c r="L39" i="9" s="1"/>
  <c r="B39" i="9"/>
  <c r="X38" i="9"/>
  <c r="Z38" i="9" s="1"/>
  <c r="N38" i="9"/>
  <c r="L38" i="9"/>
  <c r="F38" i="9"/>
  <c r="B38" i="9"/>
  <c r="Z37" i="9"/>
  <c r="X37" i="9"/>
  <c r="N37" i="9"/>
  <c r="L37" i="9"/>
  <c r="F37" i="9"/>
  <c r="B37" i="9"/>
  <c r="X36" i="9"/>
  <c r="Z36" i="9" s="1"/>
  <c r="V36" i="9"/>
  <c r="R36" i="9"/>
  <c r="N36" i="9"/>
  <c r="L36" i="9"/>
  <c r="B36" i="9"/>
  <c r="X35" i="9"/>
  <c r="Z35" i="9" s="1"/>
  <c r="L35" i="9"/>
  <c r="N35" i="9" s="1"/>
  <c r="J35" i="9"/>
  <c r="F35" i="9"/>
  <c r="B35" i="9"/>
  <c r="X34" i="9"/>
  <c r="Z34" i="9" s="1"/>
  <c r="N34" i="9"/>
  <c r="L34" i="9"/>
  <c r="F34" i="9"/>
  <c r="B34" i="9"/>
  <c r="Z33" i="9"/>
  <c r="X33" i="9"/>
  <c r="N33" i="9"/>
  <c r="L33" i="9"/>
  <c r="F33" i="9"/>
  <c r="B33" i="9"/>
  <c r="X32" i="9"/>
  <c r="Z32" i="9" s="1"/>
  <c r="V32" i="9"/>
  <c r="R32" i="9"/>
  <c r="N32" i="9"/>
  <c r="L32" i="9"/>
  <c r="B32" i="9"/>
  <c r="T31" i="9"/>
  <c r="P31" i="9"/>
  <c r="X31" i="9" s="1"/>
  <c r="N31" i="9"/>
  <c r="L31" i="9"/>
  <c r="H31" i="9"/>
  <c r="D31" i="9"/>
  <c r="B31" i="9"/>
  <c r="Z30" i="9"/>
  <c r="X30" i="9"/>
  <c r="N30" i="9"/>
  <c r="L30" i="9"/>
  <c r="B30" i="9"/>
  <c r="Z29" i="9"/>
  <c r="X29" i="9"/>
  <c r="R29" i="9"/>
  <c r="N29" i="9"/>
  <c r="L29" i="9"/>
  <c r="J29" i="9"/>
  <c r="F29" i="9"/>
  <c r="B29" i="9"/>
  <c r="Z28" i="9"/>
  <c r="X28" i="9"/>
  <c r="N28" i="9"/>
  <c r="L28" i="9"/>
  <c r="J28" i="9"/>
  <c r="B28" i="9"/>
  <c r="X27" i="9"/>
  <c r="Z27" i="9" s="1"/>
  <c r="V27" i="9"/>
  <c r="N27" i="9"/>
  <c r="L27" i="9"/>
  <c r="B27" i="9"/>
  <c r="Z26" i="9"/>
  <c r="X26" i="9"/>
  <c r="N26" i="9"/>
  <c r="L26" i="9"/>
  <c r="J26" i="9"/>
  <c r="B26" i="9"/>
  <c r="X25" i="9"/>
  <c r="Z25" i="9" s="1"/>
  <c r="R25" i="9"/>
  <c r="N25" i="9"/>
  <c r="L25" i="9"/>
  <c r="J25" i="9"/>
  <c r="F25" i="9"/>
  <c r="B25" i="9"/>
  <c r="Z24" i="9"/>
  <c r="X24" i="9"/>
  <c r="N24" i="9"/>
  <c r="L24" i="9"/>
  <c r="J24" i="9"/>
  <c r="B24" i="9"/>
  <c r="X23" i="9"/>
  <c r="Z23" i="9" s="1"/>
  <c r="V23" i="9"/>
  <c r="L23" i="9"/>
  <c r="N23" i="9" s="1"/>
  <c r="B23" i="9"/>
  <c r="Z22" i="9"/>
  <c r="X22" i="9"/>
  <c r="R22" i="9"/>
  <c r="N22" i="9"/>
  <c r="L22" i="9"/>
  <c r="J22" i="9"/>
  <c r="B22" i="9"/>
  <c r="X21" i="9"/>
  <c r="Z21" i="9" s="1"/>
  <c r="R21" i="9"/>
  <c r="N21" i="9"/>
  <c r="L21" i="9"/>
  <c r="J21" i="9"/>
  <c r="F21" i="9"/>
  <c r="B21" i="9"/>
  <c r="Z20" i="9"/>
  <c r="X20" i="9"/>
  <c r="N20" i="9"/>
  <c r="L20" i="9"/>
  <c r="J20" i="9"/>
  <c r="B20" i="9"/>
  <c r="X19" i="9"/>
  <c r="Z19" i="9" s="1"/>
  <c r="V19" i="9"/>
  <c r="T19" i="9"/>
  <c r="P19" i="9"/>
  <c r="H19" i="9"/>
  <c r="D19" i="9"/>
  <c r="B19" i="9"/>
  <c r="X18" i="9"/>
  <c r="T18" i="9"/>
  <c r="Z18" i="9" s="1"/>
  <c r="P18" i="9"/>
  <c r="J18" i="9"/>
  <c r="H18" i="9"/>
  <c r="D18" i="9"/>
  <c r="L18" i="9" s="1"/>
  <c r="J16" i="9"/>
  <c r="Z14" i="9"/>
  <c r="X14" i="9"/>
  <c r="T14" i="9"/>
  <c r="T16" i="9" s="1"/>
  <c r="P14" i="9"/>
  <c r="J14" i="9"/>
  <c r="H14" i="9"/>
  <c r="N14" i="9" s="1"/>
  <c r="F14" i="9"/>
  <c r="D14" i="9"/>
  <c r="L14" i="9" s="1"/>
  <c r="Z12" i="9"/>
  <c r="X12" i="9"/>
  <c r="T12" i="9"/>
  <c r="V85" i="9" s="1"/>
  <c r="P12" i="9"/>
  <c r="R98" i="9" s="1"/>
  <c r="L12" i="9"/>
  <c r="H12" i="9"/>
  <c r="J91" i="9" s="1"/>
  <c r="D12" i="9"/>
  <c r="F62" i="9" s="1"/>
  <c r="D4" i="9"/>
  <c r="V31" i="6"/>
  <c r="R31" i="6"/>
  <c r="F31" i="6"/>
  <c r="X29" i="6"/>
  <c r="Z29" i="6" s="1"/>
  <c r="V29" i="6"/>
  <c r="T29" i="6"/>
  <c r="R29" i="6"/>
  <c r="P29" i="6"/>
  <c r="H29" i="6"/>
  <c r="F29" i="6"/>
  <c r="D29" i="6"/>
  <c r="X28" i="6"/>
  <c r="Z28" i="6" s="1"/>
  <c r="V28" i="6"/>
  <c r="T28" i="6"/>
  <c r="R28" i="6"/>
  <c r="P28" i="6"/>
  <c r="H28" i="6"/>
  <c r="F28" i="6"/>
  <c r="D28" i="6"/>
  <c r="V26" i="6"/>
  <c r="R26" i="6"/>
  <c r="F26" i="6"/>
  <c r="Z24" i="6"/>
  <c r="X24" i="6"/>
  <c r="V24" i="6"/>
  <c r="N24" i="6"/>
  <c r="L24" i="6"/>
  <c r="R22" i="6"/>
  <c r="F22" i="6"/>
  <c r="T20" i="6"/>
  <c r="Z20" i="6" s="1"/>
  <c r="R20" i="6"/>
  <c r="P20" i="6"/>
  <c r="X20" i="6" s="1"/>
  <c r="N20" i="6"/>
  <c r="H20" i="6"/>
  <c r="F20" i="6"/>
  <c r="D20" i="6"/>
  <c r="L20" i="6" s="1"/>
  <c r="Z18" i="6"/>
  <c r="X18" i="6"/>
  <c r="T18" i="6"/>
  <c r="R18" i="6"/>
  <c r="P18" i="6"/>
  <c r="N18" i="6"/>
  <c r="H18" i="6"/>
  <c r="F18" i="6"/>
  <c r="D18" i="6"/>
  <c r="L18" i="6" s="1"/>
  <c r="R16" i="6"/>
  <c r="F16" i="6"/>
  <c r="Z14" i="6"/>
  <c r="X14" i="6"/>
  <c r="T14" i="6"/>
  <c r="R14" i="6"/>
  <c r="P14" i="6"/>
  <c r="P16" i="6" s="1"/>
  <c r="N14" i="6"/>
  <c r="H14" i="6"/>
  <c r="F14" i="6"/>
  <c r="D14" i="6"/>
  <c r="L14" i="6" s="1"/>
  <c r="X12" i="6"/>
  <c r="T12" i="6"/>
  <c r="Z12" i="6" s="1"/>
  <c r="P12" i="6"/>
  <c r="R24" i="6" s="1"/>
  <c r="L12" i="6"/>
  <c r="H12" i="6"/>
  <c r="D12" i="6"/>
  <c r="F24" i="6" s="1"/>
  <c r="D4" i="6"/>
  <c r="T328" i="3"/>
  <c r="P328" i="3"/>
  <c r="X328" i="3" s="1"/>
  <c r="L328" i="3"/>
  <c r="N328" i="3" s="1"/>
  <c r="H328" i="3"/>
  <c r="D328" i="3"/>
  <c r="T327" i="3"/>
  <c r="P327" i="3"/>
  <c r="X327" i="3" s="1"/>
  <c r="N327" i="3"/>
  <c r="L327" i="3"/>
  <c r="H327" i="3"/>
  <c r="D327" i="3"/>
  <c r="X323" i="3"/>
  <c r="Z323" i="3" s="1"/>
  <c r="L323" i="3"/>
  <c r="N323" i="3" s="1"/>
  <c r="X319" i="3"/>
  <c r="T319" i="3"/>
  <c r="Z319" i="3" s="1"/>
  <c r="P319" i="3"/>
  <c r="N319" i="3"/>
  <c r="H319" i="3"/>
  <c r="D319" i="3"/>
  <c r="L319" i="3" s="1"/>
  <c r="B319" i="3"/>
  <c r="T318" i="3"/>
  <c r="P318" i="3"/>
  <c r="X318" i="3" s="1"/>
  <c r="Z318" i="3" s="1"/>
  <c r="H318" i="3"/>
  <c r="D318" i="3"/>
  <c r="B318" i="3"/>
  <c r="T317" i="3"/>
  <c r="P317" i="3"/>
  <c r="X317" i="3" s="1"/>
  <c r="Z317" i="3" s="1"/>
  <c r="H317" i="3"/>
  <c r="D317" i="3"/>
  <c r="B317" i="3"/>
  <c r="T316" i="3"/>
  <c r="P316" i="3"/>
  <c r="N316" i="3"/>
  <c r="L316" i="3"/>
  <c r="H316" i="3"/>
  <c r="D316" i="3"/>
  <c r="B316" i="3"/>
  <c r="T315" i="3"/>
  <c r="P315" i="3"/>
  <c r="X315" i="3" s="1"/>
  <c r="L315" i="3"/>
  <c r="N315" i="3" s="1"/>
  <c r="H315" i="3"/>
  <c r="D315" i="3"/>
  <c r="B315" i="3"/>
  <c r="T314" i="3"/>
  <c r="P314" i="3"/>
  <c r="X314" i="3" s="1"/>
  <c r="N314" i="3"/>
  <c r="H314" i="3"/>
  <c r="D314" i="3"/>
  <c r="L314" i="3" s="1"/>
  <c r="B314" i="3"/>
  <c r="T313" i="3"/>
  <c r="P313" i="3"/>
  <c r="X313" i="3" s="1"/>
  <c r="Z313" i="3" s="1"/>
  <c r="L313" i="3"/>
  <c r="H313" i="3"/>
  <c r="N313" i="3" s="1"/>
  <c r="D313" i="3"/>
  <c r="B313" i="3"/>
  <c r="T312" i="3"/>
  <c r="P312" i="3"/>
  <c r="N312" i="3"/>
  <c r="H312" i="3"/>
  <c r="D312" i="3"/>
  <c r="L312" i="3" s="1"/>
  <c r="B312" i="3"/>
  <c r="T311" i="3"/>
  <c r="P311" i="3"/>
  <c r="N311" i="3"/>
  <c r="H311" i="3"/>
  <c r="D311" i="3"/>
  <c r="L311" i="3" s="1"/>
  <c r="B311" i="3"/>
  <c r="X310" i="3"/>
  <c r="Z310" i="3" s="1"/>
  <c r="T310" i="3"/>
  <c r="P310" i="3"/>
  <c r="H310" i="3"/>
  <c r="H306" i="3" s="1"/>
  <c r="D310" i="3"/>
  <c r="B310" i="3"/>
  <c r="X309" i="3"/>
  <c r="Z309" i="3" s="1"/>
  <c r="T309" i="3"/>
  <c r="P309" i="3"/>
  <c r="H309" i="3"/>
  <c r="N309" i="3" s="1"/>
  <c r="D309" i="3"/>
  <c r="L309" i="3" s="1"/>
  <c r="B309" i="3"/>
  <c r="Z308" i="3"/>
  <c r="T308" i="3"/>
  <c r="P308" i="3"/>
  <c r="X308" i="3" s="1"/>
  <c r="H308" i="3"/>
  <c r="D308" i="3"/>
  <c r="L308" i="3" s="1"/>
  <c r="B308" i="3"/>
  <c r="X307" i="3"/>
  <c r="T307" i="3"/>
  <c r="Z307" i="3" s="1"/>
  <c r="P307" i="3"/>
  <c r="N307" i="3"/>
  <c r="H307" i="3"/>
  <c r="D307" i="3"/>
  <c r="B307" i="3"/>
  <c r="Z304" i="3"/>
  <c r="X304" i="3"/>
  <c r="L304" i="3"/>
  <c r="N304" i="3" s="1"/>
  <c r="B304" i="3"/>
  <c r="X303" i="3"/>
  <c r="Z303" i="3" s="1"/>
  <c r="T303" i="3"/>
  <c r="P303" i="3"/>
  <c r="H303" i="3"/>
  <c r="D303" i="3"/>
  <c r="L303" i="3" s="1"/>
  <c r="B303" i="3"/>
  <c r="Z302" i="3"/>
  <c r="X302" i="3"/>
  <c r="L302" i="3"/>
  <c r="N302" i="3" s="1"/>
  <c r="B302" i="3"/>
  <c r="X301" i="3"/>
  <c r="Z301" i="3" s="1"/>
  <c r="N301" i="3"/>
  <c r="L301" i="3"/>
  <c r="B301" i="3"/>
  <c r="X300" i="3"/>
  <c r="Z300" i="3" s="1"/>
  <c r="L300" i="3"/>
  <c r="N300" i="3" s="1"/>
  <c r="B300" i="3"/>
  <c r="T299" i="3"/>
  <c r="P299" i="3"/>
  <c r="X299" i="3" s="1"/>
  <c r="H299" i="3"/>
  <c r="D299" i="3"/>
  <c r="B299" i="3"/>
  <c r="X298" i="3"/>
  <c r="Z298" i="3" s="1"/>
  <c r="N298" i="3"/>
  <c r="L298" i="3"/>
  <c r="B298" i="3"/>
  <c r="X297" i="3"/>
  <c r="T297" i="3"/>
  <c r="Z297" i="3" s="1"/>
  <c r="P297" i="3"/>
  <c r="N297" i="3"/>
  <c r="H297" i="3"/>
  <c r="D297" i="3"/>
  <c r="L297" i="3" s="1"/>
  <c r="B297" i="3"/>
  <c r="Z296" i="3"/>
  <c r="X296" i="3"/>
  <c r="L296" i="3"/>
  <c r="N296" i="3" s="1"/>
  <c r="B296" i="3"/>
  <c r="X295" i="3"/>
  <c r="Z295" i="3" s="1"/>
  <c r="N295" i="3"/>
  <c r="L295" i="3"/>
  <c r="B295" i="3"/>
  <c r="T294" i="3"/>
  <c r="P294" i="3"/>
  <c r="X294" i="3" s="1"/>
  <c r="H294" i="3"/>
  <c r="D294" i="3"/>
  <c r="L294" i="3" s="1"/>
  <c r="N294" i="3" s="1"/>
  <c r="B294" i="3"/>
  <c r="X293" i="3"/>
  <c r="Z293" i="3" s="1"/>
  <c r="L293" i="3"/>
  <c r="N293" i="3" s="1"/>
  <c r="B293" i="3"/>
  <c r="X292" i="3"/>
  <c r="Z292" i="3" s="1"/>
  <c r="L292" i="3"/>
  <c r="N292" i="3" s="1"/>
  <c r="B292" i="3"/>
  <c r="Z291" i="3"/>
  <c r="X291" i="3"/>
  <c r="N291" i="3"/>
  <c r="L291" i="3"/>
  <c r="B291" i="3"/>
  <c r="Z290" i="3"/>
  <c r="X290" i="3"/>
  <c r="L290" i="3"/>
  <c r="N290" i="3" s="1"/>
  <c r="B290" i="3"/>
  <c r="X289" i="3"/>
  <c r="Z289" i="3" s="1"/>
  <c r="L289" i="3"/>
  <c r="N289" i="3" s="1"/>
  <c r="B289" i="3"/>
  <c r="X288" i="3"/>
  <c r="Z288" i="3" s="1"/>
  <c r="L288" i="3"/>
  <c r="N288" i="3" s="1"/>
  <c r="B288" i="3"/>
  <c r="Z287" i="3"/>
  <c r="X287" i="3"/>
  <c r="N287" i="3"/>
  <c r="L287" i="3"/>
  <c r="B287" i="3"/>
  <c r="Z286" i="3"/>
  <c r="X286" i="3"/>
  <c r="L286" i="3"/>
  <c r="N286" i="3" s="1"/>
  <c r="B286" i="3"/>
  <c r="Z285" i="3"/>
  <c r="X285" i="3"/>
  <c r="N285" i="3"/>
  <c r="L285" i="3"/>
  <c r="B285" i="3"/>
  <c r="X284" i="3"/>
  <c r="Z284" i="3" s="1"/>
  <c r="L284" i="3"/>
  <c r="N284" i="3" s="1"/>
  <c r="B284" i="3"/>
  <c r="T283" i="3"/>
  <c r="P283" i="3"/>
  <c r="X283" i="3" s="1"/>
  <c r="Z283" i="3" s="1"/>
  <c r="H283" i="3"/>
  <c r="D283" i="3"/>
  <c r="B283" i="3"/>
  <c r="X282" i="3"/>
  <c r="Z282" i="3" s="1"/>
  <c r="N282" i="3"/>
  <c r="L282" i="3"/>
  <c r="B282" i="3"/>
  <c r="X281" i="3"/>
  <c r="Z281" i="3" s="1"/>
  <c r="N281" i="3"/>
  <c r="L281" i="3"/>
  <c r="B281" i="3"/>
  <c r="X280" i="3"/>
  <c r="Z280" i="3" s="1"/>
  <c r="T280" i="3"/>
  <c r="P280" i="3"/>
  <c r="H280" i="3"/>
  <c r="D280" i="3"/>
  <c r="B280" i="3"/>
  <c r="Z279" i="3"/>
  <c r="X279" i="3"/>
  <c r="N279" i="3"/>
  <c r="L279" i="3"/>
  <c r="B279" i="3"/>
  <c r="Z278" i="3"/>
  <c r="X278" i="3"/>
  <c r="N278" i="3"/>
  <c r="L278" i="3"/>
  <c r="B278" i="3"/>
  <c r="Z277" i="3"/>
  <c r="X277" i="3"/>
  <c r="L277" i="3"/>
  <c r="N277" i="3" s="1"/>
  <c r="B277" i="3"/>
  <c r="Z276" i="3"/>
  <c r="X276" i="3"/>
  <c r="L276" i="3"/>
  <c r="N276" i="3" s="1"/>
  <c r="B276" i="3"/>
  <c r="X275" i="3"/>
  <c r="Z275" i="3" s="1"/>
  <c r="N275" i="3"/>
  <c r="L275" i="3"/>
  <c r="B275" i="3"/>
  <c r="T274" i="3"/>
  <c r="P274" i="3"/>
  <c r="X274" i="3" s="1"/>
  <c r="H274" i="3"/>
  <c r="D274" i="3"/>
  <c r="L274" i="3" s="1"/>
  <c r="N274" i="3" s="1"/>
  <c r="B274" i="3"/>
  <c r="X273" i="3"/>
  <c r="Z273" i="3" s="1"/>
  <c r="L273" i="3"/>
  <c r="N273" i="3" s="1"/>
  <c r="B273" i="3"/>
  <c r="X272" i="3"/>
  <c r="Z272" i="3" s="1"/>
  <c r="N272" i="3"/>
  <c r="L272" i="3"/>
  <c r="B272" i="3"/>
  <c r="Z271" i="3"/>
  <c r="X271" i="3"/>
  <c r="N271" i="3"/>
  <c r="L271" i="3"/>
  <c r="B271" i="3"/>
  <c r="Z270" i="3"/>
  <c r="T270" i="3"/>
  <c r="P270" i="3"/>
  <c r="X270" i="3" s="1"/>
  <c r="H270" i="3"/>
  <c r="D270" i="3"/>
  <c r="L270" i="3" s="1"/>
  <c r="B270" i="3"/>
  <c r="X269" i="3"/>
  <c r="Z269" i="3" s="1"/>
  <c r="N269" i="3"/>
  <c r="L269" i="3"/>
  <c r="B269" i="3"/>
  <c r="X268" i="3"/>
  <c r="Z268" i="3" s="1"/>
  <c r="N268" i="3"/>
  <c r="L268" i="3"/>
  <c r="B268" i="3"/>
  <c r="Z267" i="3"/>
  <c r="X267" i="3"/>
  <c r="N267" i="3"/>
  <c r="L267" i="3"/>
  <c r="B267" i="3"/>
  <c r="X266" i="3"/>
  <c r="Z266" i="3" s="1"/>
  <c r="N266" i="3"/>
  <c r="L266" i="3"/>
  <c r="B266" i="3"/>
  <c r="X265" i="3"/>
  <c r="Z265" i="3" s="1"/>
  <c r="T265" i="3"/>
  <c r="P265" i="3"/>
  <c r="N265" i="3"/>
  <c r="H265" i="3"/>
  <c r="D265" i="3"/>
  <c r="L265" i="3" s="1"/>
  <c r="B265" i="3"/>
  <c r="Z264" i="3"/>
  <c r="X264" i="3"/>
  <c r="L264" i="3"/>
  <c r="N264" i="3" s="1"/>
  <c r="B264" i="3"/>
  <c r="X263" i="3"/>
  <c r="Z263" i="3" s="1"/>
  <c r="T263" i="3"/>
  <c r="P263" i="3"/>
  <c r="H263" i="3"/>
  <c r="D263" i="3"/>
  <c r="L263" i="3" s="1"/>
  <c r="B263" i="3"/>
  <c r="Z262" i="3"/>
  <c r="X262" i="3"/>
  <c r="L262" i="3"/>
  <c r="N262" i="3" s="1"/>
  <c r="B262" i="3"/>
  <c r="T261" i="3"/>
  <c r="P261" i="3"/>
  <c r="H261" i="3"/>
  <c r="D261" i="3"/>
  <c r="L261" i="3" s="1"/>
  <c r="N261" i="3" s="1"/>
  <c r="B261" i="3"/>
  <c r="X260" i="3"/>
  <c r="Z260" i="3" s="1"/>
  <c r="N260" i="3"/>
  <c r="L260" i="3"/>
  <c r="B260" i="3"/>
  <c r="T259" i="3"/>
  <c r="P259" i="3"/>
  <c r="X259" i="3" s="1"/>
  <c r="Z259" i="3" s="1"/>
  <c r="L259" i="3"/>
  <c r="N259" i="3" s="1"/>
  <c r="H259" i="3"/>
  <c r="D259" i="3"/>
  <c r="B259" i="3"/>
  <c r="Z258" i="3"/>
  <c r="X258" i="3"/>
  <c r="N258" i="3"/>
  <c r="L258" i="3"/>
  <c r="B258" i="3"/>
  <c r="Z257" i="3"/>
  <c r="X257" i="3"/>
  <c r="N257" i="3"/>
  <c r="L257" i="3"/>
  <c r="B257" i="3"/>
  <c r="Z256" i="3"/>
  <c r="X256" i="3"/>
  <c r="L256" i="3"/>
  <c r="N256" i="3" s="1"/>
  <c r="B256" i="3"/>
  <c r="Z255" i="3"/>
  <c r="X255" i="3"/>
  <c r="T255" i="3"/>
  <c r="P255" i="3"/>
  <c r="H255" i="3"/>
  <c r="N255" i="3" s="1"/>
  <c r="D255" i="3"/>
  <c r="L255" i="3" s="1"/>
  <c r="B255" i="3"/>
  <c r="Z254" i="3"/>
  <c r="X254" i="3"/>
  <c r="L254" i="3"/>
  <c r="N254" i="3" s="1"/>
  <c r="B254" i="3"/>
  <c r="T253" i="3"/>
  <c r="P253" i="3"/>
  <c r="H253" i="3"/>
  <c r="D253" i="3"/>
  <c r="L253" i="3" s="1"/>
  <c r="N253" i="3" s="1"/>
  <c r="B253" i="3"/>
  <c r="X252" i="3"/>
  <c r="Z252" i="3" s="1"/>
  <c r="N252" i="3"/>
  <c r="L252" i="3"/>
  <c r="B252" i="3"/>
  <c r="Z251" i="3"/>
  <c r="T251" i="3"/>
  <c r="P251" i="3"/>
  <c r="X251" i="3" s="1"/>
  <c r="L251" i="3"/>
  <c r="N251" i="3" s="1"/>
  <c r="H251" i="3"/>
  <c r="D251" i="3"/>
  <c r="B251" i="3"/>
  <c r="Z250" i="3"/>
  <c r="X250" i="3"/>
  <c r="N250" i="3"/>
  <c r="L250" i="3"/>
  <c r="B250" i="3"/>
  <c r="Z249" i="3"/>
  <c r="X249" i="3"/>
  <c r="N249" i="3"/>
  <c r="L249" i="3"/>
  <c r="B249" i="3"/>
  <c r="T248" i="3"/>
  <c r="P248" i="3"/>
  <c r="X248" i="3" s="1"/>
  <c r="Z248" i="3" s="1"/>
  <c r="H248" i="3"/>
  <c r="D248" i="3"/>
  <c r="B248" i="3"/>
  <c r="X247" i="3"/>
  <c r="Z247" i="3" s="1"/>
  <c r="N247" i="3"/>
  <c r="L247" i="3"/>
  <c r="B247" i="3"/>
  <c r="Z246" i="3"/>
  <c r="X246" i="3"/>
  <c r="L246" i="3"/>
  <c r="N246" i="3" s="1"/>
  <c r="B246" i="3"/>
  <c r="T245" i="3"/>
  <c r="P245" i="3"/>
  <c r="H245" i="3"/>
  <c r="N245" i="3" s="1"/>
  <c r="D245" i="3"/>
  <c r="L245" i="3" s="1"/>
  <c r="B245" i="3"/>
  <c r="X244" i="3"/>
  <c r="Z244" i="3" s="1"/>
  <c r="N244" i="3"/>
  <c r="L244" i="3"/>
  <c r="B244" i="3"/>
  <c r="T243" i="3"/>
  <c r="P243" i="3"/>
  <c r="X243" i="3" s="1"/>
  <c r="Z243" i="3" s="1"/>
  <c r="L243" i="3"/>
  <c r="N243" i="3" s="1"/>
  <c r="H243" i="3"/>
  <c r="D243" i="3"/>
  <c r="B243" i="3"/>
  <c r="Z242" i="3"/>
  <c r="X242" i="3"/>
  <c r="N242" i="3"/>
  <c r="L242" i="3"/>
  <c r="B242" i="3"/>
  <c r="T241" i="3"/>
  <c r="Z241" i="3" s="1"/>
  <c r="P241" i="3"/>
  <c r="X241" i="3" s="1"/>
  <c r="N241" i="3"/>
  <c r="L241" i="3"/>
  <c r="H241" i="3"/>
  <c r="D241" i="3"/>
  <c r="B241" i="3"/>
  <c r="X240" i="3"/>
  <c r="Z240" i="3" s="1"/>
  <c r="N240" i="3"/>
  <c r="L240" i="3"/>
  <c r="B240" i="3"/>
  <c r="T239" i="3"/>
  <c r="Z239" i="3" s="1"/>
  <c r="P239" i="3"/>
  <c r="X239" i="3" s="1"/>
  <c r="H239" i="3"/>
  <c r="D239" i="3"/>
  <c r="B239" i="3"/>
  <c r="X238" i="3"/>
  <c r="Z238" i="3" s="1"/>
  <c r="N238" i="3"/>
  <c r="L238" i="3"/>
  <c r="B238" i="3"/>
  <c r="X237" i="3"/>
  <c r="Z237" i="3" s="1"/>
  <c r="L237" i="3"/>
  <c r="N237" i="3" s="1"/>
  <c r="B237" i="3"/>
  <c r="X236" i="3"/>
  <c r="Z236" i="3" s="1"/>
  <c r="T236" i="3"/>
  <c r="P236" i="3"/>
  <c r="H236" i="3"/>
  <c r="D236" i="3"/>
  <c r="L236" i="3" s="1"/>
  <c r="B236" i="3"/>
  <c r="Z235" i="3"/>
  <c r="X235" i="3"/>
  <c r="L235" i="3"/>
  <c r="N235" i="3" s="1"/>
  <c r="B235" i="3"/>
  <c r="Z234" i="3"/>
  <c r="X234" i="3"/>
  <c r="N234" i="3"/>
  <c r="L234" i="3"/>
  <c r="B234" i="3"/>
  <c r="X233" i="3"/>
  <c r="Z233" i="3" s="1"/>
  <c r="L233" i="3"/>
  <c r="N233" i="3" s="1"/>
  <c r="B233" i="3"/>
  <c r="Z232" i="3"/>
  <c r="X232" i="3"/>
  <c r="L232" i="3"/>
  <c r="N232" i="3" s="1"/>
  <c r="B232" i="3"/>
  <c r="Z231" i="3"/>
  <c r="X231" i="3"/>
  <c r="T231" i="3"/>
  <c r="P231" i="3"/>
  <c r="H231" i="3"/>
  <c r="N231" i="3" s="1"/>
  <c r="D231" i="3"/>
  <c r="L231" i="3" s="1"/>
  <c r="B231" i="3"/>
  <c r="Z230" i="3"/>
  <c r="X230" i="3"/>
  <c r="N230" i="3"/>
  <c r="L230" i="3"/>
  <c r="B230" i="3"/>
  <c r="T229" i="3"/>
  <c r="P229" i="3"/>
  <c r="H229" i="3"/>
  <c r="N229" i="3" s="1"/>
  <c r="D229" i="3"/>
  <c r="L229" i="3" s="1"/>
  <c r="B229" i="3"/>
  <c r="X228" i="3"/>
  <c r="Z228" i="3" s="1"/>
  <c r="N228" i="3"/>
  <c r="L228" i="3"/>
  <c r="B228" i="3"/>
  <c r="Z227" i="3"/>
  <c r="X227" i="3"/>
  <c r="N227" i="3"/>
  <c r="L227" i="3"/>
  <c r="B227" i="3"/>
  <c r="T226" i="3"/>
  <c r="P226" i="3"/>
  <c r="X226" i="3" s="1"/>
  <c r="L226" i="3"/>
  <c r="N226" i="3" s="1"/>
  <c r="H226" i="3"/>
  <c r="D226" i="3"/>
  <c r="B226" i="3"/>
  <c r="X225" i="3"/>
  <c r="Z225" i="3" s="1"/>
  <c r="L225" i="3"/>
  <c r="N225" i="3" s="1"/>
  <c r="B225" i="3"/>
  <c r="T224" i="3"/>
  <c r="P224" i="3"/>
  <c r="X224" i="3" s="1"/>
  <c r="Z224" i="3" s="1"/>
  <c r="H224" i="3"/>
  <c r="D224" i="3"/>
  <c r="B224" i="3"/>
  <c r="Z223" i="3"/>
  <c r="X223" i="3"/>
  <c r="N223" i="3"/>
  <c r="L223" i="3"/>
  <c r="B223" i="3"/>
  <c r="Z222" i="3"/>
  <c r="X222" i="3"/>
  <c r="N222" i="3"/>
  <c r="L222" i="3"/>
  <c r="B222" i="3"/>
  <c r="X221" i="3"/>
  <c r="Z221" i="3" s="1"/>
  <c r="L221" i="3"/>
  <c r="N221" i="3" s="1"/>
  <c r="B221" i="3"/>
  <c r="X220" i="3"/>
  <c r="Z220" i="3" s="1"/>
  <c r="L220" i="3"/>
  <c r="N220" i="3" s="1"/>
  <c r="B220" i="3"/>
  <c r="X219" i="3"/>
  <c r="Z219" i="3" s="1"/>
  <c r="N219" i="3"/>
  <c r="L219" i="3"/>
  <c r="B219" i="3"/>
  <c r="Z218" i="3"/>
  <c r="X218" i="3"/>
  <c r="N218" i="3"/>
  <c r="L218" i="3"/>
  <c r="B218" i="3"/>
  <c r="X217" i="3"/>
  <c r="Z217" i="3" s="1"/>
  <c r="L217" i="3"/>
  <c r="N217" i="3" s="1"/>
  <c r="B217" i="3"/>
  <c r="T216" i="3"/>
  <c r="P216" i="3"/>
  <c r="X216" i="3" s="1"/>
  <c r="N216" i="3"/>
  <c r="H216" i="3"/>
  <c r="D216" i="3"/>
  <c r="L216" i="3" s="1"/>
  <c r="B216" i="3"/>
  <c r="Z215" i="3"/>
  <c r="X215" i="3"/>
  <c r="L215" i="3"/>
  <c r="N215" i="3" s="1"/>
  <c r="B215" i="3"/>
  <c r="X214" i="3"/>
  <c r="Z214" i="3" s="1"/>
  <c r="N214" i="3"/>
  <c r="L214" i="3"/>
  <c r="B214" i="3"/>
  <c r="X213" i="3"/>
  <c r="Z213" i="3" s="1"/>
  <c r="N213" i="3"/>
  <c r="L213" i="3"/>
  <c r="B213" i="3"/>
  <c r="X212" i="3"/>
  <c r="Z212" i="3" s="1"/>
  <c r="N212" i="3"/>
  <c r="L212" i="3"/>
  <c r="B212" i="3"/>
  <c r="Z211" i="3"/>
  <c r="X211" i="3"/>
  <c r="N211" i="3"/>
  <c r="L211" i="3"/>
  <c r="B211" i="3"/>
  <c r="X210" i="3"/>
  <c r="Z210" i="3" s="1"/>
  <c r="N210" i="3"/>
  <c r="L210" i="3"/>
  <c r="B210" i="3"/>
  <c r="X209" i="3"/>
  <c r="Z209" i="3" s="1"/>
  <c r="L209" i="3"/>
  <c r="N209" i="3" s="1"/>
  <c r="B209" i="3"/>
  <c r="X208" i="3"/>
  <c r="Z208" i="3" s="1"/>
  <c r="N208" i="3"/>
  <c r="L208" i="3"/>
  <c r="B208" i="3"/>
  <c r="Z207" i="3"/>
  <c r="X207" i="3"/>
  <c r="L207" i="3"/>
  <c r="N207" i="3" s="1"/>
  <c r="B207" i="3"/>
  <c r="X206" i="3"/>
  <c r="Z206" i="3" s="1"/>
  <c r="N206" i="3"/>
  <c r="L206" i="3"/>
  <c r="B206" i="3"/>
  <c r="X205" i="3"/>
  <c r="T205" i="3"/>
  <c r="Z205" i="3" s="1"/>
  <c r="P205" i="3"/>
  <c r="H205" i="3"/>
  <c r="D205" i="3"/>
  <c r="L205" i="3" s="1"/>
  <c r="N205" i="3" s="1"/>
  <c r="B205" i="3"/>
  <c r="T204" i="3"/>
  <c r="P204" i="3"/>
  <c r="H204" i="3"/>
  <c r="D204" i="3"/>
  <c r="Z200" i="3"/>
  <c r="X200" i="3"/>
  <c r="N200" i="3"/>
  <c r="L200" i="3"/>
  <c r="B200" i="3"/>
  <c r="Z199" i="3"/>
  <c r="X199" i="3"/>
  <c r="N199" i="3"/>
  <c r="L199" i="3"/>
  <c r="B199" i="3"/>
  <c r="Z198" i="3"/>
  <c r="X198" i="3"/>
  <c r="N198" i="3"/>
  <c r="L198" i="3"/>
  <c r="B198" i="3"/>
  <c r="Z197" i="3"/>
  <c r="X197" i="3"/>
  <c r="L197" i="3"/>
  <c r="N197" i="3" s="1"/>
  <c r="B197" i="3"/>
  <c r="Z196" i="3"/>
  <c r="X196" i="3"/>
  <c r="N196" i="3"/>
  <c r="L196" i="3"/>
  <c r="B196" i="3"/>
  <c r="Z195" i="3"/>
  <c r="X195" i="3"/>
  <c r="N195" i="3"/>
  <c r="L195" i="3"/>
  <c r="B195" i="3"/>
  <c r="Z194" i="3"/>
  <c r="X194" i="3"/>
  <c r="L194" i="3"/>
  <c r="N194" i="3" s="1"/>
  <c r="B194" i="3"/>
  <c r="Z193" i="3"/>
  <c r="X193" i="3"/>
  <c r="N193" i="3"/>
  <c r="L193" i="3"/>
  <c r="B193" i="3"/>
  <c r="Z192" i="3"/>
  <c r="X192" i="3"/>
  <c r="N192" i="3"/>
  <c r="L192" i="3"/>
  <c r="B192" i="3"/>
  <c r="X191" i="3"/>
  <c r="Z191" i="3" s="1"/>
  <c r="N191" i="3"/>
  <c r="L191" i="3"/>
  <c r="B191" i="3"/>
  <c r="Z190" i="3"/>
  <c r="X190" i="3"/>
  <c r="L190" i="3"/>
  <c r="N190" i="3" s="1"/>
  <c r="B190" i="3"/>
  <c r="Z189" i="3"/>
  <c r="X189" i="3"/>
  <c r="L189" i="3"/>
  <c r="N189" i="3" s="1"/>
  <c r="B189" i="3"/>
  <c r="X188" i="3"/>
  <c r="Z188" i="3" s="1"/>
  <c r="L188" i="3"/>
  <c r="N188" i="3" s="1"/>
  <c r="B188" i="3"/>
  <c r="Z187" i="3"/>
  <c r="X187" i="3"/>
  <c r="N187" i="3"/>
  <c r="L187" i="3"/>
  <c r="B187" i="3"/>
  <c r="Z186" i="3"/>
  <c r="X186" i="3"/>
  <c r="N186" i="3"/>
  <c r="L186" i="3"/>
  <c r="B186" i="3"/>
  <c r="Z185" i="3"/>
  <c r="X185" i="3"/>
  <c r="N185" i="3"/>
  <c r="L185" i="3"/>
  <c r="B185" i="3"/>
  <c r="X184" i="3"/>
  <c r="Z184" i="3" s="1"/>
  <c r="N184" i="3"/>
  <c r="L184" i="3"/>
  <c r="B184" i="3"/>
  <c r="X183" i="3"/>
  <c r="Z183" i="3" s="1"/>
  <c r="N183" i="3"/>
  <c r="L183" i="3"/>
  <c r="B183" i="3"/>
  <c r="Z182" i="3"/>
  <c r="X182" i="3"/>
  <c r="N182" i="3"/>
  <c r="L182" i="3"/>
  <c r="B182" i="3"/>
  <c r="Z181" i="3"/>
  <c r="X181" i="3"/>
  <c r="L181" i="3"/>
  <c r="N181" i="3" s="1"/>
  <c r="B181" i="3"/>
  <c r="X180" i="3"/>
  <c r="Z180" i="3" s="1"/>
  <c r="L180" i="3"/>
  <c r="N180" i="3" s="1"/>
  <c r="B180" i="3"/>
  <c r="X179" i="3"/>
  <c r="Z179" i="3" s="1"/>
  <c r="N179" i="3"/>
  <c r="L179" i="3"/>
  <c r="B179" i="3"/>
  <c r="X178" i="3"/>
  <c r="Z178" i="3" s="1"/>
  <c r="N178" i="3"/>
  <c r="L178" i="3"/>
  <c r="B178" i="3"/>
  <c r="Z177" i="3"/>
  <c r="X177" i="3"/>
  <c r="L177" i="3"/>
  <c r="N177" i="3" s="1"/>
  <c r="B177" i="3"/>
  <c r="Z176" i="3"/>
  <c r="X176" i="3"/>
  <c r="N176" i="3"/>
  <c r="L176" i="3"/>
  <c r="B176" i="3"/>
  <c r="X175" i="3"/>
  <c r="Z175" i="3" s="1"/>
  <c r="N175" i="3"/>
  <c r="L175" i="3"/>
  <c r="B175" i="3"/>
  <c r="X174" i="3"/>
  <c r="Z174" i="3" s="1"/>
  <c r="N174" i="3"/>
  <c r="L174" i="3"/>
  <c r="B174" i="3"/>
  <c r="Z173" i="3"/>
  <c r="X173" i="3"/>
  <c r="N173" i="3"/>
  <c r="L173" i="3"/>
  <c r="B173" i="3"/>
  <c r="X172" i="3"/>
  <c r="Z172" i="3" s="1"/>
  <c r="L172" i="3"/>
  <c r="N172" i="3" s="1"/>
  <c r="B172" i="3"/>
  <c r="Z171" i="3"/>
  <c r="X171" i="3"/>
  <c r="N171" i="3"/>
  <c r="L171" i="3"/>
  <c r="B171" i="3"/>
  <c r="X170" i="3"/>
  <c r="Z170" i="3" s="1"/>
  <c r="L170" i="3"/>
  <c r="N170" i="3" s="1"/>
  <c r="B170" i="3"/>
  <c r="Z169" i="3"/>
  <c r="X169" i="3"/>
  <c r="N169" i="3"/>
  <c r="L169" i="3"/>
  <c r="B169" i="3"/>
  <c r="X168" i="3"/>
  <c r="Z168" i="3" s="1"/>
  <c r="L168" i="3"/>
  <c r="N168" i="3" s="1"/>
  <c r="B168" i="3"/>
  <c r="Z167" i="3"/>
  <c r="X167" i="3"/>
  <c r="L167" i="3"/>
  <c r="N167" i="3" s="1"/>
  <c r="B167" i="3"/>
  <c r="X166" i="3"/>
  <c r="Z166" i="3" s="1"/>
  <c r="L166" i="3"/>
  <c r="N166" i="3" s="1"/>
  <c r="B166" i="3"/>
  <c r="X165" i="3"/>
  <c r="Z165" i="3" s="1"/>
  <c r="N165" i="3"/>
  <c r="L165" i="3"/>
  <c r="B165" i="3"/>
  <c r="Z164" i="3"/>
  <c r="X164" i="3"/>
  <c r="L164" i="3"/>
  <c r="N164" i="3" s="1"/>
  <c r="B164" i="3"/>
  <c r="Z163" i="3"/>
  <c r="X163" i="3"/>
  <c r="L163" i="3"/>
  <c r="N163" i="3" s="1"/>
  <c r="B163" i="3"/>
  <c r="X162" i="3"/>
  <c r="Z162" i="3" s="1"/>
  <c r="L162" i="3"/>
  <c r="N162" i="3" s="1"/>
  <c r="B162" i="3"/>
  <c r="X161" i="3"/>
  <c r="Z161" i="3" s="1"/>
  <c r="N161" i="3"/>
  <c r="L161" i="3"/>
  <c r="B161" i="3"/>
  <c r="Z160" i="3"/>
  <c r="X160" i="3"/>
  <c r="L160" i="3"/>
  <c r="N160" i="3" s="1"/>
  <c r="B160" i="3"/>
  <c r="Z159" i="3"/>
  <c r="X159" i="3"/>
  <c r="N159" i="3"/>
  <c r="L159" i="3"/>
  <c r="B159" i="3"/>
  <c r="X158" i="3"/>
  <c r="Z158" i="3" s="1"/>
  <c r="N158" i="3"/>
  <c r="L158" i="3"/>
  <c r="B158" i="3"/>
  <c r="X157" i="3"/>
  <c r="Z157" i="3" s="1"/>
  <c r="N157" i="3"/>
  <c r="L157" i="3"/>
  <c r="B157" i="3"/>
  <c r="Z156" i="3"/>
  <c r="X156" i="3"/>
  <c r="L156" i="3"/>
  <c r="N156" i="3" s="1"/>
  <c r="B156" i="3"/>
  <c r="Z155" i="3"/>
  <c r="X155" i="3"/>
  <c r="N155" i="3"/>
  <c r="L155" i="3"/>
  <c r="B155" i="3"/>
  <c r="X154" i="3"/>
  <c r="Z154" i="3" s="1"/>
  <c r="N154" i="3"/>
  <c r="L154" i="3"/>
  <c r="B154" i="3"/>
  <c r="X153" i="3"/>
  <c r="Z153" i="3" s="1"/>
  <c r="N153" i="3"/>
  <c r="L153" i="3"/>
  <c r="B153" i="3"/>
  <c r="Z152" i="3"/>
  <c r="X152" i="3"/>
  <c r="L152" i="3"/>
  <c r="N152" i="3" s="1"/>
  <c r="B152" i="3"/>
  <c r="Z151" i="3"/>
  <c r="X151" i="3"/>
  <c r="L151" i="3"/>
  <c r="N151" i="3" s="1"/>
  <c r="B151" i="3"/>
  <c r="X150" i="3"/>
  <c r="Z150" i="3" s="1"/>
  <c r="N150" i="3"/>
  <c r="L150" i="3"/>
  <c r="B150" i="3"/>
  <c r="X149" i="3"/>
  <c r="Z149" i="3" s="1"/>
  <c r="N149" i="3"/>
  <c r="L149" i="3"/>
  <c r="B149" i="3"/>
  <c r="Z148" i="3"/>
  <c r="X148" i="3"/>
  <c r="N148" i="3"/>
  <c r="L148" i="3"/>
  <c r="B148" i="3"/>
  <c r="Z147" i="3"/>
  <c r="X147" i="3"/>
  <c r="N147" i="3"/>
  <c r="L147" i="3"/>
  <c r="B147" i="3"/>
  <c r="X146" i="3"/>
  <c r="Z146" i="3" s="1"/>
  <c r="L146" i="3"/>
  <c r="N146" i="3" s="1"/>
  <c r="B146" i="3"/>
  <c r="Z145" i="3"/>
  <c r="X145" i="3"/>
  <c r="N145" i="3"/>
  <c r="L145" i="3"/>
  <c r="B145" i="3"/>
  <c r="Z144" i="3"/>
  <c r="X144" i="3"/>
  <c r="L144" i="3"/>
  <c r="N144" i="3" s="1"/>
  <c r="B144" i="3"/>
  <c r="Z143" i="3"/>
  <c r="X143" i="3"/>
  <c r="N143" i="3"/>
  <c r="L143" i="3"/>
  <c r="B143" i="3"/>
  <c r="X142" i="3"/>
  <c r="Z142" i="3" s="1"/>
  <c r="L142" i="3"/>
  <c r="N142" i="3" s="1"/>
  <c r="B142" i="3"/>
  <c r="Z141" i="3"/>
  <c r="X141" i="3"/>
  <c r="N141" i="3"/>
  <c r="L141" i="3"/>
  <c r="B141" i="3"/>
  <c r="Z140" i="3"/>
  <c r="X140" i="3"/>
  <c r="N140" i="3"/>
  <c r="L140" i="3"/>
  <c r="B140" i="3"/>
  <c r="T139" i="3"/>
  <c r="Z139" i="3" s="1"/>
  <c r="P139" i="3"/>
  <c r="X139" i="3" s="1"/>
  <c r="H139" i="3"/>
  <c r="N139" i="3" s="1"/>
  <c r="D139" i="3"/>
  <c r="L139" i="3" s="1"/>
  <c r="T137" i="3"/>
  <c r="P137" i="3"/>
  <c r="X137" i="3" s="1"/>
  <c r="Z137" i="3" s="1"/>
  <c r="N137" i="3"/>
  <c r="L137" i="3"/>
  <c r="H137" i="3"/>
  <c r="D137" i="3"/>
  <c r="B137" i="3"/>
  <c r="X136" i="3"/>
  <c r="Z136" i="3" s="1"/>
  <c r="T136" i="3"/>
  <c r="P136" i="3"/>
  <c r="H136" i="3"/>
  <c r="N136" i="3" s="1"/>
  <c r="D136" i="3"/>
  <c r="L136" i="3" s="1"/>
  <c r="B136" i="3"/>
  <c r="T135" i="3"/>
  <c r="Z135" i="3" s="1"/>
  <c r="P135" i="3"/>
  <c r="X135" i="3" s="1"/>
  <c r="N135" i="3"/>
  <c r="L135" i="3"/>
  <c r="H135" i="3"/>
  <c r="D135" i="3"/>
  <c r="B135" i="3"/>
  <c r="T134" i="3"/>
  <c r="X134" i="3" s="1"/>
  <c r="Z134" i="3" s="1"/>
  <c r="P134" i="3"/>
  <c r="H134" i="3"/>
  <c r="N134" i="3" s="1"/>
  <c r="D134" i="3"/>
  <c r="L134" i="3" s="1"/>
  <c r="B134" i="3"/>
  <c r="T133" i="3"/>
  <c r="P133" i="3"/>
  <c r="X133" i="3" s="1"/>
  <c r="Z133" i="3" s="1"/>
  <c r="N133" i="3"/>
  <c r="L133" i="3"/>
  <c r="H133" i="3"/>
  <c r="D133" i="3"/>
  <c r="B133" i="3"/>
  <c r="X132" i="3"/>
  <c r="Z132" i="3" s="1"/>
  <c r="T132" i="3"/>
  <c r="P132" i="3"/>
  <c r="H132" i="3"/>
  <c r="N132" i="3" s="1"/>
  <c r="D132" i="3"/>
  <c r="L132" i="3" s="1"/>
  <c r="B132" i="3"/>
  <c r="T131" i="3"/>
  <c r="Z131" i="3" s="1"/>
  <c r="P131" i="3"/>
  <c r="X131" i="3" s="1"/>
  <c r="N131" i="3"/>
  <c r="L131" i="3"/>
  <c r="H131" i="3"/>
  <c r="D131" i="3"/>
  <c r="B131" i="3"/>
  <c r="T130" i="3"/>
  <c r="X130" i="3" s="1"/>
  <c r="Z130" i="3" s="1"/>
  <c r="P130" i="3"/>
  <c r="H130" i="3"/>
  <c r="N130" i="3" s="1"/>
  <c r="D130" i="3"/>
  <c r="L130" i="3" s="1"/>
  <c r="B130" i="3"/>
  <c r="T129" i="3"/>
  <c r="P129" i="3"/>
  <c r="X129" i="3" s="1"/>
  <c r="Z129" i="3" s="1"/>
  <c r="N129" i="3"/>
  <c r="L129" i="3"/>
  <c r="H129" i="3"/>
  <c r="D129" i="3"/>
  <c r="B129" i="3"/>
  <c r="X128" i="3"/>
  <c r="Z128" i="3" s="1"/>
  <c r="T128" i="3"/>
  <c r="P128" i="3"/>
  <c r="H128" i="3"/>
  <c r="N128" i="3" s="1"/>
  <c r="D128" i="3"/>
  <c r="L128" i="3" s="1"/>
  <c r="B128" i="3"/>
  <c r="T127" i="3"/>
  <c r="Z127" i="3" s="1"/>
  <c r="P127" i="3"/>
  <c r="X127" i="3" s="1"/>
  <c r="N127" i="3"/>
  <c r="L127" i="3"/>
  <c r="H127" i="3"/>
  <c r="D127" i="3"/>
  <c r="B127" i="3"/>
  <c r="T126" i="3"/>
  <c r="X126" i="3" s="1"/>
  <c r="Z126" i="3" s="1"/>
  <c r="P126" i="3"/>
  <c r="H126" i="3"/>
  <c r="D126" i="3"/>
  <c r="L126" i="3" s="1"/>
  <c r="B126" i="3"/>
  <c r="T125" i="3"/>
  <c r="P125" i="3"/>
  <c r="X125" i="3" s="1"/>
  <c r="Z125" i="3" s="1"/>
  <c r="L125" i="3"/>
  <c r="N125" i="3" s="1"/>
  <c r="H125" i="3"/>
  <c r="D125" i="3"/>
  <c r="B125" i="3"/>
  <c r="X124" i="3"/>
  <c r="Z124" i="3" s="1"/>
  <c r="T124" i="3"/>
  <c r="P124" i="3"/>
  <c r="H124" i="3"/>
  <c r="N124" i="3" s="1"/>
  <c r="D124" i="3"/>
  <c r="L124" i="3" s="1"/>
  <c r="B124" i="3"/>
  <c r="T123" i="3"/>
  <c r="Z123" i="3" s="1"/>
  <c r="P123" i="3"/>
  <c r="X123" i="3" s="1"/>
  <c r="N123" i="3"/>
  <c r="L123" i="3"/>
  <c r="H123" i="3"/>
  <c r="D123" i="3"/>
  <c r="B123" i="3"/>
  <c r="T122" i="3"/>
  <c r="X122" i="3" s="1"/>
  <c r="Z122" i="3" s="1"/>
  <c r="P122" i="3"/>
  <c r="H122" i="3"/>
  <c r="N122" i="3" s="1"/>
  <c r="D122" i="3"/>
  <c r="L122" i="3" s="1"/>
  <c r="B122" i="3"/>
  <c r="T121" i="3"/>
  <c r="P121" i="3"/>
  <c r="X121" i="3" s="1"/>
  <c r="Z121" i="3" s="1"/>
  <c r="L121" i="3"/>
  <c r="N121" i="3" s="1"/>
  <c r="H121" i="3"/>
  <c r="D121" i="3"/>
  <c r="B121" i="3"/>
  <c r="X120" i="3"/>
  <c r="Z120" i="3" s="1"/>
  <c r="T120" i="3"/>
  <c r="P120" i="3"/>
  <c r="H120" i="3"/>
  <c r="N120" i="3" s="1"/>
  <c r="D120" i="3"/>
  <c r="L120" i="3" s="1"/>
  <c r="B120" i="3"/>
  <c r="T119" i="3"/>
  <c r="Z119" i="3" s="1"/>
  <c r="P119" i="3"/>
  <c r="X119" i="3" s="1"/>
  <c r="N119" i="3"/>
  <c r="L119" i="3"/>
  <c r="H119" i="3"/>
  <c r="D119" i="3"/>
  <c r="B119" i="3"/>
  <c r="T118" i="3"/>
  <c r="X118" i="3" s="1"/>
  <c r="Z118" i="3" s="1"/>
  <c r="P118" i="3"/>
  <c r="H118" i="3"/>
  <c r="N118" i="3" s="1"/>
  <c r="D118" i="3"/>
  <c r="L118" i="3" s="1"/>
  <c r="B118" i="3"/>
  <c r="T117" i="3"/>
  <c r="P117" i="3"/>
  <c r="X117" i="3" s="1"/>
  <c r="Z117" i="3" s="1"/>
  <c r="N117" i="3"/>
  <c r="L117" i="3"/>
  <c r="H117" i="3"/>
  <c r="D117" i="3"/>
  <c r="B117" i="3"/>
  <c r="X116" i="3"/>
  <c r="Z116" i="3" s="1"/>
  <c r="T116" i="3"/>
  <c r="P116" i="3"/>
  <c r="H116" i="3"/>
  <c r="N116" i="3" s="1"/>
  <c r="D116" i="3"/>
  <c r="L116" i="3" s="1"/>
  <c r="B116" i="3"/>
  <c r="T115" i="3"/>
  <c r="Z115" i="3" s="1"/>
  <c r="P115" i="3"/>
  <c r="X115" i="3" s="1"/>
  <c r="N115" i="3"/>
  <c r="L115" i="3"/>
  <c r="H115" i="3"/>
  <c r="D115" i="3"/>
  <c r="B115" i="3"/>
  <c r="T114" i="3"/>
  <c r="X114" i="3" s="1"/>
  <c r="Z114" i="3" s="1"/>
  <c r="P114" i="3"/>
  <c r="H114" i="3"/>
  <c r="N114" i="3" s="1"/>
  <c r="D114" i="3"/>
  <c r="L114" i="3" s="1"/>
  <c r="B114" i="3"/>
  <c r="T113" i="3"/>
  <c r="P113" i="3"/>
  <c r="X113" i="3" s="1"/>
  <c r="Z113" i="3" s="1"/>
  <c r="L113" i="3"/>
  <c r="N113" i="3" s="1"/>
  <c r="H113" i="3"/>
  <c r="D113" i="3"/>
  <c r="B113" i="3"/>
  <c r="X112" i="3"/>
  <c r="Z112" i="3" s="1"/>
  <c r="T112" i="3"/>
  <c r="P112" i="3"/>
  <c r="H112" i="3"/>
  <c r="N112" i="3" s="1"/>
  <c r="D112" i="3"/>
  <c r="L112" i="3" s="1"/>
  <c r="B112" i="3"/>
  <c r="T111" i="3"/>
  <c r="Z111" i="3" s="1"/>
  <c r="P111" i="3"/>
  <c r="X111" i="3" s="1"/>
  <c r="N111" i="3"/>
  <c r="L111" i="3"/>
  <c r="H111" i="3"/>
  <c r="D111" i="3"/>
  <c r="B111" i="3"/>
  <c r="T110" i="3"/>
  <c r="X110" i="3" s="1"/>
  <c r="Z110" i="3" s="1"/>
  <c r="P110" i="3"/>
  <c r="H110" i="3"/>
  <c r="N110" i="3" s="1"/>
  <c r="D110" i="3"/>
  <c r="L110" i="3" s="1"/>
  <c r="B110" i="3"/>
  <c r="T109" i="3"/>
  <c r="Z109" i="3" s="1"/>
  <c r="P109" i="3"/>
  <c r="X109" i="3" s="1"/>
  <c r="L109" i="3"/>
  <c r="N109" i="3" s="1"/>
  <c r="H109" i="3"/>
  <c r="D109" i="3"/>
  <c r="B109" i="3"/>
  <c r="X108" i="3"/>
  <c r="Z108" i="3" s="1"/>
  <c r="T108" i="3"/>
  <c r="P108" i="3"/>
  <c r="H108" i="3"/>
  <c r="N108" i="3" s="1"/>
  <c r="D108" i="3"/>
  <c r="L108" i="3" s="1"/>
  <c r="B108" i="3"/>
  <c r="T107" i="3"/>
  <c r="Z107" i="3" s="1"/>
  <c r="P107" i="3"/>
  <c r="X107" i="3" s="1"/>
  <c r="N107" i="3"/>
  <c r="L107" i="3"/>
  <c r="H107" i="3"/>
  <c r="D107" i="3"/>
  <c r="B107" i="3"/>
  <c r="T106" i="3"/>
  <c r="X106" i="3" s="1"/>
  <c r="Z106" i="3" s="1"/>
  <c r="P106" i="3"/>
  <c r="H106" i="3"/>
  <c r="N106" i="3" s="1"/>
  <c r="D106" i="3"/>
  <c r="L106" i="3" s="1"/>
  <c r="B106" i="3"/>
  <c r="T105" i="3"/>
  <c r="Z105" i="3" s="1"/>
  <c r="P105" i="3"/>
  <c r="X105" i="3" s="1"/>
  <c r="N105" i="3"/>
  <c r="L105" i="3"/>
  <c r="H105" i="3"/>
  <c r="D105" i="3"/>
  <c r="B105" i="3"/>
  <c r="X104" i="3"/>
  <c r="Z104" i="3" s="1"/>
  <c r="T104" i="3"/>
  <c r="P104" i="3"/>
  <c r="H104" i="3"/>
  <c r="N104" i="3" s="1"/>
  <c r="D104" i="3"/>
  <c r="L104" i="3" s="1"/>
  <c r="B104" i="3"/>
  <c r="T103" i="3"/>
  <c r="Z103" i="3" s="1"/>
  <c r="P103" i="3"/>
  <c r="X103" i="3" s="1"/>
  <c r="N103" i="3"/>
  <c r="L103" i="3"/>
  <c r="H103" i="3"/>
  <c r="D103" i="3"/>
  <c r="B103" i="3"/>
  <c r="T102" i="3"/>
  <c r="X102" i="3" s="1"/>
  <c r="Z102" i="3" s="1"/>
  <c r="P102" i="3"/>
  <c r="H102" i="3"/>
  <c r="N102" i="3" s="1"/>
  <c r="D102" i="3"/>
  <c r="L102" i="3" s="1"/>
  <c r="B102" i="3"/>
  <c r="T101" i="3"/>
  <c r="Z101" i="3" s="1"/>
  <c r="P101" i="3"/>
  <c r="X101" i="3" s="1"/>
  <c r="N101" i="3"/>
  <c r="L101" i="3"/>
  <c r="H101" i="3"/>
  <c r="D101" i="3"/>
  <c r="B101" i="3"/>
  <c r="X100" i="3"/>
  <c r="Z100" i="3" s="1"/>
  <c r="T100" i="3"/>
  <c r="P100" i="3"/>
  <c r="H100" i="3"/>
  <c r="N100" i="3" s="1"/>
  <c r="D100" i="3"/>
  <c r="L100" i="3" s="1"/>
  <c r="B100" i="3"/>
  <c r="T99" i="3"/>
  <c r="P99" i="3"/>
  <c r="X99" i="3" s="1"/>
  <c r="N99" i="3"/>
  <c r="L99" i="3"/>
  <c r="H99" i="3"/>
  <c r="D99" i="3"/>
  <c r="B99" i="3"/>
  <c r="T98" i="3"/>
  <c r="X98" i="3" s="1"/>
  <c r="Z98" i="3" s="1"/>
  <c r="P98" i="3"/>
  <c r="H98" i="3"/>
  <c r="N98" i="3" s="1"/>
  <c r="D98" i="3"/>
  <c r="L98" i="3" s="1"/>
  <c r="B98" i="3"/>
  <c r="T97" i="3"/>
  <c r="P97" i="3"/>
  <c r="X97" i="3" s="1"/>
  <c r="L97" i="3"/>
  <c r="N97" i="3" s="1"/>
  <c r="H97" i="3"/>
  <c r="D97" i="3"/>
  <c r="B97" i="3"/>
  <c r="X96" i="3"/>
  <c r="Z96" i="3" s="1"/>
  <c r="T96" i="3"/>
  <c r="P96" i="3"/>
  <c r="H96" i="3"/>
  <c r="N96" i="3" s="1"/>
  <c r="D96" i="3"/>
  <c r="L96" i="3" s="1"/>
  <c r="B96" i="3"/>
  <c r="T95" i="3"/>
  <c r="P95" i="3"/>
  <c r="X95" i="3" s="1"/>
  <c r="N95" i="3"/>
  <c r="L95" i="3"/>
  <c r="H95" i="3"/>
  <c r="D95" i="3"/>
  <c r="B95" i="3"/>
  <c r="T94" i="3"/>
  <c r="X94" i="3" s="1"/>
  <c r="Z94" i="3" s="1"/>
  <c r="P94" i="3"/>
  <c r="H94" i="3"/>
  <c r="D94" i="3"/>
  <c r="L94" i="3" s="1"/>
  <c r="B94" i="3"/>
  <c r="T93" i="3"/>
  <c r="P93" i="3"/>
  <c r="X93" i="3" s="1"/>
  <c r="L93" i="3"/>
  <c r="N93" i="3" s="1"/>
  <c r="H93" i="3"/>
  <c r="D93" i="3"/>
  <c r="B93" i="3"/>
  <c r="X92" i="3"/>
  <c r="Z92" i="3" s="1"/>
  <c r="T92" i="3"/>
  <c r="P92" i="3"/>
  <c r="H92" i="3"/>
  <c r="N92" i="3" s="1"/>
  <c r="D92" i="3"/>
  <c r="L92" i="3" s="1"/>
  <c r="B92" i="3"/>
  <c r="T91" i="3"/>
  <c r="P91" i="3"/>
  <c r="X91" i="3" s="1"/>
  <c r="N91" i="3"/>
  <c r="L91" i="3"/>
  <c r="H91" i="3"/>
  <c r="D91" i="3"/>
  <c r="B91" i="3"/>
  <c r="T90" i="3"/>
  <c r="X90" i="3" s="1"/>
  <c r="Z90" i="3" s="1"/>
  <c r="P90" i="3"/>
  <c r="H90" i="3"/>
  <c r="N90" i="3" s="1"/>
  <c r="D90" i="3"/>
  <c r="L90" i="3" s="1"/>
  <c r="B90" i="3"/>
  <c r="T89" i="3"/>
  <c r="P89" i="3"/>
  <c r="X89" i="3" s="1"/>
  <c r="N89" i="3"/>
  <c r="L89" i="3"/>
  <c r="H89" i="3"/>
  <c r="D89" i="3"/>
  <c r="B89" i="3"/>
  <c r="X88" i="3"/>
  <c r="Z88" i="3" s="1"/>
  <c r="T88" i="3"/>
  <c r="P88" i="3"/>
  <c r="H88" i="3"/>
  <c r="L88" i="3" s="1"/>
  <c r="D88" i="3"/>
  <c r="B88" i="3"/>
  <c r="T87" i="3"/>
  <c r="P87" i="3"/>
  <c r="X87" i="3" s="1"/>
  <c r="N87" i="3"/>
  <c r="L87" i="3"/>
  <c r="H87" i="3"/>
  <c r="D87" i="3"/>
  <c r="B87" i="3"/>
  <c r="T86" i="3"/>
  <c r="X86" i="3" s="1"/>
  <c r="Z86" i="3" s="1"/>
  <c r="P86" i="3"/>
  <c r="H86" i="3"/>
  <c r="N86" i="3" s="1"/>
  <c r="D86" i="3"/>
  <c r="L86" i="3" s="1"/>
  <c r="B86" i="3"/>
  <c r="T85" i="3"/>
  <c r="P85" i="3"/>
  <c r="X85" i="3" s="1"/>
  <c r="N85" i="3"/>
  <c r="L85" i="3"/>
  <c r="H85" i="3"/>
  <c r="D85" i="3"/>
  <c r="B85" i="3"/>
  <c r="X84" i="3"/>
  <c r="Z84" i="3" s="1"/>
  <c r="T84" i="3"/>
  <c r="P84" i="3"/>
  <c r="H84" i="3"/>
  <c r="L84" i="3" s="1"/>
  <c r="D84" i="3"/>
  <c r="B84" i="3"/>
  <c r="T83" i="3"/>
  <c r="Z83" i="3" s="1"/>
  <c r="P83" i="3"/>
  <c r="X83" i="3" s="1"/>
  <c r="N83" i="3"/>
  <c r="L83" i="3"/>
  <c r="H83" i="3"/>
  <c r="D83" i="3"/>
  <c r="B83" i="3"/>
  <c r="T82" i="3"/>
  <c r="X82" i="3" s="1"/>
  <c r="Z82" i="3" s="1"/>
  <c r="P82" i="3"/>
  <c r="H82" i="3"/>
  <c r="N82" i="3" s="1"/>
  <c r="D82" i="3"/>
  <c r="L82" i="3" s="1"/>
  <c r="B82" i="3"/>
  <c r="T81" i="3"/>
  <c r="Z81" i="3" s="1"/>
  <c r="P81" i="3"/>
  <c r="X81" i="3" s="1"/>
  <c r="L81" i="3"/>
  <c r="N81" i="3" s="1"/>
  <c r="H81" i="3"/>
  <c r="D81" i="3"/>
  <c r="B81" i="3"/>
  <c r="X80" i="3"/>
  <c r="Z80" i="3" s="1"/>
  <c r="T80" i="3"/>
  <c r="P80" i="3"/>
  <c r="H80" i="3"/>
  <c r="L80" i="3" s="1"/>
  <c r="D80" i="3"/>
  <c r="B80" i="3"/>
  <c r="T79" i="3"/>
  <c r="Z79" i="3" s="1"/>
  <c r="P79" i="3"/>
  <c r="X79" i="3" s="1"/>
  <c r="N79" i="3"/>
  <c r="L79" i="3"/>
  <c r="H79" i="3"/>
  <c r="D79" i="3"/>
  <c r="B79" i="3"/>
  <c r="T78" i="3"/>
  <c r="X78" i="3" s="1"/>
  <c r="Z78" i="3" s="1"/>
  <c r="P78" i="3"/>
  <c r="H78" i="3"/>
  <c r="N78" i="3" s="1"/>
  <c r="D78" i="3"/>
  <c r="L78" i="3" s="1"/>
  <c r="B78" i="3"/>
  <c r="T77" i="3"/>
  <c r="Z77" i="3" s="1"/>
  <c r="P77" i="3"/>
  <c r="X77" i="3" s="1"/>
  <c r="L77" i="3"/>
  <c r="N77" i="3" s="1"/>
  <c r="H77" i="3"/>
  <c r="D77" i="3"/>
  <c r="B77" i="3"/>
  <c r="Z76" i="3"/>
  <c r="X76" i="3"/>
  <c r="T76" i="3"/>
  <c r="P76" i="3"/>
  <c r="H76" i="3"/>
  <c r="L76" i="3" s="1"/>
  <c r="D76" i="3"/>
  <c r="B76" i="3"/>
  <c r="T75" i="3"/>
  <c r="P75" i="3"/>
  <c r="X75" i="3" s="1"/>
  <c r="N75" i="3"/>
  <c r="L75" i="3"/>
  <c r="H75" i="3"/>
  <c r="D75" i="3"/>
  <c r="B75" i="3"/>
  <c r="T74" i="3"/>
  <c r="P74" i="3"/>
  <c r="H74" i="3"/>
  <c r="D74" i="3"/>
  <c r="L74" i="3" s="1"/>
  <c r="B74" i="3"/>
  <c r="T73" i="3"/>
  <c r="P73" i="3"/>
  <c r="X73" i="3" s="1"/>
  <c r="L73" i="3"/>
  <c r="N73" i="3" s="1"/>
  <c r="H73" i="3"/>
  <c r="D73" i="3"/>
  <c r="B73" i="3"/>
  <c r="X72" i="3"/>
  <c r="Z72" i="3" s="1"/>
  <c r="T72" i="3"/>
  <c r="P72" i="3"/>
  <c r="H72" i="3"/>
  <c r="L72" i="3" s="1"/>
  <c r="D72" i="3"/>
  <c r="B72" i="3"/>
  <c r="T71" i="3"/>
  <c r="P71" i="3"/>
  <c r="X71" i="3" s="1"/>
  <c r="N71" i="3"/>
  <c r="L71" i="3"/>
  <c r="H71" i="3"/>
  <c r="D71" i="3"/>
  <c r="B71" i="3"/>
  <c r="T70" i="3"/>
  <c r="P70" i="3"/>
  <c r="H70" i="3"/>
  <c r="D70" i="3"/>
  <c r="L70" i="3" s="1"/>
  <c r="B70" i="3"/>
  <c r="T69" i="3"/>
  <c r="P69" i="3"/>
  <c r="X69" i="3" s="1"/>
  <c r="L69" i="3"/>
  <c r="N69" i="3" s="1"/>
  <c r="H69" i="3"/>
  <c r="D69" i="3"/>
  <c r="B69" i="3"/>
  <c r="X68" i="3"/>
  <c r="T68" i="3"/>
  <c r="Z68" i="3" s="1"/>
  <c r="P68" i="3"/>
  <c r="H68" i="3"/>
  <c r="L68" i="3" s="1"/>
  <c r="D68" i="3"/>
  <c r="B68" i="3"/>
  <c r="T67" i="3"/>
  <c r="P67" i="3"/>
  <c r="X67" i="3" s="1"/>
  <c r="N67" i="3"/>
  <c r="L67" i="3"/>
  <c r="H67" i="3"/>
  <c r="D67" i="3"/>
  <c r="B67" i="3"/>
  <c r="T66" i="3"/>
  <c r="P66" i="3"/>
  <c r="H66" i="3"/>
  <c r="N66" i="3" s="1"/>
  <c r="D66" i="3"/>
  <c r="L66" i="3" s="1"/>
  <c r="B66" i="3"/>
  <c r="T65" i="3"/>
  <c r="P65" i="3"/>
  <c r="X65" i="3" s="1"/>
  <c r="L65" i="3"/>
  <c r="N65" i="3" s="1"/>
  <c r="H65" i="3"/>
  <c r="D65" i="3"/>
  <c r="B65" i="3"/>
  <c r="X64" i="3"/>
  <c r="T64" i="3"/>
  <c r="Z64" i="3" s="1"/>
  <c r="P64" i="3"/>
  <c r="H64" i="3"/>
  <c r="L64" i="3" s="1"/>
  <c r="D64" i="3"/>
  <c r="B64" i="3"/>
  <c r="T63" i="3"/>
  <c r="P63" i="3"/>
  <c r="X63" i="3" s="1"/>
  <c r="N63" i="3"/>
  <c r="L63" i="3"/>
  <c r="H63" i="3"/>
  <c r="D63" i="3"/>
  <c r="B63" i="3"/>
  <c r="T62" i="3"/>
  <c r="P62" i="3"/>
  <c r="H62" i="3"/>
  <c r="D62" i="3"/>
  <c r="L62" i="3" s="1"/>
  <c r="B62" i="3"/>
  <c r="T61" i="3"/>
  <c r="P61" i="3"/>
  <c r="X61" i="3" s="1"/>
  <c r="L61" i="3"/>
  <c r="N61" i="3" s="1"/>
  <c r="H61" i="3"/>
  <c r="D61" i="3"/>
  <c r="B61" i="3"/>
  <c r="X60" i="3"/>
  <c r="T60" i="3"/>
  <c r="Z60" i="3" s="1"/>
  <c r="P60" i="3"/>
  <c r="H60" i="3"/>
  <c r="L60" i="3" s="1"/>
  <c r="D60" i="3"/>
  <c r="B60" i="3"/>
  <c r="T59" i="3"/>
  <c r="P59" i="3"/>
  <c r="X59" i="3" s="1"/>
  <c r="N59" i="3"/>
  <c r="L59" i="3"/>
  <c r="H59" i="3"/>
  <c r="D59" i="3"/>
  <c r="B59" i="3"/>
  <c r="T58" i="3"/>
  <c r="P58" i="3"/>
  <c r="H58" i="3"/>
  <c r="N58" i="3" s="1"/>
  <c r="D58" i="3"/>
  <c r="L58" i="3" s="1"/>
  <c r="B58" i="3"/>
  <c r="T57" i="3"/>
  <c r="P57" i="3"/>
  <c r="X57" i="3" s="1"/>
  <c r="L57" i="3"/>
  <c r="N57" i="3" s="1"/>
  <c r="H57" i="3"/>
  <c r="D57" i="3"/>
  <c r="B57" i="3"/>
  <c r="X56" i="3"/>
  <c r="T56" i="3"/>
  <c r="Z56" i="3" s="1"/>
  <c r="P56" i="3"/>
  <c r="H56" i="3"/>
  <c r="L56" i="3" s="1"/>
  <c r="D56" i="3"/>
  <c r="B56" i="3"/>
  <c r="T55" i="3"/>
  <c r="P55" i="3"/>
  <c r="X55" i="3" s="1"/>
  <c r="N55" i="3"/>
  <c r="L55" i="3"/>
  <c r="H55" i="3"/>
  <c r="D55" i="3"/>
  <c r="B55" i="3"/>
  <c r="T54" i="3"/>
  <c r="P54" i="3"/>
  <c r="H54" i="3"/>
  <c r="N54" i="3" s="1"/>
  <c r="D54" i="3"/>
  <c r="L54" i="3" s="1"/>
  <c r="B54" i="3"/>
  <c r="T53" i="3"/>
  <c r="P53" i="3"/>
  <c r="X53" i="3" s="1"/>
  <c r="L53" i="3"/>
  <c r="N53" i="3" s="1"/>
  <c r="H53" i="3"/>
  <c r="D53" i="3"/>
  <c r="B53" i="3"/>
  <c r="X52" i="3"/>
  <c r="T52" i="3"/>
  <c r="Z52" i="3" s="1"/>
  <c r="P52" i="3"/>
  <c r="H52" i="3"/>
  <c r="L52" i="3" s="1"/>
  <c r="D52" i="3"/>
  <c r="B52" i="3"/>
  <c r="T51" i="3"/>
  <c r="P51" i="3"/>
  <c r="X51" i="3" s="1"/>
  <c r="N51" i="3"/>
  <c r="L51" i="3"/>
  <c r="H51" i="3"/>
  <c r="D51" i="3"/>
  <c r="B51" i="3"/>
  <c r="T50" i="3"/>
  <c r="P50" i="3"/>
  <c r="H50" i="3"/>
  <c r="N50" i="3" s="1"/>
  <c r="D50" i="3"/>
  <c r="L50" i="3" s="1"/>
  <c r="B50" i="3"/>
  <c r="T49" i="3"/>
  <c r="P49" i="3"/>
  <c r="X49" i="3" s="1"/>
  <c r="N49" i="3"/>
  <c r="L49" i="3"/>
  <c r="H49" i="3"/>
  <c r="D49" i="3"/>
  <c r="B49" i="3"/>
  <c r="X48" i="3"/>
  <c r="T48" i="3"/>
  <c r="Z48" i="3" s="1"/>
  <c r="P48" i="3"/>
  <c r="H48" i="3"/>
  <c r="L48" i="3" s="1"/>
  <c r="D48" i="3"/>
  <c r="B48" i="3"/>
  <c r="T47" i="3"/>
  <c r="Z47" i="3" s="1"/>
  <c r="P47" i="3"/>
  <c r="X47" i="3" s="1"/>
  <c r="N47" i="3"/>
  <c r="L47" i="3"/>
  <c r="H47" i="3"/>
  <c r="D47" i="3"/>
  <c r="B47" i="3"/>
  <c r="T46" i="3"/>
  <c r="P46" i="3"/>
  <c r="H46" i="3"/>
  <c r="N46" i="3" s="1"/>
  <c r="D46" i="3"/>
  <c r="L46" i="3" s="1"/>
  <c r="B46" i="3"/>
  <c r="T45" i="3"/>
  <c r="Z45" i="3" s="1"/>
  <c r="P45" i="3"/>
  <c r="X45" i="3" s="1"/>
  <c r="N45" i="3"/>
  <c r="L45" i="3"/>
  <c r="H45" i="3"/>
  <c r="D45" i="3"/>
  <c r="B45" i="3"/>
  <c r="X44" i="3"/>
  <c r="T44" i="3"/>
  <c r="Z44" i="3" s="1"/>
  <c r="P44" i="3"/>
  <c r="H44" i="3"/>
  <c r="L44" i="3" s="1"/>
  <c r="D44" i="3"/>
  <c r="B44" i="3"/>
  <c r="T43" i="3"/>
  <c r="Z43" i="3" s="1"/>
  <c r="P43" i="3"/>
  <c r="X43" i="3" s="1"/>
  <c r="N43" i="3"/>
  <c r="L43" i="3"/>
  <c r="H43" i="3"/>
  <c r="D43" i="3"/>
  <c r="B43" i="3"/>
  <c r="T42" i="3"/>
  <c r="P42" i="3"/>
  <c r="H42" i="3"/>
  <c r="N42" i="3" s="1"/>
  <c r="D42" i="3"/>
  <c r="L42" i="3" s="1"/>
  <c r="B42" i="3"/>
  <c r="T41" i="3"/>
  <c r="Z41" i="3" s="1"/>
  <c r="P41" i="3"/>
  <c r="X41" i="3" s="1"/>
  <c r="N41" i="3"/>
  <c r="L41" i="3"/>
  <c r="H41" i="3"/>
  <c r="D41" i="3"/>
  <c r="B41" i="3"/>
  <c r="X40" i="3"/>
  <c r="T40" i="3"/>
  <c r="Z40" i="3" s="1"/>
  <c r="P40" i="3"/>
  <c r="H40" i="3"/>
  <c r="L40" i="3" s="1"/>
  <c r="D40" i="3"/>
  <c r="B40" i="3"/>
  <c r="T39" i="3"/>
  <c r="P39" i="3"/>
  <c r="X39" i="3" s="1"/>
  <c r="N39" i="3"/>
  <c r="L39" i="3"/>
  <c r="H39" i="3"/>
  <c r="D39" i="3"/>
  <c r="B39" i="3"/>
  <c r="T38" i="3"/>
  <c r="P38" i="3"/>
  <c r="H38" i="3"/>
  <c r="D38" i="3"/>
  <c r="L38" i="3" s="1"/>
  <c r="B38" i="3"/>
  <c r="T37" i="3"/>
  <c r="P37" i="3"/>
  <c r="X37" i="3" s="1"/>
  <c r="L37" i="3"/>
  <c r="N37" i="3" s="1"/>
  <c r="H37" i="3"/>
  <c r="D37" i="3"/>
  <c r="B37" i="3"/>
  <c r="X36" i="3"/>
  <c r="T36" i="3"/>
  <c r="Z36" i="3" s="1"/>
  <c r="P36" i="3"/>
  <c r="H36" i="3"/>
  <c r="L36" i="3" s="1"/>
  <c r="D36" i="3"/>
  <c r="B36" i="3"/>
  <c r="T35" i="3"/>
  <c r="P35" i="3"/>
  <c r="X35" i="3" s="1"/>
  <c r="N35" i="3"/>
  <c r="L35" i="3"/>
  <c r="H35" i="3"/>
  <c r="D35" i="3"/>
  <c r="B35" i="3"/>
  <c r="T34" i="3"/>
  <c r="P34" i="3"/>
  <c r="H34" i="3"/>
  <c r="D34" i="3"/>
  <c r="L34" i="3" s="1"/>
  <c r="B34" i="3"/>
  <c r="T33" i="3"/>
  <c r="P33" i="3"/>
  <c r="X33" i="3" s="1"/>
  <c r="N33" i="3"/>
  <c r="L33" i="3"/>
  <c r="H33" i="3"/>
  <c r="D33" i="3"/>
  <c r="B33" i="3"/>
  <c r="X32" i="3"/>
  <c r="T32" i="3"/>
  <c r="Z32" i="3" s="1"/>
  <c r="P32" i="3"/>
  <c r="H32" i="3"/>
  <c r="L32" i="3" s="1"/>
  <c r="D32" i="3"/>
  <c r="B32" i="3"/>
  <c r="T31" i="3"/>
  <c r="Z31" i="3" s="1"/>
  <c r="P31" i="3"/>
  <c r="X31" i="3" s="1"/>
  <c r="N31" i="3"/>
  <c r="L31" i="3"/>
  <c r="H31" i="3"/>
  <c r="D31" i="3"/>
  <c r="B31" i="3"/>
  <c r="T30" i="3"/>
  <c r="P30" i="3"/>
  <c r="H30" i="3"/>
  <c r="N30" i="3" s="1"/>
  <c r="D30" i="3"/>
  <c r="L30" i="3" s="1"/>
  <c r="B30" i="3"/>
  <c r="T29" i="3"/>
  <c r="Z29" i="3" s="1"/>
  <c r="P29" i="3"/>
  <c r="X29" i="3" s="1"/>
  <c r="L29" i="3"/>
  <c r="N29" i="3" s="1"/>
  <c r="H29" i="3"/>
  <c r="D29" i="3"/>
  <c r="B29" i="3"/>
  <c r="X28" i="3"/>
  <c r="T28" i="3"/>
  <c r="Z28" i="3" s="1"/>
  <c r="P28" i="3"/>
  <c r="H28" i="3"/>
  <c r="L28" i="3" s="1"/>
  <c r="D28" i="3"/>
  <c r="B28" i="3"/>
  <c r="T27" i="3"/>
  <c r="Z27" i="3" s="1"/>
  <c r="P27" i="3"/>
  <c r="X27" i="3" s="1"/>
  <c r="N27" i="3"/>
  <c r="L27" i="3"/>
  <c r="H27" i="3"/>
  <c r="D27" i="3"/>
  <c r="B27" i="3"/>
  <c r="T26" i="3"/>
  <c r="P26" i="3"/>
  <c r="H26" i="3"/>
  <c r="N26" i="3" s="1"/>
  <c r="D26" i="3"/>
  <c r="L26" i="3" s="1"/>
  <c r="B26" i="3"/>
  <c r="T25" i="3"/>
  <c r="Z25" i="3" s="1"/>
  <c r="P25" i="3"/>
  <c r="X25" i="3" s="1"/>
  <c r="L25" i="3"/>
  <c r="N25" i="3" s="1"/>
  <c r="H25" i="3"/>
  <c r="D25" i="3"/>
  <c r="B25" i="3"/>
  <c r="X24" i="3"/>
  <c r="T24" i="3"/>
  <c r="Z24" i="3" s="1"/>
  <c r="P24" i="3"/>
  <c r="H24" i="3"/>
  <c r="L24" i="3" s="1"/>
  <c r="D24" i="3"/>
  <c r="B24" i="3"/>
  <c r="T23" i="3"/>
  <c r="Z23" i="3" s="1"/>
  <c r="P23" i="3"/>
  <c r="X23" i="3" s="1"/>
  <c r="N23" i="3"/>
  <c r="L23" i="3"/>
  <c r="H23" i="3"/>
  <c r="D23" i="3"/>
  <c r="B23" i="3"/>
  <c r="T22" i="3"/>
  <c r="P22" i="3"/>
  <c r="H22" i="3"/>
  <c r="N22" i="3" s="1"/>
  <c r="D22" i="3"/>
  <c r="L22" i="3" s="1"/>
  <c r="B22" i="3"/>
  <c r="T21" i="3"/>
  <c r="Z21" i="3" s="1"/>
  <c r="P21" i="3"/>
  <c r="X21" i="3" s="1"/>
  <c r="L21" i="3"/>
  <c r="N21" i="3" s="1"/>
  <c r="H21" i="3"/>
  <c r="D21" i="3"/>
  <c r="B21" i="3"/>
  <c r="X20" i="3"/>
  <c r="T20" i="3"/>
  <c r="Z20" i="3" s="1"/>
  <c r="P20" i="3"/>
  <c r="H20" i="3"/>
  <c r="L20" i="3" s="1"/>
  <c r="D20" i="3"/>
  <c r="B20" i="3"/>
  <c r="T19" i="3"/>
  <c r="Z19" i="3" s="1"/>
  <c r="P19" i="3"/>
  <c r="X19" i="3" s="1"/>
  <c r="N19" i="3"/>
  <c r="L19" i="3"/>
  <c r="H19" i="3"/>
  <c r="D19" i="3"/>
  <c r="B19" i="3"/>
  <c r="T18" i="3"/>
  <c r="P18" i="3"/>
  <c r="H18" i="3"/>
  <c r="N18" i="3" s="1"/>
  <c r="D18" i="3"/>
  <c r="L18" i="3" s="1"/>
  <c r="B18" i="3"/>
  <c r="T17" i="3"/>
  <c r="Z17" i="3" s="1"/>
  <c r="P17" i="3"/>
  <c r="X17" i="3" s="1"/>
  <c r="N17" i="3"/>
  <c r="L17" i="3"/>
  <c r="H17" i="3"/>
  <c r="D17" i="3"/>
  <c r="B17" i="3"/>
  <c r="X16" i="3"/>
  <c r="T16" i="3"/>
  <c r="Z16" i="3" s="1"/>
  <c r="P16" i="3"/>
  <c r="H16" i="3"/>
  <c r="L16" i="3" s="1"/>
  <c r="D16" i="3"/>
  <c r="B16" i="3"/>
  <c r="T15" i="3"/>
  <c r="Z15" i="3" s="1"/>
  <c r="P15" i="3"/>
  <c r="X15" i="3" s="1"/>
  <c r="N15" i="3"/>
  <c r="L15" i="3"/>
  <c r="H15" i="3"/>
  <c r="D15" i="3"/>
  <c r="B15" i="3"/>
  <c r="T14" i="3"/>
  <c r="P14" i="3"/>
  <c r="H14" i="3"/>
  <c r="D14" i="3"/>
  <c r="D12" i="3" s="1"/>
  <c r="B14" i="3"/>
  <c r="T13" i="3"/>
  <c r="Z13" i="3" s="1"/>
  <c r="P13" i="3"/>
  <c r="P12" i="3" s="1"/>
  <c r="N13" i="3"/>
  <c r="L13" i="3"/>
  <c r="H13" i="3"/>
  <c r="D13" i="3"/>
  <c r="B13" i="3"/>
  <c r="H12" i="3"/>
  <c r="J299" i="3" s="1"/>
  <c r="D4" i="3"/>
  <c r="D5" i="100"/>
  <c r="D29" i="100"/>
  <c r="T15" i="98"/>
  <c r="H13" i="99"/>
  <c r="D25" i="99"/>
  <c r="D16" i="100"/>
  <c r="T34" i="100"/>
  <c r="D33" i="98"/>
  <c r="B25" i="98"/>
  <c r="T33" i="99"/>
  <c r="H12" i="100"/>
  <c r="T12" i="98"/>
  <c r="P33" i="98"/>
  <c r="D20" i="98"/>
  <c r="P24" i="99"/>
  <c r="H33" i="53"/>
  <c r="D25" i="53"/>
  <c r="H16" i="53"/>
  <c r="B25" i="52"/>
  <c r="P33" i="52"/>
  <c r="T34" i="49"/>
  <c r="P34" i="46"/>
  <c r="P25" i="50"/>
  <c r="T16" i="46"/>
  <c r="P33" i="49"/>
  <c r="D5" i="52"/>
  <c r="T29" i="53"/>
  <c r="D12" i="49"/>
  <c r="D4" i="46"/>
  <c r="H33" i="49"/>
  <c r="D29" i="50"/>
  <c r="B25" i="46"/>
  <c r="H20" i="50"/>
  <c r="D16" i="47"/>
  <c r="T25" i="50"/>
  <c r="T24" i="46"/>
  <c r="B16" i="44"/>
  <c r="D15" i="47"/>
  <c r="T12" i="43"/>
  <c r="T22" i="43"/>
  <c r="P22" i="44"/>
  <c r="D16" i="46"/>
  <c r="H24" i="47"/>
  <c r="T34" i="41"/>
  <c r="H29" i="44"/>
  <c r="H33" i="52"/>
  <c r="D33" i="44"/>
  <c r="T25" i="47"/>
  <c r="D34" i="43"/>
  <c r="T33" i="46"/>
  <c r="B39" i="44"/>
  <c r="B13" i="40"/>
  <c r="D20" i="41"/>
  <c r="P29" i="37"/>
  <c r="D16" i="40"/>
  <c r="T24" i="41"/>
  <c r="D12" i="38"/>
  <c r="T22" i="40"/>
  <c r="B21" i="46"/>
  <c r="T21" i="40"/>
  <c r="H22" i="53"/>
  <c r="T20" i="40"/>
  <c r="H12" i="40"/>
  <c r="B25" i="37"/>
  <c r="D22" i="41"/>
  <c r="T22" i="38"/>
  <c r="H20" i="38"/>
  <c r="T34" i="31"/>
  <c r="T25" i="35"/>
  <c r="T24" i="35"/>
  <c r="B38" i="38"/>
  <c r="P21" i="32"/>
  <c r="D34" i="37"/>
  <c r="H33" i="40"/>
  <c r="H33" i="32"/>
  <c r="T12" i="38"/>
  <c r="H34" i="41"/>
  <c r="H34" i="34"/>
  <c r="H15" i="35"/>
  <c r="D15" i="32"/>
  <c r="P29" i="32"/>
  <c r="P12" i="28"/>
  <c r="D34" i="23"/>
  <c r="P25" i="31"/>
  <c r="P25" i="28"/>
  <c r="B22" i="32"/>
  <c r="T16" i="28"/>
  <c r="B22" i="23"/>
  <c r="D13" i="35"/>
  <c r="H12" i="28"/>
  <c r="D16" i="23"/>
  <c r="T21" i="32"/>
  <c r="P20" i="26"/>
  <c r="H20" i="32"/>
  <c r="H33" i="28"/>
  <c r="P16" i="25"/>
  <c r="B22" i="37"/>
  <c r="D34" i="29"/>
  <c r="D24" i="35"/>
  <c r="H20" i="29"/>
  <c r="T24" i="31"/>
  <c r="B25" i="26"/>
  <c r="D13" i="25"/>
  <c r="H29" i="31"/>
  <c r="T12" i="28"/>
  <c r="H24" i="23"/>
  <c r="P20" i="99"/>
  <c r="D25" i="100"/>
  <c r="P13" i="98"/>
  <c r="D5" i="99"/>
  <c r="H21" i="99"/>
  <c r="B25" i="99"/>
  <c r="T33" i="100"/>
  <c r="D29" i="98"/>
  <c r="D24" i="98"/>
  <c r="T29" i="99"/>
  <c r="P34" i="99"/>
  <c r="H34" i="100"/>
  <c r="P29" i="98"/>
  <c r="P22" i="100"/>
  <c r="P12" i="98"/>
  <c r="H29" i="53"/>
  <c r="H21" i="53"/>
  <c r="B13" i="53"/>
  <c r="D24" i="52"/>
  <c r="P29" i="52"/>
  <c r="T33" i="49"/>
  <c r="P33" i="46"/>
  <c r="T21" i="50"/>
  <c r="T13" i="46"/>
  <c r="P29" i="49"/>
  <c r="B21" i="53"/>
  <c r="T25" i="53"/>
  <c r="B38" i="47"/>
  <c r="T22" i="53"/>
  <c r="H29" i="49"/>
  <c r="D25" i="50"/>
  <c r="D24" i="46"/>
  <c r="H16" i="50"/>
  <c r="B22" i="46"/>
  <c r="B16" i="50"/>
  <c r="T22" i="46"/>
  <c r="D15" i="44"/>
  <c r="P20" i="46"/>
  <c r="H12" i="50"/>
  <c r="P12" i="43"/>
  <c r="T20" i="44"/>
  <c r="P21" i="44"/>
  <c r="B13" i="47"/>
  <c r="T33" i="41"/>
  <c r="H25" i="44"/>
  <c r="P21" i="50"/>
  <c r="D29" i="44"/>
  <c r="H20" i="47"/>
  <c r="D33" i="43"/>
  <c r="T29" i="46"/>
  <c r="H34" i="43"/>
  <c r="P34" i="38"/>
  <c r="D16" i="41"/>
  <c r="P25" i="37"/>
  <c r="P21" i="38"/>
  <c r="T22" i="41"/>
  <c r="P21" i="37"/>
  <c r="P12" i="40"/>
  <c r="H15" i="44"/>
  <c r="B39" i="38"/>
  <c r="H34" i="47"/>
  <c r="T16" i="40"/>
  <c r="D4" i="44"/>
  <c r="D24" i="37"/>
  <c r="H20" i="41"/>
  <c r="P12" i="38"/>
  <c r="D25" i="37"/>
  <c r="T33" i="31"/>
  <c r="B16" i="35"/>
  <c r="T22" i="35"/>
  <c r="D33" i="38"/>
  <c r="T15" i="32"/>
  <c r="D29" i="37"/>
  <c r="H15" i="37"/>
  <c r="H29" i="32"/>
  <c r="D20" i="37"/>
  <c r="D4" i="40"/>
  <c r="H33" i="34"/>
  <c r="B25" i="34"/>
  <c r="T12" i="32"/>
  <c r="D13" i="32"/>
  <c r="T24" i="26"/>
  <c r="D33" i="23"/>
  <c r="T21" i="31"/>
  <c r="T21" i="28"/>
  <c r="P20" i="32"/>
  <c r="T13" i="28"/>
  <c r="D21" i="23"/>
  <c r="H22" i="34"/>
  <c r="P21" i="26"/>
  <c r="B22" i="22"/>
  <c r="T22" i="31"/>
  <c r="P16" i="26"/>
  <c r="T16" i="32"/>
  <c r="H29" i="28"/>
  <c r="D12" i="25"/>
  <c r="B38" i="35"/>
  <c r="D33" i="29"/>
  <c r="B38" i="34"/>
  <c r="H16" i="29"/>
  <c r="H22" i="31"/>
  <c r="D24" i="26"/>
  <c r="H13" i="41"/>
  <c r="B22" i="31"/>
  <c r="T34" i="26"/>
  <c r="H22" i="23"/>
  <c r="P16" i="99"/>
  <c r="H21" i="100"/>
  <c r="H12" i="98"/>
  <c r="P20" i="98"/>
  <c r="D13" i="99"/>
  <c r="D24" i="99"/>
  <c r="T29" i="100"/>
  <c r="D25" i="98"/>
  <c r="D22" i="98"/>
  <c r="T25" i="99"/>
  <c r="P33" i="99"/>
  <c r="H33" i="100"/>
  <c r="P25" i="98"/>
  <c r="T13" i="100"/>
  <c r="P21" i="53"/>
  <c r="H25" i="53"/>
  <c r="D13" i="53"/>
  <c r="B38" i="52"/>
  <c r="D22" i="52"/>
  <c r="P25" i="52"/>
  <c r="T29" i="49"/>
  <c r="P29" i="46"/>
  <c r="T24" i="49"/>
  <c r="D12" i="53"/>
  <c r="P25" i="49"/>
  <c r="D21" i="52"/>
  <c r="D15" i="53"/>
  <c r="D34" i="47"/>
  <c r="T33" i="52"/>
  <c r="H25" i="49"/>
  <c r="H21" i="50"/>
  <c r="D22" i="46"/>
  <c r="B13" i="50"/>
  <c r="D21" i="46"/>
  <c r="D15" i="50"/>
  <c r="P12" i="46"/>
  <c r="T12" i="44"/>
  <c r="P16" i="46"/>
  <c r="P24" i="49"/>
  <c r="D16" i="53"/>
  <c r="T16" i="44"/>
  <c r="T15" i="44"/>
  <c r="T34" i="46"/>
  <c r="B22" i="50"/>
  <c r="P15" i="44"/>
  <c r="T15" i="50"/>
  <c r="D25" i="44"/>
  <c r="D4" i="47"/>
  <c r="D29" i="43"/>
  <c r="T25" i="46"/>
  <c r="P15" i="43"/>
  <c r="P33" i="38"/>
  <c r="B22" i="40"/>
  <c r="T21" i="37"/>
  <c r="T15" i="38"/>
  <c r="P12" i="41"/>
  <c r="T15" i="37"/>
  <c r="H34" i="38"/>
  <c r="P33" i="41"/>
  <c r="H24" i="38"/>
  <c r="H22" i="44"/>
  <c r="T13" i="40"/>
  <c r="H29" i="41"/>
  <c r="D22" i="37"/>
  <c r="H16" i="41"/>
  <c r="T34" i="37"/>
  <c r="H21" i="37"/>
  <c r="T29" i="31"/>
  <c r="D15" i="35"/>
  <c r="P12" i="35"/>
  <c r="D13" i="38"/>
  <c r="P13" i="32"/>
  <c r="P24" i="35"/>
  <c r="P21" i="35"/>
  <c r="H25" i="32"/>
  <c r="P20" i="35"/>
  <c r="B25" i="38"/>
  <c r="H29" i="34"/>
  <c r="D24" i="34"/>
  <c r="B21" i="31"/>
  <c r="H24" i="31"/>
  <c r="T22" i="26"/>
  <c r="D29" i="23"/>
  <c r="P15" i="31"/>
  <c r="P34" i="26"/>
  <c r="D24" i="31"/>
  <c r="P24" i="26"/>
  <c r="H15" i="23"/>
  <c r="H13" i="34"/>
  <c r="T15" i="26"/>
  <c r="D21" i="22"/>
  <c r="P12" i="31"/>
  <c r="D12" i="26"/>
  <c r="P33" i="31"/>
  <c r="H25" i="28"/>
  <c r="T24" i="23"/>
  <c r="B39" i="34"/>
  <c r="D29" i="29"/>
  <c r="D4" i="34"/>
  <c r="B13" i="29"/>
  <c r="D5" i="31"/>
  <c r="D22" i="26"/>
  <c r="B16" i="38"/>
  <c r="H13" i="31"/>
  <c r="T33" i="26"/>
  <c r="H13" i="23"/>
  <c r="D12" i="99"/>
  <c r="D13" i="100"/>
  <c r="B25" i="100"/>
  <c r="P16" i="98"/>
  <c r="D4" i="99"/>
  <c r="D22" i="99"/>
  <c r="T25" i="100"/>
  <c r="H21" i="98"/>
  <c r="H20" i="98"/>
  <c r="B16" i="99"/>
  <c r="P29" i="99"/>
  <c r="H29" i="100"/>
  <c r="T21" i="98"/>
  <c r="T20" i="99"/>
  <c r="T15" i="53"/>
  <c r="P15" i="53"/>
  <c r="B39" i="52"/>
  <c r="D34" i="52"/>
  <c r="H20" i="52"/>
  <c r="T21" i="52"/>
  <c r="T25" i="49"/>
  <c r="P25" i="46"/>
  <c r="T22" i="49"/>
  <c r="P21" i="52"/>
  <c r="T21" i="49"/>
  <c r="H15" i="52"/>
  <c r="B21" i="52"/>
  <c r="D33" i="47"/>
  <c r="T29" i="52"/>
  <c r="P15" i="49"/>
  <c r="D13" i="50"/>
  <c r="H20" i="46"/>
  <c r="B38" i="49"/>
  <c r="H15" i="46"/>
  <c r="T12" i="50"/>
  <c r="H25" i="52"/>
  <c r="B21" i="43"/>
  <c r="T24" i="44"/>
  <c r="H33" i="46"/>
  <c r="B22" i="52"/>
  <c r="T13" i="44"/>
  <c r="P13" i="44"/>
  <c r="B16" i="46"/>
  <c r="D22" i="49"/>
  <c r="D5" i="44"/>
  <c r="T34" i="47"/>
  <c r="H21" i="44"/>
  <c r="D34" i="46"/>
  <c r="D25" i="43"/>
  <c r="D15" i="46"/>
  <c r="D34" i="41"/>
  <c r="P29" i="38"/>
  <c r="D21" i="40"/>
  <c r="H33" i="43"/>
  <c r="P13" i="38"/>
  <c r="T34" i="40"/>
  <c r="P13" i="37"/>
  <c r="H33" i="38"/>
  <c r="P24" i="41"/>
  <c r="H22" i="38"/>
  <c r="H13" i="44"/>
  <c r="H29" i="52"/>
  <c r="H25" i="41"/>
  <c r="H20" i="37"/>
  <c r="B13" i="41"/>
  <c r="T33" i="37"/>
  <c r="B21" i="35"/>
  <c r="T25" i="31"/>
  <c r="T12" i="35"/>
  <c r="T34" i="34"/>
  <c r="H24" i="37"/>
  <c r="H12" i="32"/>
  <c r="P22" i="35"/>
  <c r="T15" i="35"/>
  <c r="P15" i="32"/>
  <c r="P16" i="35"/>
  <c r="H16" i="38"/>
  <c r="H25" i="34"/>
  <c r="D22" i="34"/>
  <c r="D20" i="31"/>
  <c r="T15" i="31"/>
  <c r="P12" i="26"/>
  <c r="H29" i="40"/>
  <c r="B13" i="31"/>
  <c r="P33" i="26"/>
  <c r="P21" i="31"/>
  <c r="P22" i="26"/>
  <c r="B25" i="22"/>
  <c r="H24" i="32"/>
  <c r="P13" i="26"/>
  <c r="H15" i="22"/>
  <c r="H34" i="29"/>
  <c r="P21" i="25"/>
  <c r="D25" i="31"/>
  <c r="P15" i="28"/>
  <c r="T22" i="23"/>
  <c r="P16" i="34"/>
  <c r="D25" i="29"/>
  <c r="D20" i="32"/>
  <c r="B38" i="28"/>
  <c r="B22" i="29"/>
  <c r="H20" i="26"/>
  <c r="H34" i="35"/>
  <c r="T24" i="29"/>
  <c r="T29" i="26"/>
  <c r="D4" i="23"/>
  <c r="P24" i="98"/>
  <c r="D4" i="100"/>
  <c r="D24" i="100"/>
  <c r="D12" i="98"/>
  <c r="H34" i="98"/>
  <c r="H20" i="99"/>
  <c r="B16" i="100"/>
  <c r="D13" i="98"/>
  <c r="H16" i="98"/>
  <c r="D15" i="99"/>
  <c r="P25" i="99"/>
  <c r="H25" i="100"/>
  <c r="T16" i="100"/>
  <c r="D16" i="98"/>
  <c r="P13" i="53"/>
  <c r="D5" i="53"/>
  <c r="H24" i="52"/>
  <c r="D33" i="52"/>
  <c r="H16" i="52"/>
  <c r="T24" i="53"/>
  <c r="B16" i="49"/>
  <c r="T21" i="46"/>
  <c r="P12" i="49"/>
  <c r="T15" i="52"/>
  <c r="P20" i="47"/>
  <c r="P20" i="50"/>
  <c r="H34" i="50"/>
  <c r="D29" i="47"/>
  <c r="T25" i="52"/>
  <c r="D5" i="49"/>
  <c r="B39" i="49"/>
  <c r="H16" i="46"/>
  <c r="D34" i="49"/>
  <c r="T34" i="53"/>
  <c r="B21" i="49"/>
  <c r="B25" i="49"/>
  <c r="D20" i="43"/>
  <c r="T22" i="44"/>
  <c r="H29" i="46"/>
  <c r="D24" i="49"/>
  <c r="P34" i="43"/>
  <c r="H12" i="44"/>
  <c r="T12" i="46"/>
  <c r="H16" i="49"/>
  <c r="P20" i="43"/>
  <c r="T22" i="47"/>
  <c r="D13" i="44"/>
  <c r="H21" i="46"/>
  <c r="H21" i="43"/>
  <c r="B21" i="44"/>
  <c r="B22" i="41"/>
  <c r="P25" i="38"/>
  <c r="H15" i="40"/>
  <c r="B38" i="41"/>
  <c r="H12" i="38"/>
  <c r="T33" i="40"/>
  <c r="H12" i="37"/>
  <c r="H29" i="38"/>
  <c r="P22" i="41"/>
  <c r="H13" i="38"/>
  <c r="H29" i="43"/>
  <c r="B22" i="44"/>
  <c r="P15" i="41"/>
  <c r="H16" i="37"/>
  <c r="B38" i="40"/>
  <c r="T29" i="37"/>
  <c r="D20" i="35"/>
  <c r="H22" i="47"/>
  <c r="B21" i="34"/>
  <c r="T33" i="34"/>
  <c r="P34" i="35"/>
  <c r="P24" i="31"/>
  <c r="T20" i="35"/>
  <c r="P13" i="35"/>
  <c r="D5" i="32"/>
  <c r="D12" i="35"/>
  <c r="B38" i="37"/>
  <c r="P15" i="34"/>
  <c r="P22" i="98"/>
  <c r="H34" i="99"/>
  <c r="D22" i="100"/>
  <c r="B22" i="100"/>
  <c r="H33" i="98"/>
  <c r="H16" i="99"/>
  <c r="D15" i="100"/>
  <c r="D4" i="98"/>
  <c r="B13" i="98"/>
  <c r="T12" i="99"/>
  <c r="T21" i="99"/>
  <c r="P15" i="100"/>
  <c r="T22" i="99"/>
  <c r="D12" i="100"/>
  <c r="H12" i="53"/>
  <c r="P20" i="52"/>
  <c r="H22" i="52"/>
  <c r="D29" i="52"/>
  <c r="B13" i="52"/>
  <c r="P12" i="53"/>
  <c r="D15" i="49"/>
  <c r="P34" i="53"/>
  <c r="P21" i="47"/>
  <c r="H12" i="52"/>
  <c r="P16" i="47"/>
  <c r="P16" i="50"/>
  <c r="H33" i="50"/>
  <c r="D25" i="47"/>
  <c r="D15" i="52"/>
  <c r="P33" i="53"/>
  <c r="H24" i="49"/>
  <c r="B13" i="46"/>
  <c r="D33" i="49"/>
  <c r="B16" i="53"/>
  <c r="D20" i="49"/>
  <c r="H20" i="49"/>
  <c r="D16" i="43"/>
  <c r="P12" i="44"/>
  <c r="H25" i="46"/>
  <c r="H33" i="47"/>
  <c r="P33" i="43"/>
  <c r="P24" i="43"/>
  <c r="P20" i="44"/>
  <c r="D24" i="47"/>
  <c r="P16" i="43"/>
  <c r="B16" i="47"/>
  <c r="B39" i="43"/>
  <c r="B25" i="44"/>
  <c r="D13" i="43"/>
  <c r="D20" i="44"/>
  <c r="D21" i="41"/>
  <c r="T21" i="38"/>
  <c r="P24" i="38"/>
  <c r="T29" i="41"/>
  <c r="P24" i="37"/>
  <c r="T29" i="40"/>
  <c r="D21" i="49"/>
  <c r="H25" i="38"/>
  <c r="T20" i="41"/>
  <c r="D4" i="38"/>
  <c r="P34" i="41"/>
  <c r="H20" i="43"/>
  <c r="D5" i="41"/>
  <c r="B13" i="37"/>
  <c r="D34" i="40"/>
  <c r="T25" i="37"/>
  <c r="D16" i="35"/>
  <c r="D21" i="44"/>
  <c r="D20" i="34"/>
  <c r="T29" i="34"/>
  <c r="P33" i="35"/>
  <c r="P22" i="31"/>
  <c r="T16" i="35"/>
  <c r="H12" i="35"/>
  <c r="P20" i="31"/>
  <c r="H24" i="41"/>
  <c r="D33" i="37"/>
  <c r="D5" i="34"/>
  <c r="H16" i="34"/>
  <c r="D13" i="41"/>
  <c r="P34" i="29"/>
  <c r="T33" i="25"/>
  <c r="P13" i="34"/>
  <c r="P22" i="29"/>
  <c r="P25" i="26"/>
  <c r="P21" i="29"/>
  <c r="T16" i="26"/>
  <c r="D22" i="22"/>
  <c r="T12" i="31"/>
  <c r="P24" i="25"/>
  <c r="H20" i="35"/>
  <c r="H29" i="29"/>
  <c r="P13" i="25"/>
  <c r="H15" i="31"/>
  <c r="H34" i="26"/>
  <c r="T34" i="22"/>
  <c r="P16" i="32"/>
  <c r="D13" i="29"/>
  <c r="H33" i="31"/>
  <c r="H29" i="35"/>
  <c r="H15" i="29"/>
  <c r="B13" i="26"/>
  <c r="H24" i="34"/>
  <c r="P12" i="29"/>
  <c r="B16" i="26"/>
  <c r="T20" i="98"/>
  <c r="H33" i="99"/>
  <c r="H20" i="100"/>
  <c r="D21" i="100"/>
  <c r="H29" i="98"/>
  <c r="B13" i="99"/>
  <c r="T12" i="100"/>
  <c r="T24" i="100"/>
  <c r="P34" i="100"/>
  <c r="B22" i="98"/>
  <c r="T34" i="98"/>
  <c r="D6" i="100"/>
  <c r="B21" i="98"/>
  <c r="T24" i="98"/>
  <c r="P24" i="52"/>
  <c r="P16" i="52"/>
  <c r="H13" i="52"/>
  <c r="D25" i="52"/>
  <c r="P24" i="53"/>
  <c r="T34" i="52"/>
  <c r="T12" i="49"/>
  <c r="T21" i="53"/>
  <c r="T15" i="47"/>
  <c r="P24" i="50"/>
  <c r="D12" i="47"/>
  <c r="D12" i="50"/>
  <c r="H29" i="50"/>
  <c r="H21" i="47"/>
  <c r="B39" i="50"/>
  <c r="P29" i="53"/>
  <c r="H22" i="49"/>
  <c r="P20" i="53"/>
  <c r="D29" i="49"/>
  <c r="T12" i="53"/>
  <c r="D16" i="49"/>
  <c r="B13" i="49"/>
  <c r="D20" i="53"/>
  <c r="T34" i="43"/>
  <c r="P34" i="44"/>
  <c r="T24" i="47"/>
  <c r="P29" i="43"/>
  <c r="P22" i="43"/>
  <c r="P16" i="44"/>
  <c r="T12" i="47"/>
  <c r="D12" i="43"/>
  <c r="D5" i="47"/>
  <c r="H24" i="43"/>
  <c r="D24" i="44"/>
  <c r="P13" i="50"/>
  <c r="D16" i="44"/>
  <c r="H15" i="41"/>
  <c r="T24" i="37"/>
  <c r="P22" i="38"/>
  <c r="T25" i="41"/>
  <c r="P22" i="37"/>
  <c r="T25" i="40"/>
  <c r="H24" i="44"/>
  <c r="P15" i="38"/>
  <c r="T16" i="41"/>
  <c r="H34" i="37"/>
  <c r="P21" i="41"/>
  <c r="P20" i="41"/>
  <c r="P20" i="40"/>
  <c r="P15" i="47"/>
  <c r="D33" i="40"/>
  <c r="B16" i="37"/>
  <c r="B22" i="34"/>
  <c r="H25" i="40"/>
  <c r="D16" i="34"/>
  <c r="T25" i="34"/>
  <c r="P29" i="35"/>
  <c r="T20" i="31"/>
  <c r="T13" i="35"/>
  <c r="P24" i="34"/>
  <c r="P16" i="31"/>
  <c r="D5" i="40"/>
  <c r="D13" i="37"/>
  <c r="D4" i="41"/>
  <c r="B13" i="34"/>
  <c r="D34" i="35"/>
  <c r="P33" i="29"/>
  <c r="T29" i="25"/>
  <c r="P24" i="32"/>
  <c r="T20" i="29"/>
  <c r="T21" i="26"/>
  <c r="T15" i="29"/>
  <c r="T13" i="26"/>
  <c r="H20" i="22"/>
  <c r="P20" i="29"/>
  <c r="P22" i="25"/>
  <c r="B13" i="35"/>
  <c r="H25" i="29"/>
  <c r="H12" i="25"/>
  <c r="B39" i="29"/>
  <c r="H33" i="26"/>
  <c r="T33" i="22"/>
  <c r="H15" i="32"/>
  <c r="B39" i="28"/>
  <c r="D21" i="31"/>
  <c r="D25" i="34"/>
  <c r="B25" i="28"/>
  <c r="B38" i="25"/>
  <c r="B39" i="32"/>
  <c r="T34" i="28"/>
  <c r="D15" i="26"/>
  <c r="B39" i="100"/>
  <c r="T13" i="98"/>
  <c r="H25" i="99"/>
  <c r="B13" i="100"/>
  <c r="B38" i="99"/>
  <c r="P15" i="98"/>
  <c r="H24" i="98"/>
  <c r="D21" i="99"/>
  <c r="P12" i="100"/>
  <c r="P29" i="100"/>
  <c r="H15" i="98"/>
  <c r="T29" i="98"/>
  <c r="T15" i="99"/>
  <c r="P22" i="99"/>
  <c r="T16" i="99"/>
  <c r="T20" i="52"/>
  <c r="B38" i="53"/>
  <c r="B25" i="53"/>
  <c r="D13" i="52"/>
  <c r="T20" i="53"/>
  <c r="T12" i="52"/>
  <c r="P22" i="47"/>
  <c r="P12" i="52"/>
  <c r="H12" i="47"/>
  <c r="T20" i="50"/>
  <c r="H24" i="53"/>
  <c r="T15" i="49"/>
  <c r="P15" i="50"/>
  <c r="B39" i="46"/>
  <c r="H22" i="50"/>
  <c r="T22" i="52"/>
  <c r="D4" i="49"/>
  <c r="P13" i="52"/>
  <c r="H21" i="49"/>
  <c r="D16" i="52"/>
  <c r="P33" i="47"/>
  <c r="T34" i="44"/>
  <c r="B39" i="47"/>
  <c r="T29" i="43"/>
  <c r="P29" i="44"/>
  <c r="D29" i="46"/>
  <c r="T21" i="43"/>
  <c r="T16" i="43"/>
  <c r="P21" i="43"/>
  <c r="T15" i="46"/>
  <c r="B22" i="49"/>
  <c r="P15" i="46"/>
  <c r="H13" i="43"/>
  <c r="H20" i="44"/>
  <c r="T13" i="49"/>
  <c r="D21" i="43"/>
  <c r="D24" i="40"/>
  <c r="P12" i="37"/>
  <c r="T16" i="38"/>
  <c r="D15" i="41"/>
  <c r="T16" i="37"/>
  <c r="D15" i="40"/>
  <c r="P29" i="41"/>
  <c r="P20" i="37"/>
  <c r="P34" i="40"/>
  <c r="H29" i="37"/>
  <c r="P13" i="41"/>
  <c r="D12" i="41"/>
  <c r="D12" i="40"/>
  <c r="H16" i="43"/>
  <c r="D25" i="40"/>
  <c r="T12" i="37"/>
  <c r="H15" i="34"/>
  <c r="D21" i="37"/>
  <c r="T33" i="38"/>
  <c r="D15" i="34"/>
  <c r="T21" i="35"/>
  <c r="T13" i="31"/>
  <c r="P33" i="34"/>
  <c r="T20" i="34"/>
  <c r="D25" i="41"/>
  <c r="H21" i="38"/>
  <c r="H24" i="35"/>
  <c r="D29" i="38"/>
  <c r="T33" i="32"/>
  <c r="D29" i="34"/>
  <c r="P25" i="29"/>
  <c r="B16" i="25"/>
  <c r="T20" i="32"/>
  <c r="T13" i="29"/>
  <c r="T22" i="25"/>
  <c r="H12" i="29"/>
  <c r="P33" i="25"/>
  <c r="B13" i="22"/>
  <c r="D12" i="29"/>
  <c r="T16" i="25"/>
  <c r="D13" i="34"/>
  <c r="D5" i="29"/>
  <c r="D5" i="35"/>
  <c r="H22" i="29"/>
  <c r="H25" i="26"/>
  <c r="T25" i="22"/>
  <c r="B25" i="31"/>
  <c r="H22" i="28"/>
  <c r="D12" i="31"/>
  <c r="P33" i="32"/>
  <c r="D22" i="28"/>
  <c r="D33" i="25"/>
  <c r="B21" i="32"/>
  <c r="T29" i="28"/>
  <c r="B21" i="25"/>
  <c r="H22" i="100"/>
  <c r="D34" i="100"/>
  <c r="D6" i="99"/>
  <c r="H24" i="99"/>
  <c r="D33" i="99"/>
  <c r="B21" i="100"/>
  <c r="H13" i="98"/>
  <c r="B38" i="98"/>
  <c r="D20" i="99"/>
  <c r="T21" i="100"/>
  <c r="T15" i="100"/>
  <c r="B16" i="98"/>
  <c r="H12" i="99"/>
  <c r="P24" i="100"/>
  <c r="T22" i="98"/>
  <c r="T13" i="52"/>
  <c r="D33" i="53"/>
  <c r="D22" i="53"/>
  <c r="D21" i="53"/>
  <c r="T13" i="53"/>
  <c r="T22" i="50"/>
  <c r="T16" i="47"/>
  <c r="P33" i="50"/>
  <c r="P22" i="46"/>
  <c r="T13" i="50"/>
  <c r="H34" i="52"/>
  <c r="H12" i="49"/>
  <c r="P20" i="49"/>
  <c r="H22" i="46"/>
  <c r="D4" i="50"/>
  <c r="D34" i="50"/>
  <c r="D21" i="47"/>
  <c r="D24" i="50"/>
  <c r="B21" i="47"/>
  <c r="T33" i="50"/>
  <c r="P25" i="47"/>
  <c r="T29" i="44"/>
  <c r="H29" i="47"/>
  <c r="B16" i="43"/>
  <c r="T21" i="44"/>
  <c r="D13" i="46"/>
  <c r="H13" i="47"/>
  <c r="P22" i="49"/>
  <c r="P13" i="43"/>
  <c r="H34" i="44"/>
  <c r="P12" i="47"/>
  <c r="B38" i="44"/>
  <c r="D21" i="50"/>
  <c r="B13" i="44"/>
  <c r="H25" i="47"/>
  <c r="B21" i="50"/>
  <c r="H20" i="40"/>
  <c r="B39" i="41"/>
  <c r="P34" i="37"/>
  <c r="B21" i="40"/>
  <c r="D22" i="43"/>
  <c r="P20" i="38"/>
  <c r="T21" i="41"/>
  <c r="D12" i="37"/>
  <c r="P29" i="40"/>
  <c r="P15" i="37"/>
  <c r="P24" i="40"/>
  <c r="T15" i="40"/>
  <c r="D21" i="38"/>
  <c r="B25" i="41"/>
  <c r="D13" i="40"/>
  <c r="B39" i="40"/>
  <c r="T22" i="32"/>
  <c r="T33" i="35"/>
  <c r="B21" i="37"/>
  <c r="H34" i="40"/>
  <c r="T22" i="34"/>
  <c r="D22" i="38"/>
  <c r="P25" i="34"/>
  <c r="T13" i="34"/>
  <c r="H13" i="40"/>
  <c r="H22" i="37"/>
  <c r="H13" i="35"/>
  <c r="B22" i="35"/>
  <c r="T25" i="32"/>
  <c r="P34" i="32"/>
  <c r="T24" i="28"/>
  <c r="T12" i="25"/>
  <c r="D34" i="31"/>
  <c r="P33" i="28"/>
  <c r="H33" i="35"/>
  <c r="P22" i="28"/>
  <c r="P25" i="25"/>
  <c r="D33" i="35"/>
  <c r="T15" i="28"/>
  <c r="B21" i="23"/>
  <c r="D29" i="32"/>
  <c r="P16" i="28"/>
  <c r="H12" i="34"/>
  <c r="D4" i="29"/>
  <c r="D5" i="26"/>
  <c r="D15" i="22"/>
  <c r="H12" i="31"/>
  <c r="D4" i="28"/>
  <c r="D24" i="29"/>
  <c r="H21" i="32"/>
  <c r="H16" i="28"/>
  <c r="D25" i="25"/>
  <c r="H13" i="32"/>
  <c r="B16" i="28"/>
  <c r="H29" i="99"/>
  <c r="B39" i="98"/>
  <c r="D21" i="98"/>
  <c r="T20" i="100"/>
  <c r="H21" i="52"/>
  <c r="T24" i="52"/>
  <c r="P21" i="49"/>
  <c r="P25" i="53"/>
  <c r="D20" i="52"/>
  <c r="T33" i="43"/>
  <c r="T20" i="43"/>
  <c r="H34" i="46"/>
  <c r="B22" i="43"/>
  <c r="B16" i="41"/>
  <c r="D5" i="38"/>
  <c r="P16" i="41"/>
  <c r="D15" i="37"/>
  <c r="B16" i="34"/>
  <c r="P22" i="34"/>
  <c r="D34" i="38"/>
  <c r="P29" i="29"/>
  <c r="T16" i="29"/>
  <c r="P34" i="25"/>
  <c r="T20" i="25"/>
  <c r="T29" i="38"/>
  <c r="T29" i="22"/>
  <c r="H16" i="31"/>
  <c r="D34" i="25"/>
  <c r="T12" i="26"/>
  <c r="H15" i="26"/>
  <c r="D15" i="20"/>
  <c r="D24" i="23"/>
  <c r="T33" i="19"/>
  <c r="H34" i="25"/>
  <c r="P25" i="20"/>
  <c r="B38" i="26"/>
  <c r="T13" i="20"/>
  <c r="P22" i="23"/>
  <c r="P24" i="19"/>
  <c r="B25" i="23"/>
  <c r="T15" i="19"/>
  <c r="H29" i="20"/>
  <c r="D25" i="26"/>
  <c r="D4" i="20"/>
  <c r="P24" i="23"/>
  <c r="D13" i="20"/>
  <c r="P34" i="23"/>
  <c r="H15" i="19"/>
  <c r="D20" i="16"/>
  <c r="D20" i="29"/>
  <c r="T25" i="16"/>
  <c r="B22" i="25"/>
  <c r="T20" i="14"/>
  <c r="P24" i="17"/>
  <c r="P13" i="14"/>
  <c r="D12" i="17"/>
  <c r="P16" i="13"/>
  <c r="D5" i="17"/>
  <c r="H25" i="13"/>
  <c r="D4" i="17"/>
  <c r="H21" i="14"/>
  <c r="D34" i="17"/>
  <c r="D24" i="14"/>
  <c r="H33" i="23"/>
  <c r="D29" i="16"/>
  <c r="B13" i="13"/>
  <c r="D16" i="14"/>
  <c r="T24" i="8"/>
  <c r="H29" i="5"/>
  <c r="P33" i="11"/>
  <c r="T24" i="7"/>
  <c r="P15" i="4"/>
  <c r="P33" i="10"/>
  <c r="P25" i="7"/>
  <c r="H13" i="4"/>
  <c r="T20" i="10"/>
  <c r="B25" i="5"/>
  <c r="D13" i="4"/>
  <c r="P13" i="10"/>
  <c r="B25" i="4"/>
  <c r="H29" i="11"/>
  <c r="D20" i="14"/>
  <c r="B39" i="8"/>
  <c r="T33" i="5"/>
  <c r="D20" i="13"/>
  <c r="D4" i="10"/>
  <c r="D4" i="7"/>
  <c r="B25" i="20"/>
  <c r="D33" i="10"/>
  <c r="D34" i="7"/>
  <c r="T22" i="4"/>
  <c r="T25" i="11"/>
  <c r="D15" i="8"/>
  <c r="H16" i="20"/>
  <c r="P29" i="4"/>
  <c r="B22" i="4"/>
  <c r="T15" i="5"/>
  <c r="T20" i="5"/>
  <c r="D12" i="7"/>
  <c r="P12" i="10"/>
  <c r="B38" i="4"/>
  <c r="B21" i="4"/>
  <c r="D16" i="10"/>
  <c r="H21" i="40"/>
  <c r="D29" i="26"/>
  <c r="D4" i="16"/>
  <c r="P24" i="10"/>
  <c r="H22" i="10"/>
  <c r="P22" i="5"/>
  <c r="T34" i="99"/>
  <c r="D20" i="46"/>
  <c r="D13" i="31"/>
  <c r="H21" i="28"/>
  <c r="T33" i="23"/>
  <c r="P12" i="13"/>
  <c r="D33" i="16"/>
  <c r="H22" i="4"/>
  <c r="T34" i="5"/>
  <c r="P15" i="99"/>
  <c r="H22" i="98"/>
  <c r="P21" i="100"/>
  <c r="P20" i="100"/>
  <c r="B22" i="53"/>
  <c r="P34" i="50"/>
  <c r="P13" i="49"/>
  <c r="B38" i="50"/>
  <c r="T34" i="50"/>
  <c r="T25" i="43"/>
  <c r="T13" i="43"/>
  <c r="D5" i="46"/>
  <c r="H15" i="43"/>
  <c r="T12" i="41"/>
  <c r="P16" i="37"/>
  <c r="P21" i="40"/>
  <c r="H21" i="41"/>
  <c r="T12" i="34"/>
  <c r="T16" i="34"/>
  <c r="D4" i="37"/>
  <c r="T21" i="29"/>
  <c r="P34" i="28"/>
  <c r="P29" i="25"/>
  <c r="T13" i="25"/>
  <c r="P21" i="34"/>
  <c r="B16" i="22"/>
  <c r="B25" i="29"/>
  <c r="D29" i="25"/>
  <c r="D20" i="25"/>
  <c r="B25" i="25"/>
  <c r="T12" i="20"/>
  <c r="P21" i="23"/>
  <c r="T29" i="19"/>
  <c r="H29" i="25"/>
  <c r="T21" i="20"/>
  <c r="D33" i="26"/>
  <c r="P34" i="19"/>
  <c r="H21" i="23"/>
  <c r="P22" i="19"/>
  <c r="H16" i="23"/>
  <c r="P13" i="19"/>
  <c r="H25" i="20"/>
  <c r="H21" i="26"/>
  <c r="H34" i="19"/>
  <c r="T20" i="23"/>
  <c r="B39" i="19"/>
  <c r="P25" i="23"/>
  <c r="B13" i="23"/>
  <c r="D16" i="16"/>
  <c r="H25" i="25"/>
  <c r="B16" i="16"/>
  <c r="D34" i="19"/>
  <c r="T16" i="14"/>
  <c r="P22" i="17"/>
  <c r="H12" i="14"/>
  <c r="P21" i="16"/>
  <c r="D12" i="13"/>
  <c r="P20" i="16"/>
  <c r="P15" i="13"/>
  <c r="H34" i="16"/>
  <c r="D13" i="14"/>
  <c r="D33" i="17"/>
  <c r="D22" i="14"/>
  <c r="B22" i="20"/>
  <c r="D25" i="16"/>
  <c r="H12" i="22"/>
  <c r="B22" i="13"/>
  <c r="T22" i="8"/>
  <c r="H25" i="5"/>
  <c r="P29" i="11"/>
  <c r="T22" i="7"/>
  <c r="D5" i="4"/>
  <c r="P29" i="10"/>
  <c r="T21" i="7"/>
  <c r="D4" i="4"/>
  <c r="T16" i="10"/>
  <c r="D24" i="5"/>
  <c r="D13" i="19"/>
  <c r="H12" i="10"/>
  <c r="D24" i="4"/>
  <c r="H25" i="11"/>
  <c r="B39" i="11"/>
  <c r="H24" i="8"/>
  <c r="T29" i="5"/>
  <c r="B38" i="11"/>
  <c r="B38" i="8"/>
  <c r="T24" i="5"/>
  <c r="H15" i="17"/>
  <c r="D29" i="10"/>
  <c r="D33" i="7"/>
  <c r="P12" i="4"/>
  <c r="B16" i="11"/>
  <c r="T12" i="8"/>
  <c r="B22" i="17"/>
  <c r="D16" i="11"/>
  <c r="D21" i="10"/>
  <c r="H33" i="8"/>
  <c r="T13" i="5"/>
  <c r="D20" i="5"/>
  <c r="T25" i="7"/>
  <c r="B21" i="13"/>
  <c r="T29" i="4"/>
  <c r="B22" i="11"/>
  <c r="T29" i="47"/>
  <c r="B16" i="31"/>
  <c r="D29" i="14"/>
  <c r="D16" i="13"/>
  <c r="D21" i="5"/>
  <c r="B38" i="10"/>
  <c r="H16" i="10"/>
  <c r="D20" i="100"/>
  <c r="D20" i="47"/>
  <c r="P22" i="40"/>
  <c r="T20" i="26"/>
  <c r="T25" i="26"/>
  <c r="P29" i="20"/>
  <c r="P21" i="19"/>
  <c r="D4" i="25"/>
  <c r="D24" i="19"/>
  <c r="H13" i="17"/>
  <c r="D21" i="17"/>
  <c r="P29" i="7"/>
  <c r="B13" i="16"/>
  <c r="P21" i="98"/>
  <c r="D5" i="98"/>
  <c r="P13" i="100"/>
  <c r="T24" i="99"/>
  <c r="H15" i="53"/>
  <c r="P29" i="50"/>
  <c r="T33" i="53"/>
  <c r="D33" i="50"/>
  <c r="T29" i="50"/>
  <c r="D15" i="43"/>
  <c r="T16" i="49"/>
  <c r="D34" i="44"/>
  <c r="B38" i="46"/>
  <c r="D20" i="40"/>
  <c r="H15" i="49"/>
  <c r="P13" i="40"/>
  <c r="D24" i="38"/>
  <c r="P15" i="40"/>
  <c r="H34" i="32"/>
  <c r="D21" i="35"/>
  <c r="T22" i="28"/>
  <c r="P29" i="28"/>
  <c r="T21" i="25"/>
  <c r="D20" i="23"/>
  <c r="D24" i="32"/>
  <c r="T12" i="22"/>
  <c r="D22" i="29"/>
  <c r="H21" i="25"/>
  <c r="D16" i="25"/>
  <c r="H16" i="25"/>
  <c r="B21" i="19"/>
  <c r="H20" i="23"/>
  <c r="T25" i="19"/>
  <c r="P15" i="25"/>
  <c r="T24" i="19"/>
  <c r="D13" i="26"/>
  <c r="P33" i="19"/>
  <c r="T13" i="23"/>
  <c r="T20" i="19"/>
  <c r="P13" i="23"/>
  <c r="H12" i="19"/>
  <c r="P15" i="20"/>
  <c r="B39" i="25"/>
  <c r="H33" i="19"/>
  <c r="D13" i="23"/>
  <c r="H24" i="19"/>
  <c r="T21" i="23"/>
  <c r="H20" i="20"/>
  <c r="T24" i="14"/>
  <c r="T25" i="23"/>
  <c r="D15" i="16"/>
  <c r="P34" i="17"/>
  <c r="T13" i="14"/>
  <c r="T20" i="17"/>
  <c r="P24" i="13"/>
  <c r="T15" i="16"/>
  <c r="H16" i="32"/>
  <c r="P16" i="16"/>
  <c r="D5" i="13"/>
  <c r="H33" i="16"/>
  <c r="B39" i="13"/>
  <c r="D29" i="17"/>
  <c r="H20" i="14"/>
  <c r="H20" i="19"/>
  <c r="H21" i="16"/>
  <c r="D21" i="20"/>
  <c r="T24" i="11"/>
  <c r="P12" i="8"/>
  <c r="P15" i="5"/>
  <c r="P25" i="11"/>
  <c r="P12" i="7"/>
  <c r="B25" i="16"/>
  <c r="P25" i="10"/>
  <c r="B38" i="5"/>
  <c r="P24" i="16"/>
  <c r="T13" i="10"/>
  <c r="D22" i="5"/>
  <c r="D24" i="16"/>
  <c r="P20" i="8"/>
  <c r="D22" i="4"/>
  <c r="P15" i="11"/>
  <c r="H24" i="11"/>
  <c r="H22" i="8"/>
  <c r="T25" i="5"/>
  <c r="D34" i="11"/>
  <c r="D34" i="8"/>
  <c r="T22" i="5"/>
  <c r="D12" i="14"/>
  <c r="D25" i="10"/>
  <c r="D29" i="7"/>
  <c r="P13" i="17"/>
  <c r="D15" i="11"/>
  <c r="B21" i="7"/>
  <c r="H15" i="10"/>
  <c r="B22" i="10"/>
  <c r="D21" i="8"/>
  <c r="H25" i="8"/>
  <c r="P33" i="4"/>
  <c r="D20" i="11"/>
  <c r="T33" i="10"/>
  <c r="D12" i="10"/>
  <c r="P34" i="5"/>
  <c r="P13" i="5"/>
  <c r="T13" i="38"/>
  <c r="H22" i="20"/>
  <c r="H33" i="13"/>
  <c r="D15" i="10"/>
  <c r="P33" i="7"/>
  <c r="H34" i="11"/>
  <c r="D5" i="7"/>
  <c r="T21" i="5"/>
  <c r="P15" i="8"/>
  <c r="P33" i="37"/>
  <c r="D13" i="28"/>
  <c r="B38" i="17"/>
  <c r="H16" i="100"/>
  <c r="B22" i="99"/>
  <c r="T33" i="98"/>
  <c r="P22" i="52"/>
  <c r="P22" i="53"/>
  <c r="P13" i="47"/>
  <c r="H25" i="50"/>
  <c r="H13" i="49"/>
  <c r="P34" i="47"/>
  <c r="P33" i="44"/>
  <c r="D12" i="44"/>
  <c r="H22" i="43"/>
  <c r="B25" i="40"/>
  <c r="T20" i="37"/>
  <c r="T13" i="41"/>
  <c r="P16" i="40"/>
  <c r="D21" i="34"/>
  <c r="P25" i="35"/>
  <c r="H25" i="43"/>
  <c r="H20" i="34"/>
  <c r="T34" i="25"/>
  <c r="P29" i="26"/>
  <c r="D24" i="22"/>
  <c r="B25" i="35"/>
  <c r="H21" i="31"/>
  <c r="D12" i="34"/>
  <c r="B21" i="38"/>
  <c r="P15" i="35"/>
  <c r="B39" i="23"/>
  <c r="H29" i="23"/>
  <c r="D20" i="19"/>
  <c r="H12" i="23"/>
  <c r="B16" i="19"/>
  <c r="P16" i="23"/>
  <c r="T22" i="19"/>
  <c r="H24" i="25"/>
  <c r="P29" i="19"/>
  <c r="B39" i="22"/>
  <c r="T16" i="19"/>
  <c r="B38" i="22"/>
  <c r="T15" i="34"/>
  <c r="D5" i="20"/>
  <c r="H22" i="25"/>
  <c r="H29" i="19"/>
  <c r="P25" i="22"/>
  <c r="H22" i="19"/>
  <c r="P15" i="23"/>
  <c r="D25" i="19"/>
  <c r="T22" i="14"/>
  <c r="T12" i="23"/>
  <c r="T12" i="16"/>
  <c r="P33" i="17"/>
  <c r="P34" i="13"/>
  <c r="T16" i="17"/>
  <c r="P22" i="13"/>
  <c r="P13" i="16"/>
  <c r="D16" i="26"/>
  <c r="D12" i="16"/>
  <c r="B22" i="28"/>
  <c r="H29" i="16"/>
  <c r="H24" i="13"/>
  <c r="D25" i="17"/>
  <c r="H16" i="14"/>
  <c r="B25" i="17"/>
  <c r="D13" i="16"/>
  <c r="B21" i="17"/>
  <c r="T22" i="11"/>
  <c r="T34" i="7"/>
  <c r="D5" i="5"/>
  <c r="T21" i="11"/>
  <c r="B39" i="5"/>
  <c r="H16" i="16"/>
  <c r="T21" i="10"/>
  <c r="D34" i="5"/>
  <c r="B21" i="14"/>
  <c r="P21" i="8"/>
  <c r="H20" i="5"/>
  <c r="T33" i="14"/>
  <c r="P16" i="8"/>
  <c r="H20" i="4"/>
  <c r="D5" i="11"/>
  <c r="H22" i="11"/>
  <c r="H13" i="8"/>
  <c r="B16" i="5"/>
  <c r="D33" i="11"/>
  <c r="D33" i="8"/>
  <c r="P12" i="5"/>
  <c r="H12" i="13"/>
  <c r="H21" i="10"/>
  <c r="D25" i="7"/>
  <c r="T20" i="16"/>
  <c r="T12" i="11"/>
  <c r="D20" i="7"/>
  <c r="H29" i="8"/>
  <c r="D16" i="8"/>
  <c r="H15" i="8"/>
  <c r="P20" i="7"/>
  <c r="P25" i="4"/>
  <c r="D24" i="7"/>
  <c r="H13" i="5"/>
  <c r="P21" i="11"/>
  <c r="P22" i="16"/>
  <c r="H21" i="11"/>
  <c r="D24" i="8"/>
  <c r="T16" i="4"/>
  <c r="H12" i="5"/>
  <c r="T20" i="28"/>
  <c r="P24" i="14"/>
  <c r="T13" i="11"/>
  <c r="B13" i="8"/>
  <c r="P15" i="52"/>
  <c r="T24" i="38"/>
  <c r="T15" i="25"/>
  <c r="H13" i="26"/>
  <c r="H13" i="20"/>
  <c r="P22" i="14"/>
  <c r="D25" i="14"/>
  <c r="P34" i="11"/>
  <c r="T13" i="7"/>
  <c r="T12" i="14"/>
  <c r="B39" i="99"/>
  <c r="H15" i="99"/>
  <c r="T25" i="98"/>
  <c r="T16" i="52"/>
  <c r="T16" i="53"/>
  <c r="P24" i="46"/>
  <c r="D5" i="50"/>
  <c r="B22" i="47"/>
  <c r="P29" i="47"/>
  <c r="P25" i="44"/>
  <c r="T15" i="43"/>
  <c r="D4" i="43"/>
  <c r="D22" i="40"/>
  <c r="T13" i="37"/>
  <c r="P33" i="40"/>
  <c r="B22" i="38"/>
  <c r="T24" i="32"/>
  <c r="T24" i="34"/>
  <c r="H22" i="40"/>
  <c r="T34" i="32"/>
  <c r="T25" i="25"/>
  <c r="T24" i="25"/>
  <c r="H16" i="22"/>
  <c r="D33" i="34"/>
  <c r="H24" i="29"/>
  <c r="D12" i="32"/>
  <c r="H21" i="34"/>
  <c r="H22" i="32"/>
  <c r="H34" i="22"/>
  <c r="T16" i="23"/>
  <c r="D16" i="19"/>
  <c r="D25" i="22"/>
  <c r="D15" i="19"/>
  <c r="D15" i="23"/>
  <c r="P12" i="19"/>
  <c r="H34" i="23"/>
  <c r="P25" i="19"/>
  <c r="P34" i="22"/>
  <c r="T13" i="19"/>
  <c r="D33" i="22"/>
  <c r="D21" i="32"/>
  <c r="P20" i="19"/>
  <c r="H13" i="25"/>
  <c r="H25" i="19"/>
  <c r="H24" i="22"/>
  <c r="H13" i="19"/>
  <c r="T22" i="22"/>
  <c r="T34" i="17"/>
  <c r="P12" i="14"/>
  <c r="B25" i="19"/>
  <c r="P34" i="14"/>
  <c r="P29" i="17"/>
  <c r="P33" i="13"/>
  <c r="T13" i="17"/>
  <c r="T20" i="13"/>
  <c r="H12" i="16"/>
  <c r="T16" i="22"/>
  <c r="B39" i="14"/>
  <c r="D5" i="25"/>
  <c r="H25" i="16"/>
  <c r="H22" i="13"/>
  <c r="H21" i="17"/>
  <c r="B13" i="14"/>
  <c r="D24" i="17"/>
  <c r="B22" i="14"/>
  <c r="D20" i="17"/>
  <c r="P12" i="11"/>
  <c r="T33" i="7"/>
  <c r="P20" i="4"/>
  <c r="T24" i="10"/>
  <c r="H24" i="5"/>
  <c r="P21" i="13"/>
  <c r="P24" i="8"/>
  <c r="D33" i="5"/>
  <c r="D21" i="13"/>
  <c r="T15" i="8"/>
  <c r="H16" i="5"/>
  <c r="T25" i="14"/>
  <c r="D12" i="8"/>
  <c r="H16" i="4"/>
  <c r="P20" i="10"/>
  <c r="H13" i="11"/>
  <c r="D4" i="8"/>
  <c r="D15" i="5"/>
  <c r="D29" i="11"/>
  <c r="D29" i="8"/>
  <c r="T34" i="4"/>
  <c r="B25" i="11"/>
  <c r="D13" i="10"/>
  <c r="H21" i="7"/>
  <c r="T29" i="29"/>
  <c r="B21" i="10"/>
  <c r="D16" i="7"/>
  <c r="P16" i="7"/>
  <c r="B22" i="7"/>
  <c r="P34" i="4"/>
  <c r="B21" i="5"/>
  <c r="B21" i="11"/>
  <c r="P24" i="5"/>
  <c r="P24" i="11"/>
  <c r="H12" i="8"/>
  <c r="H34" i="10"/>
  <c r="H21" i="8"/>
  <c r="D22" i="11"/>
  <c r="B13" i="10"/>
  <c r="P13" i="28"/>
  <c r="P21" i="22"/>
  <c r="H24" i="4"/>
  <c r="T25" i="8"/>
  <c r="D33" i="100"/>
  <c r="B25" i="47"/>
  <c r="T21" i="34"/>
  <c r="H16" i="26"/>
  <c r="D25" i="23"/>
  <c r="D21" i="19"/>
  <c r="P16" i="17"/>
  <c r="D13" i="13"/>
  <c r="T21" i="8"/>
  <c r="H21" i="4"/>
  <c r="H13" i="10"/>
  <c r="H22" i="99"/>
  <c r="D34" i="98"/>
  <c r="D15" i="98"/>
  <c r="H34" i="53"/>
  <c r="P34" i="52"/>
  <c r="T20" i="46"/>
  <c r="P16" i="49"/>
  <c r="H15" i="47"/>
  <c r="T21" i="47"/>
  <c r="T24" i="43"/>
  <c r="H12" i="43"/>
  <c r="H15" i="50"/>
  <c r="H16" i="40"/>
  <c r="B13" i="43"/>
  <c r="P25" i="40"/>
  <c r="H15" i="38"/>
  <c r="P12" i="32"/>
  <c r="P12" i="34"/>
  <c r="T25" i="38"/>
  <c r="T29" i="32"/>
  <c r="D15" i="25"/>
  <c r="P12" i="25"/>
  <c r="T34" i="38"/>
  <c r="D34" i="32"/>
  <c r="H13" i="29"/>
  <c r="D15" i="31"/>
  <c r="D25" i="32"/>
  <c r="D16" i="32"/>
  <c r="H33" i="22"/>
  <c r="P33" i="22"/>
  <c r="B25" i="32"/>
  <c r="P22" i="22"/>
  <c r="T12" i="19"/>
  <c r="D12" i="23"/>
  <c r="P22" i="32"/>
  <c r="H25" i="23"/>
  <c r="T21" i="19"/>
  <c r="P29" i="22"/>
  <c r="P20" i="34"/>
  <c r="P24" i="22"/>
  <c r="D4" i="26"/>
  <c r="P16" i="19"/>
  <c r="T29" i="23"/>
  <c r="P15" i="19"/>
  <c r="T21" i="22"/>
  <c r="D4" i="19"/>
  <c r="P16" i="22"/>
  <c r="T33" i="17"/>
  <c r="T34" i="13"/>
  <c r="H16" i="19"/>
  <c r="P33" i="14"/>
  <c r="P25" i="17"/>
  <c r="P29" i="13"/>
  <c r="P34" i="16"/>
  <c r="T16" i="13"/>
  <c r="H34" i="14"/>
  <c r="D24" i="20"/>
  <c r="H24" i="14"/>
  <c r="T34" i="23"/>
  <c r="P15" i="16"/>
  <c r="H13" i="13"/>
  <c r="D13" i="17"/>
  <c r="B38" i="13"/>
  <c r="D22" i="17"/>
  <c r="D21" i="14"/>
  <c r="D16" i="17"/>
  <c r="T34" i="10"/>
  <c r="T29" i="7"/>
  <c r="P16" i="4"/>
  <c r="T22" i="10"/>
  <c r="H22" i="5"/>
  <c r="T15" i="13"/>
  <c r="P22" i="8"/>
  <c r="D29" i="5"/>
  <c r="H15" i="13"/>
  <c r="P13" i="8"/>
  <c r="B13" i="5"/>
  <c r="D15" i="14"/>
  <c r="P21" i="7"/>
  <c r="B13" i="4"/>
  <c r="P16" i="10"/>
  <c r="D4" i="11"/>
  <c r="H34" i="7"/>
  <c r="T12" i="5"/>
  <c r="D25" i="11"/>
  <c r="D25" i="8"/>
  <c r="T33" i="4"/>
  <c r="D24" i="11"/>
  <c r="B25" i="8"/>
  <c r="D13" i="7"/>
  <c r="B38" i="19"/>
  <c r="D20" i="10"/>
  <c r="P20" i="5"/>
  <c r="D22" i="10"/>
  <c r="P22" i="4"/>
  <c r="T21" i="4"/>
  <c r="D21" i="4"/>
  <c r="D20" i="8"/>
  <c r="D24" i="10"/>
  <c r="D12" i="4"/>
  <c r="H33" i="7"/>
  <c r="P21" i="17"/>
  <c r="H15" i="4"/>
  <c r="H25" i="17"/>
  <c r="H34" i="49"/>
  <c r="D16" i="37"/>
  <c r="D4" i="32"/>
  <c r="T16" i="20"/>
  <c r="H21" i="20"/>
  <c r="T15" i="14"/>
  <c r="B25" i="14"/>
  <c r="H25" i="4"/>
  <c r="H15" i="5"/>
  <c r="H13" i="7"/>
  <c r="H15" i="100"/>
  <c r="T22" i="100"/>
  <c r="P21" i="99"/>
  <c r="D12" i="52"/>
  <c r="B16" i="52"/>
  <c r="P22" i="50"/>
  <c r="D13" i="47"/>
  <c r="P16" i="53"/>
  <c r="P13" i="46"/>
  <c r="D33" i="46"/>
  <c r="P21" i="46"/>
  <c r="D22" i="44"/>
  <c r="T22" i="37"/>
  <c r="B16" i="40"/>
  <c r="H33" i="37"/>
  <c r="B25" i="43"/>
  <c r="D20" i="38"/>
  <c r="T16" i="31"/>
  <c r="D25" i="38"/>
  <c r="B16" i="32"/>
  <c r="B38" i="23"/>
  <c r="H25" i="35"/>
  <c r="D25" i="35"/>
  <c r="P25" i="32"/>
  <c r="H34" i="28"/>
  <c r="B38" i="29"/>
  <c r="B39" i="31"/>
  <c r="H34" i="31"/>
  <c r="H29" i="22"/>
  <c r="D4" i="22"/>
  <c r="B38" i="31"/>
  <c r="H21" i="22"/>
  <c r="D22" i="31"/>
  <c r="B21" i="22"/>
  <c r="P34" i="31"/>
  <c r="D5" i="23"/>
  <c r="H22" i="41"/>
  <c r="H22" i="22"/>
  <c r="D33" i="31"/>
  <c r="T20" i="22"/>
  <c r="H33" i="25"/>
  <c r="D12" i="19"/>
  <c r="P20" i="22"/>
  <c r="D5" i="19"/>
  <c r="B38" i="20"/>
  <c r="T13" i="32"/>
  <c r="D12" i="22"/>
  <c r="T29" i="17"/>
  <c r="T33" i="13"/>
  <c r="T24" i="17"/>
  <c r="P29" i="14"/>
  <c r="T21" i="17"/>
  <c r="P25" i="13"/>
  <c r="P33" i="16"/>
  <c r="T13" i="13"/>
  <c r="H33" i="14"/>
  <c r="H21" i="19"/>
  <c r="H22" i="14"/>
  <c r="P20" i="23"/>
  <c r="D5" i="16"/>
  <c r="D4" i="13"/>
  <c r="B39" i="16"/>
  <c r="D34" i="13"/>
  <c r="H20" i="17"/>
  <c r="H15" i="14"/>
  <c r="B22" i="16"/>
  <c r="T20" i="8"/>
  <c r="D25" i="5"/>
  <c r="T15" i="7"/>
  <c r="P16" i="5"/>
  <c r="D12" i="20"/>
  <c r="H24" i="100"/>
  <c r="D34" i="99"/>
  <c r="B21" i="99"/>
  <c r="P13" i="99"/>
  <c r="D34" i="53"/>
  <c r="T24" i="50"/>
  <c r="T16" i="50"/>
  <c r="H24" i="46"/>
  <c r="B25" i="50"/>
  <c r="T33" i="44"/>
  <c r="D25" i="46"/>
  <c r="H12" i="46"/>
  <c r="H16" i="44"/>
  <c r="D24" i="43"/>
  <c r="T12" i="40"/>
  <c r="H25" i="37"/>
  <c r="D33" i="41"/>
  <c r="T34" i="35"/>
  <c r="H24" i="40"/>
  <c r="B39" i="37"/>
  <c r="D16" i="31"/>
  <c r="D34" i="34"/>
  <c r="H20" i="31"/>
  <c r="H25" i="31"/>
  <c r="H33" i="29"/>
  <c r="D5" i="28"/>
  <c r="H21" i="29"/>
  <c r="D21" i="29"/>
  <c r="T22" i="29"/>
  <c r="H25" i="22"/>
  <c r="T34" i="20"/>
  <c r="T25" i="29"/>
  <c r="T13" i="22"/>
  <c r="D16" i="29"/>
  <c r="D16" i="22"/>
  <c r="T34" i="29"/>
  <c r="T24" i="22"/>
  <c r="D29" i="35"/>
  <c r="H13" i="22"/>
  <c r="T33" i="29"/>
  <c r="D13" i="22"/>
  <c r="P33" i="23"/>
  <c r="D16" i="38"/>
  <c r="P12" i="22"/>
  <c r="B21" i="29"/>
  <c r="D34" i="20"/>
  <c r="D4" i="31"/>
  <c r="B21" i="20"/>
  <c r="T25" i="17"/>
  <c r="T29" i="13"/>
  <c r="T22" i="17"/>
  <c r="P25" i="14"/>
  <c r="T24" i="16"/>
  <c r="T21" i="13"/>
  <c r="P29" i="16"/>
  <c r="D20" i="22"/>
  <c r="H29" i="14"/>
  <c r="H34" i="17"/>
  <c r="H13" i="14"/>
  <c r="H15" i="20"/>
  <c r="B38" i="14"/>
  <c r="D29" i="22"/>
  <c r="H24" i="16"/>
  <c r="D33" i="13"/>
  <c r="H16" i="17"/>
  <c r="B25" i="13"/>
  <c r="D21" i="16"/>
  <c r="T29" i="10"/>
  <c r="B16" i="7"/>
  <c r="T16" i="16"/>
  <c r="P34" i="8"/>
  <c r="D4" i="5"/>
  <c r="P22" i="11"/>
  <c r="T16" i="8"/>
  <c r="H21" i="5"/>
  <c r="T15" i="11"/>
  <c r="P24" i="7"/>
  <c r="D34" i="4"/>
  <c r="P20" i="11"/>
  <c r="P13" i="7"/>
  <c r="T13" i="16"/>
  <c r="P13" i="31"/>
  <c r="H33" i="10"/>
  <c r="H29" i="7"/>
  <c r="D20" i="4"/>
  <c r="D13" i="11"/>
  <c r="D13" i="8"/>
  <c r="T25" i="4"/>
  <c r="H20" i="11"/>
  <c r="D22" i="8"/>
  <c r="P33" i="5"/>
  <c r="H12" i="17"/>
  <c r="T34" i="8"/>
  <c r="D12" i="5"/>
  <c r="B22" i="8"/>
  <c r="H20" i="16"/>
  <c r="H20" i="10"/>
  <c r="T29" i="14"/>
  <c r="T20" i="4"/>
  <c r="P24" i="4"/>
  <c r="D15" i="38"/>
  <c r="B22" i="19"/>
  <c r="H20" i="13"/>
  <c r="D25" i="4"/>
  <c r="T12" i="4"/>
  <c r="H15" i="7"/>
  <c r="P12" i="99"/>
  <c r="D12" i="46"/>
  <c r="P24" i="29"/>
  <c r="B16" i="20"/>
  <c r="T12" i="29"/>
  <c r="P20" i="13"/>
  <c r="H33" i="5"/>
  <c r="T15" i="10"/>
  <c r="D34" i="22"/>
  <c r="H13" i="100"/>
  <c r="D29" i="99"/>
  <c r="D16" i="99"/>
  <c r="P34" i="98"/>
  <c r="D29" i="53"/>
  <c r="P12" i="50"/>
  <c r="P34" i="49"/>
  <c r="H13" i="46"/>
  <c r="D22" i="50"/>
  <c r="T25" i="44"/>
  <c r="P24" i="44"/>
  <c r="H33" i="44"/>
  <c r="B38" i="43"/>
  <c r="B21" i="41"/>
  <c r="P16" i="38"/>
  <c r="D5" i="37"/>
  <c r="D24" i="41"/>
  <c r="T29" i="35"/>
  <c r="B13" i="38"/>
  <c r="H13" i="37"/>
  <c r="H21" i="35"/>
  <c r="D22" i="32"/>
  <c r="P13" i="29"/>
  <c r="P16" i="29"/>
  <c r="P15" i="29"/>
  <c r="H29" i="26"/>
  <c r="H24" i="28"/>
  <c r="D24" i="28"/>
  <c r="T33" i="28"/>
  <c r="P15" i="22"/>
  <c r="T33" i="20"/>
  <c r="D21" i="28"/>
  <c r="T24" i="20"/>
  <c r="B21" i="28"/>
  <c r="P13" i="22"/>
  <c r="B16" i="29"/>
  <c r="P24" i="20"/>
  <c r="B22" i="26"/>
  <c r="P21" i="20"/>
  <c r="D15" i="29"/>
  <c r="P20" i="20"/>
  <c r="B16" i="23"/>
  <c r="D22" i="35"/>
  <c r="B39" i="20"/>
  <c r="D21" i="26"/>
  <c r="D33" i="20"/>
  <c r="D16" i="28"/>
  <c r="D20" i="20"/>
  <c r="B16" i="17"/>
  <c r="T25" i="13"/>
  <c r="P12" i="17"/>
  <c r="T21" i="14"/>
  <c r="T22" i="16"/>
  <c r="H16" i="35"/>
  <c r="P25" i="16"/>
  <c r="D22" i="19"/>
  <c r="H25" i="14"/>
  <c r="H33" i="17"/>
  <c r="D4" i="14"/>
  <c r="B39" i="17"/>
  <c r="D34" i="14"/>
  <c r="D22" i="20"/>
  <c r="H22" i="16"/>
  <c r="D29" i="13"/>
  <c r="B13" i="17"/>
  <c r="D24" i="13"/>
  <c r="H15" i="16"/>
  <c r="T25" i="10"/>
  <c r="D15" i="7"/>
  <c r="T34" i="14"/>
  <c r="P33" i="8"/>
  <c r="H34" i="4"/>
  <c r="T20" i="11"/>
  <c r="T13" i="8"/>
  <c r="D13" i="5"/>
  <c r="P13" i="11"/>
  <c r="P22" i="7"/>
  <c r="D33" i="4"/>
  <c r="P16" i="11"/>
  <c r="H12" i="7"/>
  <c r="P20" i="14"/>
  <c r="B21" i="26"/>
  <c r="H29" i="10"/>
  <c r="H25" i="7"/>
  <c r="D16" i="4"/>
  <c r="B39" i="10"/>
  <c r="B39" i="7"/>
  <c r="B16" i="4"/>
  <c r="H16" i="11"/>
  <c r="H20" i="8"/>
  <c r="P29" i="5"/>
  <c r="P16" i="14"/>
  <c r="T33" i="8"/>
  <c r="P21" i="4"/>
  <c r="D22" i="7"/>
  <c r="H15" i="11"/>
  <c r="B21" i="8"/>
  <c r="D21" i="11"/>
  <c r="T13" i="4"/>
  <c r="H22" i="35"/>
  <c r="D15" i="13"/>
  <c r="H21" i="13"/>
  <c r="P25" i="8"/>
  <c r="P21" i="10"/>
  <c r="P15" i="10"/>
  <c r="H22" i="7"/>
  <c r="P13" i="4"/>
  <c r="T29" i="16"/>
  <c r="T16" i="98"/>
  <c r="H25" i="98"/>
  <c r="P33" i="100"/>
  <c r="P16" i="100"/>
  <c r="D4" i="52"/>
  <c r="P24" i="47"/>
  <c r="B39" i="53"/>
  <c r="H24" i="50"/>
  <c r="D25" i="49"/>
  <c r="D20" i="50"/>
  <c r="P25" i="43"/>
  <c r="D16" i="50"/>
  <c r="T20" i="49"/>
  <c r="T20" i="38"/>
  <c r="D5" i="43"/>
  <c r="T15" i="41"/>
  <c r="D29" i="40"/>
  <c r="D29" i="41"/>
  <c r="P34" i="34"/>
  <c r="B39" i="35"/>
  <c r="B38" i="32"/>
  <c r="B13" i="32"/>
  <c r="P24" i="28"/>
  <c r="P21" i="28"/>
  <c r="P20" i="28"/>
  <c r="P15" i="26"/>
  <c r="H13" i="28"/>
  <c r="H20" i="28"/>
  <c r="T25" i="28"/>
  <c r="D5" i="22"/>
  <c r="T29" i="20"/>
  <c r="H15" i="28"/>
  <c r="T22" i="20"/>
  <c r="B39" i="26"/>
  <c r="P34" i="20"/>
  <c r="D33" i="28"/>
  <c r="P22" i="20"/>
  <c r="D24" i="25"/>
  <c r="T15" i="20"/>
  <c r="D20" i="28"/>
  <c r="P16" i="20"/>
  <c r="T15" i="22"/>
  <c r="P29" i="31"/>
  <c r="H24" i="20"/>
  <c r="D22" i="25"/>
  <c r="D29" i="20"/>
  <c r="D34" i="26"/>
  <c r="D16" i="20"/>
  <c r="D15" i="17"/>
  <c r="B16" i="13"/>
  <c r="T34" i="16"/>
  <c r="T24" i="13"/>
  <c r="P12" i="16"/>
  <c r="H24" i="26"/>
  <c r="T21" i="16"/>
  <c r="B13" i="19"/>
  <c r="P15" i="14"/>
  <c r="H29" i="17"/>
  <c r="H34" i="13"/>
  <c r="H24" i="17"/>
  <c r="D33" i="14"/>
  <c r="B13" i="20"/>
  <c r="H13" i="16"/>
  <c r="D25" i="13"/>
  <c r="B38" i="16"/>
  <c r="D22" i="13"/>
  <c r="D29" i="28"/>
  <c r="B16" i="10"/>
  <c r="T12" i="7"/>
  <c r="B16" i="14"/>
  <c r="P29" i="8"/>
  <c r="H33" i="4"/>
  <c r="T16" i="11"/>
  <c r="P34" i="7"/>
  <c r="B39" i="4"/>
  <c r="H12" i="11"/>
  <c r="T20" i="7"/>
  <c r="D29" i="4"/>
  <c r="D12" i="11"/>
  <c r="B22" i="5"/>
  <c r="P13" i="13"/>
  <c r="D22" i="23"/>
  <c r="H25" i="10"/>
  <c r="P15" i="7"/>
  <c r="T15" i="23"/>
  <c r="H24" i="10"/>
  <c r="H24" i="7"/>
  <c r="D15" i="4"/>
  <c r="B13" i="11"/>
  <c r="H16" i="8"/>
  <c r="P25" i="5"/>
  <c r="T34" i="11"/>
  <c r="T29" i="8"/>
  <c r="T15" i="4"/>
  <c r="H16" i="7"/>
  <c r="H34" i="8"/>
  <c r="D21" i="7"/>
  <c r="B25" i="7"/>
  <c r="B25" i="10"/>
  <c r="H12" i="41"/>
  <c r="D25" i="20"/>
  <c r="D29" i="19"/>
  <c r="H29" i="4"/>
  <c r="D22" i="16"/>
  <c r="T33" i="11"/>
  <c r="T13" i="47"/>
  <c r="D22" i="47"/>
  <c r="D4" i="35"/>
  <c r="P12" i="23"/>
  <c r="D21" i="25"/>
  <c r="H12" i="20"/>
  <c r="P29" i="23"/>
  <c r="T12" i="13"/>
  <c r="P15" i="17"/>
  <c r="H16" i="13"/>
  <c r="P34" i="10"/>
  <c r="H33" i="11"/>
  <c r="D34" i="10"/>
  <c r="B38" i="100"/>
  <c r="D6" i="98"/>
  <c r="P25" i="100"/>
  <c r="T13" i="99"/>
  <c r="D24" i="53"/>
  <c r="T20" i="47"/>
  <c r="D4" i="53"/>
  <c r="H13" i="50"/>
  <c r="D13" i="49"/>
  <c r="T33" i="47"/>
  <c r="H13" i="53"/>
  <c r="H16" i="47"/>
  <c r="P25" i="41"/>
  <c r="P29" i="34"/>
  <c r="D33" i="32"/>
  <c r="D29" i="31"/>
  <c r="D12" i="28"/>
  <c r="P20" i="25"/>
  <c r="H33" i="41"/>
  <c r="B13" i="28"/>
  <c r="D15" i="28"/>
  <c r="D34" i="28"/>
  <c r="T25" i="20"/>
  <c r="D20" i="26"/>
  <c r="P12" i="20"/>
  <c r="H22" i="26"/>
  <c r="P33" i="20"/>
  <c r="D25" i="28"/>
  <c r="T20" i="20"/>
  <c r="H20" i="25"/>
  <c r="P13" i="20"/>
  <c r="H15" i="25"/>
  <c r="H34" i="20"/>
  <c r="B13" i="25"/>
  <c r="T12" i="17"/>
  <c r="T33" i="16"/>
  <c r="T22" i="13"/>
  <c r="P21" i="14"/>
  <c r="P20" i="17"/>
  <c r="D5" i="14"/>
  <c r="H22" i="17"/>
  <c r="D34" i="16"/>
  <c r="D33" i="19"/>
  <c r="H34" i="5"/>
  <c r="T16" i="7"/>
  <c r="T15" i="17"/>
  <c r="H20" i="7"/>
  <c r="H20" i="53"/>
  <c r="T24" i="40"/>
  <c r="H12" i="26"/>
  <c r="T34" i="19"/>
  <c r="H33" i="20"/>
  <c r="B21" i="16"/>
  <c r="H29" i="13"/>
  <c r="T12" i="10"/>
  <c r="P22" i="10"/>
  <c r="D5" i="10"/>
  <c r="B38" i="7"/>
  <c r="D5" i="8"/>
  <c r="D16" i="5"/>
  <c r="B13" i="7"/>
  <c r="T24" i="4"/>
  <c r="T29" i="11"/>
  <c r="B16" i="8"/>
  <c r="H12" i="4"/>
  <c r="P21" i="5"/>
  <c r="T16" i="5"/>
  <c r="N22" i="74" l="1"/>
  <c r="N22" i="73"/>
  <c r="L23" i="95"/>
  <c r="X19" i="62"/>
  <c r="Z22" i="65"/>
  <c r="Z19" i="62"/>
  <c r="L22" i="74"/>
  <c r="L20" i="78"/>
  <c r="F20" i="78"/>
  <c r="L18" i="57"/>
  <c r="N18" i="57" s="1"/>
  <c r="X54" i="68"/>
  <c r="Z54" i="68" s="1"/>
  <c r="X22" i="65"/>
  <c r="N83" i="24"/>
  <c r="L90" i="30"/>
  <c r="N90" i="30" s="1"/>
  <c r="X22" i="80"/>
  <c r="Z22" i="80" s="1"/>
  <c r="X204" i="3"/>
  <c r="T91" i="9"/>
  <c r="Z18" i="63"/>
  <c r="X76" i="64"/>
  <c r="Z76" i="64" s="1"/>
  <c r="L64" i="66"/>
  <c r="N64" i="66" s="1"/>
  <c r="X22" i="74"/>
  <c r="N18" i="58"/>
  <c r="L26" i="72"/>
  <c r="N26" i="72" s="1"/>
  <c r="L18" i="91"/>
  <c r="N23" i="94"/>
  <c r="L171" i="12"/>
  <c r="X192" i="18"/>
  <c r="Z192" i="18" s="1"/>
  <c r="X30" i="42"/>
  <c r="P70" i="57"/>
  <c r="X18" i="58"/>
  <c r="Z18" i="58" s="1"/>
  <c r="Z64" i="66"/>
  <c r="X26" i="67"/>
  <c r="Z26" i="67" s="1"/>
  <c r="X81" i="69"/>
  <c r="N25" i="90"/>
  <c r="N18" i="9"/>
  <c r="Z30" i="36"/>
  <c r="N18" i="59"/>
  <c r="L35" i="70"/>
  <c r="N35" i="70" s="1"/>
  <c r="R22" i="85"/>
  <c r="Z22" i="89"/>
  <c r="P105" i="62"/>
  <c r="N54" i="68"/>
  <c r="N22" i="86"/>
  <c r="Z18" i="91"/>
  <c r="R36" i="39"/>
  <c r="X18" i="59"/>
  <c r="L18" i="61"/>
  <c r="Z35" i="70"/>
  <c r="X22" i="82"/>
  <c r="X22" i="83"/>
  <c r="Z22" i="83" s="1"/>
  <c r="L19" i="62"/>
  <c r="N19" i="62" s="1"/>
  <c r="X22" i="76"/>
  <c r="Z22" i="76" s="1"/>
  <c r="Z22" i="82"/>
  <c r="X24" i="4"/>
  <c r="J24" i="5"/>
  <c r="J22" i="5"/>
  <c r="J21" i="5"/>
  <c r="J20" i="5"/>
  <c r="J18" i="5"/>
  <c r="J16" i="5"/>
  <c r="H18" i="5"/>
  <c r="J15" i="5"/>
  <c r="N12" i="5"/>
  <c r="J36" i="5"/>
  <c r="J34" i="5"/>
  <c r="J33" i="5"/>
  <c r="J31" i="5"/>
  <c r="J29" i="5"/>
  <c r="J27" i="5"/>
  <c r="J25" i="5"/>
  <c r="L24" i="10"/>
  <c r="X24" i="5"/>
  <c r="L24" i="7"/>
  <c r="L20" i="11"/>
  <c r="L20" i="5"/>
  <c r="L12" i="7"/>
  <c r="F36" i="7"/>
  <c r="F34" i="7"/>
  <c r="F33" i="7"/>
  <c r="F31" i="7"/>
  <c r="F29" i="7"/>
  <c r="F27" i="7"/>
  <c r="F25" i="7"/>
  <c r="F24" i="7"/>
  <c r="F22" i="7"/>
  <c r="D18" i="7"/>
  <c r="F15" i="7"/>
  <c r="F16" i="7"/>
  <c r="F21" i="7"/>
  <c r="F20" i="7"/>
  <c r="F18" i="7"/>
  <c r="N16" i="10"/>
  <c r="Z13" i="4"/>
  <c r="Z20" i="4"/>
  <c r="X13" i="5"/>
  <c r="L20" i="8"/>
  <c r="X25" i="4"/>
  <c r="X33" i="4"/>
  <c r="Z13" i="5"/>
  <c r="Z20" i="5"/>
  <c r="N20" i="7"/>
  <c r="L21" i="11"/>
  <c r="Z29" i="14"/>
  <c r="N15" i="4"/>
  <c r="L21" i="4"/>
  <c r="X20" i="7"/>
  <c r="N25" i="8"/>
  <c r="N33" i="8"/>
  <c r="Z15" i="5"/>
  <c r="X21" i="5"/>
  <c r="N15" i="7"/>
  <c r="L21" i="7"/>
  <c r="N20" i="10"/>
  <c r="Z21" i="4"/>
  <c r="X34" i="4"/>
  <c r="N15" i="8"/>
  <c r="L21" i="8"/>
  <c r="L21" i="10"/>
  <c r="L16" i="5"/>
  <c r="X15" i="8"/>
  <c r="N34" i="8"/>
  <c r="N15" i="11"/>
  <c r="N20" i="16"/>
  <c r="Z16" i="4"/>
  <c r="X22" i="4"/>
  <c r="L16" i="8"/>
  <c r="L16" i="11"/>
  <c r="X29" i="4"/>
  <c r="Z16" i="5"/>
  <c r="X22" i="5"/>
  <c r="N16" i="7"/>
  <c r="L22" i="7"/>
  <c r="L22" i="10"/>
  <c r="X16" i="7"/>
  <c r="N29" i="8"/>
  <c r="N15" i="10"/>
  <c r="N16" i="20"/>
  <c r="J36" i="4"/>
  <c r="J34" i="4"/>
  <c r="J33" i="4"/>
  <c r="J31" i="4"/>
  <c r="J29" i="4"/>
  <c r="J27" i="4"/>
  <c r="J25" i="4"/>
  <c r="J24" i="4"/>
  <c r="J22" i="4"/>
  <c r="J21" i="4"/>
  <c r="J20" i="4"/>
  <c r="J18" i="4"/>
  <c r="J16" i="4"/>
  <c r="H18" i="4"/>
  <c r="J15" i="4"/>
  <c r="N12" i="4"/>
  <c r="X13" i="4"/>
  <c r="Z15" i="4"/>
  <c r="X21" i="4"/>
  <c r="F36" i="5"/>
  <c r="F34" i="5"/>
  <c r="F33" i="5"/>
  <c r="F31" i="5"/>
  <c r="F29" i="5"/>
  <c r="F27" i="5"/>
  <c r="F25" i="5"/>
  <c r="F24" i="5"/>
  <c r="F22" i="5"/>
  <c r="F21" i="5"/>
  <c r="F20" i="5"/>
  <c r="F18" i="5"/>
  <c r="F16" i="5"/>
  <c r="D18" i="5"/>
  <c r="F15" i="5"/>
  <c r="L12" i="5"/>
  <c r="X16" i="5"/>
  <c r="X20" i="5"/>
  <c r="L16" i="7"/>
  <c r="L20" i="7"/>
  <c r="V21" i="8"/>
  <c r="V20" i="8"/>
  <c r="V18" i="8"/>
  <c r="V16" i="8"/>
  <c r="T18" i="8"/>
  <c r="V15" i="8"/>
  <c r="V24" i="8"/>
  <c r="V22" i="8"/>
  <c r="V34" i="8"/>
  <c r="V27" i="8"/>
  <c r="V33" i="8"/>
  <c r="V25" i="8"/>
  <c r="Z12" i="8"/>
  <c r="V31" i="8"/>
  <c r="V36" i="8"/>
  <c r="V29" i="8"/>
  <c r="L15" i="8"/>
  <c r="Z25" i="8"/>
  <c r="Z29" i="8"/>
  <c r="Z33" i="8"/>
  <c r="Z34" i="8"/>
  <c r="L16" i="10"/>
  <c r="L20" i="10"/>
  <c r="V21" i="11"/>
  <c r="V20" i="11"/>
  <c r="V18" i="11"/>
  <c r="V16" i="11"/>
  <c r="T18" i="11"/>
  <c r="V15" i="11"/>
  <c r="V24" i="11"/>
  <c r="V22" i="11"/>
  <c r="V36" i="11"/>
  <c r="V25" i="11"/>
  <c r="V34" i="11"/>
  <c r="V33" i="11"/>
  <c r="Z12" i="11"/>
  <c r="V31" i="11"/>
  <c r="V29" i="11"/>
  <c r="V27" i="11"/>
  <c r="L15" i="11"/>
  <c r="Z25" i="11"/>
  <c r="Z29" i="11"/>
  <c r="Z33" i="11"/>
  <c r="Z34" i="11"/>
  <c r="X16" i="14"/>
  <c r="N12" i="17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H18" i="17"/>
  <c r="J15" i="17"/>
  <c r="X21" i="17"/>
  <c r="Z29" i="29"/>
  <c r="Z20" i="16"/>
  <c r="X13" i="17"/>
  <c r="P18" i="4"/>
  <c r="R15" i="4"/>
  <c r="X12" i="4"/>
  <c r="R36" i="4"/>
  <c r="R34" i="4"/>
  <c r="R33" i="4"/>
  <c r="R31" i="4"/>
  <c r="R29" i="4"/>
  <c r="R27" i="4"/>
  <c r="R25" i="4"/>
  <c r="R20" i="4"/>
  <c r="R18" i="4"/>
  <c r="R16" i="4"/>
  <c r="R22" i="4"/>
  <c r="R21" i="4"/>
  <c r="R24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L13" i="10"/>
  <c r="N21" i="10"/>
  <c r="L25" i="10"/>
  <c r="L29" i="10"/>
  <c r="L33" i="10"/>
  <c r="L34" i="10"/>
  <c r="N16" i="11"/>
  <c r="N20" i="11"/>
  <c r="L22" i="11"/>
  <c r="L24" i="11"/>
  <c r="N12" i="13"/>
  <c r="J36" i="13"/>
  <c r="J34" i="13"/>
  <c r="J33" i="13"/>
  <c r="J31" i="13"/>
  <c r="J29" i="13"/>
  <c r="J27" i="13"/>
  <c r="J25" i="13"/>
  <c r="J24" i="13"/>
  <c r="J22" i="13"/>
  <c r="J21" i="13"/>
  <c r="J20" i="13"/>
  <c r="J18" i="13"/>
  <c r="J16" i="13"/>
  <c r="H18" i="13"/>
  <c r="J15" i="13"/>
  <c r="L12" i="14"/>
  <c r="F36" i="14"/>
  <c r="F34" i="14"/>
  <c r="F33" i="14"/>
  <c r="F31" i="14"/>
  <c r="F29" i="14"/>
  <c r="F27" i="14"/>
  <c r="F25" i="14"/>
  <c r="F24" i="14"/>
  <c r="F22" i="14"/>
  <c r="F21" i="14"/>
  <c r="F20" i="14"/>
  <c r="F18" i="14"/>
  <c r="F16" i="14"/>
  <c r="F15" i="14"/>
  <c r="D18" i="14"/>
  <c r="N15" i="17"/>
  <c r="L34" i="22"/>
  <c r="V36" i="4"/>
  <c r="V34" i="4"/>
  <c r="V33" i="4"/>
  <c r="V31" i="4"/>
  <c r="V29" i="4"/>
  <c r="V27" i="4"/>
  <c r="V25" i="4"/>
  <c r="V24" i="4"/>
  <c r="V22" i="4"/>
  <c r="V21" i="4"/>
  <c r="V16" i="4"/>
  <c r="V15" i="4"/>
  <c r="V20" i="4"/>
  <c r="Z12" i="4"/>
  <c r="V18" i="4"/>
  <c r="T18" i="4"/>
  <c r="L15" i="4"/>
  <c r="Z25" i="4"/>
  <c r="Z29" i="4"/>
  <c r="Z33" i="4"/>
  <c r="Z34" i="4"/>
  <c r="R36" i="5"/>
  <c r="R34" i="5"/>
  <c r="R33" i="5"/>
  <c r="R31" i="5"/>
  <c r="R29" i="5"/>
  <c r="R27" i="5"/>
  <c r="R25" i="5"/>
  <c r="R24" i="5"/>
  <c r="R22" i="5"/>
  <c r="P18" i="5"/>
  <c r="R15" i="5"/>
  <c r="R16" i="5"/>
  <c r="R21" i="5"/>
  <c r="R20" i="5"/>
  <c r="X12" i="5"/>
  <c r="R18" i="5"/>
  <c r="Z22" i="5"/>
  <c r="Z24" i="5"/>
  <c r="N13" i="7"/>
  <c r="N22" i="7"/>
  <c r="N24" i="7"/>
  <c r="L13" i="8"/>
  <c r="N21" i="8"/>
  <c r="L25" i="8"/>
  <c r="L29" i="8"/>
  <c r="L33" i="8"/>
  <c r="L34" i="8"/>
  <c r="N13" i="10"/>
  <c r="N22" i="10"/>
  <c r="N24" i="10"/>
  <c r="L13" i="11"/>
  <c r="N21" i="11"/>
  <c r="L25" i="11"/>
  <c r="L29" i="11"/>
  <c r="L33" i="11"/>
  <c r="L34" i="11"/>
  <c r="L20" i="13"/>
  <c r="V21" i="14"/>
  <c r="V20" i="14"/>
  <c r="V18" i="14"/>
  <c r="V16" i="14"/>
  <c r="T18" i="14"/>
  <c r="V15" i="14"/>
  <c r="Z12" i="14"/>
  <c r="V34" i="14"/>
  <c r="V27" i="14"/>
  <c r="V33" i="14"/>
  <c r="V25" i="14"/>
  <c r="V31" i="14"/>
  <c r="V24" i="14"/>
  <c r="V36" i="14"/>
  <c r="V29" i="14"/>
  <c r="V22" i="14"/>
  <c r="Z15" i="17"/>
  <c r="Z15" i="23"/>
  <c r="L16" i="4"/>
  <c r="L20" i="4"/>
  <c r="Z12" i="5"/>
  <c r="V24" i="5"/>
  <c r="V22" i="5"/>
  <c r="V21" i="5"/>
  <c r="V20" i="5"/>
  <c r="V18" i="5"/>
  <c r="V16" i="5"/>
  <c r="V36" i="5"/>
  <c r="V29" i="5"/>
  <c r="V34" i="5"/>
  <c r="V27" i="5"/>
  <c r="V15" i="5"/>
  <c r="V33" i="5"/>
  <c r="V25" i="5"/>
  <c r="V31" i="5"/>
  <c r="T18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X15" i="10"/>
  <c r="N25" i="10"/>
  <c r="N29" i="10"/>
  <c r="N33" i="10"/>
  <c r="N34" i="10"/>
  <c r="N13" i="11"/>
  <c r="N22" i="11"/>
  <c r="N24" i="11"/>
  <c r="L20" i="14"/>
  <c r="L22" i="16"/>
  <c r="L22" i="23"/>
  <c r="X13" i="31"/>
  <c r="L12" i="10"/>
  <c r="F36" i="10"/>
  <c r="F34" i="10"/>
  <c r="F33" i="10"/>
  <c r="F31" i="10"/>
  <c r="F29" i="10"/>
  <c r="F27" i="10"/>
  <c r="F25" i="10"/>
  <c r="F24" i="10"/>
  <c r="F22" i="10"/>
  <c r="D18" i="10"/>
  <c r="F15" i="10"/>
  <c r="F21" i="10"/>
  <c r="F20" i="10"/>
  <c r="F18" i="10"/>
  <c r="F16" i="10"/>
  <c r="X16" i="10"/>
  <c r="X20" i="10"/>
  <c r="X15" i="11"/>
  <c r="N25" i="11"/>
  <c r="N29" i="11"/>
  <c r="N33" i="11"/>
  <c r="N34" i="11"/>
  <c r="X13" i="13"/>
  <c r="X20" i="14"/>
  <c r="Z13" i="16"/>
  <c r="X22" i="16"/>
  <c r="N16" i="4"/>
  <c r="N20" i="4"/>
  <c r="L22" i="4"/>
  <c r="L24" i="4"/>
  <c r="N15" i="5"/>
  <c r="L21" i="5"/>
  <c r="N12" i="7"/>
  <c r="J24" i="7"/>
  <c r="J22" i="7"/>
  <c r="J21" i="7"/>
  <c r="J20" i="7"/>
  <c r="J18" i="7"/>
  <c r="J16" i="7"/>
  <c r="J36" i="7"/>
  <c r="J29" i="7"/>
  <c r="J34" i="7"/>
  <c r="J27" i="7"/>
  <c r="J15" i="7"/>
  <c r="J33" i="7"/>
  <c r="J25" i="7"/>
  <c r="J31" i="7"/>
  <c r="H18" i="7"/>
  <c r="X13" i="7"/>
  <c r="Z15" i="7"/>
  <c r="X21" i="7"/>
  <c r="L12" i="8"/>
  <c r="F36" i="8"/>
  <c r="F34" i="8"/>
  <c r="F33" i="8"/>
  <c r="F31" i="8"/>
  <c r="F29" i="8"/>
  <c r="F27" i="8"/>
  <c r="F25" i="8"/>
  <c r="F24" i="8"/>
  <c r="F22" i="8"/>
  <c r="F21" i="8"/>
  <c r="F16" i="8"/>
  <c r="F15" i="8"/>
  <c r="F20" i="8"/>
  <c r="F18" i="8"/>
  <c r="D18" i="8"/>
  <c r="X16" i="8"/>
  <c r="X20" i="8"/>
  <c r="N12" i="10"/>
  <c r="J36" i="10"/>
  <c r="J34" i="10"/>
  <c r="J33" i="10"/>
  <c r="J31" i="10"/>
  <c r="J29" i="10"/>
  <c r="J27" i="10"/>
  <c r="J25" i="10"/>
  <c r="J24" i="10"/>
  <c r="J22" i="10"/>
  <c r="J21" i="10"/>
  <c r="J20" i="10"/>
  <c r="J18" i="10"/>
  <c r="J16" i="10"/>
  <c r="H18" i="10"/>
  <c r="J15" i="10"/>
  <c r="X13" i="10"/>
  <c r="Z15" i="10"/>
  <c r="X21" i="10"/>
  <c r="L12" i="11"/>
  <c r="F36" i="11"/>
  <c r="F34" i="11"/>
  <c r="F33" i="11"/>
  <c r="F31" i="11"/>
  <c r="F29" i="11"/>
  <c r="F27" i="11"/>
  <c r="F25" i="11"/>
  <c r="F24" i="11"/>
  <c r="F22" i="11"/>
  <c r="F21" i="11"/>
  <c r="D18" i="11"/>
  <c r="F16" i="11"/>
  <c r="F15" i="11"/>
  <c r="F20" i="11"/>
  <c r="F18" i="11"/>
  <c r="X16" i="11"/>
  <c r="X20" i="11"/>
  <c r="L15" i="14"/>
  <c r="Z25" i="14"/>
  <c r="Z33" i="14"/>
  <c r="L24" i="16"/>
  <c r="L13" i="19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N12" i="8"/>
  <c r="J36" i="8"/>
  <c r="J34" i="8"/>
  <c r="J33" i="8"/>
  <c r="J31" i="8"/>
  <c r="J29" i="8"/>
  <c r="J27" i="8"/>
  <c r="J25" i="8"/>
  <c r="J21" i="8"/>
  <c r="J20" i="8"/>
  <c r="J18" i="8"/>
  <c r="J16" i="8"/>
  <c r="H18" i="8"/>
  <c r="J15" i="8"/>
  <c r="J22" i="8"/>
  <c r="J24" i="8"/>
  <c r="X13" i="8"/>
  <c r="Z15" i="8"/>
  <c r="X21" i="8"/>
  <c r="Z13" i="10"/>
  <c r="Z16" i="10"/>
  <c r="Z20" i="10"/>
  <c r="X22" i="10"/>
  <c r="X24" i="10"/>
  <c r="N12" i="11"/>
  <c r="J36" i="11"/>
  <c r="J34" i="11"/>
  <c r="J33" i="11"/>
  <c r="J31" i="11"/>
  <c r="J29" i="11"/>
  <c r="J27" i="11"/>
  <c r="J25" i="11"/>
  <c r="J24" i="11"/>
  <c r="J22" i="11"/>
  <c r="J21" i="11"/>
  <c r="J20" i="11"/>
  <c r="J18" i="11"/>
  <c r="J16" i="11"/>
  <c r="H18" i="11"/>
  <c r="J15" i="11"/>
  <c r="X13" i="11"/>
  <c r="Z15" i="11"/>
  <c r="X21" i="11"/>
  <c r="N15" i="13"/>
  <c r="L21" i="13"/>
  <c r="X24" i="16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Z21" i="10"/>
  <c r="X25" i="10"/>
  <c r="X29" i="10"/>
  <c r="X33" i="10"/>
  <c r="X34" i="10"/>
  <c r="Z13" i="11"/>
  <c r="Z16" i="11"/>
  <c r="Z20" i="11"/>
  <c r="X22" i="11"/>
  <c r="X24" i="11"/>
  <c r="Z15" i="13"/>
  <c r="X21" i="13"/>
  <c r="N16" i="16"/>
  <c r="X15" i="4"/>
  <c r="N25" i="4"/>
  <c r="N29" i="4"/>
  <c r="N33" i="4"/>
  <c r="N34" i="4"/>
  <c r="N13" i="5"/>
  <c r="N22" i="5"/>
  <c r="N24" i="5"/>
  <c r="R36" i="7"/>
  <c r="R34" i="7"/>
  <c r="R33" i="7"/>
  <c r="R31" i="7"/>
  <c r="R29" i="7"/>
  <c r="R27" i="7"/>
  <c r="R25" i="7"/>
  <c r="R24" i="7"/>
  <c r="R22" i="7"/>
  <c r="R21" i="7"/>
  <c r="R20" i="7"/>
  <c r="R18" i="7"/>
  <c r="R16" i="7"/>
  <c r="X12" i="7"/>
  <c r="R15" i="7"/>
  <c r="P18" i="7"/>
  <c r="Z22" i="7"/>
  <c r="Z24" i="7"/>
  <c r="Z21" i="8"/>
  <c r="X25" i="8"/>
  <c r="X29" i="8"/>
  <c r="X33" i="8"/>
  <c r="X34" i="8"/>
  <c r="R36" i="10"/>
  <c r="R34" i="10"/>
  <c r="R33" i="10"/>
  <c r="R31" i="10"/>
  <c r="R29" i="10"/>
  <c r="R27" i="10"/>
  <c r="R25" i="10"/>
  <c r="R24" i="10"/>
  <c r="R22" i="10"/>
  <c r="R21" i="10"/>
  <c r="R20" i="10"/>
  <c r="R18" i="10"/>
  <c r="R16" i="10"/>
  <c r="P18" i="10"/>
  <c r="R15" i="10"/>
  <c r="X12" i="10"/>
  <c r="Z22" i="10"/>
  <c r="Z24" i="10"/>
  <c r="Z21" i="11"/>
  <c r="X25" i="11"/>
  <c r="X29" i="11"/>
  <c r="X33" i="11"/>
  <c r="X34" i="11"/>
  <c r="L16" i="13"/>
  <c r="Z34" i="14"/>
  <c r="Z16" i="16"/>
  <c r="F36" i="4"/>
  <c r="F34" i="4"/>
  <c r="F33" i="4"/>
  <c r="F31" i="4"/>
  <c r="F29" i="4"/>
  <c r="F27" i="4"/>
  <c r="F25" i="4"/>
  <c r="F24" i="4"/>
  <c r="F22" i="4"/>
  <c r="F21" i="4"/>
  <c r="D18" i="4"/>
  <c r="F15" i="4"/>
  <c r="F18" i="4"/>
  <c r="F16" i="4"/>
  <c r="F20" i="4"/>
  <c r="L12" i="4"/>
  <c r="X16" i="4"/>
  <c r="X20" i="4"/>
  <c r="X15" i="5"/>
  <c r="N25" i="5"/>
  <c r="N29" i="5"/>
  <c r="N33" i="5"/>
  <c r="N34" i="5"/>
  <c r="V24" i="7"/>
  <c r="V22" i="7"/>
  <c r="V21" i="7"/>
  <c r="V20" i="7"/>
  <c r="V18" i="7"/>
  <c r="V16" i="7"/>
  <c r="T18" i="7"/>
  <c r="V15" i="7"/>
  <c r="V36" i="7"/>
  <c r="V34" i="7"/>
  <c r="V33" i="7"/>
  <c r="V31" i="7"/>
  <c r="V29" i="7"/>
  <c r="V27" i="7"/>
  <c r="V25" i="7"/>
  <c r="Z12" i="7"/>
  <c r="L15" i="7"/>
  <c r="Z25" i="7"/>
  <c r="Z29" i="7"/>
  <c r="Z33" i="7"/>
  <c r="Z34" i="7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P18" i="8"/>
  <c r="R15" i="8"/>
  <c r="X12" i="8"/>
  <c r="Z22" i="8"/>
  <c r="Z24" i="8"/>
  <c r="V24" i="10"/>
  <c r="V22" i="10"/>
  <c r="V21" i="10"/>
  <c r="V20" i="10"/>
  <c r="V18" i="10"/>
  <c r="V16" i="10"/>
  <c r="T18" i="10"/>
  <c r="V15" i="10"/>
  <c r="V36" i="10"/>
  <c r="V34" i="10"/>
  <c r="V33" i="10"/>
  <c r="V31" i="10"/>
  <c r="V29" i="10"/>
  <c r="V27" i="10"/>
  <c r="V25" i="10"/>
  <c r="Z12" i="10"/>
  <c r="L15" i="10"/>
  <c r="Z25" i="10"/>
  <c r="Z29" i="10"/>
  <c r="Z33" i="10"/>
  <c r="Z34" i="10"/>
  <c r="R36" i="11"/>
  <c r="R34" i="11"/>
  <c r="R33" i="11"/>
  <c r="R31" i="11"/>
  <c r="R29" i="11"/>
  <c r="R27" i="11"/>
  <c r="R25" i="11"/>
  <c r="R24" i="11"/>
  <c r="R22" i="11"/>
  <c r="R21" i="11"/>
  <c r="R20" i="11"/>
  <c r="R18" i="11"/>
  <c r="R16" i="11"/>
  <c r="P18" i="11"/>
  <c r="R15" i="11"/>
  <c r="X12" i="11"/>
  <c r="Z22" i="11"/>
  <c r="Z24" i="11"/>
  <c r="L16" i="14"/>
  <c r="L21" i="17"/>
  <c r="L33" i="19"/>
  <c r="L29" i="28"/>
  <c r="N15" i="16"/>
  <c r="L21" i="16"/>
  <c r="L16" i="17"/>
  <c r="L20" i="17"/>
  <c r="L21" i="20"/>
  <c r="H18" i="22"/>
  <c r="J15" i="22"/>
  <c r="J24" i="22"/>
  <c r="J22" i="22"/>
  <c r="J21" i="22"/>
  <c r="J16" i="22"/>
  <c r="J33" i="22"/>
  <c r="J27" i="22"/>
  <c r="J18" i="22"/>
  <c r="J34" i="22"/>
  <c r="J29" i="22"/>
  <c r="N12" i="22"/>
  <c r="J36" i="22"/>
  <c r="J31" i="22"/>
  <c r="J25" i="22"/>
  <c r="J20" i="22"/>
  <c r="N16" i="13"/>
  <c r="N20" i="13"/>
  <c r="L22" i="13"/>
  <c r="L24" i="13"/>
  <c r="N15" i="14"/>
  <c r="L21" i="14"/>
  <c r="L13" i="16"/>
  <c r="N21" i="16"/>
  <c r="L25" i="16"/>
  <c r="L29" i="16"/>
  <c r="L33" i="16"/>
  <c r="L34" i="16"/>
  <c r="N16" i="17"/>
  <c r="N20" i="17"/>
  <c r="L22" i="17"/>
  <c r="L24" i="17"/>
  <c r="N20" i="19"/>
  <c r="N33" i="23"/>
  <c r="L13" i="13"/>
  <c r="N21" i="13"/>
  <c r="L25" i="13"/>
  <c r="L29" i="13"/>
  <c r="L33" i="13"/>
  <c r="L34" i="13"/>
  <c r="N16" i="14"/>
  <c r="N20" i="14"/>
  <c r="L22" i="14"/>
  <c r="L24" i="14"/>
  <c r="N13" i="16"/>
  <c r="N22" i="16"/>
  <c r="N24" i="16"/>
  <c r="L13" i="17"/>
  <c r="N21" i="17"/>
  <c r="L25" i="17"/>
  <c r="L29" i="17"/>
  <c r="L33" i="17"/>
  <c r="L34" i="17"/>
  <c r="L29" i="19"/>
  <c r="L22" i="20"/>
  <c r="L29" i="22"/>
  <c r="N13" i="13"/>
  <c r="N22" i="13"/>
  <c r="N24" i="13"/>
  <c r="L13" i="14"/>
  <c r="N21" i="14"/>
  <c r="L25" i="14"/>
  <c r="L29" i="14"/>
  <c r="L33" i="14"/>
  <c r="L34" i="14"/>
  <c r="X15" i="16"/>
  <c r="N25" i="16"/>
  <c r="N29" i="16"/>
  <c r="N33" i="16"/>
  <c r="N34" i="16"/>
  <c r="N13" i="17"/>
  <c r="N22" i="17"/>
  <c r="N24" i="17"/>
  <c r="N15" i="20"/>
  <c r="X20" i="23"/>
  <c r="Z34" i="23"/>
  <c r="X15" i="13"/>
  <c r="N25" i="13"/>
  <c r="N29" i="13"/>
  <c r="N33" i="13"/>
  <c r="N34" i="13"/>
  <c r="N13" i="14"/>
  <c r="N22" i="14"/>
  <c r="N24" i="14"/>
  <c r="D18" i="16"/>
  <c r="F15" i="16"/>
  <c r="F36" i="16"/>
  <c r="F34" i="16"/>
  <c r="F33" i="16"/>
  <c r="F31" i="16"/>
  <c r="F29" i="16"/>
  <c r="F27" i="16"/>
  <c r="F25" i="16"/>
  <c r="F24" i="16"/>
  <c r="F22" i="16"/>
  <c r="F20" i="16"/>
  <c r="F18" i="16"/>
  <c r="F16" i="16"/>
  <c r="L12" i="16"/>
  <c r="F21" i="16"/>
  <c r="X16" i="16"/>
  <c r="X20" i="16"/>
  <c r="X15" i="17"/>
  <c r="N25" i="17"/>
  <c r="N29" i="17"/>
  <c r="N33" i="17"/>
  <c r="N34" i="17"/>
  <c r="N21" i="19"/>
  <c r="L24" i="20"/>
  <c r="Z16" i="22"/>
  <c r="L16" i="26"/>
  <c r="N16" i="32"/>
  <c r="L12" i="13"/>
  <c r="F36" i="13"/>
  <c r="F34" i="13"/>
  <c r="F33" i="13"/>
  <c r="F31" i="13"/>
  <c r="F29" i="13"/>
  <c r="F27" i="13"/>
  <c r="F25" i="13"/>
  <c r="F24" i="13"/>
  <c r="F22" i="13"/>
  <c r="F21" i="13"/>
  <c r="F16" i="13"/>
  <c r="F15" i="13"/>
  <c r="F20" i="13"/>
  <c r="F18" i="13"/>
  <c r="D18" i="13"/>
  <c r="X16" i="13"/>
  <c r="X20" i="13"/>
  <c r="X15" i="14"/>
  <c r="N25" i="14"/>
  <c r="N29" i="14"/>
  <c r="N33" i="14"/>
  <c r="N34" i="14"/>
  <c r="N12" i="16"/>
  <c r="J36" i="16"/>
  <c r="J34" i="16"/>
  <c r="J33" i="16"/>
  <c r="J31" i="16"/>
  <c r="J29" i="16"/>
  <c r="J27" i="16"/>
  <c r="J25" i="16"/>
  <c r="J24" i="16"/>
  <c r="J22" i="16"/>
  <c r="J21" i="16"/>
  <c r="J20" i="16"/>
  <c r="J18" i="16"/>
  <c r="J16" i="16"/>
  <c r="H18" i="16"/>
  <c r="J15" i="16"/>
  <c r="X13" i="16"/>
  <c r="Z15" i="16"/>
  <c r="X21" i="16"/>
  <c r="L12" i="17"/>
  <c r="F36" i="17"/>
  <c r="F34" i="17"/>
  <c r="F33" i="17"/>
  <c r="F31" i="17"/>
  <c r="F29" i="17"/>
  <c r="F27" i="17"/>
  <c r="F25" i="17"/>
  <c r="F24" i="17"/>
  <c r="F22" i="17"/>
  <c r="F21" i="17"/>
  <c r="D18" i="17"/>
  <c r="F15" i="17"/>
  <c r="F20" i="17"/>
  <c r="F18" i="17"/>
  <c r="F16" i="17"/>
  <c r="X16" i="17"/>
  <c r="X20" i="17"/>
  <c r="L22" i="19"/>
  <c r="L20" i="22"/>
  <c r="Z13" i="13"/>
  <c r="Z16" i="13"/>
  <c r="Z20" i="13"/>
  <c r="X22" i="13"/>
  <c r="X24" i="13"/>
  <c r="N12" i="14"/>
  <c r="J24" i="14"/>
  <c r="J22" i="14"/>
  <c r="J21" i="14"/>
  <c r="J20" i="14"/>
  <c r="J18" i="14"/>
  <c r="J16" i="14"/>
  <c r="H18" i="14"/>
  <c r="J15" i="14"/>
  <c r="J34" i="14"/>
  <c r="J27" i="14"/>
  <c r="J33" i="14"/>
  <c r="J25" i="14"/>
  <c r="J31" i="14"/>
  <c r="J36" i="14"/>
  <c r="J29" i="14"/>
  <c r="X13" i="14"/>
  <c r="Z15" i="14"/>
  <c r="X21" i="14"/>
  <c r="Z21" i="16"/>
  <c r="X25" i="16"/>
  <c r="X29" i="16"/>
  <c r="X33" i="16"/>
  <c r="X34" i="16"/>
  <c r="Z13" i="17"/>
  <c r="Z16" i="17"/>
  <c r="Z20" i="17"/>
  <c r="X22" i="17"/>
  <c r="X24" i="17"/>
  <c r="L24" i="19"/>
  <c r="X21" i="22"/>
  <c r="N24" i="26"/>
  <c r="N16" i="35"/>
  <c r="Z21" i="13"/>
  <c r="X25" i="13"/>
  <c r="X29" i="13"/>
  <c r="X33" i="13"/>
  <c r="X34" i="13"/>
  <c r="Z13" i="14"/>
  <c r="Z16" i="14"/>
  <c r="Z20" i="14"/>
  <c r="X22" i="14"/>
  <c r="X24" i="14"/>
  <c r="X12" i="16"/>
  <c r="R36" i="16"/>
  <c r="R34" i="16"/>
  <c r="R33" i="16"/>
  <c r="R31" i="16"/>
  <c r="R29" i="16"/>
  <c r="R27" i="16"/>
  <c r="R25" i="16"/>
  <c r="R24" i="16"/>
  <c r="R22" i="16"/>
  <c r="R20" i="16"/>
  <c r="R18" i="16"/>
  <c r="R16" i="16"/>
  <c r="P18" i="16"/>
  <c r="R15" i="16"/>
  <c r="R21" i="16"/>
  <c r="Z22" i="16"/>
  <c r="Z24" i="16"/>
  <c r="Z21" i="17"/>
  <c r="X25" i="17"/>
  <c r="X29" i="17"/>
  <c r="X33" i="17"/>
  <c r="X34" i="17"/>
  <c r="L34" i="19"/>
  <c r="R36" i="13"/>
  <c r="R34" i="13"/>
  <c r="R33" i="13"/>
  <c r="R31" i="13"/>
  <c r="R29" i="13"/>
  <c r="R27" i="13"/>
  <c r="R25" i="13"/>
  <c r="R24" i="13"/>
  <c r="R22" i="13"/>
  <c r="R21" i="13"/>
  <c r="P18" i="13"/>
  <c r="R15" i="13"/>
  <c r="R20" i="13"/>
  <c r="X12" i="13"/>
  <c r="R18" i="13"/>
  <c r="R16" i="13"/>
  <c r="Z22" i="13"/>
  <c r="Z24" i="13"/>
  <c r="Z21" i="14"/>
  <c r="X25" i="14"/>
  <c r="X29" i="14"/>
  <c r="X33" i="14"/>
  <c r="X34" i="14"/>
  <c r="V36" i="16"/>
  <c r="V34" i="16"/>
  <c r="V33" i="16"/>
  <c r="V31" i="16"/>
  <c r="V29" i="16"/>
  <c r="V27" i="16"/>
  <c r="V25" i="16"/>
  <c r="V24" i="16"/>
  <c r="V22" i="16"/>
  <c r="V21" i="16"/>
  <c r="V20" i="16"/>
  <c r="V18" i="16"/>
  <c r="V16" i="16"/>
  <c r="Z12" i="16"/>
  <c r="V15" i="16"/>
  <c r="T18" i="16"/>
  <c r="L15" i="16"/>
  <c r="Z25" i="16"/>
  <c r="Z29" i="16"/>
  <c r="Z33" i="16"/>
  <c r="Z34" i="16"/>
  <c r="R36" i="17"/>
  <c r="R34" i="17"/>
  <c r="R33" i="17"/>
  <c r="R31" i="17"/>
  <c r="R29" i="17"/>
  <c r="R27" i="17"/>
  <c r="R25" i="17"/>
  <c r="R24" i="17"/>
  <c r="R22" i="17"/>
  <c r="R21" i="17"/>
  <c r="P18" i="17"/>
  <c r="R15" i="17"/>
  <c r="X12" i="17"/>
  <c r="R20" i="17"/>
  <c r="R18" i="17"/>
  <c r="R16" i="17"/>
  <c r="Z22" i="17"/>
  <c r="Z24" i="17"/>
  <c r="N16" i="19"/>
  <c r="Z12" i="23"/>
  <c r="V36" i="23"/>
  <c r="V34" i="23"/>
  <c r="V33" i="23"/>
  <c r="V31" i="23"/>
  <c r="V29" i="23"/>
  <c r="V27" i="23"/>
  <c r="V25" i="23"/>
  <c r="V21" i="23"/>
  <c r="V22" i="23"/>
  <c r="V18" i="23"/>
  <c r="T18" i="23"/>
  <c r="V24" i="23"/>
  <c r="V20" i="23"/>
  <c r="V15" i="23"/>
  <c r="V16" i="23"/>
  <c r="Z25" i="23"/>
  <c r="N25" i="25"/>
  <c r="L20" i="29"/>
  <c r="V24" i="13"/>
  <c r="V22" i="13"/>
  <c r="V21" i="13"/>
  <c r="V20" i="13"/>
  <c r="V18" i="13"/>
  <c r="V16" i="13"/>
  <c r="T18" i="13"/>
  <c r="V15" i="13"/>
  <c r="V34" i="13"/>
  <c r="V27" i="13"/>
  <c r="V33" i="13"/>
  <c r="V25" i="13"/>
  <c r="Z12" i="13"/>
  <c r="V31" i="13"/>
  <c r="V36" i="13"/>
  <c r="V29" i="13"/>
  <c r="L15" i="13"/>
  <c r="Z25" i="13"/>
  <c r="Z29" i="13"/>
  <c r="Z33" i="13"/>
  <c r="Z34" i="13"/>
  <c r="R36" i="14"/>
  <c r="R34" i="14"/>
  <c r="R33" i="14"/>
  <c r="R31" i="14"/>
  <c r="R29" i="14"/>
  <c r="R27" i="14"/>
  <c r="R25" i="14"/>
  <c r="R24" i="14"/>
  <c r="R22" i="14"/>
  <c r="R21" i="14"/>
  <c r="R20" i="14"/>
  <c r="R18" i="14"/>
  <c r="R16" i="14"/>
  <c r="R15" i="14"/>
  <c r="X12" i="14"/>
  <c r="P18" i="14"/>
  <c r="Z22" i="14"/>
  <c r="Z24" i="14"/>
  <c r="L16" i="16"/>
  <c r="L20" i="16"/>
  <c r="V24" i="17"/>
  <c r="V22" i="17"/>
  <c r="V21" i="17"/>
  <c r="V20" i="17"/>
  <c r="V18" i="17"/>
  <c r="V16" i="17"/>
  <c r="T18" i="17"/>
  <c r="V15" i="17"/>
  <c r="V36" i="17"/>
  <c r="V34" i="17"/>
  <c r="V33" i="17"/>
  <c r="V31" i="17"/>
  <c r="V29" i="17"/>
  <c r="V27" i="17"/>
  <c r="V25" i="17"/>
  <c r="Z12" i="17"/>
  <c r="L15" i="17"/>
  <c r="Z25" i="17"/>
  <c r="Z29" i="17"/>
  <c r="Z33" i="17"/>
  <c r="Z34" i="17"/>
  <c r="L25" i="19"/>
  <c r="N20" i="20"/>
  <c r="N15" i="19"/>
  <c r="L21" i="19"/>
  <c r="L16" i="20"/>
  <c r="L20" i="20"/>
  <c r="F21" i="22"/>
  <c r="F20" i="22"/>
  <c r="F18" i="22"/>
  <c r="F16" i="22"/>
  <c r="F36" i="22"/>
  <c r="F31" i="22"/>
  <c r="F25" i="22"/>
  <c r="F33" i="22"/>
  <c r="F27" i="22"/>
  <c r="F22" i="22"/>
  <c r="D18" i="22"/>
  <c r="F34" i="22"/>
  <c r="F29" i="22"/>
  <c r="F24" i="22"/>
  <c r="F15" i="22"/>
  <c r="L12" i="22"/>
  <c r="X16" i="22"/>
  <c r="Z22" i="22"/>
  <c r="X15" i="23"/>
  <c r="Z21" i="23"/>
  <c r="X25" i="23"/>
  <c r="X34" i="23"/>
  <c r="L29" i="26"/>
  <c r="L34" i="26"/>
  <c r="L16" i="28"/>
  <c r="Z13" i="32"/>
  <c r="N13" i="19"/>
  <c r="N22" i="19"/>
  <c r="N24" i="19"/>
  <c r="L13" i="20"/>
  <c r="N21" i="20"/>
  <c r="L25" i="20"/>
  <c r="L29" i="20"/>
  <c r="L33" i="20"/>
  <c r="L34" i="20"/>
  <c r="Z21" i="22"/>
  <c r="N24" i="22"/>
  <c r="X25" i="22"/>
  <c r="L13" i="23"/>
  <c r="Z20" i="23"/>
  <c r="X24" i="23"/>
  <c r="X29" i="23"/>
  <c r="L22" i="25"/>
  <c r="L21" i="26"/>
  <c r="X15" i="19"/>
  <c r="N25" i="19"/>
  <c r="N29" i="19"/>
  <c r="N33" i="19"/>
  <c r="N34" i="19"/>
  <c r="N13" i="20"/>
  <c r="N22" i="20"/>
  <c r="N24" i="20"/>
  <c r="R22" i="22"/>
  <c r="R18" i="22"/>
  <c r="R34" i="22"/>
  <c r="R29" i="22"/>
  <c r="P18" i="22"/>
  <c r="R24" i="22"/>
  <c r="R20" i="22"/>
  <c r="X12" i="22"/>
  <c r="R36" i="22"/>
  <c r="R31" i="22"/>
  <c r="R25" i="22"/>
  <c r="R15" i="22"/>
  <c r="R33" i="22"/>
  <c r="R27" i="22"/>
  <c r="R21" i="22"/>
  <c r="R16" i="22"/>
  <c r="X20" i="22"/>
  <c r="Z29" i="23"/>
  <c r="N13" i="25"/>
  <c r="N22" i="25"/>
  <c r="N21" i="26"/>
  <c r="L25" i="26"/>
  <c r="V20" i="29"/>
  <c r="V18" i="29"/>
  <c r="V16" i="29"/>
  <c r="T18" i="29"/>
  <c r="V15" i="29"/>
  <c r="Z12" i="29"/>
  <c r="V21" i="29"/>
  <c r="V36" i="29"/>
  <c r="V25" i="29"/>
  <c r="V34" i="29"/>
  <c r="V24" i="29"/>
  <c r="V33" i="29"/>
  <c r="V22" i="29"/>
  <c r="V31" i="29"/>
  <c r="V29" i="29"/>
  <c r="V27" i="29"/>
  <c r="X29" i="31"/>
  <c r="L22" i="35"/>
  <c r="L16" i="38"/>
  <c r="D18" i="19"/>
  <c r="F15" i="19"/>
  <c r="L12" i="19"/>
  <c r="F36" i="19"/>
  <c r="F34" i="19"/>
  <c r="F33" i="19"/>
  <c r="F31" i="19"/>
  <c r="F29" i="19"/>
  <c r="F27" i="19"/>
  <c r="F25" i="19"/>
  <c r="F20" i="19"/>
  <c r="F18" i="19"/>
  <c r="F16" i="19"/>
  <c r="F24" i="19"/>
  <c r="F21" i="19"/>
  <c r="F22" i="19"/>
  <c r="X16" i="19"/>
  <c r="X20" i="19"/>
  <c r="X15" i="20"/>
  <c r="N25" i="20"/>
  <c r="N29" i="20"/>
  <c r="N33" i="20"/>
  <c r="N34" i="20"/>
  <c r="Z15" i="22"/>
  <c r="X33" i="23"/>
  <c r="N33" i="25"/>
  <c r="L21" i="32"/>
  <c r="Z15" i="34"/>
  <c r="N12" i="19"/>
  <c r="J36" i="19"/>
  <c r="J34" i="19"/>
  <c r="J33" i="19"/>
  <c r="J31" i="19"/>
  <c r="J29" i="19"/>
  <c r="J27" i="19"/>
  <c r="J25" i="19"/>
  <c r="J24" i="19"/>
  <c r="J22" i="19"/>
  <c r="J21" i="19"/>
  <c r="J16" i="19"/>
  <c r="J15" i="19"/>
  <c r="J20" i="19"/>
  <c r="H18" i="19"/>
  <c r="J18" i="19"/>
  <c r="X13" i="19"/>
  <c r="Z15" i="19"/>
  <c r="X21" i="19"/>
  <c r="L12" i="20"/>
  <c r="F36" i="20"/>
  <c r="F34" i="20"/>
  <c r="F33" i="20"/>
  <c r="F31" i="20"/>
  <c r="F29" i="20"/>
  <c r="F27" i="20"/>
  <c r="F25" i="20"/>
  <c r="F24" i="20"/>
  <c r="F22" i="20"/>
  <c r="D18" i="20"/>
  <c r="F15" i="20"/>
  <c r="F20" i="20"/>
  <c r="F18" i="20"/>
  <c r="F16" i="20"/>
  <c r="F21" i="20"/>
  <c r="X16" i="20"/>
  <c r="X20" i="20"/>
  <c r="L13" i="22"/>
  <c r="Z20" i="22"/>
  <c r="X24" i="22"/>
  <c r="L33" i="22"/>
  <c r="X13" i="23"/>
  <c r="N16" i="23"/>
  <c r="Z33" i="23"/>
  <c r="N15" i="25"/>
  <c r="L20" i="28"/>
  <c r="L15" i="29"/>
  <c r="Z33" i="29"/>
  <c r="L33" i="31"/>
  <c r="X20" i="34"/>
  <c r="Z13" i="19"/>
  <c r="Z16" i="19"/>
  <c r="Z20" i="19"/>
  <c r="X22" i="19"/>
  <c r="X24" i="19"/>
  <c r="N12" i="20"/>
  <c r="J36" i="20"/>
  <c r="J34" i="20"/>
  <c r="J33" i="20"/>
  <c r="J31" i="20"/>
  <c r="J29" i="20"/>
  <c r="J27" i="20"/>
  <c r="J25" i="20"/>
  <c r="J24" i="20"/>
  <c r="J22" i="20"/>
  <c r="J21" i="20"/>
  <c r="J20" i="20"/>
  <c r="J18" i="20"/>
  <c r="J16" i="20"/>
  <c r="H18" i="20"/>
  <c r="J15" i="20"/>
  <c r="X13" i="20"/>
  <c r="Z15" i="20"/>
  <c r="X21" i="20"/>
  <c r="N13" i="22"/>
  <c r="N22" i="22"/>
  <c r="X29" i="22"/>
  <c r="X34" i="22"/>
  <c r="Z13" i="23"/>
  <c r="N21" i="23"/>
  <c r="X22" i="23"/>
  <c r="L25" i="23"/>
  <c r="N20" i="25"/>
  <c r="L24" i="25"/>
  <c r="L29" i="35"/>
  <c r="N22" i="41"/>
  <c r="Z21" i="19"/>
  <c r="X25" i="19"/>
  <c r="X29" i="19"/>
  <c r="X33" i="19"/>
  <c r="X34" i="19"/>
  <c r="Z13" i="20"/>
  <c r="Z16" i="20"/>
  <c r="Z20" i="20"/>
  <c r="X22" i="20"/>
  <c r="X24" i="20"/>
  <c r="Z24" i="22"/>
  <c r="N25" i="23"/>
  <c r="N34" i="23"/>
  <c r="N24" i="25"/>
  <c r="L13" i="26"/>
  <c r="L33" i="26"/>
  <c r="L13" i="28"/>
  <c r="L25" i="28"/>
  <c r="L33" i="28"/>
  <c r="Z34" i="29"/>
  <c r="X34" i="31"/>
  <c r="X22" i="32"/>
  <c r="X12" i="19"/>
  <c r="R36" i="19"/>
  <c r="R34" i="19"/>
  <c r="R33" i="19"/>
  <c r="R31" i="19"/>
  <c r="R29" i="19"/>
  <c r="R27" i="19"/>
  <c r="R25" i="19"/>
  <c r="R24" i="19"/>
  <c r="R22" i="19"/>
  <c r="R21" i="19"/>
  <c r="R20" i="19"/>
  <c r="R18" i="19"/>
  <c r="R16" i="19"/>
  <c r="P18" i="19"/>
  <c r="R15" i="19"/>
  <c r="Z22" i="19"/>
  <c r="Z24" i="19"/>
  <c r="Z21" i="20"/>
  <c r="X25" i="20"/>
  <c r="X29" i="20"/>
  <c r="X33" i="20"/>
  <c r="X34" i="20"/>
  <c r="X13" i="22"/>
  <c r="L16" i="22"/>
  <c r="F20" i="23"/>
  <c r="F18" i="23"/>
  <c r="F16" i="23"/>
  <c r="D18" i="23"/>
  <c r="F15" i="23"/>
  <c r="F36" i="23"/>
  <c r="F34" i="23"/>
  <c r="F33" i="23"/>
  <c r="F31" i="23"/>
  <c r="F29" i="23"/>
  <c r="F27" i="23"/>
  <c r="F25" i="23"/>
  <c r="F24" i="23"/>
  <c r="L12" i="23"/>
  <c r="F21" i="23"/>
  <c r="F22" i="23"/>
  <c r="L15" i="23"/>
  <c r="X16" i="23"/>
  <c r="X15" i="25"/>
  <c r="N29" i="25"/>
  <c r="N34" i="25"/>
  <c r="N13" i="26"/>
  <c r="N22" i="26"/>
  <c r="L16" i="29"/>
  <c r="L22" i="31"/>
  <c r="V36" i="19"/>
  <c r="V34" i="19"/>
  <c r="V33" i="19"/>
  <c r="V31" i="19"/>
  <c r="V29" i="19"/>
  <c r="V27" i="19"/>
  <c r="V25" i="19"/>
  <c r="V24" i="19"/>
  <c r="V22" i="19"/>
  <c r="V21" i="19"/>
  <c r="V20" i="19"/>
  <c r="V18" i="19"/>
  <c r="V16" i="19"/>
  <c r="T18" i="19"/>
  <c r="V15" i="19"/>
  <c r="Z12" i="19"/>
  <c r="L15" i="19"/>
  <c r="Z25" i="19"/>
  <c r="Z29" i="19"/>
  <c r="Z33" i="19"/>
  <c r="Z34" i="19"/>
  <c r="R36" i="20"/>
  <c r="R34" i="20"/>
  <c r="R33" i="20"/>
  <c r="R31" i="20"/>
  <c r="R29" i="20"/>
  <c r="R27" i="20"/>
  <c r="R25" i="20"/>
  <c r="R24" i="20"/>
  <c r="R22" i="20"/>
  <c r="R21" i="20"/>
  <c r="R20" i="20"/>
  <c r="R18" i="20"/>
  <c r="R16" i="20"/>
  <c r="P18" i="20"/>
  <c r="R15" i="20"/>
  <c r="X12" i="20"/>
  <c r="Z22" i="20"/>
  <c r="Z24" i="20"/>
  <c r="Z13" i="22"/>
  <c r="N21" i="22"/>
  <c r="X22" i="22"/>
  <c r="L25" i="22"/>
  <c r="J21" i="23"/>
  <c r="J20" i="23"/>
  <c r="J15" i="23"/>
  <c r="J34" i="23"/>
  <c r="J25" i="23"/>
  <c r="J31" i="23"/>
  <c r="J16" i="23"/>
  <c r="J27" i="23"/>
  <c r="J36" i="23"/>
  <c r="J22" i="23"/>
  <c r="J18" i="23"/>
  <c r="J29" i="23"/>
  <c r="J24" i="23"/>
  <c r="N12" i="23"/>
  <c r="J33" i="23"/>
  <c r="H18" i="23"/>
  <c r="N20" i="23"/>
  <c r="X21" i="23"/>
  <c r="L24" i="23"/>
  <c r="L21" i="25"/>
  <c r="L20" i="26"/>
  <c r="N15" i="28"/>
  <c r="L21" i="28"/>
  <c r="Z25" i="29"/>
  <c r="L16" i="19"/>
  <c r="L20" i="19"/>
  <c r="V24" i="20"/>
  <c r="V22" i="20"/>
  <c r="V21" i="20"/>
  <c r="V20" i="20"/>
  <c r="V18" i="20"/>
  <c r="V16" i="20"/>
  <c r="T18" i="20"/>
  <c r="V15" i="20"/>
  <c r="V36" i="20"/>
  <c r="V34" i="20"/>
  <c r="V33" i="20"/>
  <c r="V31" i="20"/>
  <c r="V29" i="20"/>
  <c r="V27" i="20"/>
  <c r="V25" i="20"/>
  <c r="Z12" i="20"/>
  <c r="L15" i="20"/>
  <c r="Z25" i="20"/>
  <c r="Z29" i="20"/>
  <c r="Z33" i="20"/>
  <c r="Z34" i="20"/>
  <c r="X33" i="22"/>
  <c r="Z16" i="23"/>
  <c r="N29" i="23"/>
  <c r="N16" i="25"/>
  <c r="N15" i="26"/>
  <c r="N21" i="28"/>
  <c r="L34" i="28"/>
  <c r="X15" i="22"/>
  <c r="N25" i="22"/>
  <c r="N29" i="22"/>
  <c r="N33" i="22"/>
  <c r="N34" i="22"/>
  <c r="N13" i="23"/>
  <c r="N22" i="23"/>
  <c r="N24" i="23"/>
  <c r="L16" i="25"/>
  <c r="L20" i="25"/>
  <c r="V21" i="26"/>
  <c r="V20" i="26"/>
  <c r="V18" i="26"/>
  <c r="V16" i="26"/>
  <c r="T18" i="26"/>
  <c r="V15" i="26"/>
  <c r="V24" i="26"/>
  <c r="V22" i="26"/>
  <c r="V33" i="26"/>
  <c r="V27" i="26"/>
  <c r="Z12" i="26"/>
  <c r="V36" i="26"/>
  <c r="V31" i="26"/>
  <c r="V25" i="26"/>
  <c r="V29" i="26"/>
  <c r="V34" i="26"/>
  <c r="L15" i="26"/>
  <c r="Z25" i="26"/>
  <c r="Z29" i="26"/>
  <c r="Z33" i="26"/>
  <c r="Z34" i="26"/>
  <c r="V21" i="28"/>
  <c r="V20" i="28"/>
  <c r="V18" i="28"/>
  <c r="V16" i="28"/>
  <c r="T18" i="28"/>
  <c r="V15" i="28"/>
  <c r="V24" i="28"/>
  <c r="V22" i="28"/>
  <c r="V33" i="28"/>
  <c r="V25" i="28"/>
  <c r="Z12" i="28"/>
  <c r="V31" i="28"/>
  <c r="V29" i="28"/>
  <c r="V34" i="28"/>
  <c r="V27" i="28"/>
  <c r="V36" i="28"/>
  <c r="L15" i="28"/>
  <c r="Z25" i="28"/>
  <c r="Z29" i="28"/>
  <c r="Z33" i="28"/>
  <c r="Z34" i="28"/>
  <c r="R24" i="29"/>
  <c r="R22" i="29"/>
  <c r="R21" i="29"/>
  <c r="R20" i="29"/>
  <c r="R18" i="29"/>
  <c r="R16" i="29"/>
  <c r="P18" i="29"/>
  <c r="R15" i="29"/>
  <c r="R36" i="29"/>
  <c r="R34" i="29"/>
  <c r="R33" i="29"/>
  <c r="R31" i="29"/>
  <c r="R29" i="29"/>
  <c r="R27" i="29"/>
  <c r="R25" i="29"/>
  <c r="X12" i="29"/>
  <c r="Z22" i="29"/>
  <c r="Z24" i="29"/>
  <c r="N13" i="31"/>
  <c r="N29" i="31"/>
  <c r="N34" i="31"/>
  <c r="N13" i="32"/>
  <c r="L16" i="32"/>
  <c r="N22" i="32"/>
  <c r="N24" i="34"/>
  <c r="X15" i="35"/>
  <c r="N34" i="35"/>
  <c r="N13" i="41"/>
  <c r="L13" i="25"/>
  <c r="N21" i="25"/>
  <c r="L25" i="25"/>
  <c r="L29" i="25"/>
  <c r="L33" i="25"/>
  <c r="L34" i="25"/>
  <c r="N16" i="26"/>
  <c r="N20" i="26"/>
  <c r="L22" i="26"/>
  <c r="L24" i="26"/>
  <c r="N16" i="28"/>
  <c r="N20" i="28"/>
  <c r="L22" i="28"/>
  <c r="L24" i="28"/>
  <c r="N15" i="29"/>
  <c r="L21" i="29"/>
  <c r="N22" i="31"/>
  <c r="Z24" i="31"/>
  <c r="N21" i="32"/>
  <c r="L25" i="32"/>
  <c r="X33" i="32"/>
  <c r="N21" i="34"/>
  <c r="L25" i="34"/>
  <c r="N29" i="35"/>
  <c r="N16" i="29"/>
  <c r="N20" i="29"/>
  <c r="L22" i="29"/>
  <c r="L24" i="29"/>
  <c r="L12" i="31"/>
  <c r="D18" i="31"/>
  <c r="F15" i="31"/>
  <c r="F34" i="31"/>
  <c r="F29" i="31"/>
  <c r="F24" i="31"/>
  <c r="F20" i="31"/>
  <c r="F36" i="31"/>
  <c r="F31" i="31"/>
  <c r="F25" i="31"/>
  <c r="F21" i="31"/>
  <c r="F33" i="31"/>
  <c r="F27" i="31"/>
  <c r="F16" i="31"/>
  <c r="F18" i="31"/>
  <c r="F22" i="31"/>
  <c r="N16" i="31"/>
  <c r="L21" i="31"/>
  <c r="N33" i="31"/>
  <c r="L20" i="32"/>
  <c r="L24" i="35"/>
  <c r="N33" i="41"/>
  <c r="N13" i="28"/>
  <c r="N22" i="28"/>
  <c r="N24" i="28"/>
  <c r="L13" i="29"/>
  <c r="N21" i="29"/>
  <c r="L25" i="29"/>
  <c r="L29" i="29"/>
  <c r="L33" i="29"/>
  <c r="L34" i="29"/>
  <c r="J36" i="31"/>
  <c r="J34" i="31"/>
  <c r="J33" i="31"/>
  <c r="J31" i="31"/>
  <c r="J29" i="31"/>
  <c r="J27" i="31"/>
  <c r="J25" i="31"/>
  <c r="J20" i="31"/>
  <c r="J21" i="31"/>
  <c r="J15" i="31"/>
  <c r="N12" i="31"/>
  <c r="J16" i="31"/>
  <c r="J22" i="31"/>
  <c r="J24" i="31"/>
  <c r="J18" i="31"/>
  <c r="H18" i="31"/>
  <c r="L15" i="31"/>
  <c r="F22" i="32"/>
  <c r="F18" i="32"/>
  <c r="F34" i="32"/>
  <c r="F29" i="32"/>
  <c r="D18" i="32"/>
  <c r="F24" i="32"/>
  <c r="L12" i="32"/>
  <c r="F20" i="32"/>
  <c r="F36" i="32"/>
  <c r="F31" i="32"/>
  <c r="F25" i="32"/>
  <c r="F15" i="32"/>
  <c r="F33" i="32"/>
  <c r="F27" i="32"/>
  <c r="F21" i="32"/>
  <c r="F16" i="32"/>
  <c r="N15" i="32"/>
  <c r="X16" i="32"/>
  <c r="F20" i="34"/>
  <c r="F18" i="34"/>
  <c r="F16" i="34"/>
  <c r="D18" i="34"/>
  <c r="F15" i="34"/>
  <c r="L12" i="34"/>
  <c r="F21" i="34"/>
  <c r="F34" i="34"/>
  <c r="F24" i="34"/>
  <c r="F33" i="34"/>
  <c r="F27" i="34"/>
  <c r="F22" i="34"/>
  <c r="F31" i="34"/>
  <c r="F25" i="34"/>
  <c r="F29" i="34"/>
  <c r="F36" i="34"/>
  <c r="X16" i="34"/>
  <c r="Z12" i="22"/>
  <c r="V24" i="22"/>
  <c r="V22" i="22"/>
  <c r="V18" i="22"/>
  <c r="T18" i="22"/>
  <c r="V34" i="22"/>
  <c r="V29" i="22"/>
  <c r="V20" i="22"/>
  <c r="V15" i="22"/>
  <c r="V36" i="22"/>
  <c r="V31" i="22"/>
  <c r="V25" i="22"/>
  <c r="V21" i="22"/>
  <c r="V16" i="22"/>
  <c r="V33" i="22"/>
  <c r="V27" i="22"/>
  <c r="L15" i="22"/>
  <c r="Z25" i="22"/>
  <c r="Z29" i="22"/>
  <c r="Z33" i="22"/>
  <c r="Z34" i="22"/>
  <c r="X12" i="23"/>
  <c r="R36" i="23"/>
  <c r="R34" i="23"/>
  <c r="R33" i="23"/>
  <c r="R31" i="23"/>
  <c r="R29" i="23"/>
  <c r="R27" i="23"/>
  <c r="R25" i="23"/>
  <c r="R21" i="23"/>
  <c r="R16" i="23"/>
  <c r="R22" i="23"/>
  <c r="R18" i="23"/>
  <c r="P18" i="23"/>
  <c r="R24" i="23"/>
  <c r="R20" i="23"/>
  <c r="R15" i="23"/>
  <c r="Z22" i="23"/>
  <c r="Z24" i="23"/>
  <c r="L12" i="25"/>
  <c r="F24" i="25"/>
  <c r="F22" i="25"/>
  <c r="D18" i="25"/>
  <c r="F15" i="25"/>
  <c r="F21" i="25"/>
  <c r="F16" i="25"/>
  <c r="F34" i="25"/>
  <c r="F29" i="25"/>
  <c r="F20" i="25"/>
  <c r="F33" i="25"/>
  <c r="F27" i="25"/>
  <c r="F36" i="25"/>
  <c r="F31" i="25"/>
  <c r="F25" i="25"/>
  <c r="F18" i="25"/>
  <c r="X16" i="25"/>
  <c r="X20" i="25"/>
  <c r="X15" i="26"/>
  <c r="N25" i="26"/>
  <c r="N29" i="26"/>
  <c r="N33" i="26"/>
  <c r="N34" i="26"/>
  <c r="X15" i="28"/>
  <c r="N25" i="28"/>
  <c r="N29" i="28"/>
  <c r="N33" i="28"/>
  <c r="N34" i="28"/>
  <c r="N13" i="29"/>
  <c r="N22" i="29"/>
  <c r="N24" i="29"/>
  <c r="N15" i="31"/>
  <c r="N21" i="31"/>
  <c r="L25" i="31"/>
  <c r="X33" i="31"/>
  <c r="Z16" i="32"/>
  <c r="N20" i="32"/>
  <c r="L24" i="32"/>
  <c r="N12" i="34"/>
  <c r="J24" i="34"/>
  <c r="J22" i="34"/>
  <c r="H18" i="34"/>
  <c r="J15" i="34"/>
  <c r="J20" i="34"/>
  <c r="J33" i="34"/>
  <c r="J27" i="34"/>
  <c r="J18" i="34"/>
  <c r="J31" i="34"/>
  <c r="J25" i="34"/>
  <c r="J21" i="34"/>
  <c r="J36" i="34"/>
  <c r="J16" i="34"/>
  <c r="J34" i="34"/>
  <c r="J29" i="34"/>
  <c r="X21" i="34"/>
  <c r="Z29" i="38"/>
  <c r="N12" i="25"/>
  <c r="J36" i="25"/>
  <c r="J34" i="25"/>
  <c r="J33" i="25"/>
  <c r="J31" i="25"/>
  <c r="J29" i="25"/>
  <c r="J27" i="25"/>
  <c r="J25" i="25"/>
  <c r="J20" i="25"/>
  <c r="J18" i="25"/>
  <c r="J16" i="25"/>
  <c r="J24" i="25"/>
  <c r="J15" i="25"/>
  <c r="J22" i="25"/>
  <c r="H18" i="25"/>
  <c r="J21" i="25"/>
  <c r="X13" i="25"/>
  <c r="Z15" i="25"/>
  <c r="X21" i="25"/>
  <c r="L12" i="26"/>
  <c r="F21" i="26"/>
  <c r="F20" i="26"/>
  <c r="F15" i="26"/>
  <c r="F33" i="26"/>
  <c r="F27" i="26"/>
  <c r="F22" i="26"/>
  <c r="F18" i="26"/>
  <c r="D18" i="26"/>
  <c r="F36" i="26"/>
  <c r="F31" i="26"/>
  <c r="F25" i="26"/>
  <c r="F16" i="26"/>
  <c r="F24" i="26"/>
  <c r="F29" i="26"/>
  <c r="F34" i="26"/>
  <c r="X16" i="26"/>
  <c r="X20" i="26"/>
  <c r="L12" i="28"/>
  <c r="F36" i="28"/>
  <c r="F34" i="28"/>
  <c r="F33" i="28"/>
  <c r="F31" i="28"/>
  <c r="F29" i="28"/>
  <c r="F27" i="28"/>
  <c r="F25" i="28"/>
  <c r="F21" i="28"/>
  <c r="F15" i="28"/>
  <c r="F20" i="28"/>
  <c r="F24" i="28"/>
  <c r="F18" i="28"/>
  <c r="D18" i="28"/>
  <c r="F22" i="28"/>
  <c r="F16" i="28"/>
  <c r="X16" i="28"/>
  <c r="X20" i="28"/>
  <c r="X15" i="29"/>
  <c r="N25" i="29"/>
  <c r="N29" i="29"/>
  <c r="N33" i="29"/>
  <c r="N34" i="29"/>
  <c r="R21" i="31"/>
  <c r="P18" i="31"/>
  <c r="R15" i="31"/>
  <c r="X12" i="31"/>
  <c r="R36" i="31"/>
  <c r="R31" i="31"/>
  <c r="R25" i="31"/>
  <c r="R16" i="31"/>
  <c r="R33" i="31"/>
  <c r="R27" i="31"/>
  <c r="R22" i="31"/>
  <c r="R18" i="31"/>
  <c r="R34" i="31"/>
  <c r="R29" i="31"/>
  <c r="R20" i="31"/>
  <c r="R24" i="31"/>
  <c r="Z22" i="31"/>
  <c r="Z21" i="32"/>
  <c r="X25" i="32"/>
  <c r="L29" i="32"/>
  <c r="L34" i="32"/>
  <c r="L13" i="34"/>
  <c r="L33" i="34"/>
  <c r="N20" i="35"/>
  <c r="N15" i="22"/>
  <c r="L21" i="22"/>
  <c r="L16" i="23"/>
  <c r="L20" i="23"/>
  <c r="Z13" i="25"/>
  <c r="Z16" i="25"/>
  <c r="Z20" i="25"/>
  <c r="X22" i="25"/>
  <c r="X24" i="25"/>
  <c r="N12" i="26"/>
  <c r="J36" i="26"/>
  <c r="J34" i="26"/>
  <c r="J33" i="26"/>
  <c r="J31" i="26"/>
  <c r="J29" i="26"/>
  <c r="J27" i="26"/>
  <c r="J25" i="26"/>
  <c r="J24" i="26"/>
  <c r="J22" i="26"/>
  <c r="H18" i="26"/>
  <c r="J15" i="26"/>
  <c r="J18" i="26"/>
  <c r="J21" i="26"/>
  <c r="J16" i="26"/>
  <c r="J20" i="26"/>
  <c r="X13" i="26"/>
  <c r="Z15" i="26"/>
  <c r="X21" i="26"/>
  <c r="N12" i="28"/>
  <c r="J36" i="28"/>
  <c r="J34" i="28"/>
  <c r="J33" i="28"/>
  <c r="J31" i="28"/>
  <c r="J29" i="28"/>
  <c r="J27" i="28"/>
  <c r="J25" i="28"/>
  <c r="J24" i="28"/>
  <c r="J22" i="28"/>
  <c r="J21" i="28"/>
  <c r="H18" i="28"/>
  <c r="J15" i="28"/>
  <c r="J20" i="28"/>
  <c r="J18" i="28"/>
  <c r="J16" i="28"/>
  <c r="X13" i="28"/>
  <c r="Z15" i="28"/>
  <c r="X21" i="28"/>
  <c r="L12" i="29"/>
  <c r="F36" i="29"/>
  <c r="F34" i="29"/>
  <c r="F33" i="29"/>
  <c r="F31" i="29"/>
  <c r="F29" i="29"/>
  <c r="F27" i="29"/>
  <c r="F25" i="29"/>
  <c r="F24" i="29"/>
  <c r="F22" i="29"/>
  <c r="F21" i="29"/>
  <c r="F20" i="29"/>
  <c r="F18" i="29"/>
  <c r="F16" i="29"/>
  <c r="D18" i="29"/>
  <c r="F15" i="29"/>
  <c r="X16" i="29"/>
  <c r="X20" i="29"/>
  <c r="V24" i="31"/>
  <c r="V22" i="31"/>
  <c r="T18" i="31"/>
  <c r="V15" i="31"/>
  <c r="V36" i="31"/>
  <c r="V34" i="31"/>
  <c r="V33" i="31"/>
  <c r="V31" i="31"/>
  <c r="V29" i="31"/>
  <c r="V27" i="31"/>
  <c r="V25" i="31"/>
  <c r="V21" i="31"/>
  <c r="V16" i="31"/>
  <c r="Z12" i="31"/>
  <c r="V18" i="31"/>
  <c r="V20" i="31"/>
  <c r="N25" i="31"/>
  <c r="N24" i="32"/>
  <c r="N13" i="34"/>
  <c r="N22" i="34"/>
  <c r="L13" i="35"/>
  <c r="L25" i="35"/>
  <c r="L33" i="35"/>
  <c r="Z34" i="38"/>
  <c r="N16" i="22"/>
  <c r="N20" i="22"/>
  <c r="L22" i="22"/>
  <c r="L24" i="22"/>
  <c r="N15" i="23"/>
  <c r="L21" i="23"/>
  <c r="Z21" i="25"/>
  <c r="X25" i="25"/>
  <c r="X29" i="25"/>
  <c r="X33" i="25"/>
  <c r="X34" i="25"/>
  <c r="Z13" i="26"/>
  <c r="Z16" i="26"/>
  <c r="Z20" i="26"/>
  <c r="X22" i="26"/>
  <c r="X24" i="26"/>
  <c r="Z13" i="28"/>
  <c r="Z16" i="28"/>
  <c r="Z20" i="28"/>
  <c r="X22" i="28"/>
  <c r="X24" i="28"/>
  <c r="N12" i="29"/>
  <c r="J36" i="29"/>
  <c r="J34" i="29"/>
  <c r="J33" i="29"/>
  <c r="J31" i="29"/>
  <c r="J29" i="29"/>
  <c r="J27" i="29"/>
  <c r="J25" i="29"/>
  <c r="J24" i="29"/>
  <c r="J22" i="29"/>
  <c r="J21" i="29"/>
  <c r="J20" i="29"/>
  <c r="J18" i="29"/>
  <c r="J16" i="29"/>
  <c r="H18" i="29"/>
  <c r="J15" i="29"/>
  <c r="X13" i="29"/>
  <c r="Z15" i="29"/>
  <c r="X21" i="29"/>
  <c r="N20" i="31"/>
  <c r="X21" i="31"/>
  <c r="L24" i="31"/>
  <c r="X20" i="32"/>
  <c r="N25" i="35"/>
  <c r="N33" i="35"/>
  <c r="R36" i="25"/>
  <c r="R34" i="25"/>
  <c r="R33" i="25"/>
  <c r="R31" i="25"/>
  <c r="R29" i="25"/>
  <c r="R27" i="25"/>
  <c r="R25" i="25"/>
  <c r="R24" i="25"/>
  <c r="R22" i="25"/>
  <c r="R21" i="25"/>
  <c r="R20" i="25"/>
  <c r="R18" i="25"/>
  <c r="R16" i="25"/>
  <c r="P18" i="25"/>
  <c r="R15" i="25"/>
  <c r="X12" i="25"/>
  <c r="Z22" i="25"/>
  <c r="Z24" i="25"/>
  <c r="Z21" i="26"/>
  <c r="X25" i="26"/>
  <c r="X29" i="26"/>
  <c r="X33" i="26"/>
  <c r="X34" i="26"/>
  <c r="Z21" i="28"/>
  <c r="X25" i="28"/>
  <c r="X29" i="28"/>
  <c r="X33" i="28"/>
  <c r="X34" i="28"/>
  <c r="Z13" i="29"/>
  <c r="Z16" i="29"/>
  <c r="Z20" i="29"/>
  <c r="X22" i="29"/>
  <c r="X24" i="29"/>
  <c r="X15" i="31"/>
  <c r="Z21" i="31"/>
  <c r="X25" i="31"/>
  <c r="L29" i="31"/>
  <c r="L34" i="31"/>
  <c r="Z20" i="32"/>
  <c r="L22" i="32"/>
  <c r="X24" i="32"/>
  <c r="X13" i="34"/>
  <c r="L34" i="34"/>
  <c r="N29" i="40"/>
  <c r="L29" i="23"/>
  <c r="L33" i="23"/>
  <c r="L34" i="23"/>
  <c r="V24" i="25"/>
  <c r="V22" i="25"/>
  <c r="V21" i="25"/>
  <c r="V20" i="25"/>
  <c r="V18" i="25"/>
  <c r="V16" i="25"/>
  <c r="T18" i="25"/>
  <c r="V15" i="25"/>
  <c r="V36" i="25"/>
  <c r="V34" i="25"/>
  <c r="V33" i="25"/>
  <c r="V31" i="25"/>
  <c r="V29" i="25"/>
  <c r="V27" i="25"/>
  <c r="V25" i="25"/>
  <c r="Z12" i="25"/>
  <c r="L15" i="25"/>
  <c r="Z25" i="25"/>
  <c r="Z29" i="25"/>
  <c r="Z33" i="25"/>
  <c r="Z34" i="25"/>
  <c r="R36" i="26"/>
  <c r="R34" i="26"/>
  <c r="R33" i="26"/>
  <c r="R31" i="26"/>
  <c r="R29" i="26"/>
  <c r="R27" i="26"/>
  <c r="R25" i="26"/>
  <c r="R24" i="26"/>
  <c r="R22" i="26"/>
  <c r="R21" i="26"/>
  <c r="R20" i="26"/>
  <c r="R18" i="26"/>
  <c r="R16" i="26"/>
  <c r="P18" i="26"/>
  <c r="R15" i="26"/>
  <c r="X12" i="26"/>
  <c r="Z22" i="26"/>
  <c r="Z24" i="26"/>
  <c r="R36" i="28"/>
  <c r="R34" i="28"/>
  <c r="R33" i="28"/>
  <c r="R31" i="28"/>
  <c r="R29" i="28"/>
  <c r="R27" i="28"/>
  <c r="R25" i="28"/>
  <c r="R24" i="28"/>
  <c r="R22" i="28"/>
  <c r="R21" i="28"/>
  <c r="R20" i="28"/>
  <c r="R18" i="28"/>
  <c r="R16" i="28"/>
  <c r="P18" i="28"/>
  <c r="R15" i="28"/>
  <c r="X12" i="28"/>
  <c r="Z22" i="28"/>
  <c r="Z24" i="28"/>
  <c r="Z21" i="29"/>
  <c r="X25" i="29"/>
  <c r="X29" i="29"/>
  <c r="X33" i="29"/>
  <c r="X34" i="29"/>
  <c r="L13" i="31"/>
  <c r="Z15" i="31"/>
  <c r="N24" i="31"/>
  <c r="L13" i="32"/>
  <c r="X29" i="32"/>
  <c r="L33" i="32"/>
  <c r="X34" i="32"/>
  <c r="L29" i="34"/>
  <c r="N21" i="35"/>
  <c r="L34" i="35"/>
  <c r="L13" i="41"/>
  <c r="L16" i="31"/>
  <c r="L20" i="31"/>
  <c r="V21" i="32"/>
  <c r="V24" i="32"/>
  <c r="V22" i="32"/>
  <c r="V20" i="32"/>
  <c r="V15" i="32"/>
  <c r="Z12" i="32"/>
  <c r="V36" i="32"/>
  <c r="V31" i="32"/>
  <c r="V25" i="32"/>
  <c r="V16" i="32"/>
  <c r="V33" i="32"/>
  <c r="V27" i="32"/>
  <c r="V18" i="32"/>
  <c r="V34" i="32"/>
  <c r="V29" i="32"/>
  <c r="T18" i="32"/>
  <c r="L15" i="32"/>
  <c r="Z25" i="32"/>
  <c r="Z29" i="32"/>
  <c r="Z33" i="32"/>
  <c r="Z34" i="32"/>
  <c r="N16" i="34"/>
  <c r="N20" i="34"/>
  <c r="L22" i="34"/>
  <c r="L24" i="34"/>
  <c r="N15" i="35"/>
  <c r="L21" i="35"/>
  <c r="L29" i="38"/>
  <c r="L34" i="38"/>
  <c r="X15" i="34"/>
  <c r="N25" i="34"/>
  <c r="N29" i="34"/>
  <c r="N33" i="34"/>
  <c r="N34" i="34"/>
  <c r="N13" i="35"/>
  <c r="N22" i="35"/>
  <c r="N24" i="35"/>
  <c r="L13" i="37"/>
  <c r="L33" i="37"/>
  <c r="N16" i="38"/>
  <c r="N34" i="41"/>
  <c r="N13" i="37"/>
  <c r="N22" i="37"/>
  <c r="N21" i="38"/>
  <c r="L25" i="38"/>
  <c r="N24" i="41"/>
  <c r="D18" i="35"/>
  <c r="F15" i="35"/>
  <c r="L12" i="35"/>
  <c r="F36" i="35"/>
  <c r="F34" i="35"/>
  <c r="F33" i="35"/>
  <c r="F31" i="35"/>
  <c r="F29" i="35"/>
  <c r="F27" i="35"/>
  <c r="F25" i="35"/>
  <c r="F20" i="35"/>
  <c r="F18" i="35"/>
  <c r="F16" i="35"/>
  <c r="F21" i="35"/>
  <c r="F24" i="35"/>
  <c r="F22" i="35"/>
  <c r="X16" i="35"/>
  <c r="X20" i="35"/>
  <c r="L20" i="37"/>
  <c r="V20" i="38"/>
  <c r="V18" i="38"/>
  <c r="V16" i="38"/>
  <c r="T18" i="38"/>
  <c r="V15" i="38"/>
  <c r="Z12" i="38"/>
  <c r="V21" i="38"/>
  <c r="V33" i="38"/>
  <c r="V27" i="38"/>
  <c r="V22" i="38"/>
  <c r="V36" i="38"/>
  <c r="V31" i="38"/>
  <c r="V25" i="38"/>
  <c r="V34" i="38"/>
  <c r="V29" i="38"/>
  <c r="V24" i="38"/>
  <c r="Z25" i="38"/>
  <c r="N13" i="40"/>
  <c r="N22" i="40"/>
  <c r="L25" i="41"/>
  <c r="N25" i="43"/>
  <c r="X16" i="31"/>
  <c r="X20" i="31"/>
  <c r="X15" i="32"/>
  <c r="N25" i="32"/>
  <c r="N29" i="32"/>
  <c r="N33" i="32"/>
  <c r="N34" i="32"/>
  <c r="Z13" i="34"/>
  <c r="Z16" i="34"/>
  <c r="Z20" i="34"/>
  <c r="X22" i="34"/>
  <c r="X24" i="34"/>
  <c r="N12" i="35"/>
  <c r="J36" i="35"/>
  <c r="J34" i="35"/>
  <c r="J33" i="35"/>
  <c r="J31" i="35"/>
  <c r="J29" i="35"/>
  <c r="J27" i="35"/>
  <c r="J25" i="35"/>
  <c r="J21" i="35"/>
  <c r="J15" i="35"/>
  <c r="J20" i="35"/>
  <c r="J24" i="35"/>
  <c r="J18" i="35"/>
  <c r="H18" i="35"/>
  <c r="J22" i="35"/>
  <c r="J16" i="35"/>
  <c r="X13" i="35"/>
  <c r="Z15" i="35"/>
  <c r="X21" i="35"/>
  <c r="N15" i="37"/>
  <c r="N33" i="40"/>
  <c r="Z21" i="34"/>
  <c r="X25" i="34"/>
  <c r="X29" i="34"/>
  <c r="X33" i="34"/>
  <c r="X34" i="34"/>
  <c r="Z13" i="35"/>
  <c r="Z16" i="35"/>
  <c r="Z20" i="35"/>
  <c r="X22" i="35"/>
  <c r="X24" i="35"/>
  <c r="L29" i="37"/>
  <c r="L34" i="37"/>
  <c r="L22" i="38"/>
  <c r="N24" i="40"/>
  <c r="Z13" i="31"/>
  <c r="Z16" i="31"/>
  <c r="Z20" i="31"/>
  <c r="X22" i="31"/>
  <c r="X24" i="31"/>
  <c r="J24" i="32"/>
  <c r="J22" i="32"/>
  <c r="J18" i="32"/>
  <c r="H18" i="32"/>
  <c r="J34" i="32"/>
  <c r="J29" i="32"/>
  <c r="J20" i="32"/>
  <c r="N12" i="32"/>
  <c r="J15" i="32"/>
  <c r="J36" i="32"/>
  <c r="J31" i="32"/>
  <c r="J25" i="32"/>
  <c r="J21" i="32"/>
  <c r="J16" i="32"/>
  <c r="J27" i="32"/>
  <c r="J33" i="32"/>
  <c r="X13" i="32"/>
  <c r="Z15" i="32"/>
  <c r="X21" i="32"/>
  <c r="X12" i="34"/>
  <c r="R36" i="34"/>
  <c r="R34" i="34"/>
  <c r="R33" i="34"/>
  <c r="R31" i="34"/>
  <c r="R29" i="34"/>
  <c r="R27" i="34"/>
  <c r="R25" i="34"/>
  <c r="R24" i="34"/>
  <c r="R22" i="34"/>
  <c r="R21" i="34"/>
  <c r="R18" i="34"/>
  <c r="P18" i="34"/>
  <c r="R16" i="34"/>
  <c r="R20" i="34"/>
  <c r="R15" i="34"/>
  <c r="Z22" i="34"/>
  <c r="Z24" i="34"/>
  <c r="Z21" i="35"/>
  <c r="X25" i="35"/>
  <c r="X29" i="35"/>
  <c r="X33" i="35"/>
  <c r="X34" i="35"/>
  <c r="N24" i="37"/>
  <c r="L13" i="38"/>
  <c r="L33" i="38"/>
  <c r="X15" i="40"/>
  <c r="N34" i="40"/>
  <c r="Z12" i="34"/>
  <c r="V36" i="34"/>
  <c r="V34" i="34"/>
  <c r="V33" i="34"/>
  <c r="V31" i="34"/>
  <c r="V29" i="34"/>
  <c r="V27" i="34"/>
  <c r="V25" i="34"/>
  <c r="V24" i="34"/>
  <c r="V22" i="34"/>
  <c r="V21" i="34"/>
  <c r="V20" i="34"/>
  <c r="V18" i="34"/>
  <c r="V16" i="34"/>
  <c r="T18" i="34"/>
  <c r="V15" i="34"/>
  <c r="L15" i="34"/>
  <c r="Z25" i="34"/>
  <c r="Z29" i="34"/>
  <c r="Z33" i="34"/>
  <c r="Z34" i="34"/>
  <c r="X12" i="35"/>
  <c r="R36" i="35"/>
  <c r="R34" i="35"/>
  <c r="R33" i="35"/>
  <c r="R31" i="35"/>
  <c r="R29" i="35"/>
  <c r="R27" i="35"/>
  <c r="R25" i="35"/>
  <c r="R24" i="35"/>
  <c r="R22" i="35"/>
  <c r="R21" i="35"/>
  <c r="R20" i="35"/>
  <c r="R18" i="35"/>
  <c r="R16" i="35"/>
  <c r="P18" i="35"/>
  <c r="R15" i="35"/>
  <c r="Z22" i="35"/>
  <c r="Z24" i="35"/>
  <c r="L16" i="37"/>
  <c r="L15" i="38"/>
  <c r="Z33" i="38"/>
  <c r="L29" i="41"/>
  <c r="L16" i="34"/>
  <c r="L20" i="34"/>
  <c r="V36" i="35"/>
  <c r="V34" i="35"/>
  <c r="V33" i="35"/>
  <c r="V31" i="35"/>
  <c r="V29" i="35"/>
  <c r="V27" i="35"/>
  <c r="V25" i="35"/>
  <c r="V24" i="35"/>
  <c r="V22" i="35"/>
  <c r="V21" i="35"/>
  <c r="V20" i="35"/>
  <c r="V18" i="35"/>
  <c r="V16" i="35"/>
  <c r="T18" i="35"/>
  <c r="V15" i="35"/>
  <c r="Z12" i="35"/>
  <c r="L15" i="35"/>
  <c r="Z25" i="35"/>
  <c r="Z29" i="35"/>
  <c r="Z33" i="35"/>
  <c r="Z34" i="35"/>
  <c r="L21" i="37"/>
  <c r="L20" i="38"/>
  <c r="N25" i="40"/>
  <c r="L21" i="44"/>
  <c r="N22" i="47"/>
  <c r="Z25" i="31"/>
  <c r="Z29" i="31"/>
  <c r="Z33" i="31"/>
  <c r="Z34" i="31"/>
  <c r="R36" i="32"/>
  <c r="R34" i="32"/>
  <c r="R33" i="32"/>
  <c r="R31" i="32"/>
  <c r="R29" i="32"/>
  <c r="R27" i="32"/>
  <c r="R25" i="32"/>
  <c r="R20" i="32"/>
  <c r="R18" i="32"/>
  <c r="R16" i="32"/>
  <c r="R24" i="32"/>
  <c r="R15" i="32"/>
  <c r="X12" i="32"/>
  <c r="R21" i="32"/>
  <c r="R22" i="32"/>
  <c r="P18" i="32"/>
  <c r="Z22" i="32"/>
  <c r="Z24" i="32"/>
  <c r="N15" i="34"/>
  <c r="L21" i="34"/>
  <c r="L16" i="35"/>
  <c r="L20" i="35"/>
  <c r="N21" i="37"/>
  <c r="L25" i="37"/>
  <c r="N20" i="38"/>
  <c r="L24" i="38"/>
  <c r="N21" i="41"/>
  <c r="V21" i="37"/>
  <c r="V20" i="37"/>
  <c r="V18" i="37"/>
  <c r="V16" i="37"/>
  <c r="T18" i="37"/>
  <c r="V15" i="37"/>
  <c r="V24" i="37"/>
  <c r="V22" i="37"/>
  <c r="V34" i="37"/>
  <c r="V29" i="37"/>
  <c r="V33" i="37"/>
  <c r="V27" i="37"/>
  <c r="V36" i="37"/>
  <c r="V31" i="37"/>
  <c r="V25" i="37"/>
  <c r="Z12" i="37"/>
  <c r="L15" i="37"/>
  <c r="Z25" i="37"/>
  <c r="Z29" i="37"/>
  <c r="Z33" i="37"/>
  <c r="Z34" i="37"/>
  <c r="R24" i="38"/>
  <c r="R22" i="38"/>
  <c r="R21" i="38"/>
  <c r="R20" i="38"/>
  <c r="R18" i="38"/>
  <c r="R16" i="38"/>
  <c r="P18" i="38"/>
  <c r="R15" i="38"/>
  <c r="R36" i="38"/>
  <c r="R34" i="38"/>
  <c r="R33" i="38"/>
  <c r="R31" i="38"/>
  <c r="R29" i="38"/>
  <c r="R27" i="38"/>
  <c r="R25" i="38"/>
  <c r="X12" i="38"/>
  <c r="Z22" i="38"/>
  <c r="Z24" i="38"/>
  <c r="L13" i="40"/>
  <c r="N21" i="40"/>
  <c r="L25" i="40"/>
  <c r="L29" i="40"/>
  <c r="L33" i="40"/>
  <c r="L34" i="40"/>
  <c r="N16" i="41"/>
  <c r="N20" i="41"/>
  <c r="L22" i="41"/>
  <c r="L24" i="41"/>
  <c r="L33" i="41"/>
  <c r="N16" i="43"/>
  <c r="X15" i="47"/>
  <c r="N16" i="37"/>
  <c r="N20" i="37"/>
  <c r="L22" i="37"/>
  <c r="L24" i="37"/>
  <c r="N15" i="38"/>
  <c r="L21" i="38"/>
  <c r="F21" i="40"/>
  <c r="F20" i="40"/>
  <c r="F18" i="40"/>
  <c r="F16" i="40"/>
  <c r="D18" i="40"/>
  <c r="F15" i="40"/>
  <c r="L12" i="40"/>
  <c r="F24" i="40"/>
  <c r="F22" i="40"/>
  <c r="F27" i="40"/>
  <c r="F36" i="40"/>
  <c r="F25" i="40"/>
  <c r="F34" i="40"/>
  <c r="F33" i="40"/>
  <c r="F31" i="40"/>
  <c r="F29" i="40"/>
  <c r="X16" i="40"/>
  <c r="X20" i="40"/>
  <c r="X15" i="41"/>
  <c r="N25" i="41"/>
  <c r="N29" i="41"/>
  <c r="H18" i="40"/>
  <c r="J15" i="40"/>
  <c r="N12" i="40"/>
  <c r="J36" i="40"/>
  <c r="J34" i="40"/>
  <c r="J33" i="40"/>
  <c r="J31" i="40"/>
  <c r="J29" i="40"/>
  <c r="J27" i="40"/>
  <c r="J25" i="40"/>
  <c r="J20" i="40"/>
  <c r="J18" i="40"/>
  <c r="J16" i="40"/>
  <c r="J24" i="40"/>
  <c r="J22" i="40"/>
  <c r="J21" i="40"/>
  <c r="X13" i="40"/>
  <c r="Z15" i="40"/>
  <c r="X21" i="40"/>
  <c r="F36" i="41"/>
  <c r="F20" i="41"/>
  <c r="F18" i="41"/>
  <c r="F16" i="41"/>
  <c r="D18" i="41"/>
  <c r="F15" i="41"/>
  <c r="L12" i="41"/>
  <c r="F34" i="41"/>
  <c r="F21" i="41"/>
  <c r="F29" i="41"/>
  <c r="F27" i="41"/>
  <c r="F25" i="41"/>
  <c r="F24" i="41"/>
  <c r="F31" i="41"/>
  <c r="F33" i="41"/>
  <c r="F22" i="41"/>
  <c r="X16" i="41"/>
  <c r="X20" i="41"/>
  <c r="N20" i="43"/>
  <c r="N29" i="52"/>
  <c r="Z13" i="40"/>
  <c r="Z16" i="40"/>
  <c r="Z20" i="40"/>
  <c r="X22" i="40"/>
  <c r="X24" i="40"/>
  <c r="N12" i="41"/>
  <c r="J31" i="41"/>
  <c r="J29" i="41"/>
  <c r="J27" i="41"/>
  <c r="J25" i="41"/>
  <c r="J33" i="41"/>
  <c r="J24" i="41"/>
  <c r="J22" i="41"/>
  <c r="H18" i="41"/>
  <c r="J15" i="41"/>
  <c r="J20" i="41"/>
  <c r="J18" i="41"/>
  <c r="J36" i="41"/>
  <c r="J16" i="41"/>
  <c r="J34" i="41"/>
  <c r="J21" i="41"/>
  <c r="X13" i="41"/>
  <c r="Z15" i="41"/>
  <c r="X21" i="41"/>
  <c r="X34" i="41"/>
  <c r="N29" i="43"/>
  <c r="N13" i="44"/>
  <c r="N22" i="44"/>
  <c r="N34" i="47"/>
  <c r="N22" i="53"/>
  <c r="X15" i="37"/>
  <c r="N25" i="37"/>
  <c r="N29" i="37"/>
  <c r="N33" i="37"/>
  <c r="N34" i="37"/>
  <c r="N13" i="38"/>
  <c r="N22" i="38"/>
  <c r="N24" i="38"/>
  <c r="Z21" i="40"/>
  <c r="X25" i="40"/>
  <c r="X29" i="40"/>
  <c r="X33" i="40"/>
  <c r="X34" i="40"/>
  <c r="Z13" i="41"/>
  <c r="Z16" i="41"/>
  <c r="Z20" i="41"/>
  <c r="X22" i="41"/>
  <c r="X24" i="41"/>
  <c r="X33" i="41"/>
  <c r="N15" i="44"/>
  <c r="N15" i="49"/>
  <c r="L12" i="37"/>
  <c r="F21" i="37"/>
  <c r="F16" i="37"/>
  <c r="F34" i="37"/>
  <c r="F29" i="37"/>
  <c r="F24" i="37"/>
  <c r="F20" i="37"/>
  <c r="F15" i="37"/>
  <c r="F33" i="37"/>
  <c r="F27" i="37"/>
  <c r="F22" i="37"/>
  <c r="F36" i="37"/>
  <c r="F31" i="37"/>
  <c r="F25" i="37"/>
  <c r="F18" i="37"/>
  <c r="D18" i="37"/>
  <c r="X16" i="37"/>
  <c r="X20" i="37"/>
  <c r="X15" i="38"/>
  <c r="N25" i="38"/>
  <c r="N29" i="38"/>
  <c r="N33" i="38"/>
  <c r="N34" i="38"/>
  <c r="X12" i="40"/>
  <c r="R36" i="40"/>
  <c r="R34" i="40"/>
  <c r="R33" i="40"/>
  <c r="R31" i="40"/>
  <c r="R29" i="40"/>
  <c r="R27" i="40"/>
  <c r="R25" i="40"/>
  <c r="R24" i="40"/>
  <c r="R22" i="40"/>
  <c r="R21" i="40"/>
  <c r="R20" i="40"/>
  <c r="R18" i="40"/>
  <c r="R16" i="40"/>
  <c r="P18" i="40"/>
  <c r="R15" i="40"/>
  <c r="Z22" i="40"/>
  <c r="Z24" i="40"/>
  <c r="Z21" i="41"/>
  <c r="X25" i="41"/>
  <c r="X29" i="41"/>
  <c r="N24" i="44"/>
  <c r="L21" i="49"/>
  <c r="N12" i="37"/>
  <c r="J36" i="37"/>
  <c r="J34" i="37"/>
  <c r="J33" i="37"/>
  <c r="J31" i="37"/>
  <c r="J29" i="37"/>
  <c r="J27" i="37"/>
  <c r="J25" i="37"/>
  <c r="J24" i="37"/>
  <c r="J22" i="37"/>
  <c r="H18" i="37"/>
  <c r="J15" i="37"/>
  <c r="J16" i="37"/>
  <c r="J20" i="37"/>
  <c r="J18" i="37"/>
  <c r="J21" i="37"/>
  <c r="X13" i="37"/>
  <c r="Z15" i="37"/>
  <c r="X21" i="37"/>
  <c r="L12" i="38"/>
  <c r="F36" i="38"/>
  <c r="F34" i="38"/>
  <c r="F33" i="38"/>
  <c r="F31" i="38"/>
  <c r="F29" i="38"/>
  <c r="F27" i="38"/>
  <c r="F25" i="38"/>
  <c r="F20" i="38"/>
  <c r="F18" i="38"/>
  <c r="F16" i="38"/>
  <c r="F15" i="38"/>
  <c r="F22" i="38"/>
  <c r="D18" i="38"/>
  <c r="F21" i="38"/>
  <c r="F24" i="38"/>
  <c r="X16" i="38"/>
  <c r="X20" i="38"/>
  <c r="Z12" i="40"/>
  <c r="V36" i="40"/>
  <c r="V34" i="40"/>
  <c r="V33" i="40"/>
  <c r="V31" i="40"/>
  <c r="V29" i="40"/>
  <c r="V27" i="40"/>
  <c r="V25" i="40"/>
  <c r="V24" i="40"/>
  <c r="V22" i="40"/>
  <c r="V21" i="40"/>
  <c r="V20" i="40"/>
  <c r="V18" i="40"/>
  <c r="V16" i="40"/>
  <c r="T18" i="40"/>
  <c r="V15" i="40"/>
  <c r="L15" i="40"/>
  <c r="Z25" i="40"/>
  <c r="Z29" i="40"/>
  <c r="Z33" i="40"/>
  <c r="Z34" i="40"/>
  <c r="X12" i="41"/>
  <c r="R31" i="41"/>
  <c r="R29" i="41"/>
  <c r="R27" i="41"/>
  <c r="R25" i="41"/>
  <c r="R33" i="41"/>
  <c r="R24" i="41"/>
  <c r="R22" i="41"/>
  <c r="R34" i="41"/>
  <c r="R21" i="41"/>
  <c r="R36" i="41"/>
  <c r="R20" i="41"/>
  <c r="R18" i="41"/>
  <c r="R16" i="41"/>
  <c r="P18" i="41"/>
  <c r="R15" i="41"/>
  <c r="Z22" i="41"/>
  <c r="Z24" i="41"/>
  <c r="L22" i="43"/>
  <c r="Z13" i="37"/>
  <c r="Z16" i="37"/>
  <c r="Z20" i="37"/>
  <c r="X22" i="37"/>
  <c r="X24" i="37"/>
  <c r="N12" i="38"/>
  <c r="J36" i="38"/>
  <c r="J34" i="38"/>
  <c r="J33" i="38"/>
  <c r="J31" i="38"/>
  <c r="J29" i="38"/>
  <c r="J27" i="38"/>
  <c r="J25" i="38"/>
  <c r="J24" i="38"/>
  <c r="J22" i="38"/>
  <c r="J21" i="38"/>
  <c r="J15" i="38"/>
  <c r="J18" i="38"/>
  <c r="H18" i="38"/>
  <c r="J16" i="38"/>
  <c r="J20" i="38"/>
  <c r="X13" i="38"/>
  <c r="Z15" i="38"/>
  <c r="X21" i="38"/>
  <c r="L16" i="40"/>
  <c r="L20" i="40"/>
  <c r="Z12" i="41"/>
  <c r="V29" i="41"/>
  <c r="V27" i="41"/>
  <c r="V25" i="41"/>
  <c r="V31" i="41"/>
  <c r="V24" i="41"/>
  <c r="V22" i="41"/>
  <c r="V33" i="41"/>
  <c r="V21" i="41"/>
  <c r="V34" i="41"/>
  <c r="V20" i="41"/>
  <c r="V18" i="41"/>
  <c r="V16" i="41"/>
  <c r="V36" i="41"/>
  <c r="T18" i="41"/>
  <c r="V15" i="41"/>
  <c r="L15" i="41"/>
  <c r="Z25" i="41"/>
  <c r="Z29" i="41"/>
  <c r="N33" i="43"/>
  <c r="Z21" i="37"/>
  <c r="X25" i="37"/>
  <c r="X29" i="37"/>
  <c r="X33" i="37"/>
  <c r="X34" i="37"/>
  <c r="Z13" i="38"/>
  <c r="Z16" i="38"/>
  <c r="Z20" i="38"/>
  <c r="X22" i="38"/>
  <c r="X24" i="38"/>
  <c r="N15" i="40"/>
  <c r="L21" i="40"/>
  <c r="L16" i="41"/>
  <c r="L20" i="41"/>
  <c r="L24" i="43"/>
  <c r="R36" i="37"/>
  <c r="R34" i="37"/>
  <c r="R33" i="37"/>
  <c r="R31" i="37"/>
  <c r="R29" i="37"/>
  <c r="R27" i="37"/>
  <c r="R25" i="37"/>
  <c r="R24" i="37"/>
  <c r="R22" i="37"/>
  <c r="R21" i="37"/>
  <c r="R20" i="37"/>
  <c r="R18" i="37"/>
  <c r="R16" i="37"/>
  <c r="P18" i="37"/>
  <c r="R15" i="37"/>
  <c r="X12" i="37"/>
  <c r="Z22" i="37"/>
  <c r="Z24" i="37"/>
  <c r="Z21" i="38"/>
  <c r="X25" i="38"/>
  <c r="X29" i="38"/>
  <c r="X33" i="38"/>
  <c r="X34" i="38"/>
  <c r="N16" i="40"/>
  <c r="N20" i="40"/>
  <c r="L22" i="40"/>
  <c r="L24" i="40"/>
  <c r="N15" i="41"/>
  <c r="L21" i="41"/>
  <c r="L34" i="41"/>
  <c r="X15" i="43"/>
  <c r="N34" i="43"/>
  <c r="N15" i="43"/>
  <c r="L21" i="43"/>
  <c r="L16" i="44"/>
  <c r="L20" i="44"/>
  <c r="L15" i="46"/>
  <c r="Z25" i="46"/>
  <c r="Z29" i="46"/>
  <c r="Z33" i="46"/>
  <c r="L22" i="47"/>
  <c r="N25" i="47"/>
  <c r="Z29" i="47"/>
  <c r="Z13" i="49"/>
  <c r="Z20" i="49"/>
  <c r="X13" i="50"/>
  <c r="L13" i="43"/>
  <c r="N21" i="43"/>
  <c r="L25" i="43"/>
  <c r="L29" i="43"/>
  <c r="L33" i="43"/>
  <c r="L34" i="43"/>
  <c r="N16" i="44"/>
  <c r="N20" i="44"/>
  <c r="L22" i="44"/>
  <c r="L24" i="44"/>
  <c r="N21" i="46"/>
  <c r="L34" i="46"/>
  <c r="N20" i="47"/>
  <c r="Z25" i="47"/>
  <c r="N15" i="50"/>
  <c r="L21" i="50"/>
  <c r="N13" i="43"/>
  <c r="N22" i="43"/>
  <c r="N24" i="43"/>
  <c r="L13" i="44"/>
  <c r="N21" i="44"/>
  <c r="L25" i="44"/>
  <c r="L29" i="44"/>
  <c r="L33" i="44"/>
  <c r="L34" i="44"/>
  <c r="X15" i="46"/>
  <c r="N34" i="46"/>
  <c r="Z22" i="47"/>
  <c r="Z34" i="47"/>
  <c r="Z15" i="50"/>
  <c r="X21" i="50"/>
  <c r="N33" i="52"/>
  <c r="L12" i="46"/>
  <c r="F36" i="46"/>
  <c r="F34" i="46"/>
  <c r="F33" i="46"/>
  <c r="F31" i="46"/>
  <c r="F29" i="46"/>
  <c r="F27" i="46"/>
  <c r="F25" i="46"/>
  <c r="F21" i="46"/>
  <c r="F20" i="46"/>
  <c r="F18" i="46"/>
  <c r="F16" i="46"/>
  <c r="F22" i="46"/>
  <c r="F24" i="46"/>
  <c r="D18" i="46"/>
  <c r="F15" i="46"/>
  <c r="R21" i="47"/>
  <c r="R20" i="47"/>
  <c r="R18" i="47"/>
  <c r="R16" i="47"/>
  <c r="P18" i="47"/>
  <c r="R15" i="47"/>
  <c r="X12" i="47"/>
  <c r="R24" i="47"/>
  <c r="R22" i="47"/>
  <c r="R29" i="47"/>
  <c r="R33" i="47"/>
  <c r="R36" i="47"/>
  <c r="R27" i="47"/>
  <c r="R31" i="47"/>
  <c r="R34" i="47"/>
  <c r="R25" i="47"/>
  <c r="N16" i="47"/>
  <c r="L16" i="50"/>
  <c r="D18" i="43"/>
  <c r="F15" i="43"/>
  <c r="L12" i="43"/>
  <c r="F36" i="43"/>
  <c r="F34" i="43"/>
  <c r="F33" i="43"/>
  <c r="F31" i="43"/>
  <c r="F29" i="43"/>
  <c r="F27" i="43"/>
  <c r="F25" i="43"/>
  <c r="F24" i="43"/>
  <c r="F22" i="43"/>
  <c r="F20" i="43"/>
  <c r="F18" i="43"/>
  <c r="F16" i="43"/>
  <c r="F21" i="43"/>
  <c r="X16" i="43"/>
  <c r="X20" i="43"/>
  <c r="X15" i="44"/>
  <c r="N25" i="44"/>
  <c r="N29" i="44"/>
  <c r="N33" i="44"/>
  <c r="N34" i="44"/>
  <c r="N12" i="46"/>
  <c r="J21" i="46"/>
  <c r="H18" i="46"/>
  <c r="J15" i="46"/>
  <c r="J36" i="46"/>
  <c r="J33" i="46"/>
  <c r="J29" i="46"/>
  <c r="J25" i="46"/>
  <c r="J22" i="46"/>
  <c r="J20" i="46"/>
  <c r="J16" i="46"/>
  <c r="J34" i="46"/>
  <c r="J31" i="46"/>
  <c r="J27" i="46"/>
  <c r="J24" i="46"/>
  <c r="J18" i="46"/>
  <c r="Z15" i="46"/>
  <c r="X21" i="46"/>
  <c r="T18" i="47"/>
  <c r="V15" i="47"/>
  <c r="Z12" i="47"/>
  <c r="V36" i="47"/>
  <c r="V34" i="47"/>
  <c r="V33" i="47"/>
  <c r="V31" i="47"/>
  <c r="V29" i="47"/>
  <c r="V27" i="47"/>
  <c r="V25" i="47"/>
  <c r="V20" i="47"/>
  <c r="V18" i="47"/>
  <c r="V16" i="47"/>
  <c r="V21" i="47"/>
  <c r="V24" i="47"/>
  <c r="V22" i="47"/>
  <c r="L24" i="47"/>
  <c r="N16" i="49"/>
  <c r="L22" i="49"/>
  <c r="Z33" i="41"/>
  <c r="Z34" i="41"/>
  <c r="N12" i="43"/>
  <c r="J36" i="43"/>
  <c r="J34" i="43"/>
  <c r="J33" i="43"/>
  <c r="J31" i="43"/>
  <c r="J29" i="43"/>
  <c r="J27" i="43"/>
  <c r="J25" i="43"/>
  <c r="J21" i="43"/>
  <c r="J20" i="43"/>
  <c r="J18" i="43"/>
  <c r="J16" i="43"/>
  <c r="J24" i="43"/>
  <c r="J15" i="43"/>
  <c r="J22" i="43"/>
  <c r="H18" i="43"/>
  <c r="X13" i="43"/>
  <c r="Z15" i="43"/>
  <c r="X21" i="43"/>
  <c r="L12" i="44"/>
  <c r="F24" i="44"/>
  <c r="F22" i="44"/>
  <c r="F21" i="44"/>
  <c r="D18" i="44"/>
  <c r="F15" i="44"/>
  <c r="F27" i="44"/>
  <c r="F18" i="44"/>
  <c r="F36" i="44"/>
  <c r="F25" i="44"/>
  <c r="F16" i="44"/>
  <c r="F34" i="44"/>
  <c r="F33" i="44"/>
  <c r="F31" i="44"/>
  <c r="F20" i="44"/>
  <c r="F29" i="44"/>
  <c r="X16" i="44"/>
  <c r="X20" i="44"/>
  <c r="V20" i="46"/>
  <c r="V18" i="46"/>
  <c r="V16" i="46"/>
  <c r="T18" i="46"/>
  <c r="V15" i="46"/>
  <c r="Z12" i="46"/>
  <c r="V21" i="46"/>
  <c r="V34" i="46"/>
  <c r="V31" i="46"/>
  <c r="V27" i="46"/>
  <c r="V24" i="46"/>
  <c r="V36" i="46"/>
  <c r="V22" i="46"/>
  <c r="V33" i="46"/>
  <c r="V29" i="46"/>
  <c r="V25" i="46"/>
  <c r="Z34" i="46"/>
  <c r="N24" i="47"/>
  <c r="Z16" i="49"/>
  <c r="X22" i="49"/>
  <c r="Z13" i="43"/>
  <c r="Z16" i="43"/>
  <c r="Z20" i="43"/>
  <c r="X22" i="43"/>
  <c r="X24" i="43"/>
  <c r="N12" i="44"/>
  <c r="J36" i="44"/>
  <c r="J34" i="44"/>
  <c r="J33" i="44"/>
  <c r="J31" i="44"/>
  <c r="J29" i="44"/>
  <c r="J27" i="44"/>
  <c r="J25" i="44"/>
  <c r="J24" i="44"/>
  <c r="J22" i="44"/>
  <c r="J20" i="44"/>
  <c r="J18" i="44"/>
  <c r="J16" i="44"/>
  <c r="H18" i="44"/>
  <c r="J15" i="44"/>
  <c r="J21" i="44"/>
  <c r="X13" i="44"/>
  <c r="Z15" i="44"/>
  <c r="X21" i="44"/>
  <c r="L16" i="46"/>
  <c r="L20" i="46"/>
  <c r="N13" i="47"/>
  <c r="N13" i="53"/>
  <c r="Z21" i="43"/>
  <c r="X25" i="43"/>
  <c r="X29" i="43"/>
  <c r="X33" i="43"/>
  <c r="X34" i="43"/>
  <c r="Z13" i="44"/>
  <c r="Z16" i="44"/>
  <c r="Z20" i="44"/>
  <c r="X22" i="44"/>
  <c r="X24" i="44"/>
  <c r="L13" i="46"/>
  <c r="L25" i="46"/>
  <c r="L29" i="46"/>
  <c r="L33" i="46"/>
  <c r="Z24" i="47"/>
  <c r="N33" i="47"/>
  <c r="L24" i="49"/>
  <c r="L16" i="53"/>
  <c r="X12" i="43"/>
  <c r="R36" i="43"/>
  <c r="R34" i="43"/>
  <c r="R33" i="43"/>
  <c r="R31" i="43"/>
  <c r="R29" i="43"/>
  <c r="R27" i="43"/>
  <c r="R25" i="43"/>
  <c r="R24" i="43"/>
  <c r="R22" i="43"/>
  <c r="R21" i="43"/>
  <c r="R20" i="43"/>
  <c r="R18" i="43"/>
  <c r="R16" i="43"/>
  <c r="P18" i="43"/>
  <c r="R15" i="43"/>
  <c r="Z22" i="43"/>
  <c r="Z24" i="43"/>
  <c r="Z21" i="44"/>
  <c r="X25" i="44"/>
  <c r="X29" i="44"/>
  <c r="X33" i="44"/>
  <c r="X34" i="44"/>
  <c r="N25" i="46"/>
  <c r="N29" i="46"/>
  <c r="N33" i="46"/>
  <c r="X24" i="49"/>
  <c r="N12" i="50"/>
  <c r="J36" i="50"/>
  <c r="J34" i="50"/>
  <c r="J33" i="50"/>
  <c r="J31" i="50"/>
  <c r="J29" i="50"/>
  <c r="J27" i="50"/>
  <c r="J25" i="50"/>
  <c r="J24" i="50"/>
  <c r="J22" i="50"/>
  <c r="J21" i="50"/>
  <c r="J20" i="50"/>
  <c r="J18" i="50"/>
  <c r="J16" i="50"/>
  <c r="H18" i="50"/>
  <c r="J15" i="50"/>
  <c r="V36" i="43"/>
  <c r="V34" i="43"/>
  <c r="V33" i="43"/>
  <c r="V31" i="43"/>
  <c r="V29" i="43"/>
  <c r="V27" i="43"/>
  <c r="V25" i="43"/>
  <c r="V24" i="43"/>
  <c r="V22" i="43"/>
  <c r="V21" i="43"/>
  <c r="V20" i="43"/>
  <c r="V18" i="43"/>
  <c r="V16" i="43"/>
  <c r="T18" i="43"/>
  <c r="V15" i="43"/>
  <c r="Z12" i="43"/>
  <c r="L15" i="43"/>
  <c r="Z25" i="43"/>
  <c r="Z29" i="43"/>
  <c r="Z33" i="43"/>
  <c r="Z34" i="43"/>
  <c r="R36" i="44"/>
  <c r="R34" i="44"/>
  <c r="R33" i="44"/>
  <c r="R31" i="44"/>
  <c r="R29" i="44"/>
  <c r="R27" i="44"/>
  <c r="R25" i="44"/>
  <c r="R24" i="44"/>
  <c r="R22" i="44"/>
  <c r="R21" i="44"/>
  <c r="R20" i="44"/>
  <c r="R18" i="44"/>
  <c r="R16" i="44"/>
  <c r="P18" i="44"/>
  <c r="R15" i="44"/>
  <c r="X12" i="44"/>
  <c r="Z22" i="44"/>
  <c r="Z24" i="44"/>
  <c r="X16" i="46"/>
  <c r="X20" i="46"/>
  <c r="L15" i="47"/>
  <c r="N29" i="47"/>
  <c r="Z33" i="47"/>
  <c r="L20" i="50"/>
  <c r="L20" i="53"/>
  <c r="L16" i="43"/>
  <c r="L20" i="43"/>
  <c r="V24" i="44"/>
  <c r="V22" i="44"/>
  <c r="V21" i="44"/>
  <c r="V20" i="44"/>
  <c r="V18" i="44"/>
  <c r="V16" i="44"/>
  <c r="T18" i="44"/>
  <c r="V15" i="44"/>
  <c r="V36" i="44"/>
  <c r="V34" i="44"/>
  <c r="V33" i="44"/>
  <c r="V31" i="44"/>
  <c r="V29" i="44"/>
  <c r="V27" i="44"/>
  <c r="V25" i="44"/>
  <c r="Z12" i="44"/>
  <c r="L15" i="44"/>
  <c r="Z25" i="44"/>
  <c r="Z29" i="44"/>
  <c r="Z33" i="44"/>
  <c r="Z34" i="44"/>
  <c r="X13" i="46"/>
  <c r="N20" i="49"/>
  <c r="N25" i="52"/>
  <c r="R24" i="46"/>
  <c r="R22" i="46"/>
  <c r="R21" i="46"/>
  <c r="R36" i="46"/>
  <c r="R34" i="46"/>
  <c r="R33" i="46"/>
  <c r="R31" i="46"/>
  <c r="R29" i="46"/>
  <c r="R27" i="46"/>
  <c r="R25" i="46"/>
  <c r="R20" i="46"/>
  <c r="R16" i="46"/>
  <c r="X12" i="46"/>
  <c r="R18" i="46"/>
  <c r="P18" i="46"/>
  <c r="R15" i="46"/>
  <c r="Z22" i="46"/>
  <c r="Z24" i="46"/>
  <c r="Z21" i="47"/>
  <c r="X25" i="47"/>
  <c r="X29" i="47"/>
  <c r="X33" i="47"/>
  <c r="X34" i="47"/>
  <c r="L16" i="49"/>
  <c r="L20" i="49"/>
  <c r="V21" i="50"/>
  <c r="V20" i="50"/>
  <c r="V18" i="50"/>
  <c r="V16" i="50"/>
  <c r="T18" i="50"/>
  <c r="V15" i="50"/>
  <c r="V24" i="50"/>
  <c r="V22" i="50"/>
  <c r="Z12" i="50"/>
  <c r="V31" i="50"/>
  <c r="V36" i="50"/>
  <c r="V29" i="50"/>
  <c r="V34" i="50"/>
  <c r="V27" i="50"/>
  <c r="V25" i="50"/>
  <c r="V33" i="50"/>
  <c r="L15" i="50"/>
  <c r="Z25" i="50"/>
  <c r="Z29" i="50"/>
  <c r="Z33" i="50"/>
  <c r="Z34" i="50"/>
  <c r="L16" i="52"/>
  <c r="L20" i="52"/>
  <c r="Z12" i="53"/>
  <c r="T18" i="53"/>
  <c r="V15" i="53"/>
  <c r="V21" i="53"/>
  <c r="V18" i="53"/>
  <c r="V36" i="53"/>
  <c r="V33" i="53"/>
  <c r="V29" i="53"/>
  <c r="V25" i="53"/>
  <c r="V22" i="53"/>
  <c r="V20" i="53"/>
  <c r="V16" i="53"/>
  <c r="V24" i="53"/>
  <c r="V34" i="53"/>
  <c r="V31" i="53"/>
  <c r="V27" i="53"/>
  <c r="Z34" i="53"/>
  <c r="N15" i="46"/>
  <c r="L21" i="46"/>
  <c r="L16" i="47"/>
  <c r="L20" i="47"/>
  <c r="L13" i="49"/>
  <c r="N21" i="49"/>
  <c r="L25" i="49"/>
  <c r="L29" i="49"/>
  <c r="L33" i="49"/>
  <c r="L34" i="49"/>
  <c r="N16" i="50"/>
  <c r="N20" i="50"/>
  <c r="L22" i="50"/>
  <c r="L24" i="50"/>
  <c r="X13" i="52"/>
  <c r="X16" i="53"/>
  <c r="X20" i="53"/>
  <c r="N16" i="46"/>
  <c r="N20" i="46"/>
  <c r="L22" i="46"/>
  <c r="L24" i="46"/>
  <c r="N15" i="47"/>
  <c r="L21" i="47"/>
  <c r="N13" i="49"/>
  <c r="N22" i="49"/>
  <c r="N24" i="49"/>
  <c r="L13" i="50"/>
  <c r="N21" i="50"/>
  <c r="L25" i="50"/>
  <c r="L29" i="50"/>
  <c r="L33" i="50"/>
  <c r="L34" i="50"/>
  <c r="Z22" i="52"/>
  <c r="X25" i="53"/>
  <c r="X29" i="53"/>
  <c r="X33" i="53"/>
  <c r="X15" i="49"/>
  <c r="N25" i="49"/>
  <c r="N29" i="49"/>
  <c r="N33" i="49"/>
  <c r="N34" i="49"/>
  <c r="N13" i="50"/>
  <c r="N22" i="50"/>
  <c r="N24" i="50"/>
  <c r="L15" i="52"/>
  <c r="Z25" i="52"/>
  <c r="Z29" i="52"/>
  <c r="Z33" i="52"/>
  <c r="Z22" i="53"/>
  <c r="N13" i="46"/>
  <c r="N22" i="46"/>
  <c r="N24" i="46"/>
  <c r="L13" i="47"/>
  <c r="N21" i="47"/>
  <c r="L25" i="47"/>
  <c r="L29" i="47"/>
  <c r="L33" i="47"/>
  <c r="L34" i="47"/>
  <c r="F36" i="49"/>
  <c r="F34" i="49"/>
  <c r="F33" i="49"/>
  <c r="F31" i="49"/>
  <c r="F29" i="49"/>
  <c r="F27" i="49"/>
  <c r="F25" i="49"/>
  <c r="F24" i="49"/>
  <c r="F22" i="49"/>
  <c r="D18" i="49"/>
  <c r="F15" i="49"/>
  <c r="F20" i="49"/>
  <c r="L12" i="49"/>
  <c r="F18" i="49"/>
  <c r="F16" i="49"/>
  <c r="F21" i="49"/>
  <c r="X16" i="49"/>
  <c r="X20" i="49"/>
  <c r="X15" i="50"/>
  <c r="N25" i="50"/>
  <c r="N29" i="50"/>
  <c r="N33" i="50"/>
  <c r="N34" i="50"/>
  <c r="L15" i="53"/>
  <c r="Z25" i="53"/>
  <c r="Z29" i="53"/>
  <c r="Z33" i="53"/>
  <c r="N12" i="49"/>
  <c r="J36" i="49"/>
  <c r="J34" i="49"/>
  <c r="J33" i="49"/>
  <c r="J31" i="49"/>
  <c r="J29" i="49"/>
  <c r="J27" i="49"/>
  <c r="J25" i="49"/>
  <c r="J24" i="49"/>
  <c r="J22" i="49"/>
  <c r="J21" i="49"/>
  <c r="J20" i="49"/>
  <c r="J18" i="49"/>
  <c r="J16" i="49"/>
  <c r="H18" i="49"/>
  <c r="J15" i="49"/>
  <c r="X13" i="49"/>
  <c r="Z15" i="49"/>
  <c r="X21" i="49"/>
  <c r="L12" i="50"/>
  <c r="F36" i="50"/>
  <c r="F34" i="50"/>
  <c r="F33" i="50"/>
  <c r="F31" i="50"/>
  <c r="F29" i="50"/>
  <c r="F27" i="50"/>
  <c r="F25" i="50"/>
  <c r="F24" i="50"/>
  <c r="F22" i="50"/>
  <c r="F21" i="50"/>
  <c r="F20" i="50"/>
  <c r="F18" i="50"/>
  <c r="D18" i="50"/>
  <c r="F16" i="50"/>
  <c r="F15" i="50"/>
  <c r="X16" i="50"/>
  <c r="X20" i="50"/>
  <c r="N15" i="52"/>
  <c r="L21" i="52"/>
  <c r="X15" i="52"/>
  <c r="N34" i="52"/>
  <c r="N24" i="53"/>
  <c r="L12" i="47"/>
  <c r="F24" i="47"/>
  <c r="F22" i="47"/>
  <c r="F20" i="47"/>
  <c r="F18" i="47"/>
  <c r="F16" i="47"/>
  <c r="D18" i="47"/>
  <c r="F15" i="47"/>
  <c r="F25" i="47"/>
  <c r="F29" i="47"/>
  <c r="F33" i="47"/>
  <c r="F21" i="47"/>
  <c r="F36" i="47"/>
  <c r="F27" i="47"/>
  <c r="F31" i="47"/>
  <c r="F34" i="47"/>
  <c r="X16" i="47"/>
  <c r="X20" i="47"/>
  <c r="Z21" i="49"/>
  <c r="X25" i="49"/>
  <c r="X29" i="49"/>
  <c r="X33" i="49"/>
  <c r="X34" i="49"/>
  <c r="Z13" i="50"/>
  <c r="Z16" i="50"/>
  <c r="Z20" i="50"/>
  <c r="X22" i="50"/>
  <c r="X24" i="50"/>
  <c r="J36" i="52"/>
  <c r="J34" i="52"/>
  <c r="J33" i="52"/>
  <c r="J31" i="52"/>
  <c r="J29" i="52"/>
  <c r="J27" i="52"/>
  <c r="J25" i="52"/>
  <c r="J21" i="52"/>
  <c r="J20" i="52"/>
  <c r="J18" i="52"/>
  <c r="J16" i="52"/>
  <c r="H18" i="52"/>
  <c r="J15" i="52"/>
  <c r="N12" i="52"/>
  <c r="J24" i="52"/>
  <c r="J22" i="52"/>
  <c r="Z15" i="52"/>
  <c r="X21" i="52"/>
  <c r="F24" i="53"/>
  <c r="F22" i="53"/>
  <c r="F21" i="53"/>
  <c r="F20" i="53"/>
  <c r="F18" i="53"/>
  <c r="F16" i="53"/>
  <c r="L12" i="53"/>
  <c r="F34" i="53"/>
  <c r="F31" i="53"/>
  <c r="F27" i="53"/>
  <c r="D18" i="53"/>
  <c r="F15" i="53"/>
  <c r="F36" i="53"/>
  <c r="F33" i="53"/>
  <c r="F29" i="53"/>
  <c r="F25" i="53"/>
  <c r="Z13" i="46"/>
  <c r="Z16" i="46"/>
  <c r="Z20" i="46"/>
  <c r="X22" i="46"/>
  <c r="X24" i="46"/>
  <c r="J36" i="47"/>
  <c r="J34" i="47"/>
  <c r="J33" i="47"/>
  <c r="J31" i="47"/>
  <c r="J29" i="47"/>
  <c r="J27" i="47"/>
  <c r="J25" i="47"/>
  <c r="J20" i="47"/>
  <c r="J18" i="47"/>
  <c r="J16" i="47"/>
  <c r="N12" i="47"/>
  <c r="J15" i="47"/>
  <c r="H18" i="47"/>
  <c r="J21" i="47"/>
  <c r="J24" i="47"/>
  <c r="J22" i="47"/>
  <c r="X13" i="47"/>
  <c r="Z15" i="47"/>
  <c r="X21" i="47"/>
  <c r="R36" i="49"/>
  <c r="R34" i="49"/>
  <c r="R33" i="49"/>
  <c r="R31" i="49"/>
  <c r="R29" i="49"/>
  <c r="R27" i="49"/>
  <c r="R25" i="49"/>
  <c r="R24" i="49"/>
  <c r="R22" i="49"/>
  <c r="R20" i="49"/>
  <c r="R18" i="49"/>
  <c r="R16" i="49"/>
  <c r="P18" i="49"/>
  <c r="R15" i="49"/>
  <c r="X12" i="49"/>
  <c r="R21" i="49"/>
  <c r="Z22" i="49"/>
  <c r="Z24" i="49"/>
  <c r="Z21" i="50"/>
  <c r="X25" i="50"/>
  <c r="X29" i="50"/>
  <c r="X33" i="50"/>
  <c r="X34" i="50"/>
  <c r="R21" i="52"/>
  <c r="P18" i="52"/>
  <c r="R15" i="52"/>
  <c r="R24" i="52"/>
  <c r="R22" i="52"/>
  <c r="R34" i="52"/>
  <c r="R31" i="52"/>
  <c r="R27" i="52"/>
  <c r="R18" i="52"/>
  <c r="R36" i="52"/>
  <c r="R33" i="52"/>
  <c r="R29" i="52"/>
  <c r="R25" i="52"/>
  <c r="R20" i="52"/>
  <c r="R16" i="52"/>
  <c r="X12" i="52"/>
  <c r="Z24" i="52"/>
  <c r="Z21" i="53"/>
  <c r="X34" i="53"/>
  <c r="Z21" i="46"/>
  <c r="X25" i="46"/>
  <c r="X29" i="46"/>
  <c r="X33" i="46"/>
  <c r="X34" i="46"/>
  <c r="Z13" i="47"/>
  <c r="Z16" i="47"/>
  <c r="Z20" i="47"/>
  <c r="X22" i="47"/>
  <c r="X24" i="47"/>
  <c r="V24" i="49"/>
  <c r="V22" i="49"/>
  <c r="V21" i="49"/>
  <c r="V20" i="49"/>
  <c r="V18" i="49"/>
  <c r="V16" i="49"/>
  <c r="V36" i="49"/>
  <c r="V34" i="49"/>
  <c r="V33" i="49"/>
  <c r="V31" i="49"/>
  <c r="V29" i="49"/>
  <c r="V27" i="49"/>
  <c r="V25" i="49"/>
  <c r="Z12" i="49"/>
  <c r="T18" i="49"/>
  <c r="V15" i="49"/>
  <c r="L15" i="49"/>
  <c r="Z25" i="49"/>
  <c r="Z29" i="49"/>
  <c r="Z33" i="49"/>
  <c r="Z34" i="49"/>
  <c r="R36" i="50"/>
  <c r="R34" i="50"/>
  <c r="R33" i="50"/>
  <c r="R31" i="50"/>
  <c r="R29" i="50"/>
  <c r="R27" i="50"/>
  <c r="R25" i="50"/>
  <c r="R24" i="50"/>
  <c r="R22" i="50"/>
  <c r="R21" i="50"/>
  <c r="P18" i="50"/>
  <c r="R15" i="50"/>
  <c r="X12" i="50"/>
  <c r="R18" i="50"/>
  <c r="R16" i="50"/>
  <c r="R20" i="50"/>
  <c r="Z22" i="50"/>
  <c r="Z24" i="50"/>
  <c r="T18" i="52"/>
  <c r="V15" i="52"/>
  <c r="V20" i="52"/>
  <c r="V18" i="52"/>
  <c r="V16" i="52"/>
  <c r="V24" i="52"/>
  <c r="V21" i="52"/>
  <c r="V36" i="52"/>
  <c r="V33" i="52"/>
  <c r="V29" i="52"/>
  <c r="V25" i="52"/>
  <c r="V22" i="52"/>
  <c r="V34" i="52"/>
  <c r="V31" i="52"/>
  <c r="V27" i="52"/>
  <c r="Z12" i="52"/>
  <c r="Z34" i="52"/>
  <c r="R20" i="53"/>
  <c r="R18" i="53"/>
  <c r="R16" i="53"/>
  <c r="R21" i="53"/>
  <c r="R34" i="53"/>
  <c r="R31" i="53"/>
  <c r="R27" i="53"/>
  <c r="R24" i="53"/>
  <c r="P18" i="53"/>
  <c r="R15" i="53"/>
  <c r="R36" i="53"/>
  <c r="R33" i="53"/>
  <c r="R29" i="53"/>
  <c r="R25" i="53"/>
  <c r="R22" i="53"/>
  <c r="X12" i="53"/>
  <c r="Z24" i="53"/>
  <c r="Z21" i="52"/>
  <c r="X25" i="52"/>
  <c r="X29" i="52"/>
  <c r="X33" i="52"/>
  <c r="X34" i="52"/>
  <c r="Z13" i="53"/>
  <c r="Z16" i="53"/>
  <c r="Z20" i="53"/>
  <c r="X22" i="53"/>
  <c r="X24" i="53"/>
  <c r="N16" i="52"/>
  <c r="N20" i="52"/>
  <c r="L22" i="52"/>
  <c r="L24" i="52"/>
  <c r="N15" i="53"/>
  <c r="L21" i="53"/>
  <c r="L13" i="52"/>
  <c r="N21" i="52"/>
  <c r="L25" i="52"/>
  <c r="L29" i="52"/>
  <c r="L33" i="52"/>
  <c r="L34" i="52"/>
  <c r="N16" i="53"/>
  <c r="N20" i="53"/>
  <c r="L22" i="53"/>
  <c r="L24" i="53"/>
  <c r="N13" i="52"/>
  <c r="N22" i="52"/>
  <c r="N24" i="52"/>
  <c r="L13" i="53"/>
  <c r="N21" i="53"/>
  <c r="L25" i="53"/>
  <c r="L29" i="53"/>
  <c r="L33" i="53"/>
  <c r="L34" i="53"/>
  <c r="L12" i="52"/>
  <c r="F36" i="52"/>
  <c r="F34" i="52"/>
  <c r="F33" i="52"/>
  <c r="F31" i="52"/>
  <c r="F29" i="52"/>
  <c r="F27" i="52"/>
  <c r="F25" i="52"/>
  <c r="F24" i="52"/>
  <c r="F22" i="52"/>
  <c r="F21" i="52"/>
  <c r="F18" i="52"/>
  <c r="D18" i="52"/>
  <c r="F15" i="52"/>
  <c r="F20" i="52"/>
  <c r="F16" i="52"/>
  <c r="X16" i="52"/>
  <c r="X20" i="52"/>
  <c r="X15" i="53"/>
  <c r="N25" i="53"/>
  <c r="N29" i="53"/>
  <c r="N33" i="53"/>
  <c r="N34" i="53"/>
  <c r="Z13" i="52"/>
  <c r="Z16" i="52"/>
  <c r="Z20" i="52"/>
  <c r="X22" i="52"/>
  <c r="X24" i="52"/>
  <c r="J24" i="53"/>
  <c r="J22" i="53"/>
  <c r="J20" i="53"/>
  <c r="J18" i="53"/>
  <c r="J16" i="53"/>
  <c r="H18" i="53"/>
  <c r="J15" i="53"/>
  <c r="N12" i="53"/>
  <c r="J34" i="53"/>
  <c r="J31" i="53"/>
  <c r="J27" i="53"/>
  <c r="J21" i="53"/>
  <c r="J36" i="53"/>
  <c r="J33" i="53"/>
  <c r="J29" i="53"/>
  <c r="J25" i="53"/>
  <c r="X13" i="53"/>
  <c r="Z15" i="53"/>
  <c r="X21" i="53"/>
  <c r="R21" i="98"/>
  <c r="R20" i="98"/>
  <c r="R18" i="98"/>
  <c r="R16" i="98"/>
  <c r="P18" i="98"/>
  <c r="R15" i="98"/>
  <c r="R24" i="98"/>
  <c r="R22" i="98"/>
  <c r="R29" i="98"/>
  <c r="R27" i="98"/>
  <c r="R36" i="98"/>
  <c r="R25" i="98"/>
  <c r="R34" i="98"/>
  <c r="R33" i="98"/>
  <c r="R31" i="98"/>
  <c r="X12" i="98"/>
  <c r="X24" i="99"/>
  <c r="Z24" i="99"/>
  <c r="Z22" i="98"/>
  <c r="X20" i="100"/>
  <c r="Z16" i="99"/>
  <c r="Z20" i="100"/>
  <c r="Z24" i="98"/>
  <c r="F36" i="100"/>
  <c r="F34" i="100"/>
  <c r="F33" i="100"/>
  <c r="F31" i="100"/>
  <c r="F29" i="100"/>
  <c r="F27" i="100"/>
  <c r="F25" i="100"/>
  <c r="F24" i="100"/>
  <c r="F22" i="100"/>
  <c r="F21" i="100"/>
  <c r="F20" i="100"/>
  <c r="F18" i="100"/>
  <c r="F16" i="100"/>
  <c r="D18" i="100"/>
  <c r="F15" i="100"/>
  <c r="L12" i="100"/>
  <c r="L16" i="98"/>
  <c r="Z20" i="99"/>
  <c r="Z13" i="100"/>
  <c r="X22" i="100"/>
  <c r="L20" i="98"/>
  <c r="P18" i="99"/>
  <c r="R15" i="99"/>
  <c r="X12" i="99"/>
  <c r="R24" i="99"/>
  <c r="R22" i="99"/>
  <c r="R20" i="99"/>
  <c r="R18" i="99"/>
  <c r="R16" i="99"/>
  <c r="R33" i="99"/>
  <c r="R31" i="99"/>
  <c r="R21" i="99"/>
  <c r="R29" i="99"/>
  <c r="R27" i="99"/>
  <c r="R36" i="99"/>
  <c r="R25" i="99"/>
  <c r="R34" i="99"/>
  <c r="X24" i="100"/>
  <c r="Z13" i="99"/>
  <c r="X22" i="99"/>
  <c r="X16" i="100"/>
  <c r="Z22" i="99"/>
  <c r="Z16" i="100"/>
  <c r="Z21" i="98"/>
  <c r="X25" i="98"/>
  <c r="X29" i="98"/>
  <c r="X33" i="98"/>
  <c r="X34" i="98"/>
  <c r="J36" i="99"/>
  <c r="J34" i="99"/>
  <c r="J33" i="99"/>
  <c r="J31" i="99"/>
  <c r="J29" i="99"/>
  <c r="J27" i="99"/>
  <c r="J25" i="99"/>
  <c r="J24" i="99"/>
  <c r="J22" i="99"/>
  <c r="J21" i="99"/>
  <c r="J20" i="99"/>
  <c r="J18" i="99"/>
  <c r="J16" i="99"/>
  <c r="H18" i="99"/>
  <c r="J15" i="99"/>
  <c r="N12" i="99"/>
  <c r="X13" i="99"/>
  <c r="Z15" i="99"/>
  <c r="X21" i="99"/>
  <c r="X15" i="100"/>
  <c r="N25" i="100"/>
  <c r="N29" i="100"/>
  <c r="N33" i="100"/>
  <c r="N34" i="100"/>
  <c r="T18" i="98"/>
  <c r="V15" i="98"/>
  <c r="Z12" i="98"/>
  <c r="V24" i="98"/>
  <c r="V22" i="98"/>
  <c r="V20" i="98"/>
  <c r="V18" i="98"/>
  <c r="V16" i="98"/>
  <c r="V29" i="98"/>
  <c r="V27" i="98"/>
  <c r="V36" i="98"/>
  <c r="V25" i="98"/>
  <c r="V34" i="98"/>
  <c r="V33" i="98"/>
  <c r="V31" i="98"/>
  <c r="V21" i="98"/>
  <c r="L15" i="98"/>
  <c r="Z25" i="98"/>
  <c r="Z29" i="98"/>
  <c r="Z33" i="98"/>
  <c r="Z34" i="98"/>
  <c r="Z21" i="99"/>
  <c r="X25" i="99"/>
  <c r="X29" i="99"/>
  <c r="X33" i="99"/>
  <c r="X34" i="99"/>
  <c r="J21" i="100"/>
  <c r="J20" i="100"/>
  <c r="J18" i="100"/>
  <c r="J16" i="100"/>
  <c r="H18" i="100"/>
  <c r="J15" i="100"/>
  <c r="N12" i="100"/>
  <c r="J24" i="100"/>
  <c r="J22" i="100"/>
  <c r="J36" i="100"/>
  <c r="J25" i="100"/>
  <c r="J34" i="100"/>
  <c r="J33" i="100"/>
  <c r="J31" i="100"/>
  <c r="J29" i="100"/>
  <c r="J27" i="100"/>
  <c r="X13" i="100"/>
  <c r="Z15" i="100"/>
  <c r="X21" i="100"/>
  <c r="N15" i="98"/>
  <c r="L21" i="98"/>
  <c r="Z12" i="99"/>
  <c r="V36" i="99"/>
  <c r="V34" i="99"/>
  <c r="V33" i="99"/>
  <c r="V31" i="99"/>
  <c r="V29" i="99"/>
  <c r="V27" i="99"/>
  <c r="V25" i="99"/>
  <c r="V24" i="99"/>
  <c r="V22" i="99"/>
  <c r="V20" i="99"/>
  <c r="V18" i="99"/>
  <c r="V16" i="99"/>
  <c r="V21" i="99"/>
  <c r="T18" i="99"/>
  <c r="V15" i="99"/>
  <c r="L15" i="99"/>
  <c r="Z25" i="99"/>
  <c r="Z29" i="99"/>
  <c r="Z33" i="99"/>
  <c r="Z34" i="99"/>
  <c r="Z21" i="100"/>
  <c r="X25" i="100"/>
  <c r="X29" i="100"/>
  <c r="X33" i="100"/>
  <c r="X34" i="100"/>
  <c r="N16" i="98"/>
  <c r="N20" i="98"/>
  <c r="L22" i="98"/>
  <c r="L24" i="98"/>
  <c r="L16" i="99"/>
  <c r="L20" i="99"/>
  <c r="X12" i="100"/>
  <c r="R36" i="100"/>
  <c r="R34" i="100"/>
  <c r="R33" i="100"/>
  <c r="R31" i="100"/>
  <c r="R29" i="100"/>
  <c r="R27" i="100"/>
  <c r="R25" i="100"/>
  <c r="R24" i="100"/>
  <c r="R22" i="100"/>
  <c r="R20" i="100"/>
  <c r="R18" i="100"/>
  <c r="R16" i="100"/>
  <c r="R15" i="100"/>
  <c r="R21" i="100"/>
  <c r="P18" i="100"/>
  <c r="Z22" i="100"/>
  <c r="Z24" i="100"/>
  <c r="L13" i="98"/>
  <c r="N21" i="98"/>
  <c r="L25" i="98"/>
  <c r="L29" i="98"/>
  <c r="L33" i="98"/>
  <c r="L34" i="98"/>
  <c r="N15" i="99"/>
  <c r="L21" i="99"/>
  <c r="Z12" i="100"/>
  <c r="V36" i="100"/>
  <c r="V34" i="100"/>
  <c r="V33" i="100"/>
  <c r="V31" i="100"/>
  <c r="V29" i="100"/>
  <c r="V27" i="100"/>
  <c r="V25" i="100"/>
  <c r="V24" i="100"/>
  <c r="V22" i="100"/>
  <c r="V21" i="100"/>
  <c r="V20" i="100"/>
  <c r="V18" i="100"/>
  <c r="V16" i="100"/>
  <c r="V15" i="100"/>
  <c r="T18" i="100"/>
  <c r="L15" i="100"/>
  <c r="Z25" i="100"/>
  <c r="Z29" i="100"/>
  <c r="Z33" i="100"/>
  <c r="Z34" i="100"/>
  <c r="N13" i="98"/>
  <c r="N22" i="98"/>
  <c r="N24" i="98"/>
  <c r="N16" i="99"/>
  <c r="N20" i="99"/>
  <c r="L22" i="99"/>
  <c r="L24" i="99"/>
  <c r="L16" i="100"/>
  <c r="L20" i="100"/>
  <c r="X15" i="98"/>
  <c r="N25" i="98"/>
  <c r="N29" i="98"/>
  <c r="N33" i="98"/>
  <c r="N34" i="98"/>
  <c r="L13" i="99"/>
  <c r="N21" i="99"/>
  <c r="L25" i="99"/>
  <c r="L29" i="99"/>
  <c r="L33" i="99"/>
  <c r="L34" i="99"/>
  <c r="N15" i="100"/>
  <c r="L21" i="100"/>
  <c r="L12" i="98"/>
  <c r="F36" i="98"/>
  <c r="F34" i="98"/>
  <c r="F33" i="98"/>
  <c r="F31" i="98"/>
  <c r="F29" i="98"/>
  <c r="F27" i="98"/>
  <c r="F25" i="98"/>
  <c r="F24" i="98"/>
  <c r="F22" i="98"/>
  <c r="F21" i="98"/>
  <c r="F20" i="98"/>
  <c r="F18" i="98"/>
  <c r="F16" i="98"/>
  <c r="D18" i="98"/>
  <c r="F15" i="98"/>
  <c r="X16" i="98"/>
  <c r="X20" i="98"/>
  <c r="N13" i="99"/>
  <c r="N22" i="99"/>
  <c r="N24" i="99"/>
  <c r="N16" i="100"/>
  <c r="N20" i="100"/>
  <c r="L22" i="100"/>
  <c r="L24" i="100"/>
  <c r="J36" i="98"/>
  <c r="J34" i="98"/>
  <c r="J33" i="98"/>
  <c r="J31" i="98"/>
  <c r="J29" i="98"/>
  <c r="J27" i="98"/>
  <c r="J25" i="98"/>
  <c r="J24" i="98"/>
  <c r="J22" i="98"/>
  <c r="J21" i="98"/>
  <c r="J20" i="98"/>
  <c r="J18" i="98"/>
  <c r="J16" i="98"/>
  <c r="H18" i="98"/>
  <c r="J15" i="98"/>
  <c r="N12" i="98"/>
  <c r="X13" i="98"/>
  <c r="Z15" i="98"/>
  <c r="X21" i="98"/>
  <c r="X15" i="99"/>
  <c r="N25" i="99"/>
  <c r="N29" i="99"/>
  <c r="N33" i="99"/>
  <c r="N34" i="99"/>
  <c r="L13" i="100"/>
  <c r="N21" i="100"/>
  <c r="L25" i="100"/>
  <c r="L29" i="100"/>
  <c r="L33" i="100"/>
  <c r="L34" i="100"/>
  <c r="Z13" i="98"/>
  <c r="Z16" i="98"/>
  <c r="Z20" i="98"/>
  <c r="X22" i="98"/>
  <c r="X24" i="98"/>
  <c r="F36" i="99"/>
  <c r="F34" i="99"/>
  <c r="F33" i="99"/>
  <c r="F31" i="99"/>
  <c r="F29" i="99"/>
  <c r="F27" i="99"/>
  <c r="F25" i="99"/>
  <c r="F24" i="99"/>
  <c r="F22" i="99"/>
  <c r="F21" i="99"/>
  <c r="F20" i="99"/>
  <c r="F18" i="99"/>
  <c r="F16" i="99"/>
  <c r="D18" i="99"/>
  <c r="F15" i="99"/>
  <c r="L12" i="99"/>
  <c r="X16" i="99"/>
  <c r="X20" i="99"/>
  <c r="N13" i="100"/>
  <c r="N22" i="100"/>
  <c r="N24" i="100"/>
  <c r="F316" i="3"/>
  <c r="F267" i="3"/>
  <c r="F227" i="3"/>
  <c r="F226" i="3"/>
  <c r="F215" i="3"/>
  <c r="F211" i="3"/>
  <c r="F207" i="3"/>
  <c r="F328" i="3"/>
  <c r="F327" i="3"/>
  <c r="F315" i="3"/>
  <c r="F278" i="3"/>
  <c r="F258" i="3"/>
  <c r="F250" i="3"/>
  <c r="F242" i="3"/>
  <c r="F241" i="3"/>
  <c r="F234" i="3"/>
  <c r="F198" i="3"/>
  <c r="F194" i="3"/>
  <c r="F190" i="3"/>
  <c r="F186" i="3"/>
  <c r="F182" i="3"/>
  <c r="F178" i="3"/>
  <c r="F174" i="3"/>
  <c r="F314" i="3"/>
  <c r="F301" i="3"/>
  <c r="F293" i="3"/>
  <c r="F289" i="3"/>
  <c r="F285" i="3"/>
  <c r="F273" i="3"/>
  <c r="F221" i="3"/>
  <c r="F217" i="3"/>
  <c r="F216" i="3"/>
  <c r="F313" i="3"/>
  <c r="F268" i="3"/>
  <c r="F260" i="3"/>
  <c r="F259" i="3"/>
  <c r="F252" i="3"/>
  <c r="F251" i="3"/>
  <c r="F244" i="3"/>
  <c r="F243" i="3"/>
  <c r="F228" i="3"/>
  <c r="F212" i="3"/>
  <c r="F208" i="3"/>
  <c r="F312" i="3"/>
  <c r="F295" i="3"/>
  <c r="F294" i="3"/>
  <c r="F279" i="3"/>
  <c r="F275" i="3"/>
  <c r="F274" i="3"/>
  <c r="F235" i="3"/>
  <c r="F199" i="3"/>
  <c r="F195" i="3"/>
  <c r="F191" i="3"/>
  <c r="F187" i="3"/>
  <c r="F183" i="3"/>
  <c r="F179" i="3"/>
  <c r="F175" i="3"/>
  <c r="F171" i="3"/>
  <c r="F310" i="3"/>
  <c r="F281" i="3"/>
  <c r="F280" i="3"/>
  <c r="F269" i="3"/>
  <c r="F237" i="3"/>
  <c r="F236" i="3"/>
  <c r="F213" i="3"/>
  <c r="F209" i="3"/>
  <c r="F309" i="3"/>
  <c r="F304" i="3"/>
  <c r="F303" i="3"/>
  <c r="F296" i="3"/>
  <c r="F276" i="3"/>
  <c r="F264" i="3"/>
  <c r="F263" i="3"/>
  <c r="F256" i="3"/>
  <c r="F255" i="3"/>
  <c r="F232" i="3"/>
  <c r="F231" i="3"/>
  <c r="F200" i="3"/>
  <c r="F196" i="3"/>
  <c r="F192" i="3"/>
  <c r="F188" i="3"/>
  <c r="F184" i="3"/>
  <c r="F180" i="3"/>
  <c r="F176" i="3"/>
  <c r="F172" i="3"/>
  <c r="F308" i="3"/>
  <c r="F291" i="3"/>
  <c r="F287" i="3"/>
  <c r="F271" i="3"/>
  <c r="F270" i="3"/>
  <c r="F247" i="3"/>
  <c r="F223" i="3"/>
  <c r="F219" i="3"/>
  <c r="F317" i="3"/>
  <c r="F300" i="3"/>
  <c r="F299" i="3"/>
  <c r="F292" i="3"/>
  <c r="F288" i="3"/>
  <c r="F284" i="3"/>
  <c r="F283" i="3"/>
  <c r="F272" i="3"/>
  <c r="F240" i="3"/>
  <c r="F239" i="3"/>
  <c r="F220" i="3"/>
  <c r="D202" i="3"/>
  <c r="F323" i="3"/>
  <c r="F238" i="3"/>
  <c r="L12" i="3"/>
  <c r="F253" i="3"/>
  <c r="F202" i="3"/>
  <c r="F197" i="3"/>
  <c r="F307" i="3"/>
  <c r="F257" i="3"/>
  <c r="F245" i="3"/>
  <c r="F214" i="3"/>
  <c r="F205" i="3"/>
  <c r="F173" i="3"/>
  <c r="F166" i="3"/>
  <c r="F162" i="3"/>
  <c r="F158" i="3"/>
  <c r="F154" i="3"/>
  <c r="F150" i="3"/>
  <c r="F146" i="3"/>
  <c r="F142" i="3"/>
  <c r="F318" i="3"/>
  <c r="F266" i="3"/>
  <c r="F233" i="3"/>
  <c r="F229" i="3"/>
  <c r="F225" i="3"/>
  <c r="F218" i="3"/>
  <c r="F290" i="3"/>
  <c r="F262" i="3"/>
  <c r="F193" i="3"/>
  <c r="F169" i="3"/>
  <c r="F297" i="3"/>
  <c r="F277" i="3"/>
  <c r="F249" i="3"/>
  <c r="F163" i="3"/>
  <c r="F159" i="3"/>
  <c r="F155" i="3"/>
  <c r="F151" i="3"/>
  <c r="F147" i="3"/>
  <c r="F143" i="3"/>
  <c r="F254" i="3"/>
  <c r="F206" i="3"/>
  <c r="F189" i="3"/>
  <c r="F167" i="3"/>
  <c r="F311" i="3"/>
  <c r="F246" i="3"/>
  <c r="F224" i="3"/>
  <c r="F222" i="3"/>
  <c r="F204" i="3"/>
  <c r="F170" i="3"/>
  <c r="F164" i="3"/>
  <c r="F160" i="3"/>
  <c r="F156" i="3"/>
  <c r="F152" i="3"/>
  <c r="F148" i="3"/>
  <c r="F144" i="3"/>
  <c r="F140" i="3"/>
  <c r="F139" i="3"/>
  <c r="F319" i="3"/>
  <c r="F230" i="3"/>
  <c r="F185" i="3"/>
  <c r="F298" i="3"/>
  <c r="F265" i="3"/>
  <c r="F261" i="3"/>
  <c r="F248" i="3"/>
  <c r="F302" i="3"/>
  <c r="F286" i="3"/>
  <c r="F282" i="3"/>
  <c r="F210" i="3"/>
  <c r="F181" i="3"/>
  <c r="F177" i="3"/>
  <c r="F168" i="3"/>
  <c r="F165" i="3"/>
  <c r="F161" i="3"/>
  <c r="F157" i="3"/>
  <c r="F153" i="3"/>
  <c r="F149" i="3"/>
  <c r="F145" i="3"/>
  <c r="F141" i="3"/>
  <c r="Z33" i="3"/>
  <c r="Z35" i="3"/>
  <c r="Z37" i="3"/>
  <c r="Z39" i="3"/>
  <c r="N126" i="3"/>
  <c r="N34" i="3"/>
  <c r="N38" i="3"/>
  <c r="Z49" i="3"/>
  <c r="Z51" i="3"/>
  <c r="Z53" i="3"/>
  <c r="Z55" i="3"/>
  <c r="Z57" i="3"/>
  <c r="Z59" i="3"/>
  <c r="Z61" i="3"/>
  <c r="Z63" i="3"/>
  <c r="Z65" i="3"/>
  <c r="Z67" i="3"/>
  <c r="Z69" i="3"/>
  <c r="Z71" i="3"/>
  <c r="Z73" i="3"/>
  <c r="Z75" i="3"/>
  <c r="Z18" i="3"/>
  <c r="Z30" i="3"/>
  <c r="Z34" i="3"/>
  <c r="Z85" i="3"/>
  <c r="Z87" i="3"/>
  <c r="N62" i="3"/>
  <c r="N70" i="3"/>
  <c r="N74" i="3"/>
  <c r="Z89" i="3"/>
  <c r="Z91" i="3"/>
  <c r="Z93" i="3"/>
  <c r="Z95" i="3"/>
  <c r="Z97" i="3"/>
  <c r="Z99" i="3"/>
  <c r="P22" i="6"/>
  <c r="R310" i="3"/>
  <c r="R295" i="3"/>
  <c r="R280" i="3"/>
  <c r="R279" i="3"/>
  <c r="R275" i="3"/>
  <c r="R236" i="3"/>
  <c r="R235" i="3"/>
  <c r="R199" i="3"/>
  <c r="R195" i="3"/>
  <c r="R191" i="3"/>
  <c r="R187" i="3"/>
  <c r="R183" i="3"/>
  <c r="R179" i="3"/>
  <c r="R175" i="3"/>
  <c r="R171" i="3"/>
  <c r="R167" i="3"/>
  <c r="R309" i="3"/>
  <c r="R303" i="3"/>
  <c r="R302" i="3"/>
  <c r="R290" i="3"/>
  <c r="R286" i="3"/>
  <c r="R263" i="3"/>
  <c r="R262" i="3"/>
  <c r="R255" i="3"/>
  <c r="R254" i="3"/>
  <c r="R246" i="3"/>
  <c r="R231" i="3"/>
  <c r="R230" i="3"/>
  <c r="R222" i="3"/>
  <c r="R218" i="3"/>
  <c r="R308" i="3"/>
  <c r="R281" i="3"/>
  <c r="R270" i="3"/>
  <c r="R269" i="3"/>
  <c r="R237" i="3"/>
  <c r="R213" i="3"/>
  <c r="R209" i="3"/>
  <c r="R319" i="3"/>
  <c r="R307" i="3"/>
  <c r="R304" i="3"/>
  <c r="R297" i="3"/>
  <c r="R296" i="3"/>
  <c r="R276" i="3"/>
  <c r="R265" i="3"/>
  <c r="R264" i="3"/>
  <c r="R256" i="3"/>
  <c r="R232" i="3"/>
  <c r="R205" i="3"/>
  <c r="R318" i="3"/>
  <c r="R291" i="3"/>
  <c r="R287" i="3"/>
  <c r="R271" i="3"/>
  <c r="R248" i="3"/>
  <c r="R247" i="3"/>
  <c r="R224" i="3"/>
  <c r="R223" i="3"/>
  <c r="R219" i="3"/>
  <c r="R204" i="3"/>
  <c r="R202" i="3"/>
  <c r="R323" i="3"/>
  <c r="R316" i="3"/>
  <c r="R277" i="3"/>
  <c r="R257" i="3"/>
  <c r="R249" i="3"/>
  <c r="R233" i="3"/>
  <c r="R226" i="3"/>
  <c r="R225" i="3"/>
  <c r="R197" i="3"/>
  <c r="R193" i="3"/>
  <c r="R189" i="3"/>
  <c r="R185" i="3"/>
  <c r="R181" i="3"/>
  <c r="R177" i="3"/>
  <c r="R173" i="3"/>
  <c r="R169" i="3"/>
  <c r="R328" i="3"/>
  <c r="R327" i="3"/>
  <c r="R315" i="3"/>
  <c r="R300" i="3"/>
  <c r="R292" i="3"/>
  <c r="R288" i="3"/>
  <c r="R284" i="3"/>
  <c r="R272" i="3"/>
  <c r="R241" i="3"/>
  <c r="R240" i="3"/>
  <c r="R220" i="3"/>
  <c r="R314" i="3"/>
  <c r="R267" i="3"/>
  <c r="R227" i="3"/>
  <c r="R216" i="3"/>
  <c r="R215" i="3"/>
  <c r="R211" i="3"/>
  <c r="R207" i="3"/>
  <c r="R311" i="3"/>
  <c r="R268" i="3"/>
  <c r="R261" i="3"/>
  <c r="R260" i="3"/>
  <c r="R253" i="3"/>
  <c r="R252" i="3"/>
  <c r="R245" i="3"/>
  <c r="R244" i="3"/>
  <c r="R229" i="3"/>
  <c r="R228" i="3"/>
  <c r="R212" i="3"/>
  <c r="R208" i="3"/>
  <c r="R299" i="3"/>
  <c r="R273" i="3"/>
  <c r="R266" i="3"/>
  <c r="R243" i="3"/>
  <c r="R221" i="3"/>
  <c r="R184" i="3"/>
  <c r="R293" i="3"/>
  <c r="R283" i="3"/>
  <c r="R163" i="3"/>
  <c r="R159" i="3"/>
  <c r="R155" i="3"/>
  <c r="R151" i="3"/>
  <c r="R147" i="3"/>
  <c r="R143" i="3"/>
  <c r="R313" i="3"/>
  <c r="R239" i="3"/>
  <c r="R182" i="3"/>
  <c r="R180" i="3"/>
  <c r="R178" i="3"/>
  <c r="R139" i="3"/>
  <c r="R301" i="3"/>
  <c r="R176" i="3"/>
  <c r="R285" i="3"/>
  <c r="R258" i="3"/>
  <c r="R206" i="3"/>
  <c r="R200" i="3"/>
  <c r="R198" i="3"/>
  <c r="R174" i="3"/>
  <c r="R164" i="3"/>
  <c r="R160" i="3"/>
  <c r="R156" i="3"/>
  <c r="R152" i="3"/>
  <c r="R148" i="3"/>
  <c r="R144" i="3"/>
  <c r="R140" i="3"/>
  <c r="R274" i="3"/>
  <c r="R196" i="3"/>
  <c r="R172" i="3"/>
  <c r="R170" i="3"/>
  <c r="R294" i="3"/>
  <c r="R194" i="3"/>
  <c r="R317" i="3"/>
  <c r="R298" i="3"/>
  <c r="R250" i="3"/>
  <c r="R234" i="3"/>
  <c r="R217" i="3"/>
  <c r="R165" i="3"/>
  <c r="R161" i="3"/>
  <c r="R157" i="3"/>
  <c r="R153" i="3"/>
  <c r="R149" i="3"/>
  <c r="R145" i="3"/>
  <c r="R141" i="3"/>
  <c r="R289" i="3"/>
  <c r="R282" i="3"/>
  <c r="R278" i="3"/>
  <c r="R259" i="3"/>
  <c r="R242" i="3"/>
  <c r="R210" i="3"/>
  <c r="R192" i="3"/>
  <c r="R168" i="3"/>
  <c r="R312" i="3"/>
  <c r="R238" i="3"/>
  <c r="R190" i="3"/>
  <c r="R188" i="3"/>
  <c r="R162" i="3"/>
  <c r="R158" i="3"/>
  <c r="R154" i="3"/>
  <c r="R150" i="3"/>
  <c r="R146" i="3"/>
  <c r="R142" i="3"/>
  <c r="R251" i="3"/>
  <c r="R214" i="3"/>
  <c r="P202" i="3"/>
  <c r="R186" i="3"/>
  <c r="R166" i="3"/>
  <c r="N94" i="3"/>
  <c r="N12" i="3"/>
  <c r="X13" i="3"/>
  <c r="N16" i="3"/>
  <c r="N20" i="3"/>
  <c r="N24" i="3"/>
  <c r="N28" i="3"/>
  <c r="N32" i="3"/>
  <c r="N36" i="3"/>
  <c r="N40" i="3"/>
  <c r="N44" i="3"/>
  <c r="N48" i="3"/>
  <c r="N52" i="3"/>
  <c r="N56" i="3"/>
  <c r="N60" i="3"/>
  <c r="N64" i="3"/>
  <c r="N68" i="3"/>
  <c r="N72" i="3"/>
  <c r="N76" i="3"/>
  <c r="N80" i="3"/>
  <c r="N84" i="3"/>
  <c r="N88" i="3"/>
  <c r="Z216" i="3"/>
  <c r="J240" i="3"/>
  <c r="Z245" i="3"/>
  <c r="X245" i="3"/>
  <c r="L248" i="3"/>
  <c r="J269" i="3"/>
  <c r="Z299" i="3"/>
  <c r="J323" i="3"/>
  <c r="Z327" i="3"/>
  <c r="Z31" i="9"/>
  <c r="Z43" i="9"/>
  <c r="Z45" i="9"/>
  <c r="N83" i="9"/>
  <c r="D12" i="12"/>
  <c r="L14" i="12"/>
  <c r="N78" i="12"/>
  <c r="Z83" i="12"/>
  <c r="Z101" i="12"/>
  <c r="Z107" i="12"/>
  <c r="N114" i="12"/>
  <c r="T12" i="15"/>
  <c r="X73" i="18"/>
  <c r="Z73" i="18" s="1"/>
  <c r="J141" i="3"/>
  <c r="J145" i="3"/>
  <c r="J149" i="3"/>
  <c r="J153" i="3"/>
  <c r="J157" i="3"/>
  <c r="J161" i="3"/>
  <c r="J165" i="3"/>
  <c r="J177" i="3"/>
  <c r="J179" i="3"/>
  <c r="J181" i="3"/>
  <c r="N236" i="3"/>
  <c r="X253" i="3"/>
  <c r="Z253" i="3" s="1"/>
  <c r="N263" i="3"/>
  <c r="L280" i="3"/>
  <c r="N280" i="3" s="1"/>
  <c r="J284" i="3"/>
  <c r="J309" i="3"/>
  <c r="X312" i="3"/>
  <c r="Z312" i="3" s="1"/>
  <c r="Z315" i="3"/>
  <c r="N317" i="3"/>
  <c r="L317" i="3"/>
  <c r="H12" i="12"/>
  <c r="N14" i="12"/>
  <c r="L30" i="12"/>
  <c r="Z47" i="12"/>
  <c r="N62" i="12"/>
  <c r="Z65" i="12"/>
  <c r="Z67" i="12"/>
  <c r="Z94" i="12"/>
  <c r="Z111" i="12"/>
  <c r="X36" i="15"/>
  <c r="Z36" i="15" s="1"/>
  <c r="X262" i="15"/>
  <c r="Z262" i="15" s="1"/>
  <c r="P259" i="15"/>
  <c r="T12" i="3"/>
  <c r="J183" i="3"/>
  <c r="L204" i="3"/>
  <c r="N204" i="3" s="1"/>
  <c r="L224" i="3"/>
  <c r="N224" i="3" s="1"/>
  <c r="N248" i="3"/>
  <c r="J263" i="3"/>
  <c r="J300" i="3"/>
  <c r="J317" i="3"/>
  <c r="J22" i="6"/>
  <c r="J20" i="6"/>
  <c r="J18" i="6"/>
  <c r="J16" i="6"/>
  <c r="J14" i="6"/>
  <c r="H16" i="6"/>
  <c r="J24" i="6"/>
  <c r="J31" i="6"/>
  <c r="J29" i="6"/>
  <c r="J28" i="6"/>
  <c r="J26" i="6"/>
  <c r="N12" i="6"/>
  <c r="L82" i="12"/>
  <c r="L102" i="12"/>
  <c r="Z68" i="15"/>
  <c r="X68" i="15"/>
  <c r="J185" i="3"/>
  <c r="T306" i="3"/>
  <c r="N29" i="6"/>
  <c r="L29" i="6"/>
  <c r="T95" i="9"/>
  <c r="Z49" i="12"/>
  <c r="Z62" i="12"/>
  <c r="L66" i="12"/>
  <c r="L106" i="12"/>
  <c r="X20" i="15"/>
  <c r="Z20" i="15" s="1"/>
  <c r="J140" i="3"/>
  <c r="J144" i="3"/>
  <c r="J148" i="3"/>
  <c r="J152" i="3"/>
  <c r="J156" i="3"/>
  <c r="J160" i="3"/>
  <c r="J164" i="3"/>
  <c r="J213" i="3"/>
  <c r="J226" i="3"/>
  <c r="X261" i="3"/>
  <c r="Z261" i="3" s="1"/>
  <c r="N46" i="12"/>
  <c r="N66" i="12"/>
  <c r="L14" i="3"/>
  <c r="N14" i="3" s="1"/>
  <c r="J139" i="3"/>
  <c r="J167" i="3"/>
  <c r="J187" i="3"/>
  <c r="J189" i="3"/>
  <c r="J272" i="3"/>
  <c r="J292" i="3"/>
  <c r="N308" i="3"/>
  <c r="Z314" i="3"/>
  <c r="Z21" i="12"/>
  <c r="Z23" i="12"/>
  <c r="Z39" i="12"/>
  <c r="Z53" i="12"/>
  <c r="Z55" i="12"/>
  <c r="Z82" i="12"/>
  <c r="Z102" i="12"/>
  <c r="X256" i="12"/>
  <c r="Z256" i="12"/>
  <c r="X96" i="15"/>
  <c r="Z96" i="15" s="1"/>
  <c r="J191" i="3"/>
  <c r="Z204" i="3"/>
  <c r="J220" i="3"/>
  <c r="N239" i="3"/>
  <c r="L239" i="3"/>
  <c r="N270" i="3"/>
  <c r="Z294" i="3"/>
  <c r="N303" i="3"/>
  <c r="P306" i="3"/>
  <c r="J316" i="3"/>
  <c r="N34" i="12"/>
  <c r="Z46" i="12"/>
  <c r="N50" i="12"/>
  <c r="N70" i="12"/>
  <c r="Z73" i="12"/>
  <c r="Z75" i="12"/>
  <c r="Z91" i="12"/>
  <c r="Z106" i="12"/>
  <c r="Z273" i="12"/>
  <c r="T268" i="12"/>
  <c r="J143" i="3"/>
  <c r="J147" i="3"/>
  <c r="J151" i="3"/>
  <c r="J155" i="3"/>
  <c r="J159" i="3"/>
  <c r="J163" i="3"/>
  <c r="Z226" i="3"/>
  <c r="J237" i="3"/>
  <c r="J239" i="3"/>
  <c r="J249" i="3"/>
  <c r="Z274" i="3"/>
  <c r="J277" i="3"/>
  <c r="J281" i="3"/>
  <c r="L283" i="3"/>
  <c r="N283" i="3" s="1"/>
  <c r="J303" i="3"/>
  <c r="L310" i="3"/>
  <c r="N310" i="3" s="1"/>
  <c r="X311" i="3"/>
  <c r="Z311" i="3" s="1"/>
  <c r="L318" i="3"/>
  <c r="Z328" i="3"/>
  <c r="N28" i="6"/>
  <c r="L28" i="6"/>
  <c r="N39" i="9"/>
  <c r="Z56" i="9"/>
  <c r="X56" i="9"/>
  <c r="L22" i="12"/>
  <c r="L38" i="12"/>
  <c r="N38" i="12" s="1"/>
  <c r="L54" i="12"/>
  <c r="Z95" i="12"/>
  <c r="Z110" i="12"/>
  <c r="Z52" i="15"/>
  <c r="X52" i="15"/>
  <c r="Z82" i="15"/>
  <c r="J169" i="3"/>
  <c r="J193" i="3"/>
  <c r="J209" i="3"/>
  <c r="J283" i="3"/>
  <c r="N299" i="3"/>
  <c r="L299" i="3"/>
  <c r="L307" i="3"/>
  <c r="D306" i="3"/>
  <c r="L306" i="3" s="1"/>
  <c r="N306" i="3" s="1"/>
  <c r="Z16" i="9"/>
  <c r="L51" i="9"/>
  <c r="N51" i="9" s="1"/>
  <c r="X69" i="9"/>
  <c r="Z50" i="12"/>
  <c r="N54" i="12"/>
  <c r="L74" i="12"/>
  <c r="L90" i="12"/>
  <c r="X14" i="3"/>
  <c r="Z14" i="3" s="1"/>
  <c r="X18" i="3"/>
  <c r="X22" i="3"/>
  <c r="Z22" i="3" s="1"/>
  <c r="X26" i="3"/>
  <c r="Z26" i="3" s="1"/>
  <c r="X30" i="3"/>
  <c r="X34" i="3"/>
  <c r="X38" i="3"/>
  <c r="Z38" i="3" s="1"/>
  <c r="X42" i="3"/>
  <c r="Z42" i="3" s="1"/>
  <c r="X46" i="3"/>
  <c r="Z46" i="3" s="1"/>
  <c r="X50" i="3"/>
  <c r="Z50" i="3" s="1"/>
  <c r="X54" i="3"/>
  <c r="Z54" i="3" s="1"/>
  <c r="X58" i="3"/>
  <c r="Z58" i="3" s="1"/>
  <c r="X62" i="3"/>
  <c r="Z62" i="3" s="1"/>
  <c r="X66" i="3"/>
  <c r="Z66" i="3" s="1"/>
  <c r="X70" i="3"/>
  <c r="Z70" i="3" s="1"/>
  <c r="X74" i="3"/>
  <c r="Z74" i="3" s="1"/>
  <c r="J195" i="3"/>
  <c r="J225" i="3"/>
  <c r="J233" i="3"/>
  <c r="X316" i="3"/>
  <c r="N318" i="3"/>
  <c r="P12" i="12"/>
  <c r="X15" i="12"/>
  <c r="Z43" i="12"/>
  <c r="N90" i="12"/>
  <c r="J314" i="3"/>
  <c r="J278" i="3"/>
  <c r="J258" i="3"/>
  <c r="J250" i="3"/>
  <c r="J242" i="3"/>
  <c r="J234" i="3"/>
  <c r="J216" i="3"/>
  <c r="J198" i="3"/>
  <c r="J194" i="3"/>
  <c r="J190" i="3"/>
  <c r="J186" i="3"/>
  <c r="J182" i="3"/>
  <c r="J178" i="3"/>
  <c r="J174" i="3"/>
  <c r="J170" i="3"/>
  <c r="J166" i="3"/>
  <c r="J313" i="3"/>
  <c r="J301" i="3"/>
  <c r="J293" i="3"/>
  <c r="J289" i="3"/>
  <c r="J285" i="3"/>
  <c r="J273" i="3"/>
  <c r="J259" i="3"/>
  <c r="J251" i="3"/>
  <c r="J243" i="3"/>
  <c r="J221" i="3"/>
  <c r="J217" i="3"/>
  <c r="J312" i="3"/>
  <c r="J294" i="3"/>
  <c r="J274" i="3"/>
  <c r="J268" i="3"/>
  <c r="J260" i="3"/>
  <c r="J252" i="3"/>
  <c r="J244" i="3"/>
  <c r="J228" i="3"/>
  <c r="J212" i="3"/>
  <c r="J208" i="3"/>
  <c r="J311" i="3"/>
  <c r="J295" i="3"/>
  <c r="J279" i="3"/>
  <c r="J275" i="3"/>
  <c r="J261" i="3"/>
  <c r="J253" i="3"/>
  <c r="J245" i="3"/>
  <c r="J235" i="3"/>
  <c r="J229" i="3"/>
  <c r="J310" i="3"/>
  <c r="J302" i="3"/>
  <c r="J290" i="3"/>
  <c r="J286" i="3"/>
  <c r="J280" i="3"/>
  <c r="J262" i="3"/>
  <c r="J254" i="3"/>
  <c r="J246" i="3"/>
  <c r="J236" i="3"/>
  <c r="J230" i="3"/>
  <c r="J222" i="3"/>
  <c r="J218" i="3"/>
  <c r="J308" i="3"/>
  <c r="J304" i="3"/>
  <c r="J296" i="3"/>
  <c r="J276" i="3"/>
  <c r="J270" i="3"/>
  <c r="J264" i="3"/>
  <c r="J256" i="3"/>
  <c r="J232" i="3"/>
  <c r="J200" i="3"/>
  <c r="J196" i="3"/>
  <c r="J192" i="3"/>
  <c r="J188" i="3"/>
  <c r="J184" i="3"/>
  <c r="J180" i="3"/>
  <c r="J176" i="3"/>
  <c r="J172" i="3"/>
  <c r="J168" i="3"/>
  <c r="J319" i="3"/>
  <c r="J307" i="3"/>
  <c r="J297" i="3"/>
  <c r="J291" i="3"/>
  <c r="J287" i="3"/>
  <c r="J271" i="3"/>
  <c r="J265" i="3"/>
  <c r="J247" i="3"/>
  <c r="J223" i="3"/>
  <c r="J219" i="3"/>
  <c r="J205" i="3"/>
  <c r="J318" i="3"/>
  <c r="J306" i="3"/>
  <c r="J298" i="3"/>
  <c r="J282" i="3"/>
  <c r="J266" i="3"/>
  <c r="J248" i="3"/>
  <c r="J238" i="3"/>
  <c r="J224" i="3"/>
  <c r="J214" i="3"/>
  <c r="J210" i="3"/>
  <c r="J206" i="3"/>
  <c r="J204" i="3"/>
  <c r="J328" i="3"/>
  <c r="J327" i="3"/>
  <c r="J315" i="3"/>
  <c r="J267" i="3"/>
  <c r="J241" i="3"/>
  <c r="J227" i="3"/>
  <c r="J215" i="3"/>
  <c r="J211" i="3"/>
  <c r="J207" i="3"/>
  <c r="J142" i="3"/>
  <c r="J146" i="3"/>
  <c r="J150" i="3"/>
  <c r="J154" i="3"/>
  <c r="J158" i="3"/>
  <c r="J162" i="3"/>
  <c r="J171" i="3"/>
  <c r="J173" i="3"/>
  <c r="J231" i="3"/>
  <c r="J257" i="3"/>
  <c r="J288" i="3"/>
  <c r="Z316" i="3"/>
  <c r="Z69" i="9"/>
  <c r="N74" i="9"/>
  <c r="L74" i="9"/>
  <c r="Z15" i="12"/>
  <c r="D268" i="12"/>
  <c r="L268" i="12" s="1"/>
  <c r="L269" i="12"/>
  <c r="J175" i="3"/>
  <c r="J197" i="3"/>
  <c r="J199" i="3"/>
  <c r="H202" i="3"/>
  <c r="J202" i="3" s="1"/>
  <c r="Z229" i="3"/>
  <c r="X229" i="3"/>
  <c r="J255" i="3"/>
  <c r="N26" i="12"/>
  <c r="Z31" i="12"/>
  <c r="N58" i="12"/>
  <c r="Z74" i="12"/>
  <c r="Z90" i="12"/>
  <c r="Z103" i="12"/>
  <c r="V14" i="9"/>
  <c r="V16" i="9"/>
  <c r="V18" i="9"/>
  <c r="R23" i="9"/>
  <c r="R27" i="9"/>
  <c r="J30" i="9"/>
  <c r="J42" i="9"/>
  <c r="V46" i="9"/>
  <c r="J54" i="9"/>
  <c r="R55" i="9"/>
  <c r="R56" i="9"/>
  <c r="V58" i="9"/>
  <c r="Z60" i="9"/>
  <c r="J62" i="9"/>
  <c r="R63" i="9"/>
  <c r="F67" i="9"/>
  <c r="V70" i="9"/>
  <c r="Z72" i="9"/>
  <c r="F74" i="9"/>
  <c r="F75" i="9"/>
  <c r="F79" i="9"/>
  <c r="J80" i="9"/>
  <c r="V82" i="9"/>
  <c r="F87" i="9"/>
  <c r="R93" i="9"/>
  <c r="T12" i="12"/>
  <c r="L172" i="12"/>
  <c r="N172" i="12" s="1"/>
  <c r="N191" i="12"/>
  <c r="N193" i="12"/>
  <c r="Z198" i="12"/>
  <c r="L205" i="12"/>
  <c r="X226" i="12"/>
  <c r="Z226" i="12" s="1"/>
  <c r="Z276" i="12"/>
  <c r="Z32" i="15"/>
  <c r="Z34" i="15"/>
  <c r="Z41" i="15"/>
  <c r="Z50" i="15"/>
  <c r="Z64" i="15"/>
  <c r="Z66" i="15"/>
  <c r="Z80" i="15"/>
  <c r="Z108" i="15"/>
  <c r="N256" i="15"/>
  <c r="N260" i="15"/>
  <c r="L260" i="15"/>
  <c r="H259" i="15"/>
  <c r="L259" i="15" s="1"/>
  <c r="N262" i="15"/>
  <c r="D12" i="18"/>
  <c r="Z89" i="18"/>
  <c r="X89" i="18"/>
  <c r="Z247" i="15"/>
  <c r="X260" i="15"/>
  <c r="Z260" i="15" s="1"/>
  <c r="T259" i="15"/>
  <c r="P12" i="18"/>
  <c r="X13" i="18"/>
  <c r="X57" i="18"/>
  <c r="Z57" i="18" s="1"/>
  <c r="L14" i="21"/>
  <c r="N14" i="21" s="1"/>
  <c r="D16" i="9"/>
  <c r="R26" i="9"/>
  <c r="R30" i="9"/>
  <c r="R31" i="9"/>
  <c r="R42" i="9"/>
  <c r="R43" i="9"/>
  <c r="V45" i="9"/>
  <c r="J51" i="9"/>
  <c r="R54" i="9"/>
  <c r="J61" i="9"/>
  <c r="R62" i="9"/>
  <c r="F65" i="9"/>
  <c r="F66" i="9"/>
  <c r="V69" i="9"/>
  <c r="J73" i="9"/>
  <c r="F78" i="9"/>
  <c r="V81" i="9"/>
  <c r="F85" i="9"/>
  <c r="F86" i="9"/>
  <c r="R89" i="9"/>
  <c r="R91" i="9"/>
  <c r="X172" i="12"/>
  <c r="Z172" i="12" s="1"/>
  <c r="L209" i="12"/>
  <c r="N209" i="12" s="1"/>
  <c r="N216" i="12"/>
  <c r="L233" i="12"/>
  <c r="Z45" i="15"/>
  <c r="Z70" i="15"/>
  <c r="Z167" i="15"/>
  <c r="N206" i="15"/>
  <c r="N266" i="15"/>
  <c r="L266" i="15"/>
  <c r="T12" i="18"/>
  <c r="L22" i="18"/>
  <c r="L26" i="18"/>
  <c r="N28" i="18"/>
  <c r="L28" i="18"/>
  <c r="X93" i="18"/>
  <c r="Z93" i="18" s="1"/>
  <c r="Z217" i="18"/>
  <c r="Z278" i="18"/>
  <c r="X278" i="18"/>
  <c r="L91" i="27"/>
  <c r="N91" i="27" s="1"/>
  <c r="T16" i="6"/>
  <c r="X16" i="6" s="1"/>
  <c r="F16" i="9"/>
  <c r="F18" i="9"/>
  <c r="V22" i="9"/>
  <c r="V26" i="9"/>
  <c r="V30" i="9"/>
  <c r="J34" i="9"/>
  <c r="R35" i="9"/>
  <c r="J38" i="9"/>
  <c r="V42" i="9"/>
  <c r="J50" i="9"/>
  <c r="V54" i="9"/>
  <c r="F58" i="9"/>
  <c r="F59" i="9"/>
  <c r="J60" i="9"/>
  <c r="V62" i="9"/>
  <c r="J66" i="9"/>
  <c r="R67" i="9"/>
  <c r="F71" i="9"/>
  <c r="J72" i="9"/>
  <c r="R75" i="9"/>
  <c r="J78" i="9"/>
  <c r="R79" i="9"/>
  <c r="R80" i="9"/>
  <c r="J86" i="9"/>
  <c r="R87" i="9"/>
  <c r="N171" i="12"/>
  <c r="Z191" i="12"/>
  <c r="N207" i="12"/>
  <c r="Z214" i="12"/>
  <c r="N233" i="12"/>
  <c r="D12" i="15"/>
  <c r="Z84" i="15"/>
  <c r="N250" i="15"/>
  <c r="L250" i="15"/>
  <c r="N20" i="18"/>
  <c r="L20" i="18"/>
  <c r="N24" i="18"/>
  <c r="L24" i="18"/>
  <c r="N26" i="18"/>
  <c r="X77" i="18"/>
  <c r="Z77" i="18" s="1"/>
  <c r="X98" i="21"/>
  <c r="Z98" i="21" s="1"/>
  <c r="V14" i="6"/>
  <c r="V16" i="6"/>
  <c r="V18" i="6"/>
  <c r="V20" i="6"/>
  <c r="V22" i="6"/>
  <c r="H16" i="9"/>
  <c r="F19" i="9"/>
  <c r="F20" i="9"/>
  <c r="F24" i="9"/>
  <c r="F28" i="9"/>
  <c r="V31" i="9"/>
  <c r="V35" i="9"/>
  <c r="R40" i="9"/>
  <c r="R41" i="9"/>
  <c r="V43" i="9"/>
  <c r="F47" i="9"/>
  <c r="F48" i="9"/>
  <c r="J49" i="9"/>
  <c r="R52" i="9"/>
  <c r="R53" i="9"/>
  <c r="J59" i="9"/>
  <c r="F64" i="9"/>
  <c r="J65" i="9"/>
  <c r="V67" i="9"/>
  <c r="J71" i="9"/>
  <c r="V75" i="9"/>
  <c r="V79" i="9"/>
  <c r="F83" i="9"/>
  <c r="F84" i="9"/>
  <c r="J85" i="9"/>
  <c r="V87" i="9"/>
  <c r="V89" i="9"/>
  <c r="V91" i="9"/>
  <c r="F95" i="9"/>
  <c r="F98" i="9"/>
  <c r="N218" i="12"/>
  <c r="N237" i="12"/>
  <c r="Z275" i="12"/>
  <c r="Z17" i="15"/>
  <c r="Z24" i="15"/>
  <c r="Z26" i="15"/>
  <c r="Z40" i="15"/>
  <c r="X56" i="15"/>
  <c r="Z56" i="15" s="1"/>
  <c r="Z58" i="15"/>
  <c r="X84" i="15"/>
  <c r="Z86" i="15"/>
  <c r="X100" i="15"/>
  <c r="Z100" i="15" s="1"/>
  <c r="Z102" i="15"/>
  <c r="N166" i="15"/>
  <c r="N200" i="15"/>
  <c r="L200" i="15"/>
  <c r="N204" i="15"/>
  <c r="X206" i="15"/>
  <c r="Z206" i="15" s="1"/>
  <c r="L14" i="18"/>
  <c r="N16" i="18"/>
  <c r="L16" i="18"/>
  <c r="L56" i="18"/>
  <c r="N56" i="18" s="1"/>
  <c r="Z61" i="18"/>
  <c r="X61" i="18"/>
  <c r="Z30" i="21"/>
  <c r="X30" i="21"/>
  <c r="X36" i="24"/>
  <c r="Z36" i="24" s="1"/>
  <c r="N26" i="27"/>
  <c r="V139" i="30"/>
  <c r="V155" i="30"/>
  <c r="V143" i="30"/>
  <c r="V135" i="30"/>
  <c r="V166" i="30"/>
  <c r="V165" i="30"/>
  <c r="V163" i="30"/>
  <c r="V149" i="30"/>
  <c r="V141" i="30"/>
  <c r="V124" i="30"/>
  <c r="V116" i="30"/>
  <c r="V96" i="30"/>
  <c r="V92" i="30"/>
  <c r="V152" i="30"/>
  <c r="V115" i="30"/>
  <c r="V107" i="30"/>
  <c r="V83" i="30"/>
  <c r="V79" i="30"/>
  <c r="V75" i="30"/>
  <c r="V71" i="30"/>
  <c r="V67" i="30"/>
  <c r="V63" i="30"/>
  <c r="V59" i="30"/>
  <c r="V158" i="30"/>
  <c r="V153" i="30"/>
  <c r="V134" i="30"/>
  <c r="V126" i="30"/>
  <c r="V118" i="30"/>
  <c r="V106" i="30"/>
  <c r="V102" i="30"/>
  <c r="V142" i="30"/>
  <c r="V138" i="30"/>
  <c r="V117" i="30"/>
  <c r="V109" i="30"/>
  <c r="V97" i="30"/>
  <c r="V93" i="30"/>
  <c r="V150" i="30"/>
  <c r="V147" i="30"/>
  <c r="V128" i="30"/>
  <c r="V108" i="30"/>
  <c r="V84" i="30"/>
  <c r="V80" i="30"/>
  <c r="V76" i="30"/>
  <c r="V72" i="30"/>
  <c r="V68" i="30"/>
  <c r="V64" i="30"/>
  <c r="V60" i="30"/>
  <c r="V56" i="30"/>
  <c r="V154" i="30"/>
  <c r="V127" i="30"/>
  <c r="V119" i="30"/>
  <c r="V111" i="30"/>
  <c r="V103" i="30"/>
  <c r="V160" i="30"/>
  <c r="V159" i="30"/>
  <c r="V130" i="30"/>
  <c r="V110" i="30"/>
  <c r="V98" i="30"/>
  <c r="V94" i="30"/>
  <c r="V136" i="30"/>
  <c r="V129" i="30"/>
  <c r="V121" i="30"/>
  <c r="V113" i="30"/>
  <c r="V85" i="30"/>
  <c r="V81" i="30"/>
  <c r="V77" i="30"/>
  <c r="V73" i="30"/>
  <c r="V69" i="30"/>
  <c r="V65" i="30"/>
  <c r="V61" i="30"/>
  <c r="V57" i="30"/>
  <c r="V170" i="30"/>
  <c r="V151" i="30"/>
  <c r="V144" i="30"/>
  <c r="V140" i="30"/>
  <c r="V132" i="30"/>
  <c r="V120" i="30"/>
  <c r="V112" i="30"/>
  <c r="V104" i="30"/>
  <c r="V100" i="30"/>
  <c r="Z12" i="30"/>
  <c r="V164" i="30"/>
  <c r="V146" i="30"/>
  <c r="V145" i="30"/>
  <c r="V137" i="30"/>
  <c r="V133" i="30"/>
  <c r="V125" i="30"/>
  <c r="V105" i="30"/>
  <c r="V101" i="30"/>
  <c r="T88" i="30"/>
  <c r="V156" i="30"/>
  <c r="V131" i="30"/>
  <c r="V114" i="30"/>
  <c r="V88" i="30"/>
  <c r="V122" i="30"/>
  <c r="V86" i="30"/>
  <c r="V78" i="30"/>
  <c r="V70" i="30"/>
  <c r="V157" i="30"/>
  <c r="V95" i="30"/>
  <c r="V90" i="30"/>
  <c r="V82" i="30"/>
  <c r="V66" i="30"/>
  <c r="V58" i="30"/>
  <c r="V148" i="30"/>
  <c r="V123" i="30"/>
  <c r="V161" i="30"/>
  <c r="V74" i="30"/>
  <c r="V99" i="30"/>
  <c r="V91" i="30"/>
  <c r="V62" i="30"/>
  <c r="X12" i="30"/>
  <c r="N274" i="12"/>
  <c r="L274" i="12"/>
  <c r="X250" i="15"/>
  <c r="Z250" i="15" s="1"/>
  <c r="X266" i="15"/>
  <c r="Z266" i="15" s="1"/>
  <c r="N14" i="18"/>
  <c r="Z97" i="18"/>
  <c r="X97" i="18"/>
  <c r="J19" i="9"/>
  <c r="V21" i="9"/>
  <c r="V25" i="9"/>
  <c r="V29" i="9"/>
  <c r="J33" i="9"/>
  <c r="R34" i="9"/>
  <c r="J37" i="9"/>
  <c r="R38" i="9"/>
  <c r="R39" i="9"/>
  <c r="V41" i="9"/>
  <c r="F45" i="9"/>
  <c r="F46" i="9"/>
  <c r="J47" i="9"/>
  <c r="R50" i="9"/>
  <c r="R51" i="9"/>
  <c r="V53" i="9"/>
  <c r="J57" i="9"/>
  <c r="V61" i="9"/>
  <c r="R66" i="9"/>
  <c r="F69" i="9"/>
  <c r="F70" i="9"/>
  <c r="V73" i="9"/>
  <c r="J77" i="9"/>
  <c r="R78" i="9"/>
  <c r="F82" i="9"/>
  <c r="J83" i="9"/>
  <c r="R86" i="9"/>
  <c r="J95" i="9"/>
  <c r="J98" i="9"/>
  <c r="X14" i="12"/>
  <c r="Z14" i="12" s="1"/>
  <c r="X18" i="12"/>
  <c r="Z18" i="12" s="1"/>
  <c r="X22" i="12"/>
  <c r="Z22" i="12" s="1"/>
  <c r="X26" i="12"/>
  <c r="Z26" i="12" s="1"/>
  <c r="X30" i="12"/>
  <c r="Z30" i="12" s="1"/>
  <c r="X34" i="12"/>
  <c r="Z34" i="12" s="1"/>
  <c r="X38" i="12"/>
  <c r="Z38" i="12" s="1"/>
  <c r="X42" i="12"/>
  <c r="Z42" i="12" s="1"/>
  <c r="X46" i="12"/>
  <c r="X50" i="12"/>
  <c r="X54" i="12"/>
  <c r="Z54" i="12" s="1"/>
  <c r="X58" i="12"/>
  <c r="Z58" i="12" s="1"/>
  <c r="X62" i="12"/>
  <c r="X66" i="12"/>
  <c r="Z66" i="12" s="1"/>
  <c r="X70" i="12"/>
  <c r="Z70" i="12" s="1"/>
  <c r="L196" i="12"/>
  <c r="N196" i="12" s="1"/>
  <c r="X211" i="12"/>
  <c r="Z211" i="12" s="1"/>
  <c r="X218" i="12"/>
  <c r="Z218" i="12" s="1"/>
  <c r="N259" i="12"/>
  <c r="L261" i="12"/>
  <c r="N261" i="12" s="1"/>
  <c r="Z269" i="12"/>
  <c r="Z14" i="15"/>
  <c r="X72" i="15"/>
  <c r="Z72" i="15" s="1"/>
  <c r="Z81" i="15"/>
  <c r="Z88" i="15"/>
  <c r="Z90" i="15"/>
  <c r="N188" i="15"/>
  <c r="N217" i="15"/>
  <c r="L38" i="18"/>
  <c r="N38" i="18" s="1"/>
  <c r="Z40" i="18"/>
  <c r="N47" i="18"/>
  <c r="X81" i="18"/>
  <c r="Z81" i="18" s="1"/>
  <c r="N107" i="27"/>
  <c r="L107" i="27"/>
  <c r="D16" i="6"/>
  <c r="L19" i="9"/>
  <c r="N19" i="9" s="1"/>
  <c r="F23" i="9"/>
  <c r="F27" i="9"/>
  <c r="V34" i="9"/>
  <c r="V38" i="9"/>
  <c r="X41" i="9"/>
  <c r="Z41" i="9" s="1"/>
  <c r="J46" i="9"/>
  <c r="V50" i="9"/>
  <c r="X53" i="9"/>
  <c r="Z53" i="9" s="1"/>
  <c r="F55" i="9"/>
  <c r="J56" i="9"/>
  <c r="R59" i="9"/>
  <c r="R60" i="9"/>
  <c r="F63" i="9"/>
  <c r="V66" i="9"/>
  <c r="J70" i="9"/>
  <c r="R71" i="9"/>
  <c r="R72" i="9"/>
  <c r="V74" i="9"/>
  <c r="V78" i="9"/>
  <c r="J82" i="9"/>
  <c r="V86" i="9"/>
  <c r="F93" i="9"/>
  <c r="Z28" i="15"/>
  <c r="Z166" i="15"/>
  <c r="L178" i="15"/>
  <c r="N178" i="15" s="1"/>
  <c r="X200" i="15"/>
  <c r="Z200" i="15" s="1"/>
  <c r="Z202" i="15"/>
  <c r="N209" i="15"/>
  <c r="Z65" i="18"/>
  <c r="X65" i="18"/>
  <c r="L264" i="18"/>
  <c r="N264" i="18" s="1"/>
  <c r="N290" i="18"/>
  <c r="L290" i="18"/>
  <c r="X296" i="18"/>
  <c r="Z296" i="18" s="1"/>
  <c r="F95" i="21"/>
  <c r="F94" i="21"/>
  <c r="F79" i="21"/>
  <c r="F51" i="21"/>
  <c r="F50" i="21"/>
  <c r="F43" i="21"/>
  <c r="F90" i="21"/>
  <c r="F86" i="21"/>
  <c r="F62" i="21"/>
  <c r="F61" i="21"/>
  <c r="F38" i="21"/>
  <c r="F34" i="21"/>
  <c r="F97" i="21"/>
  <c r="F96" i="21"/>
  <c r="F73" i="21"/>
  <c r="F53" i="21"/>
  <c r="F52" i="21"/>
  <c r="F25" i="21"/>
  <c r="F80" i="21"/>
  <c r="F64" i="21"/>
  <c r="F63" i="21"/>
  <c r="F44" i="21"/>
  <c r="F40" i="21"/>
  <c r="F39" i="21"/>
  <c r="F99" i="21"/>
  <c r="F98" i="21"/>
  <c r="F91" i="21"/>
  <c r="F87" i="21"/>
  <c r="F35" i="21"/>
  <c r="F31" i="21"/>
  <c r="F30" i="21"/>
  <c r="F74" i="21"/>
  <c r="F66" i="21"/>
  <c r="F65" i="21"/>
  <c r="F54" i="21"/>
  <c r="F29" i="21"/>
  <c r="F27" i="21"/>
  <c r="F101" i="21"/>
  <c r="F100" i="21"/>
  <c r="F81" i="21"/>
  <c r="F45" i="21"/>
  <c r="F41" i="21"/>
  <c r="D27" i="21"/>
  <c r="F92" i="21"/>
  <c r="F88" i="21"/>
  <c r="F76" i="21"/>
  <c r="F75" i="21"/>
  <c r="F68" i="21"/>
  <c r="F67" i="21"/>
  <c r="F56" i="21"/>
  <c r="F55" i="21"/>
  <c r="F36" i="21"/>
  <c r="F32" i="21"/>
  <c r="F83" i="21"/>
  <c r="F82" i="21"/>
  <c r="F47" i="21"/>
  <c r="F46" i="21"/>
  <c r="F72" i="21"/>
  <c r="F71" i="21"/>
  <c r="F60" i="21"/>
  <c r="F59" i="21"/>
  <c r="F24" i="21"/>
  <c r="F23" i="21"/>
  <c r="F103" i="21"/>
  <c r="F77" i="21"/>
  <c r="F48" i="21"/>
  <c r="F93" i="21"/>
  <c r="F84" i="21"/>
  <c r="F58" i="21"/>
  <c r="F70" i="21"/>
  <c r="F33" i="21"/>
  <c r="F107" i="21"/>
  <c r="F49" i="21"/>
  <c r="F78" i="21"/>
  <c r="F57" i="21"/>
  <c r="F42" i="21"/>
  <c r="F85" i="21"/>
  <c r="F37" i="21"/>
  <c r="F89" i="21"/>
  <c r="F69" i="21"/>
  <c r="P16" i="9"/>
  <c r="R20" i="9"/>
  <c r="J23" i="9"/>
  <c r="R24" i="9"/>
  <c r="J27" i="9"/>
  <c r="R28" i="9"/>
  <c r="F31" i="9"/>
  <c r="F32" i="9"/>
  <c r="F36" i="9"/>
  <c r="V39" i="9"/>
  <c r="F43" i="9"/>
  <c r="F44" i="9"/>
  <c r="J45" i="9"/>
  <c r="R48" i="9"/>
  <c r="R49" i="9"/>
  <c r="V51" i="9"/>
  <c r="J55" i="9"/>
  <c r="V59" i="9"/>
  <c r="J63" i="9"/>
  <c r="R64" i="9"/>
  <c r="R65" i="9"/>
  <c r="F68" i="9"/>
  <c r="J69" i="9"/>
  <c r="V71" i="9"/>
  <c r="F76" i="9"/>
  <c r="R84" i="9"/>
  <c r="R85" i="9"/>
  <c r="F89" i="9"/>
  <c r="F91" i="9"/>
  <c r="J93" i="9"/>
  <c r="Z171" i="12"/>
  <c r="N243" i="12"/>
  <c r="N265" i="12"/>
  <c r="H268" i="12"/>
  <c r="Z277" i="12"/>
  <c r="X28" i="15"/>
  <c r="Z30" i="15"/>
  <c r="X44" i="15"/>
  <c r="Z44" i="15" s="1"/>
  <c r="Z53" i="15"/>
  <c r="X60" i="15"/>
  <c r="Z60" i="15" s="1"/>
  <c r="Z76" i="15"/>
  <c r="X104" i="15"/>
  <c r="Z104" i="15" s="1"/>
  <c r="Z261" i="15"/>
  <c r="H12" i="18"/>
  <c r="N12" i="9"/>
  <c r="R14" i="9"/>
  <c r="R16" i="9"/>
  <c r="R18" i="9"/>
  <c r="V20" i="9"/>
  <c r="V24" i="9"/>
  <c r="V28" i="9"/>
  <c r="J32" i="9"/>
  <c r="R33" i="9"/>
  <c r="J36" i="9"/>
  <c r="R37" i="9"/>
  <c r="J44" i="9"/>
  <c r="V48" i="9"/>
  <c r="R57" i="9"/>
  <c r="R58" i="9"/>
  <c r="V60" i="9"/>
  <c r="V64" i="9"/>
  <c r="J68" i="9"/>
  <c r="V72" i="9"/>
  <c r="J76" i="9"/>
  <c r="R77" i="9"/>
  <c r="F80" i="9"/>
  <c r="F81" i="9"/>
  <c r="V84" i="9"/>
  <c r="X13" i="12"/>
  <c r="X17" i="12"/>
  <c r="Z17" i="12" s="1"/>
  <c r="X21" i="12"/>
  <c r="X25" i="12"/>
  <c r="Z25" i="12" s="1"/>
  <c r="X29" i="12"/>
  <c r="Z29" i="12" s="1"/>
  <c r="X33" i="12"/>
  <c r="Z33" i="12" s="1"/>
  <c r="X37" i="12"/>
  <c r="Z37" i="12" s="1"/>
  <c r="X41" i="12"/>
  <c r="Z41" i="12" s="1"/>
  <c r="X45" i="12"/>
  <c r="Z45" i="12" s="1"/>
  <c r="X49" i="12"/>
  <c r="X53" i="12"/>
  <c r="X57" i="12"/>
  <c r="Z57" i="12" s="1"/>
  <c r="X61" i="12"/>
  <c r="Z61" i="12" s="1"/>
  <c r="X65" i="12"/>
  <c r="X69" i="12"/>
  <c r="X73" i="12"/>
  <c r="X77" i="12"/>
  <c r="Z77" i="12" s="1"/>
  <c r="X81" i="12"/>
  <c r="Z81" i="12" s="1"/>
  <c r="X85" i="12"/>
  <c r="Z85" i="12" s="1"/>
  <c r="X89" i="12"/>
  <c r="Z89" i="12" s="1"/>
  <c r="X93" i="12"/>
  <c r="Z93" i="12" s="1"/>
  <c r="X97" i="12"/>
  <c r="Z97" i="12" s="1"/>
  <c r="X101" i="12"/>
  <c r="X105" i="12"/>
  <c r="Z105" i="12" s="1"/>
  <c r="X109" i="12"/>
  <c r="Z109" i="12" s="1"/>
  <c r="X183" i="12"/>
  <c r="Z183" i="12" s="1"/>
  <c r="Z16" i="15"/>
  <c r="X76" i="15"/>
  <c r="Z92" i="15"/>
  <c r="X178" i="15"/>
  <c r="Z178" i="15" s="1"/>
  <c r="N226" i="15"/>
  <c r="X85" i="18"/>
  <c r="Z85" i="18" s="1"/>
  <c r="R19" i="9"/>
  <c r="F22" i="9"/>
  <c r="F26" i="9"/>
  <c r="F30" i="9"/>
  <c r="J31" i="9"/>
  <c r="V33" i="9"/>
  <c r="V37" i="9"/>
  <c r="F41" i="9"/>
  <c r="F42" i="9"/>
  <c r="J43" i="9"/>
  <c r="R46" i="9"/>
  <c r="R47" i="9"/>
  <c r="V49" i="9"/>
  <c r="F53" i="9"/>
  <c r="F54" i="9"/>
  <c r="V57" i="9"/>
  <c r="V65" i="9"/>
  <c r="R70" i="9"/>
  <c r="V77" i="9"/>
  <c r="J81" i="9"/>
  <c r="R82" i="9"/>
  <c r="R83" i="9"/>
  <c r="J89" i="9"/>
  <c r="R95" i="9"/>
  <c r="N228" i="12"/>
  <c r="L256" i="12"/>
  <c r="N256" i="12" s="1"/>
  <c r="Z48" i="15"/>
  <c r="Z85" i="15"/>
  <c r="X69" i="18"/>
  <c r="Z69" i="18" s="1"/>
  <c r="X44" i="24"/>
  <c r="Z44" i="24" s="1"/>
  <c r="X43" i="18"/>
  <c r="Z43" i="18" s="1"/>
  <c r="N62" i="18"/>
  <c r="N70" i="18"/>
  <c r="N78" i="18"/>
  <c r="N193" i="18"/>
  <c r="Z204" i="18"/>
  <c r="N252" i="18"/>
  <c r="Z261" i="18"/>
  <c r="N289" i="18"/>
  <c r="L71" i="21"/>
  <c r="N71" i="21" s="1"/>
  <c r="X49" i="24"/>
  <c r="Z49" i="24" s="1"/>
  <c r="J112" i="15"/>
  <c r="R113" i="15"/>
  <c r="J116" i="15"/>
  <c r="R117" i="15"/>
  <c r="J120" i="15"/>
  <c r="R121" i="15"/>
  <c r="J124" i="15"/>
  <c r="R125" i="15"/>
  <c r="J128" i="15"/>
  <c r="R129" i="15"/>
  <c r="J132" i="15"/>
  <c r="R133" i="15"/>
  <c r="J136" i="15"/>
  <c r="R137" i="15"/>
  <c r="J140" i="15"/>
  <c r="R141" i="15"/>
  <c r="J144" i="15"/>
  <c r="R145" i="15"/>
  <c r="J148" i="15"/>
  <c r="R149" i="15"/>
  <c r="J152" i="15"/>
  <c r="R153" i="15"/>
  <c r="J156" i="15"/>
  <c r="R157" i="15"/>
  <c r="J160" i="15"/>
  <c r="R161" i="15"/>
  <c r="J178" i="15"/>
  <c r="J196" i="15"/>
  <c r="J206" i="15"/>
  <c r="X211" i="15"/>
  <c r="Z211" i="15" s="1"/>
  <c r="X219" i="15"/>
  <c r="Z219" i="15" s="1"/>
  <c r="J228" i="15"/>
  <c r="R229" i="15"/>
  <c r="R230" i="15"/>
  <c r="J240" i="15"/>
  <c r="R241" i="15"/>
  <c r="J244" i="15"/>
  <c r="R245" i="15"/>
  <c r="J250" i="15"/>
  <c r="R253" i="15"/>
  <c r="J260" i="15"/>
  <c r="R268" i="15"/>
  <c r="N42" i="18"/>
  <c r="X51" i="18"/>
  <c r="X62" i="18"/>
  <c r="X70" i="18"/>
  <c r="X78" i="18"/>
  <c r="Z78" i="18" s="1"/>
  <c r="Z99" i="18"/>
  <c r="L103" i="18"/>
  <c r="N103" i="18" s="1"/>
  <c r="Z111" i="18"/>
  <c r="L115" i="18"/>
  <c r="N115" i="18" s="1"/>
  <c r="Z123" i="18"/>
  <c r="L127" i="18"/>
  <c r="L226" i="18"/>
  <c r="N237" i="18"/>
  <c r="H12" i="21"/>
  <c r="L12" i="21" s="1"/>
  <c r="X19" i="21"/>
  <c r="Z52" i="21"/>
  <c r="N65" i="21"/>
  <c r="N69" i="21"/>
  <c r="J111" i="15"/>
  <c r="J169" i="15"/>
  <c r="R170" i="15"/>
  <c r="J173" i="15"/>
  <c r="R174" i="15"/>
  <c r="J177" i="15"/>
  <c r="J189" i="15"/>
  <c r="R190" i="15"/>
  <c r="R191" i="15"/>
  <c r="R198" i="15"/>
  <c r="J205" i="15"/>
  <c r="J233" i="15"/>
  <c r="R234" i="15"/>
  <c r="R235" i="15"/>
  <c r="J249" i="15"/>
  <c r="J257" i="15"/>
  <c r="J261" i="15"/>
  <c r="Z51" i="18"/>
  <c r="X59" i="18"/>
  <c r="Z59" i="18" s="1"/>
  <c r="Z62" i="18"/>
  <c r="X67" i="18"/>
  <c r="Z70" i="18"/>
  <c r="X75" i="18"/>
  <c r="X83" i="18"/>
  <c r="Z83" i="18" s="1"/>
  <c r="X91" i="18"/>
  <c r="Z91" i="18" s="1"/>
  <c r="Z223" i="18"/>
  <c r="R100" i="21"/>
  <c r="R99" i="21"/>
  <c r="R91" i="21"/>
  <c r="R87" i="21"/>
  <c r="R35" i="21"/>
  <c r="R31" i="21"/>
  <c r="P27" i="21"/>
  <c r="R75" i="21"/>
  <c r="R74" i="21"/>
  <c r="R67" i="21"/>
  <c r="R66" i="21"/>
  <c r="R55" i="21"/>
  <c r="R54" i="21"/>
  <c r="R101" i="21"/>
  <c r="R82" i="21"/>
  <c r="R81" i="21"/>
  <c r="R46" i="21"/>
  <c r="R45" i="21"/>
  <c r="R41" i="21"/>
  <c r="R103" i="21"/>
  <c r="R92" i="21"/>
  <c r="R88" i="21"/>
  <c r="R77" i="21"/>
  <c r="R76" i="21"/>
  <c r="R69" i="21"/>
  <c r="R68" i="21"/>
  <c r="R57" i="21"/>
  <c r="R56" i="21"/>
  <c r="R36" i="21"/>
  <c r="R32" i="21"/>
  <c r="R84" i="21"/>
  <c r="R83" i="21"/>
  <c r="R48" i="21"/>
  <c r="R47" i="21"/>
  <c r="R78" i="21"/>
  <c r="R71" i="21"/>
  <c r="R70" i="21"/>
  <c r="R59" i="21"/>
  <c r="R58" i="21"/>
  <c r="R42" i="21"/>
  <c r="R23" i="21"/>
  <c r="R94" i="21"/>
  <c r="R93" i="21"/>
  <c r="R89" i="21"/>
  <c r="R85" i="21"/>
  <c r="R50" i="21"/>
  <c r="R49" i="21"/>
  <c r="R37" i="21"/>
  <c r="R33" i="21"/>
  <c r="R107" i="21"/>
  <c r="R72" i="21"/>
  <c r="R61" i="21"/>
  <c r="R60" i="21"/>
  <c r="R24" i="21"/>
  <c r="R96" i="21"/>
  <c r="R95" i="21"/>
  <c r="R79" i="21"/>
  <c r="R52" i="21"/>
  <c r="R51" i="21"/>
  <c r="R43" i="21"/>
  <c r="R80" i="21"/>
  <c r="R65" i="21"/>
  <c r="R64" i="21"/>
  <c r="R44" i="21"/>
  <c r="R40" i="21"/>
  <c r="R29" i="21"/>
  <c r="R27" i="21"/>
  <c r="X12" i="21"/>
  <c r="X15" i="21"/>
  <c r="Z19" i="21"/>
  <c r="L23" i="21"/>
  <c r="R25" i="21"/>
  <c r="X15" i="24"/>
  <c r="Z15" i="24" s="1"/>
  <c r="J204" i="15"/>
  <c r="R207" i="15"/>
  <c r="J214" i="15"/>
  <c r="R215" i="15"/>
  <c r="J222" i="15"/>
  <c r="R223" i="15"/>
  <c r="R251" i="15"/>
  <c r="R252" i="15"/>
  <c r="J256" i="15"/>
  <c r="L261" i="15"/>
  <c r="J262" i="15"/>
  <c r="N50" i="18"/>
  <c r="Z67" i="18"/>
  <c r="Z75" i="18"/>
  <c r="N228" i="18"/>
  <c r="Z15" i="21"/>
  <c r="N23" i="21"/>
  <c r="L59" i="21"/>
  <c r="N59" i="21" s="1"/>
  <c r="Z65" i="21"/>
  <c r="X65" i="21"/>
  <c r="Z41" i="24"/>
  <c r="X41" i="24"/>
  <c r="D12" i="27"/>
  <c r="L13" i="27"/>
  <c r="Z96" i="27"/>
  <c r="P268" i="12"/>
  <c r="X268" i="12" s="1"/>
  <c r="R112" i="15"/>
  <c r="J115" i="15"/>
  <c r="R116" i="15"/>
  <c r="J119" i="15"/>
  <c r="R120" i="15"/>
  <c r="J123" i="15"/>
  <c r="R124" i="15"/>
  <c r="J127" i="15"/>
  <c r="R128" i="15"/>
  <c r="J131" i="15"/>
  <c r="R132" i="15"/>
  <c r="J135" i="15"/>
  <c r="R136" i="15"/>
  <c r="J139" i="15"/>
  <c r="R140" i="15"/>
  <c r="J143" i="15"/>
  <c r="R144" i="15"/>
  <c r="J147" i="15"/>
  <c r="R148" i="15"/>
  <c r="J151" i="15"/>
  <c r="R152" i="15"/>
  <c r="J155" i="15"/>
  <c r="R156" i="15"/>
  <c r="J159" i="15"/>
  <c r="R160" i="15"/>
  <c r="H164" i="15"/>
  <c r="J164" i="15" s="1"/>
  <c r="J187" i="15"/>
  <c r="J195" i="15"/>
  <c r="R196" i="15"/>
  <c r="R197" i="15"/>
  <c r="J203" i="15"/>
  <c r="J213" i="15"/>
  <c r="J221" i="15"/>
  <c r="J227" i="15"/>
  <c r="R228" i="15"/>
  <c r="J239" i="15"/>
  <c r="R240" i="15"/>
  <c r="J243" i="15"/>
  <c r="R244" i="15"/>
  <c r="J255" i="15"/>
  <c r="R259" i="15"/>
  <c r="J263" i="15"/>
  <c r="L13" i="18"/>
  <c r="L44" i="18"/>
  <c r="L98" i="18"/>
  <c r="N98" i="18" s="1"/>
  <c r="L192" i="18"/>
  <c r="N192" i="18" s="1"/>
  <c r="L228" i="18"/>
  <c r="Z295" i="18"/>
  <c r="R39" i="21"/>
  <c r="R53" i="21"/>
  <c r="R63" i="21"/>
  <c r="D12" i="24"/>
  <c r="X23" i="24"/>
  <c r="Z23" i="24"/>
  <c r="J166" i="15"/>
  <c r="J168" i="15"/>
  <c r="R169" i="15"/>
  <c r="J172" i="15"/>
  <c r="R173" i="15"/>
  <c r="J176" i="15"/>
  <c r="R177" i="15"/>
  <c r="R178" i="15"/>
  <c r="J186" i="15"/>
  <c r="R189" i="15"/>
  <c r="J202" i="15"/>
  <c r="R205" i="15"/>
  <c r="R206" i="15"/>
  <c r="J212" i="15"/>
  <c r="J220" i="15"/>
  <c r="J226" i="15"/>
  <c r="J232" i="15"/>
  <c r="R233" i="15"/>
  <c r="J238" i="15"/>
  <c r="J248" i="15"/>
  <c r="R249" i="15"/>
  <c r="R250" i="15"/>
  <c r="R257" i="15"/>
  <c r="R260" i="15"/>
  <c r="J264" i="15"/>
  <c r="Z39" i="18"/>
  <c r="N41" i="18"/>
  <c r="X50" i="18"/>
  <c r="Z50" i="18" s="1"/>
  <c r="N74" i="18"/>
  <c r="L107" i="18"/>
  <c r="Z115" i="18"/>
  <c r="L119" i="18"/>
  <c r="Z127" i="18"/>
  <c r="Z239" i="18"/>
  <c r="N245" i="18"/>
  <c r="Z286" i="18"/>
  <c r="N18" i="21"/>
  <c r="R30" i="21"/>
  <c r="Z39" i="21"/>
  <c r="Z63" i="21"/>
  <c r="Z96" i="21"/>
  <c r="R98" i="21"/>
  <c r="N143" i="30"/>
  <c r="L143" i="30"/>
  <c r="J114" i="15"/>
  <c r="R115" i="15"/>
  <c r="J118" i="15"/>
  <c r="R119" i="15"/>
  <c r="J122" i="15"/>
  <c r="R123" i="15"/>
  <c r="J126" i="15"/>
  <c r="R127" i="15"/>
  <c r="J130" i="15"/>
  <c r="R131" i="15"/>
  <c r="J134" i="15"/>
  <c r="R135" i="15"/>
  <c r="J138" i="15"/>
  <c r="R139" i="15"/>
  <c r="J142" i="15"/>
  <c r="R143" i="15"/>
  <c r="J146" i="15"/>
  <c r="R147" i="15"/>
  <c r="J150" i="15"/>
  <c r="R151" i="15"/>
  <c r="J154" i="15"/>
  <c r="R155" i="15"/>
  <c r="J158" i="15"/>
  <c r="R159" i="15"/>
  <c r="J162" i="15"/>
  <c r="R187" i="15"/>
  <c r="R188" i="15"/>
  <c r="J194" i="15"/>
  <c r="R195" i="15"/>
  <c r="J200" i="15"/>
  <c r="R203" i="15"/>
  <c r="R204" i="15"/>
  <c r="J210" i="15"/>
  <c r="J218" i="15"/>
  <c r="R227" i="15"/>
  <c r="R239" i="15"/>
  <c r="J242" i="15"/>
  <c r="R243" i="15"/>
  <c r="J246" i="15"/>
  <c r="J254" i="15"/>
  <c r="R255" i="15"/>
  <c r="R256" i="15"/>
  <c r="R262" i="15"/>
  <c r="J266" i="15"/>
  <c r="J272" i="15"/>
  <c r="Z47" i="18"/>
  <c r="X58" i="18"/>
  <c r="X66" i="18"/>
  <c r="X74" i="18"/>
  <c r="Z74" i="18" s="1"/>
  <c r="X82" i="18"/>
  <c r="Z82" i="18" s="1"/>
  <c r="Z98" i="18"/>
  <c r="Z110" i="18"/>
  <c r="X217" i="18"/>
  <c r="L219" i="18"/>
  <c r="N219" i="18" s="1"/>
  <c r="X232" i="18"/>
  <c r="Z232" i="18" s="1"/>
  <c r="R90" i="21"/>
  <c r="P164" i="15"/>
  <c r="R168" i="15"/>
  <c r="J171" i="15"/>
  <c r="R172" i="15"/>
  <c r="J175" i="15"/>
  <c r="R176" i="15"/>
  <c r="J193" i="15"/>
  <c r="J199" i="15"/>
  <c r="J209" i="15"/>
  <c r="R212" i="15"/>
  <c r="R213" i="15"/>
  <c r="J217" i="15"/>
  <c r="R220" i="15"/>
  <c r="R221" i="15"/>
  <c r="J231" i="15"/>
  <c r="R232" i="15"/>
  <c r="R248" i="15"/>
  <c r="R263" i="15"/>
  <c r="J267" i="15"/>
  <c r="Z58" i="18"/>
  <c r="Z66" i="18"/>
  <c r="H285" i="18"/>
  <c r="Z14" i="24"/>
  <c r="Z20" i="24"/>
  <c r="X20" i="24"/>
  <c r="X52" i="24"/>
  <c r="Z52" i="24" s="1"/>
  <c r="X207" i="12"/>
  <c r="Z207" i="12" s="1"/>
  <c r="X13" i="15"/>
  <c r="X25" i="15"/>
  <c r="Z25" i="15" s="1"/>
  <c r="X29" i="15"/>
  <c r="Z29" i="15" s="1"/>
  <c r="X33" i="15"/>
  <c r="Z33" i="15" s="1"/>
  <c r="X37" i="15"/>
  <c r="Z37" i="15" s="1"/>
  <c r="X57" i="15"/>
  <c r="Z57" i="15" s="1"/>
  <c r="X61" i="15"/>
  <c r="Z61" i="15" s="1"/>
  <c r="X65" i="15"/>
  <c r="Z65" i="15" s="1"/>
  <c r="X69" i="15"/>
  <c r="Z69" i="15" s="1"/>
  <c r="X73" i="15"/>
  <c r="Z73" i="15" s="1"/>
  <c r="X77" i="15"/>
  <c r="Z77" i="15" s="1"/>
  <c r="X81" i="15"/>
  <c r="X85" i="15"/>
  <c r="X89" i="15"/>
  <c r="Z89" i="15" s="1"/>
  <c r="X93" i="15"/>
  <c r="Z93" i="15" s="1"/>
  <c r="X101" i="15"/>
  <c r="Z101" i="15" s="1"/>
  <c r="X105" i="15"/>
  <c r="Z105" i="15" s="1"/>
  <c r="X109" i="15"/>
  <c r="Z109" i="15" s="1"/>
  <c r="R164" i="15"/>
  <c r="R166" i="15"/>
  <c r="J180" i="15"/>
  <c r="R181" i="15"/>
  <c r="J184" i="15"/>
  <c r="R185" i="15"/>
  <c r="R186" i="15"/>
  <c r="J192" i="15"/>
  <c r="R201" i="15"/>
  <c r="R202" i="15"/>
  <c r="J208" i="15"/>
  <c r="J216" i="15"/>
  <c r="J224" i="15"/>
  <c r="R225" i="15"/>
  <c r="R226" i="15"/>
  <c r="J230" i="15"/>
  <c r="J236" i="15"/>
  <c r="R237" i="15"/>
  <c r="R238" i="15"/>
  <c r="R264" i="15"/>
  <c r="J268" i="15"/>
  <c r="Z13" i="18"/>
  <c r="L40" i="18"/>
  <c r="X41" i="18"/>
  <c r="Z41" i="18" s="1"/>
  <c r="L43" i="18"/>
  <c r="N43" i="18" s="1"/>
  <c r="L46" i="18"/>
  <c r="N46" i="18" s="1"/>
  <c r="Z55" i="18"/>
  <c r="Z63" i="18"/>
  <c r="Z79" i="18"/>
  <c r="Z87" i="18"/>
  <c r="Z95" i="18"/>
  <c r="Z107" i="18"/>
  <c r="Z119" i="18"/>
  <c r="L212" i="18"/>
  <c r="N212" i="18" s="1"/>
  <c r="Z247" i="18"/>
  <c r="N261" i="18"/>
  <c r="T12" i="21"/>
  <c r="N29" i="21"/>
  <c r="R38" i="21"/>
  <c r="L84" i="21"/>
  <c r="N84" i="21" s="1"/>
  <c r="R86" i="21"/>
  <c r="R97" i="21"/>
  <c r="X48" i="30"/>
  <c r="Z48" i="30" s="1"/>
  <c r="Z52" i="30"/>
  <c r="X52" i="30"/>
  <c r="J113" i="15"/>
  <c r="R114" i="15"/>
  <c r="J117" i="15"/>
  <c r="R118" i="15"/>
  <c r="J121" i="15"/>
  <c r="R122" i="15"/>
  <c r="J125" i="15"/>
  <c r="R126" i="15"/>
  <c r="J129" i="15"/>
  <c r="R130" i="15"/>
  <c r="J133" i="15"/>
  <c r="R134" i="15"/>
  <c r="J137" i="15"/>
  <c r="R138" i="15"/>
  <c r="J141" i="15"/>
  <c r="R142" i="15"/>
  <c r="J145" i="15"/>
  <c r="R146" i="15"/>
  <c r="J149" i="15"/>
  <c r="R150" i="15"/>
  <c r="J153" i="15"/>
  <c r="R154" i="15"/>
  <c r="J157" i="15"/>
  <c r="R158" i="15"/>
  <c r="J161" i="15"/>
  <c r="R162" i="15"/>
  <c r="R167" i="15"/>
  <c r="J191" i="15"/>
  <c r="R194" i="15"/>
  <c r="R210" i="15"/>
  <c r="R211" i="15"/>
  <c r="R218" i="15"/>
  <c r="R219" i="15"/>
  <c r="J229" i="15"/>
  <c r="J235" i="15"/>
  <c r="J241" i="15"/>
  <c r="R242" i="15"/>
  <c r="J245" i="15"/>
  <c r="R246" i="15"/>
  <c r="R247" i="15"/>
  <c r="R254" i="15"/>
  <c r="R265" i="15"/>
  <c r="N34" i="18"/>
  <c r="N37" i="18"/>
  <c r="X46" i="18"/>
  <c r="Z46" i="18" s="1"/>
  <c r="N54" i="18"/>
  <c r="X129" i="18"/>
  <c r="Z129" i="18" s="1"/>
  <c r="X204" i="18"/>
  <c r="X261" i="18"/>
  <c r="P285" i="18"/>
  <c r="L285" i="18"/>
  <c r="X29" i="21"/>
  <c r="Z29" i="21" s="1"/>
  <c r="N48" i="21"/>
  <c r="L48" i="21"/>
  <c r="R62" i="21"/>
  <c r="L18" i="27"/>
  <c r="X44" i="30"/>
  <c r="Z57" i="21"/>
  <c r="N63" i="21"/>
  <c r="Z69" i="21"/>
  <c r="Z77" i="21"/>
  <c r="Z103" i="21"/>
  <c r="H12" i="24"/>
  <c r="Z34" i="24"/>
  <c r="X39" i="24"/>
  <c r="Z39" i="24"/>
  <c r="X47" i="24"/>
  <c r="Z47" i="24"/>
  <c r="Z84" i="24"/>
  <c r="Z107" i="24"/>
  <c r="N119" i="24"/>
  <c r="L119" i="24"/>
  <c r="P12" i="27"/>
  <c r="X14" i="27"/>
  <c r="Z14" i="27" s="1"/>
  <c r="Z26" i="27"/>
  <c r="Z86" i="27"/>
  <c r="N111" i="27"/>
  <c r="Z46" i="30"/>
  <c r="Z160" i="30"/>
  <c r="T285" i="18"/>
  <c r="L289" i="18"/>
  <c r="T12" i="24"/>
  <c r="X31" i="24"/>
  <c r="Z31" i="24"/>
  <c r="Z55" i="24"/>
  <c r="Z130" i="24"/>
  <c r="H12" i="27"/>
  <c r="N13" i="27"/>
  <c r="Z30" i="27"/>
  <c r="L34" i="27"/>
  <c r="N34" i="27" s="1"/>
  <c r="V95" i="27"/>
  <c r="V103" i="27"/>
  <c r="V111" i="27"/>
  <c r="N37" i="30"/>
  <c r="Z123" i="30"/>
  <c r="N153" i="30"/>
  <c r="N24" i="36"/>
  <c r="Z17" i="24"/>
  <c r="X28" i="24"/>
  <c r="Z28" i="24" s="1"/>
  <c r="Z46" i="24"/>
  <c r="Z83" i="24"/>
  <c r="T124" i="27"/>
  <c r="D12" i="30"/>
  <c r="L139" i="30"/>
  <c r="N139" i="30" s="1"/>
  <c r="D93" i="33"/>
  <c r="L94" i="33"/>
  <c r="L13" i="21"/>
  <c r="N13" i="21" s="1"/>
  <c r="L17" i="21"/>
  <c r="L21" i="21"/>
  <c r="X17" i="24"/>
  <c r="X25" i="24"/>
  <c r="Z25" i="24" s="1"/>
  <c r="Z38" i="24"/>
  <c r="X46" i="24"/>
  <c r="N126" i="24"/>
  <c r="Z18" i="27"/>
  <c r="J153" i="30"/>
  <c r="J135" i="30"/>
  <c r="J159" i="30"/>
  <c r="J151" i="30"/>
  <c r="J147" i="30"/>
  <c r="J148" i="30"/>
  <c r="J140" i="30"/>
  <c r="J136" i="30"/>
  <c r="J130" i="30"/>
  <c r="J120" i="30"/>
  <c r="J112" i="30"/>
  <c r="J104" i="30"/>
  <c r="J161" i="30"/>
  <c r="J156" i="30"/>
  <c r="J131" i="30"/>
  <c r="J121" i="30"/>
  <c r="J113" i="30"/>
  <c r="J99" i="30"/>
  <c r="J95" i="30"/>
  <c r="J137" i="30"/>
  <c r="J132" i="30"/>
  <c r="J122" i="30"/>
  <c r="J114" i="30"/>
  <c r="J100" i="30"/>
  <c r="J86" i="30"/>
  <c r="J82" i="30"/>
  <c r="J78" i="30"/>
  <c r="J74" i="30"/>
  <c r="J70" i="30"/>
  <c r="J66" i="30"/>
  <c r="J62" i="30"/>
  <c r="J58" i="30"/>
  <c r="J157" i="30"/>
  <c r="J145" i="30"/>
  <c r="J141" i="30"/>
  <c r="J133" i="30"/>
  <c r="J123" i="30"/>
  <c r="J105" i="30"/>
  <c r="J101" i="30"/>
  <c r="J91" i="30"/>
  <c r="J152" i="30"/>
  <c r="J149" i="30"/>
  <c r="J124" i="30"/>
  <c r="J96" i="30"/>
  <c r="J92" i="30"/>
  <c r="J90" i="30"/>
  <c r="J88" i="30"/>
  <c r="J166" i="30"/>
  <c r="J165" i="30"/>
  <c r="J164" i="30"/>
  <c r="J146" i="30"/>
  <c r="J125" i="30"/>
  <c r="J115" i="30"/>
  <c r="H88" i="30"/>
  <c r="J83" i="30"/>
  <c r="J79" i="30"/>
  <c r="J75" i="30"/>
  <c r="J71" i="30"/>
  <c r="J67" i="30"/>
  <c r="J63" i="30"/>
  <c r="J59" i="30"/>
  <c r="J158" i="30"/>
  <c r="J134" i="30"/>
  <c r="J126" i="30"/>
  <c r="J116" i="30"/>
  <c r="J106" i="30"/>
  <c r="J102" i="30"/>
  <c r="J142" i="30"/>
  <c r="J138" i="30"/>
  <c r="J117" i="30"/>
  <c r="J107" i="30"/>
  <c r="J97" i="30"/>
  <c r="J93" i="30"/>
  <c r="J150" i="30"/>
  <c r="J143" i="30"/>
  <c r="J118" i="30"/>
  <c r="J108" i="30"/>
  <c r="J84" i="30"/>
  <c r="J80" i="30"/>
  <c r="J76" i="30"/>
  <c r="J72" i="30"/>
  <c r="J68" i="30"/>
  <c r="J64" i="30"/>
  <c r="J60" i="30"/>
  <c r="J170" i="30"/>
  <c r="J160" i="30"/>
  <c r="J144" i="30"/>
  <c r="J129" i="30"/>
  <c r="J111" i="30"/>
  <c r="J85" i="30"/>
  <c r="J81" i="30"/>
  <c r="J77" i="30"/>
  <c r="J73" i="30"/>
  <c r="J69" i="30"/>
  <c r="J65" i="30"/>
  <c r="J61" i="30"/>
  <c r="J57" i="30"/>
  <c r="X16" i="30"/>
  <c r="Z16" i="30" s="1"/>
  <c r="Z22" i="30"/>
  <c r="N45" i="30"/>
  <c r="J56" i="30"/>
  <c r="J98" i="30"/>
  <c r="J139" i="30"/>
  <c r="F94" i="33"/>
  <c r="X14" i="24"/>
  <c r="L16" i="24"/>
  <c r="X22" i="24"/>
  <c r="Z22" i="24" s="1"/>
  <c r="X33" i="24"/>
  <c r="Z33" i="24" s="1"/>
  <c r="X38" i="24"/>
  <c r="X43" i="24"/>
  <c r="Z43" i="24"/>
  <c r="X51" i="24"/>
  <c r="Z51" i="24"/>
  <c r="X134" i="24"/>
  <c r="Z134" i="24" s="1"/>
  <c r="N29" i="27"/>
  <c r="L38" i="27"/>
  <c r="Z66" i="27"/>
  <c r="Z93" i="27"/>
  <c r="Z101" i="27"/>
  <c r="X121" i="27"/>
  <c r="Z121" i="27" s="1"/>
  <c r="Z20" i="30"/>
  <c r="Z24" i="30"/>
  <c r="Z26" i="30"/>
  <c r="J109" i="30"/>
  <c r="J128" i="30"/>
  <c r="X163" i="30"/>
  <c r="Z163" i="30" s="1"/>
  <c r="Z52" i="33"/>
  <c r="X52" i="33"/>
  <c r="X15" i="36"/>
  <c r="Z15" i="36" s="1"/>
  <c r="L235" i="18"/>
  <c r="N235" i="18" s="1"/>
  <c r="L243" i="18"/>
  <c r="N243" i="18" s="1"/>
  <c r="X287" i="18"/>
  <c r="Z287" i="18" s="1"/>
  <c r="L293" i="18"/>
  <c r="Z14" i="21"/>
  <c r="X19" i="24"/>
  <c r="Z19" i="24"/>
  <c r="Z30" i="24"/>
  <c r="X35" i="24"/>
  <c r="Z35" i="24" s="1"/>
  <c r="X40" i="24"/>
  <c r="Z40" i="24" s="1"/>
  <c r="X48" i="24"/>
  <c r="Z48" i="24" s="1"/>
  <c r="T133" i="24"/>
  <c r="V105" i="27"/>
  <c r="V97" i="27"/>
  <c r="V89" i="27"/>
  <c r="V81" i="27"/>
  <c r="V77" i="27"/>
  <c r="V112" i="27"/>
  <c r="V88" i="27"/>
  <c r="V72" i="27"/>
  <c r="V68" i="27"/>
  <c r="V107" i="27"/>
  <c r="V99" i="27"/>
  <c r="V91" i="27"/>
  <c r="V59" i="27"/>
  <c r="V55" i="27"/>
  <c r="V51" i="27"/>
  <c r="V47" i="27"/>
  <c r="V114" i="27"/>
  <c r="V106" i="27"/>
  <c r="V90" i="27"/>
  <c r="V82" i="27"/>
  <c r="V78" i="27"/>
  <c r="V113" i="27"/>
  <c r="V101" i="27"/>
  <c r="V93" i="27"/>
  <c r="V73" i="27"/>
  <c r="V69" i="27"/>
  <c r="V124" i="27"/>
  <c r="V122" i="27"/>
  <c r="V116" i="27"/>
  <c r="V108" i="27"/>
  <c r="V100" i="27"/>
  <c r="V92" i="27"/>
  <c r="V84" i="27"/>
  <c r="V60" i="27"/>
  <c r="V56" i="27"/>
  <c r="V52" i="27"/>
  <c r="V48" i="27"/>
  <c r="V44" i="27"/>
  <c r="V121" i="27"/>
  <c r="V115" i="27"/>
  <c r="V83" i="27"/>
  <c r="V79" i="27"/>
  <c r="V119" i="27"/>
  <c r="V117" i="27"/>
  <c r="V109" i="27"/>
  <c r="V85" i="27"/>
  <c r="V65" i="27"/>
  <c r="V63" i="27"/>
  <c r="V61" i="27"/>
  <c r="V57" i="27"/>
  <c r="V53" i="27"/>
  <c r="V49" i="27"/>
  <c r="V45" i="27"/>
  <c r="V110" i="27"/>
  <c r="V98" i="27"/>
  <c r="V58" i="27"/>
  <c r="V54" i="27"/>
  <c r="V50" i="27"/>
  <c r="V46" i="27"/>
  <c r="V66" i="27"/>
  <c r="N107" i="30"/>
  <c r="N118" i="30"/>
  <c r="L118" i="30"/>
  <c r="X30" i="24"/>
  <c r="Z45" i="24"/>
  <c r="Z53" i="24"/>
  <c r="L102" i="24"/>
  <c r="X116" i="24"/>
  <c r="L26" i="27"/>
  <c r="Z44" i="27"/>
  <c r="X96" i="27"/>
  <c r="N104" i="27"/>
  <c r="R157" i="30"/>
  <c r="R156" i="30"/>
  <c r="R144" i="30"/>
  <c r="R170" i="30"/>
  <c r="R163" i="30"/>
  <c r="R153" i="30"/>
  <c r="R152" i="30"/>
  <c r="R148" i="30"/>
  <c r="R145" i="30"/>
  <c r="R137" i="30"/>
  <c r="R133" i="30"/>
  <c r="R105" i="30"/>
  <c r="R101" i="30"/>
  <c r="R90" i="30"/>
  <c r="R164" i="30"/>
  <c r="R149" i="30"/>
  <c r="R146" i="30"/>
  <c r="R141" i="30"/>
  <c r="R125" i="30"/>
  <c r="R124" i="30"/>
  <c r="R96" i="30"/>
  <c r="R92" i="30"/>
  <c r="P88" i="30"/>
  <c r="R88" i="30" s="1"/>
  <c r="R166" i="30"/>
  <c r="R165" i="30"/>
  <c r="R116" i="30"/>
  <c r="R115" i="30"/>
  <c r="R83" i="30"/>
  <c r="R79" i="30"/>
  <c r="R75" i="30"/>
  <c r="R71" i="30"/>
  <c r="R67" i="30"/>
  <c r="R63" i="30"/>
  <c r="R59" i="30"/>
  <c r="R158" i="30"/>
  <c r="R134" i="30"/>
  <c r="R126" i="30"/>
  <c r="R107" i="30"/>
  <c r="R106" i="30"/>
  <c r="R102" i="30"/>
  <c r="R142" i="30"/>
  <c r="R138" i="30"/>
  <c r="R118" i="30"/>
  <c r="R117" i="30"/>
  <c r="R97" i="30"/>
  <c r="R93" i="30"/>
  <c r="R150" i="30"/>
  <c r="R147" i="30"/>
  <c r="R143" i="30"/>
  <c r="R139" i="30"/>
  <c r="R109" i="30"/>
  <c r="R108" i="30"/>
  <c r="R84" i="30"/>
  <c r="R80" i="30"/>
  <c r="R76" i="30"/>
  <c r="R72" i="30"/>
  <c r="R68" i="30"/>
  <c r="R64" i="30"/>
  <c r="R60" i="30"/>
  <c r="R154" i="30"/>
  <c r="R128" i="30"/>
  <c r="R127" i="30"/>
  <c r="R119" i="30"/>
  <c r="R103" i="30"/>
  <c r="R56" i="30"/>
  <c r="R159" i="30"/>
  <c r="R155" i="30"/>
  <c r="R135" i="30"/>
  <c r="R111" i="30"/>
  <c r="R110" i="30"/>
  <c r="R98" i="30"/>
  <c r="R94" i="30"/>
  <c r="R160" i="30"/>
  <c r="R130" i="30"/>
  <c r="R129" i="30"/>
  <c r="R85" i="30"/>
  <c r="R81" i="30"/>
  <c r="R77" i="30"/>
  <c r="R73" i="30"/>
  <c r="R69" i="30"/>
  <c r="R65" i="30"/>
  <c r="R61" i="30"/>
  <c r="R57" i="30"/>
  <c r="R161" i="30"/>
  <c r="R123" i="30"/>
  <c r="R122" i="30"/>
  <c r="R114" i="30"/>
  <c r="R91" i="30"/>
  <c r="R86" i="30"/>
  <c r="R82" i="30"/>
  <c r="R78" i="30"/>
  <c r="R74" i="30"/>
  <c r="R70" i="30"/>
  <c r="R66" i="30"/>
  <c r="R62" i="30"/>
  <c r="R58" i="30"/>
  <c r="Z56" i="30"/>
  <c r="R100" i="30"/>
  <c r="Z109" i="30"/>
  <c r="Z113" i="30"/>
  <c r="R120" i="30"/>
  <c r="R132" i="30"/>
  <c r="J154" i="30"/>
  <c r="F74" i="33"/>
  <c r="F73" i="33"/>
  <c r="F50" i="33"/>
  <c r="F46" i="33"/>
  <c r="F85" i="33"/>
  <c r="F81" i="33"/>
  <c r="F65" i="33"/>
  <c r="F64" i="33"/>
  <c r="F56" i="33"/>
  <c r="F87" i="33"/>
  <c r="F86" i="33"/>
  <c r="F75" i="33"/>
  <c r="F67" i="33"/>
  <c r="F66" i="33"/>
  <c r="F51" i="33"/>
  <c r="F47" i="33"/>
  <c r="F99" i="33"/>
  <c r="F82" i="33"/>
  <c r="F103" i="33"/>
  <c r="F98" i="33"/>
  <c r="F89" i="33"/>
  <c r="F88" i="33"/>
  <c r="F57" i="33"/>
  <c r="F53" i="33"/>
  <c r="F52" i="33"/>
  <c r="F95" i="33"/>
  <c r="F63" i="33"/>
  <c r="F62" i="33"/>
  <c r="F55" i="33"/>
  <c r="F83" i="33"/>
  <c r="D40" i="33"/>
  <c r="F72" i="33"/>
  <c r="F69" i="33"/>
  <c r="F45" i="33"/>
  <c r="F37" i="33"/>
  <c r="F93" i="33"/>
  <c r="F79" i="33"/>
  <c r="F42" i="33"/>
  <c r="F35" i="33"/>
  <c r="F90" i="33"/>
  <c r="F77" i="33"/>
  <c r="F60" i="33"/>
  <c r="F48" i="33"/>
  <c r="F43" i="33"/>
  <c r="F38" i="33"/>
  <c r="F96" i="33"/>
  <c r="F84" i="33"/>
  <c r="F80" i="33"/>
  <c r="F70" i="33"/>
  <c r="F68" i="33"/>
  <c r="F58" i="33"/>
  <c r="F44" i="33"/>
  <c r="F36" i="33"/>
  <c r="F33" i="33"/>
  <c r="F59" i="33"/>
  <c r="F54" i="33"/>
  <c r="F49" i="33"/>
  <c r="F40" i="33"/>
  <c r="L71" i="33"/>
  <c r="N71" i="33" s="1"/>
  <c r="F76" i="33"/>
  <c r="X13" i="21"/>
  <c r="Z13" i="21" s="1"/>
  <c r="P12" i="24"/>
  <c r="Z16" i="24"/>
  <c r="X16" i="24"/>
  <c r="Z21" i="24"/>
  <c r="X24" i="24"/>
  <c r="Z24" i="24" s="1"/>
  <c r="X27" i="24"/>
  <c r="Z27" i="24"/>
  <c r="Z116" i="24"/>
  <c r="L133" i="24"/>
  <c r="V126" i="27"/>
  <c r="Z100" i="30"/>
  <c r="X100" i="30"/>
  <c r="J103" i="30"/>
  <c r="X132" i="30"/>
  <c r="Z132" i="30" s="1"/>
  <c r="N31" i="36"/>
  <c r="J88" i="39"/>
  <c r="J68" i="39"/>
  <c r="J60" i="39"/>
  <c r="J52" i="39"/>
  <c r="J48" i="39"/>
  <c r="J99" i="39"/>
  <c r="J69" i="39"/>
  <c r="J61" i="39"/>
  <c r="J43" i="39"/>
  <c r="J39" i="39"/>
  <c r="J122" i="39"/>
  <c r="J114" i="39"/>
  <c r="J110" i="39"/>
  <c r="J106" i="39"/>
  <c r="J94" i="39"/>
  <c r="J78" i="39"/>
  <c r="J70" i="39"/>
  <c r="J62" i="39"/>
  <c r="J129" i="39"/>
  <c r="J123" i="39"/>
  <c r="J115" i="39"/>
  <c r="J95" i="39"/>
  <c r="J89" i="39"/>
  <c r="J79" i="39"/>
  <c r="J71" i="39"/>
  <c r="J53" i="39"/>
  <c r="J49" i="39"/>
  <c r="J128" i="39"/>
  <c r="J124" i="39"/>
  <c r="J116" i="39"/>
  <c r="J100" i="39"/>
  <c r="J96" i="39"/>
  <c r="J80" i="39"/>
  <c r="J72" i="39"/>
  <c r="J44" i="39"/>
  <c r="J40" i="39"/>
  <c r="J30" i="39"/>
  <c r="J133" i="39"/>
  <c r="J127" i="39"/>
  <c r="J117" i="39"/>
  <c r="J111" i="39"/>
  <c r="J107" i="39"/>
  <c r="J101" i="39"/>
  <c r="J81" i="39"/>
  <c r="J73" i="39"/>
  <c r="J63" i="39"/>
  <c r="J31" i="39"/>
  <c r="J118" i="39"/>
  <c r="J102" i="39"/>
  <c r="J90" i="39"/>
  <c r="J82" i="39"/>
  <c r="J74" i="39"/>
  <c r="J119" i="39"/>
  <c r="J97" i="39"/>
  <c r="J83" i="39"/>
  <c r="J55" i="39"/>
  <c r="J45" i="39"/>
  <c r="J41" i="39"/>
  <c r="J120" i="39"/>
  <c r="J112" i="39"/>
  <c r="J108" i="39"/>
  <c r="J84" i="39"/>
  <c r="J64" i="39"/>
  <c r="J56" i="39"/>
  <c r="J32" i="39"/>
  <c r="J121" i="39"/>
  <c r="J113" i="39"/>
  <c r="J109" i="39"/>
  <c r="J105" i="39"/>
  <c r="J93" i="39"/>
  <c r="J87" i="39"/>
  <c r="J77" i="39"/>
  <c r="J67" i="39"/>
  <c r="J59" i="39"/>
  <c r="J47" i="39"/>
  <c r="H34" i="39"/>
  <c r="J85" i="39"/>
  <c r="J42" i="39"/>
  <c r="J37" i="39"/>
  <c r="J104" i="39"/>
  <c r="J98" i="39"/>
  <c r="J58" i="39"/>
  <c r="J91" i="39"/>
  <c r="J76" i="39"/>
  <c r="J54" i="39"/>
  <c r="J50" i="39"/>
  <c r="J46" i="39"/>
  <c r="J34" i="39"/>
  <c r="J66" i="39"/>
  <c r="J57" i="39"/>
  <c r="J92" i="39"/>
  <c r="J86" i="39"/>
  <c r="J51" i="39"/>
  <c r="J75" i="39"/>
  <c r="J36" i="39"/>
  <c r="J38" i="39"/>
  <c r="X21" i="24"/>
  <c r="Z32" i="24"/>
  <c r="X32" i="24"/>
  <c r="X37" i="24"/>
  <c r="Z37" i="24" s="1"/>
  <c r="Z42" i="24"/>
  <c r="Z50" i="24"/>
  <c r="Z38" i="27"/>
  <c r="V67" i="27"/>
  <c r="V70" i="27"/>
  <c r="N76" i="27"/>
  <c r="V80" i="27"/>
  <c r="V94" i="27"/>
  <c r="V96" i="27"/>
  <c r="V102" i="27"/>
  <c r="X120" i="27"/>
  <c r="Z120" i="27" s="1"/>
  <c r="P119" i="27"/>
  <c r="X119" i="27" s="1"/>
  <c r="Z119" i="27" s="1"/>
  <c r="N25" i="30"/>
  <c r="Z38" i="30"/>
  <c r="J94" i="30"/>
  <c r="J110" i="30"/>
  <c r="J127" i="30"/>
  <c r="R131" i="30"/>
  <c r="L53" i="36"/>
  <c r="N53" i="36" s="1"/>
  <c r="X28" i="39"/>
  <c r="Z28" i="39" s="1"/>
  <c r="X13" i="24"/>
  <c r="Z29" i="24"/>
  <c r="N111" i="24"/>
  <c r="L111" i="24"/>
  <c r="Z65" i="27"/>
  <c r="V104" i="27"/>
  <c r="X32" i="30"/>
  <c r="Z36" i="30"/>
  <c r="Z40" i="30"/>
  <c r="Z42" i="30"/>
  <c r="Z91" i="30"/>
  <c r="R99" i="30"/>
  <c r="R140" i="30"/>
  <c r="Z23" i="33"/>
  <c r="L134" i="24"/>
  <c r="Z13" i="30"/>
  <c r="Z17" i="30"/>
  <c r="Z21" i="30"/>
  <c r="Z25" i="30"/>
  <c r="Z29" i="30"/>
  <c r="Z33" i="30"/>
  <c r="Z37" i="30"/>
  <c r="Z41" i="30"/>
  <c r="Z45" i="30"/>
  <c r="Z49" i="30"/>
  <c r="Z53" i="30"/>
  <c r="Z157" i="30"/>
  <c r="Z13" i="33"/>
  <c r="T12" i="33"/>
  <c r="L21" i="33"/>
  <c r="Z22" i="33"/>
  <c r="Z25" i="33"/>
  <c r="Z60" i="33"/>
  <c r="X22" i="36"/>
  <c r="Z22" i="36" s="1"/>
  <c r="L31" i="36"/>
  <c r="R66" i="36"/>
  <c r="J72" i="36"/>
  <c r="Z121" i="36"/>
  <c r="D12" i="39"/>
  <c r="L13" i="39"/>
  <c r="Z126" i="39"/>
  <c r="L166" i="30"/>
  <c r="Z62" i="33"/>
  <c r="Z17" i="36"/>
  <c r="Z23" i="39"/>
  <c r="N101" i="39"/>
  <c r="L17" i="33"/>
  <c r="Z18" i="33"/>
  <c r="Z21" i="33"/>
  <c r="Z30" i="33"/>
  <c r="Z19" i="36"/>
  <c r="X15" i="30"/>
  <c r="Z15" i="30" s="1"/>
  <c r="X19" i="30"/>
  <c r="X23" i="30"/>
  <c r="Z23" i="30" s="1"/>
  <c r="X27" i="30"/>
  <c r="Z27" i="30" s="1"/>
  <c r="X31" i="30"/>
  <c r="X35" i="30"/>
  <c r="Z35" i="30" s="1"/>
  <c r="X39" i="30"/>
  <c r="X43" i="30"/>
  <c r="X47" i="30"/>
  <c r="Z47" i="30" s="1"/>
  <c r="X51" i="30"/>
  <c r="Z51" i="30" s="1"/>
  <c r="N165" i="30"/>
  <c r="L26" i="33"/>
  <c r="N66" i="33"/>
  <c r="R101" i="36"/>
  <c r="D119" i="27"/>
  <c r="L119" i="27" s="1"/>
  <c r="N119" i="27" s="1"/>
  <c r="H163" i="30"/>
  <c r="J163" i="30" s="1"/>
  <c r="L77" i="33"/>
  <c r="L90" i="33"/>
  <c r="N96" i="33"/>
  <c r="J32" i="36"/>
  <c r="R34" i="36"/>
  <c r="X44" i="27"/>
  <c r="X84" i="27"/>
  <c r="Z84" i="27" s="1"/>
  <c r="L98" i="27"/>
  <c r="N98" i="27" s="1"/>
  <c r="X116" i="27"/>
  <c r="Z116" i="27" s="1"/>
  <c r="X122" i="27"/>
  <c r="Z122" i="27" s="1"/>
  <c r="L13" i="30"/>
  <c r="X111" i="30"/>
  <c r="Z111" i="30" s="1"/>
  <c r="L125" i="30"/>
  <c r="N125" i="30" s="1"/>
  <c r="P12" i="33"/>
  <c r="Z64" i="33"/>
  <c r="R92" i="36"/>
  <c r="R115" i="36"/>
  <c r="R107" i="36"/>
  <c r="R103" i="36"/>
  <c r="R80" i="36"/>
  <c r="R79" i="36"/>
  <c r="R99" i="36"/>
  <c r="R98" i="36"/>
  <c r="R87" i="36"/>
  <c r="R86" i="36"/>
  <c r="R70" i="36"/>
  <c r="R59" i="36"/>
  <c r="R58" i="36"/>
  <c r="R51" i="36"/>
  <c r="R50" i="36"/>
  <c r="R93" i="36"/>
  <c r="R82" i="36"/>
  <c r="R81" i="36"/>
  <c r="R45" i="36"/>
  <c r="R116" i="36"/>
  <c r="R83" i="36"/>
  <c r="R72" i="36"/>
  <c r="R71" i="36"/>
  <c r="R123" i="36"/>
  <c r="R84" i="36"/>
  <c r="R65" i="36"/>
  <c r="R64" i="36"/>
  <c r="R56" i="36"/>
  <c r="R114" i="36"/>
  <c r="R113" i="36"/>
  <c r="R97" i="36"/>
  <c r="R85" i="36"/>
  <c r="R78" i="36"/>
  <c r="R77" i="36"/>
  <c r="R57" i="36"/>
  <c r="R108" i="36"/>
  <c r="R88" i="36"/>
  <c r="R60" i="36"/>
  <c r="R117" i="36"/>
  <c r="R111" i="36"/>
  <c r="R106" i="36"/>
  <c r="R91" i="36"/>
  <c r="R52" i="36"/>
  <c r="R49" i="36"/>
  <c r="R46" i="36"/>
  <c r="R39" i="36"/>
  <c r="R35" i="36"/>
  <c r="R104" i="36"/>
  <c r="R73" i="36"/>
  <c r="R61" i="36"/>
  <c r="R31" i="36"/>
  <c r="R26" i="36"/>
  <c r="R118" i="36"/>
  <c r="R102" i="36"/>
  <c r="R74" i="36"/>
  <c r="R68" i="36"/>
  <c r="R53" i="36"/>
  <c r="R30" i="36"/>
  <c r="R100" i="36"/>
  <c r="R96" i="36"/>
  <c r="R94" i="36"/>
  <c r="R44" i="36"/>
  <c r="R40" i="36"/>
  <c r="R36" i="36"/>
  <c r="R32" i="36"/>
  <c r="P28" i="36"/>
  <c r="R28" i="36" s="1"/>
  <c r="R109" i="36"/>
  <c r="R89" i="36"/>
  <c r="R62" i="36"/>
  <c r="R47" i="36"/>
  <c r="R41" i="36"/>
  <c r="R124" i="36"/>
  <c r="R112" i="36"/>
  <c r="R69" i="36"/>
  <c r="R54" i="36"/>
  <c r="R121" i="36"/>
  <c r="R110" i="36"/>
  <c r="R90" i="36"/>
  <c r="R105" i="36"/>
  <c r="R55" i="36"/>
  <c r="R128" i="36"/>
  <c r="R122" i="36"/>
  <c r="R95" i="36"/>
  <c r="R67" i="36"/>
  <c r="R43" i="36"/>
  <c r="R25" i="36"/>
  <c r="N30" i="36"/>
  <c r="X14" i="30"/>
  <c r="Z14" i="30" s="1"/>
  <c r="X18" i="30"/>
  <c r="X22" i="30"/>
  <c r="L136" i="30"/>
  <c r="N136" i="30" s="1"/>
  <c r="L13" i="33"/>
  <c r="Z17" i="33"/>
  <c r="X23" i="33"/>
  <c r="L25" i="33"/>
  <c r="Z26" i="33"/>
  <c r="Z29" i="33"/>
  <c r="N60" i="33"/>
  <c r="Z66" i="33"/>
  <c r="N77" i="33"/>
  <c r="D12" i="36"/>
  <c r="T12" i="36"/>
  <c r="X12" i="36" s="1"/>
  <c r="X14" i="36"/>
  <c r="Z14" i="36" s="1"/>
  <c r="Z16" i="36"/>
  <c r="N20" i="36"/>
  <c r="X146" i="30"/>
  <c r="Z146" i="30" s="1"/>
  <c r="L160" i="30"/>
  <c r="N160" i="30" s="1"/>
  <c r="H12" i="33"/>
  <c r="L12" i="33" s="1"/>
  <c r="X14" i="33"/>
  <c r="Z14" i="33" s="1"/>
  <c r="N42" i="33"/>
  <c r="L69" i="33"/>
  <c r="H93" i="33"/>
  <c r="L95" i="33"/>
  <c r="J123" i="36"/>
  <c r="J119" i="36"/>
  <c r="J111" i="36"/>
  <c r="J95" i="36"/>
  <c r="J91" i="36"/>
  <c r="J128" i="36"/>
  <c r="J122" i="36"/>
  <c r="J112" i="36"/>
  <c r="J106" i="36"/>
  <c r="J102" i="36"/>
  <c r="J96" i="36"/>
  <c r="J121" i="36"/>
  <c r="J113" i="36"/>
  <c r="J97" i="36"/>
  <c r="J85" i="36"/>
  <c r="J77" i="36"/>
  <c r="J67" i="36"/>
  <c r="J57" i="36"/>
  <c r="J114" i="36"/>
  <c r="J92" i="36"/>
  <c r="J78" i="36"/>
  <c r="J68" i="36"/>
  <c r="J48" i="36"/>
  <c r="J44" i="36"/>
  <c r="J115" i="36"/>
  <c r="J98" i="36"/>
  <c r="J86" i="36"/>
  <c r="J80" i="36"/>
  <c r="J70" i="36"/>
  <c r="J58" i="36"/>
  <c r="J83" i="36"/>
  <c r="J71" i="36"/>
  <c r="J61" i="36"/>
  <c r="J53" i="36"/>
  <c r="J124" i="36"/>
  <c r="J118" i="36"/>
  <c r="J110" i="36"/>
  <c r="J90" i="36"/>
  <c r="J84" i="36"/>
  <c r="J74" i="36"/>
  <c r="J64" i="36"/>
  <c r="J56" i="36"/>
  <c r="J101" i="36"/>
  <c r="J99" i="36"/>
  <c r="J81" i="36"/>
  <c r="J66" i="36"/>
  <c r="J51" i="36"/>
  <c r="J76" i="36"/>
  <c r="J38" i="36"/>
  <c r="J34" i="36"/>
  <c r="J24" i="36"/>
  <c r="J108" i="36"/>
  <c r="J93" i="36"/>
  <c r="J43" i="36"/>
  <c r="J25" i="36"/>
  <c r="J117" i="36"/>
  <c r="J88" i="36"/>
  <c r="J82" i="36"/>
  <c r="J60" i="36"/>
  <c r="J49" i="36"/>
  <c r="J104" i="36"/>
  <c r="J73" i="36"/>
  <c r="J52" i="36"/>
  <c r="J46" i="36"/>
  <c r="J39" i="36"/>
  <c r="J35" i="36"/>
  <c r="J79" i="36"/>
  <c r="J26" i="36"/>
  <c r="J100" i="36"/>
  <c r="J31" i="36"/>
  <c r="J94" i="36"/>
  <c r="J109" i="36"/>
  <c r="J107" i="36"/>
  <c r="J89" i="36"/>
  <c r="J69" i="36"/>
  <c r="J62" i="36"/>
  <c r="J47" i="36"/>
  <c r="H28" i="36"/>
  <c r="J63" i="36"/>
  <c r="J55" i="36"/>
  <c r="J45" i="36"/>
  <c r="J37" i="36"/>
  <c r="J41" i="36"/>
  <c r="N15" i="42"/>
  <c r="H12" i="42"/>
  <c r="N52" i="33"/>
  <c r="Z86" i="33"/>
  <c r="X18" i="36"/>
  <c r="Z18" i="36" s="1"/>
  <c r="R48" i="36"/>
  <c r="X59" i="36"/>
  <c r="Z59" i="36" s="1"/>
  <c r="R63" i="36"/>
  <c r="N74" i="36"/>
  <c r="L74" i="36"/>
  <c r="R119" i="36"/>
  <c r="L52" i="33"/>
  <c r="R37" i="36"/>
  <c r="X67" i="36"/>
  <c r="T12" i="39"/>
  <c r="X16" i="39"/>
  <c r="Z16" i="39" s="1"/>
  <c r="Z94" i="33"/>
  <c r="N78" i="36"/>
  <c r="L87" i="36"/>
  <c r="Z37" i="39"/>
  <c r="L65" i="39"/>
  <c r="N73" i="39"/>
  <c r="X79" i="39"/>
  <c r="Z79" i="39" s="1"/>
  <c r="X123" i="39"/>
  <c r="Z123" i="39" s="1"/>
  <c r="Z56" i="45"/>
  <c r="X72" i="36"/>
  <c r="Z72" i="36" s="1"/>
  <c r="N80" i="36"/>
  <c r="N112" i="36"/>
  <c r="N114" i="36"/>
  <c r="R128" i="39"/>
  <c r="R89" i="39"/>
  <c r="R53" i="39"/>
  <c r="R49" i="39"/>
  <c r="R30" i="39"/>
  <c r="R127" i="39"/>
  <c r="R124" i="39"/>
  <c r="R117" i="39"/>
  <c r="R116" i="39"/>
  <c r="R101" i="39"/>
  <c r="R100" i="39"/>
  <c r="R96" i="39"/>
  <c r="R81" i="39"/>
  <c r="R80" i="39"/>
  <c r="R73" i="39"/>
  <c r="R72" i="39"/>
  <c r="R44" i="39"/>
  <c r="R40" i="39"/>
  <c r="R133" i="39"/>
  <c r="R126" i="39"/>
  <c r="R111" i="39"/>
  <c r="R107" i="39"/>
  <c r="R63" i="39"/>
  <c r="R31" i="39"/>
  <c r="R119" i="39"/>
  <c r="R118" i="39"/>
  <c r="R102" i="39"/>
  <c r="R90" i="39"/>
  <c r="R83" i="39"/>
  <c r="R82" i="39"/>
  <c r="R74" i="39"/>
  <c r="R55" i="39"/>
  <c r="R54" i="39"/>
  <c r="R50" i="39"/>
  <c r="R97" i="39"/>
  <c r="R45" i="39"/>
  <c r="R41" i="39"/>
  <c r="R120" i="39"/>
  <c r="R112" i="39"/>
  <c r="R108" i="39"/>
  <c r="R85" i="39"/>
  <c r="R84" i="39"/>
  <c r="R65" i="39"/>
  <c r="R64" i="39"/>
  <c r="R57" i="39"/>
  <c r="R56" i="39"/>
  <c r="R37" i="39"/>
  <c r="R32" i="39"/>
  <c r="R104" i="39"/>
  <c r="R103" i="39"/>
  <c r="R92" i="39"/>
  <c r="R91" i="39"/>
  <c r="R76" i="39"/>
  <c r="R75" i="39"/>
  <c r="R98" i="39"/>
  <c r="R87" i="39"/>
  <c r="R86" i="39"/>
  <c r="R67" i="39"/>
  <c r="R66" i="39"/>
  <c r="R59" i="39"/>
  <c r="R58" i="39"/>
  <c r="R47" i="39"/>
  <c r="R46" i="39"/>
  <c r="R42" i="39"/>
  <c r="R38" i="39"/>
  <c r="R121" i="39"/>
  <c r="R113" i="39"/>
  <c r="R109" i="39"/>
  <c r="R105" i="39"/>
  <c r="R93" i="39"/>
  <c r="R77" i="39"/>
  <c r="R129" i="39"/>
  <c r="R123" i="39"/>
  <c r="R122" i="39"/>
  <c r="R115" i="39"/>
  <c r="R114" i="39"/>
  <c r="R110" i="39"/>
  <c r="R106" i="39"/>
  <c r="R95" i="39"/>
  <c r="R94" i="39"/>
  <c r="R79" i="39"/>
  <c r="R78" i="39"/>
  <c r="R71" i="39"/>
  <c r="R70" i="39"/>
  <c r="R62" i="39"/>
  <c r="Z18" i="39"/>
  <c r="L57" i="39"/>
  <c r="Z71" i="39"/>
  <c r="R99" i="39"/>
  <c r="N115" i="39"/>
  <c r="N119" i="39"/>
  <c r="N129" i="39"/>
  <c r="Z110" i="42"/>
  <c r="N55" i="39"/>
  <c r="T12" i="42"/>
  <c r="Z90" i="36"/>
  <c r="N96" i="36"/>
  <c r="N61" i="39"/>
  <c r="R88" i="39"/>
  <c r="Z115" i="39"/>
  <c r="Z119" i="39"/>
  <c r="Z129" i="39"/>
  <c r="X13" i="42"/>
  <c r="Z13" i="42" s="1"/>
  <c r="Z44" i="45"/>
  <c r="P93" i="33"/>
  <c r="X93" i="33" s="1"/>
  <c r="Z93" i="33" s="1"/>
  <c r="L61" i="36"/>
  <c r="X65" i="36"/>
  <c r="Z65" i="36" s="1"/>
  <c r="X90" i="36"/>
  <c r="X110" i="36"/>
  <c r="Z110" i="36" s="1"/>
  <c r="X124" i="36"/>
  <c r="Z124" i="36" s="1"/>
  <c r="Z15" i="39"/>
  <c r="X20" i="39"/>
  <c r="Z20" i="39" s="1"/>
  <c r="Z22" i="39"/>
  <c r="X27" i="39"/>
  <c r="Z27" i="39" s="1"/>
  <c r="Z36" i="39"/>
  <c r="R43" i="39"/>
  <c r="R51" i="39"/>
  <c r="N49" i="36"/>
  <c r="X47" i="39"/>
  <c r="Z47" i="39" s="1"/>
  <c r="R61" i="39"/>
  <c r="X123" i="36"/>
  <c r="L37" i="39"/>
  <c r="Z61" i="39"/>
  <c r="X95" i="39"/>
  <c r="L126" i="39"/>
  <c r="Z76" i="42"/>
  <c r="Z74" i="36"/>
  <c r="L99" i="36"/>
  <c r="N99" i="36" s="1"/>
  <c r="X118" i="36"/>
  <c r="Z118" i="36" s="1"/>
  <c r="Z123" i="36"/>
  <c r="Z24" i="39"/>
  <c r="N37" i="39"/>
  <c r="R39" i="39"/>
  <c r="R68" i="39"/>
  <c r="L85" i="39"/>
  <c r="N85" i="39" s="1"/>
  <c r="Z95" i="39"/>
  <c r="P131" i="39"/>
  <c r="R131" i="39" s="1"/>
  <c r="N81" i="39"/>
  <c r="P12" i="42"/>
  <c r="X16" i="42"/>
  <c r="Z16" i="42" s="1"/>
  <c r="L30" i="42"/>
  <c r="N30" i="42" s="1"/>
  <c r="Z49" i="36"/>
  <c r="Z82" i="36"/>
  <c r="X12" i="39"/>
  <c r="Z14" i="39"/>
  <c r="X19" i="39"/>
  <c r="Z19" i="39" s="1"/>
  <c r="R34" i="39"/>
  <c r="R48" i="39"/>
  <c r="R52" i="39"/>
  <c r="N79" i="39"/>
  <c r="N123" i="39"/>
  <c r="D12" i="42"/>
  <c r="N122" i="36"/>
  <c r="Z13" i="39"/>
  <c r="Z17" i="39"/>
  <c r="Z21" i="39"/>
  <c r="Z25" i="39"/>
  <c r="Z24" i="42"/>
  <c r="X53" i="42"/>
  <c r="Z53" i="42" s="1"/>
  <c r="X74" i="42"/>
  <c r="Z74" i="42" s="1"/>
  <c r="Z80" i="42"/>
  <c r="T95" i="45"/>
  <c r="N36" i="45"/>
  <c r="X44" i="45"/>
  <c r="N110" i="42"/>
  <c r="P119" i="42"/>
  <c r="X119" i="42" s="1"/>
  <c r="Z119" i="42" s="1"/>
  <c r="L17" i="45"/>
  <c r="N25" i="45"/>
  <c r="Z54" i="45"/>
  <c r="H126" i="39"/>
  <c r="Z22" i="42"/>
  <c r="X110" i="42"/>
  <c r="Z112" i="42"/>
  <c r="F97" i="45"/>
  <c r="F86" i="45"/>
  <c r="F80" i="45"/>
  <c r="F77" i="45"/>
  <c r="F71" i="45"/>
  <c r="F55" i="45"/>
  <c r="F54" i="45"/>
  <c r="F43" i="45"/>
  <c r="F39" i="45"/>
  <c r="F66" i="45"/>
  <c r="F34" i="45"/>
  <c r="F30" i="45"/>
  <c r="F91" i="45"/>
  <c r="F83" i="45"/>
  <c r="F57" i="45"/>
  <c r="F56" i="45"/>
  <c r="F45" i="45"/>
  <c r="F44" i="45"/>
  <c r="F21" i="45"/>
  <c r="F87" i="45"/>
  <c r="F72" i="45"/>
  <c r="F40" i="45"/>
  <c r="F78" i="45"/>
  <c r="F67" i="45"/>
  <c r="F59" i="45"/>
  <c r="F58" i="45"/>
  <c r="F47" i="45"/>
  <c r="F46" i="45"/>
  <c r="F35" i="45"/>
  <c r="F31" i="45"/>
  <c r="F27" i="45"/>
  <c r="F26" i="45"/>
  <c r="F88" i="45"/>
  <c r="F81" i="45"/>
  <c r="F74" i="45"/>
  <c r="F73" i="45"/>
  <c r="F25" i="45"/>
  <c r="F93" i="45"/>
  <c r="F84" i="45"/>
  <c r="F69" i="45"/>
  <c r="F68" i="45"/>
  <c r="F61" i="45"/>
  <c r="F60" i="45"/>
  <c r="F49" i="45"/>
  <c r="F48" i="45"/>
  <c r="F41" i="45"/>
  <c r="F37" i="45"/>
  <c r="F36" i="45"/>
  <c r="D23" i="45"/>
  <c r="F76" i="45"/>
  <c r="F75" i="45"/>
  <c r="F89" i="45"/>
  <c r="F79" i="45"/>
  <c r="F63" i="45"/>
  <c r="F62" i="45"/>
  <c r="F51" i="45"/>
  <c r="F50" i="45"/>
  <c r="F90" i="45"/>
  <c r="F70" i="45"/>
  <c r="F42" i="45"/>
  <c r="F38" i="45"/>
  <c r="F20" i="45"/>
  <c r="F19" i="45"/>
  <c r="X25" i="45"/>
  <c r="Z25" i="45" s="1"/>
  <c r="F32" i="45"/>
  <c r="H12" i="45"/>
  <c r="L12" i="45" s="1"/>
  <c r="F53" i="45"/>
  <c r="D121" i="36"/>
  <c r="L121" i="36" s="1"/>
  <c r="N121" i="36" s="1"/>
  <c r="P12" i="45"/>
  <c r="F64" i="45"/>
  <c r="X73" i="45"/>
  <c r="X59" i="39"/>
  <c r="Z59" i="39" s="1"/>
  <c r="X67" i="39"/>
  <c r="Z67" i="39" s="1"/>
  <c r="L73" i="39"/>
  <c r="L81" i="39"/>
  <c r="X87" i="39"/>
  <c r="Z87" i="39" s="1"/>
  <c r="L101" i="39"/>
  <c r="L117" i="39"/>
  <c r="N117" i="39" s="1"/>
  <c r="L127" i="39"/>
  <c r="N127" i="39" s="1"/>
  <c r="Z30" i="42"/>
  <c r="N13" i="39"/>
  <c r="Z18" i="42"/>
  <c r="N24" i="42"/>
  <c r="Z59" i="42"/>
  <c r="L80" i="42"/>
  <c r="N80" i="42" s="1"/>
  <c r="Z122" i="42"/>
  <c r="L50" i="45"/>
  <c r="F52" i="45"/>
  <c r="N62" i="45"/>
  <c r="R52" i="48"/>
  <c r="R28" i="48"/>
  <c r="R24" i="48"/>
  <c r="R59" i="48"/>
  <c r="R43" i="48"/>
  <c r="R20" i="48"/>
  <c r="R34" i="48"/>
  <c r="R19" i="48"/>
  <c r="R15" i="48"/>
  <c r="R61" i="48"/>
  <c r="R60" i="48"/>
  <c r="R45" i="48"/>
  <c r="R44" i="48"/>
  <c r="R36" i="48"/>
  <c r="R35" i="48"/>
  <c r="R31" i="48"/>
  <c r="R63" i="48"/>
  <c r="R62" i="48"/>
  <c r="R38" i="48"/>
  <c r="R37" i="48"/>
  <c r="R67" i="48"/>
  <c r="R64" i="48"/>
  <c r="R57" i="48"/>
  <c r="R56" i="48"/>
  <c r="R49" i="48"/>
  <c r="R48" i="48"/>
  <c r="R32" i="48"/>
  <c r="X12" i="48"/>
  <c r="R71" i="48"/>
  <c r="R42" i="48"/>
  <c r="R41" i="48"/>
  <c r="R33" i="48"/>
  <c r="R46" i="48"/>
  <c r="R29" i="48"/>
  <c r="R53" i="48"/>
  <c r="R27" i="48"/>
  <c r="R51" i="48"/>
  <c r="R47" i="48"/>
  <c r="R40" i="48"/>
  <c r="P17" i="48"/>
  <c r="R17" i="48" s="1"/>
  <c r="R58" i="48"/>
  <c r="R30" i="48"/>
  <c r="R25" i="48"/>
  <c r="R23" i="48"/>
  <c r="R54" i="48"/>
  <c r="R21" i="48"/>
  <c r="R26" i="48"/>
  <c r="R55" i="48"/>
  <c r="R66" i="48"/>
  <c r="R50" i="48"/>
  <c r="R39" i="48"/>
  <c r="R22" i="48"/>
  <c r="X61" i="42"/>
  <c r="Z61" i="42" s="1"/>
  <c r="L67" i="42"/>
  <c r="F28" i="45"/>
  <c r="N50" i="45"/>
  <c r="F82" i="45"/>
  <c r="Z14" i="54"/>
  <c r="T16" i="54"/>
  <c r="Z14" i="42"/>
  <c r="Z51" i="42"/>
  <c r="Z88" i="42"/>
  <c r="F33" i="45"/>
  <c r="V27" i="45"/>
  <c r="V31" i="45"/>
  <c r="V35" i="45"/>
  <c r="V47" i="45"/>
  <c r="V59" i="45"/>
  <c r="V67" i="45"/>
  <c r="V75" i="45"/>
  <c r="V78" i="45"/>
  <c r="V93" i="45"/>
  <c r="L36" i="48"/>
  <c r="X61" i="48"/>
  <c r="Z61" i="48" s="1"/>
  <c r="Z33" i="51"/>
  <c r="Z60" i="51"/>
  <c r="V21" i="45"/>
  <c r="V23" i="45"/>
  <c r="V25" i="45"/>
  <c r="V45" i="45"/>
  <c r="V57" i="45"/>
  <c r="V73" i="45"/>
  <c r="V80" i="45"/>
  <c r="V59" i="48"/>
  <c r="V43" i="48"/>
  <c r="V19" i="48"/>
  <c r="V15" i="48"/>
  <c r="V34" i="48"/>
  <c r="V30" i="48"/>
  <c r="T17" i="48"/>
  <c r="V61" i="48"/>
  <c r="V53" i="48"/>
  <c r="V45" i="48"/>
  <c r="V29" i="48"/>
  <c r="V25" i="48"/>
  <c r="V21" i="48"/>
  <c r="V63" i="48"/>
  <c r="V55" i="48"/>
  <c r="V47" i="48"/>
  <c r="V35" i="48"/>
  <c r="V31" i="48"/>
  <c r="V62" i="48"/>
  <c r="V54" i="48"/>
  <c r="V46" i="48"/>
  <c r="V38" i="48"/>
  <c r="V26" i="48"/>
  <c r="V22" i="48"/>
  <c r="V67" i="48"/>
  <c r="V66" i="48"/>
  <c r="V64" i="48"/>
  <c r="V56" i="48"/>
  <c r="V48" i="48"/>
  <c r="V40" i="48"/>
  <c r="V32" i="48"/>
  <c r="Z12" i="48"/>
  <c r="V51" i="48"/>
  <c r="V39" i="48"/>
  <c r="V27" i="48"/>
  <c r="V23" i="48"/>
  <c r="V52" i="48"/>
  <c r="V28" i="48"/>
  <c r="V24" i="48"/>
  <c r="V20" i="48"/>
  <c r="D66" i="48"/>
  <c r="L67" i="48"/>
  <c r="N67" i="48" s="1"/>
  <c r="Z25" i="51"/>
  <c r="L34" i="51"/>
  <c r="L39" i="51"/>
  <c r="N39" i="51" s="1"/>
  <c r="X50" i="58"/>
  <c r="Z50" i="58" s="1"/>
  <c r="N14" i="63"/>
  <c r="H16" i="63"/>
  <c r="X120" i="42"/>
  <c r="Z120" i="42" s="1"/>
  <c r="V26" i="45"/>
  <c r="V30" i="45"/>
  <c r="V34" i="45"/>
  <c r="V46" i="45"/>
  <c r="V58" i="45"/>
  <c r="V66" i="45"/>
  <c r="V77" i="45"/>
  <c r="V86" i="45"/>
  <c r="L30" i="51"/>
  <c r="D33" i="55"/>
  <c r="N16" i="56"/>
  <c r="H70" i="56"/>
  <c r="P74" i="57"/>
  <c r="Z16" i="60"/>
  <c r="T51" i="60"/>
  <c r="P12" i="51"/>
  <c r="X13" i="51"/>
  <c r="N30" i="51"/>
  <c r="L59" i="51"/>
  <c r="N59" i="51" s="1"/>
  <c r="Z27" i="55"/>
  <c r="X27" i="55"/>
  <c r="L49" i="57"/>
  <c r="N49" i="57" s="1"/>
  <c r="L13" i="45"/>
  <c r="N13" i="45" s="1"/>
  <c r="V20" i="45"/>
  <c r="V44" i="45"/>
  <c r="V56" i="45"/>
  <c r="H12" i="48"/>
  <c r="D17" i="48"/>
  <c r="V36" i="48"/>
  <c r="Z45" i="48"/>
  <c r="N26" i="51"/>
  <c r="Z80" i="51"/>
  <c r="H119" i="42"/>
  <c r="V29" i="45"/>
  <c r="V33" i="45"/>
  <c r="V53" i="45"/>
  <c r="V65" i="45"/>
  <c r="V82" i="45"/>
  <c r="L13" i="48"/>
  <c r="N13" i="48" s="1"/>
  <c r="V60" i="48"/>
  <c r="Z66" i="48"/>
  <c r="L18" i="51"/>
  <c r="N18" i="51" s="1"/>
  <c r="N20" i="51"/>
  <c r="N22" i="51"/>
  <c r="V38" i="45"/>
  <c r="V42" i="45"/>
  <c r="V54" i="45"/>
  <c r="V70" i="45"/>
  <c r="V76" i="45"/>
  <c r="V79" i="45"/>
  <c r="V85" i="45"/>
  <c r="V95" i="45"/>
  <c r="D12" i="51"/>
  <c r="L14" i="51"/>
  <c r="N14" i="51" s="1"/>
  <c r="L16" i="45"/>
  <c r="N16" i="45" s="1"/>
  <c r="V19" i="45"/>
  <c r="V51" i="45"/>
  <c r="V63" i="45"/>
  <c r="V84" i="45"/>
  <c r="Z38" i="48"/>
  <c r="V44" i="48"/>
  <c r="V58" i="48"/>
  <c r="N70" i="51"/>
  <c r="X13" i="45"/>
  <c r="Z13" i="45" s="1"/>
  <c r="V28" i="45"/>
  <c r="V32" i="45"/>
  <c r="V52" i="45"/>
  <c r="V64" i="45"/>
  <c r="X42" i="48"/>
  <c r="V49" i="48"/>
  <c r="X103" i="51"/>
  <c r="Z103" i="51" s="1"/>
  <c r="T73" i="58"/>
  <c r="Z16" i="58"/>
  <c r="V37" i="45"/>
  <c r="V41" i="45"/>
  <c r="V49" i="45"/>
  <c r="V61" i="45"/>
  <c r="V69" i="45"/>
  <c r="H12" i="51"/>
  <c r="Z109" i="51"/>
  <c r="T108" i="51"/>
  <c r="V90" i="45"/>
  <c r="V97" i="45"/>
  <c r="V87" i="45"/>
  <c r="V88" i="45"/>
  <c r="V50" i="45"/>
  <c r="V62" i="45"/>
  <c r="V74" i="45"/>
  <c r="V89" i="45"/>
  <c r="N61" i="48"/>
  <c r="L61" i="48"/>
  <c r="N63" i="48"/>
  <c r="N29" i="51"/>
  <c r="F36" i="48"/>
  <c r="F37" i="48"/>
  <c r="T12" i="51"/>
  <c r="X109" i="51"/>
  <c r="H22" i="54"/>
  <c r="N16" i="54"/>
  <c r="Z25" i="55"/>
  <c r="Z31" i="55"/>
  <c r="X31" i="55"/>
  <c r="X14" i="56"/>
  <c r="V24" i="56"/>
  <c r="R28" i="56"/>
  <c r="R35" i="56"/>
  <c r="Z38" i="56"/>
  <c r="X61" i="56"/>
  <c r="Z61" i="56" s="1"/>
  <c r="V34" i="57"/>
  <c r="V43" i="57"/>
  <c r="P73" i="58"/>
  <c r="X16" i="58"/>
  <c r="H61" i="59"/>
  <c r="N16" i="59"/>
  <c r="F15" i="48"/>
  <c r="F17" i="48"/>
  <c r="F19" i="48"/>
  <c r="F44" i="48"/>
  <c r="F60" i="48"/>
  <c r="R24" i="54"/>
  <c r="R31" i="54"/>
  <c r="R29" i="54"/>
  <c r="R28" i="54"/>
  <c r="X12" i="54"/>
  <c r="X18" i="54"/>
  <c r="R56" i="56"/>
  <c r="R55" i="56"/>
  <c r="R40" i="56"/>
  <c r="R39" i="56"/>
  <c r="R63" i="56"/>
  <c r="R62" i="56"/>
  <c r="R30" i="56"/>
  <c r="R57" i="56"/>
  <c r="R50" i="56"/>
  <c r="R49" i="56"/>
  <c r="R42" i="56"/>
  <c r="R41" i="56"/>
  <c r="R25" i="56"/>
  <c r="R21" i="56"/>
  <c r="R65" i="56"/>
  <c r="R64" i="56"/>
  <c r="R51" i="56"/>
  <c r="R44" i="56"/>
  <c r="R43" i="56"/>
  <c r="R32" i="56"/>
  <c r="R31" i="56"/>
  <c r="R66" i="56"/>
  <c r="R58" i="56"/>
  <c r="R26" i="56"/>
  <c r="R22" i="56"/>
  <c r="R70" i="56"/>
  <c r="R68" i="56"/>
  <c r="R46" i="56"/>
  <c r="R45" i="56"/>
  <c r="R34" i="56"/>
  <c r="R33" i="56"/>
  <c r="R52" i="56"/>
  <c r="R59" i="56"/>
  <c r="R47" i="56"/>
  <c r="R61" i="56"/>
  <c r="R60" i="56"/>
  <c r="R48" i="56"/>
  <c r="R24" i="56"/>
  <c r="R20" i="56"/>
  <c r="P16" i="56"/>
  <c r="T16" i="56"/>
  <c r="R27" i="56"/>
  <c r="R37" i="56"/>
  <c r="X19" i="57"/>
  <c r="Z19" i="57" s="1"/>
  <c r="V23" i="57"/>
  <c r="L57" i="57"/>
  <c r="N57" i="57" s="1"/>
  <c r="D16" i="58"/>
  <c r="F20" i="48"/>
  <c r="F21" i="48"/>
  <c r="F25" i="48"/>
  <c r="F29" i="48"/>
  <c r="F53" i="48"/>
  <c r="N101" i="51"/>
  <c r="P108" i="51"/>
  <c r="X108" i="51" s="1"/>
  <c r="Z12" i="54"/>
  <c r="V31" i="54"/>
  <c r="V29" i="54"/>
  <c r="V28" i="54"/>
  <c r="V26" i="54"/>
  <c r="V24" i="54"/>
  <c r="V20" i="54"/>
  <c r="X21" i="55"/>
  <c r="Z21" i="55" s="1"/>
  <c r="V62" i="56"/>
  <c r="V50" i="56"/>
  <c r="V42" i="56"/>
  <c r="V30" i="56"/>
  <c r="V65" i="56"/>
  <c r="V57" i="56"/>
  <c r="V49" i="56"/>
  <c r="V41" i="56"/>
  <c r="V25" i="56"/>
  <c r="V21" i="56"/>
  <c r="V64" i="56"/>
  <c r="V44" i="56"/>
  <c r="V32" i="56"/>
  <c r="V51" i="56"/>
  <c r="V70" i="56"/>
  <c r="V68" i="56"/>
  <c r="V66" i="56"/>
  <c r="V58" i="56"/>
  <c r="V46" i="56"/>
  <c r="V34" i="56"/>
  <c r="V26" i="56"/>
  <c r="V22" i="56"/>
  <c r="V45" i="56"/>
  <c r="V33" i="56"/>
  <c r="V52" i="56"/>
  <c r="V36" i="56"/>
  <c r="V28" i="56"/>
  <c r="Z12" i="56"/>
  <c r="V59" i="56"/>
  <c r="V47" i="56"/>
  <c r="V77" i="56"/>
  <c r="V74" i="56"/>
  <c r="V72" i="56"/>
  <c r="V54" i="56"/>
  <c r="V63" i="56"/>
  <c r="V55" i="56"/>
  <c r="V39" i="56"/>
  <c r="V16" i="56"/>
  <c r="V27" i="56"/>
  <c r="X32" i="56"/>
  <c r="Z32" i="56" s="1"/>
  <c r="V37" i="56"/>
  <c r="L44" i="56"/>
  <c r="N44" i="56" s="1"/>
  <c r="V19" i="57"/>
  <c r="X53" i="62"/>
  <c r="Z53" i="62" s="1"/>
  <c r="Z67" i="62"/>
  <c r="Z105" i="51"/>
  <c r="H16" i="55"/>
  <c r="L19" i="55"/>
  <c r="N54" i="56"/>
  <c r="F42" i="48"/>
  <c r="F43" i="48"/>
  <c r="F59" i="48"/>
  <c r="L13" i="51"/>
  <c r="L17" i="51"/>
  <c r="L21" i="51"/>
  <c r="N21" i="51" s="1"/>
  <c r="L25" i="51"/>
  <c r="N25" i="51" s="1"/>
  <c r="L29" i="51"/>
  <c r="L33" i="51"/>
  <c r="L37" i="51"/>
  <c r="L89" i="51"/>
  <c r="X101" i="51"/>
  <c r="Z101" i="51" s="1"/>
  <c r="V18" i="54"/>
  <c r="L14" i="55"/>
  <c r="V23" i="56"/>
  <c r="V29" i="56"/>
  <c r="V31" i="56"/>
  <c r="V14" i="57"/>
  <c r="N28" i="57"/>
  <c r="Z42" i="57"/>
  <c r="V59" i="57"/>
  <c r="Z38" i="58"/>
  <c r="X38" i="58"/>
  <c r="L44" i="58"/>
  <c r="N44" i="58" s="1"/>
  <c r="P109" i="62"/>
  <c r="F51" i="48"/>
  <c r="F52" i="48"/>
  <c r="X89" i="51"/>
  <c r="Z89" i="51" s="1"/>
  <c r="P22" i="54"/>
  <c r="N19" i="55"/>
  <c r="N14" i="56"/>
  <c r="L14" i="56"/>
  <c r="N18" i="56"/>
  <c r="L18" i="56"/>
  <c r="Z34" i="56"/>
  <c r="Z44" i="56"/>
  <c r="X44" i="56"/>
  <c r="N65" i="57"/>
  <c r="L65" i="57"/>
  <c r="Z111" i="51"/>
  <c r="Z23" i="55"/>
  <c r="X54" i="56"/>
  <c r="Z54" i="56" s="1"/>
  <c r="F49" i="48"/>
  <c r="F50" i="48"/>
  <c r="F57" i="48"/>
  <c r="F58" i="48"/>
  <c r="F67" i="48"/>
  <c r="D108" i="51"/>
  <c r="L108" i="51" s="1"/>
  <c r="L109" i="51"/>
  <c r="Z19" i="56"/>
  <c r="L38" i="56"/>
  <c r="N38" i="56" s="1"/>
  <c r="V60" i="57"/>
  <c r="V52" i="57"/>
  <c r="V44" i="57"/>
  <c r="V36" i="57"/>
  <c r="V24" i="57"/>
  <c r="V20" i="57"/>
  <c r="V63" i="57"/>
  <c r="V55" i="57"/>
  <c r="V47" i="57"/>
  <c r="V35" i="57"/>
  <c r="V62" i="57"/>
  <c r="V54" i="57"/>
  <c r="V46" i="57"/>
  <c r="V38" i="57"/>
  <c r="V30" i="57"/>
  <c r="V65" i="57"/>
  <c r="V57" i="57"/>
  <c r="V49" i="57"/>
  <c r="V37" i="57"/>
  <c r="V25" i="57"/>
  <c r="V21" i="57"/>
  <c r="V64" i="57"/>
  <c r="V56" i="57"/>
  <c r="V48" i="57"/>
  <c r="V40" i="57"/>
  <c r="V39" i="57"/>
  <c r="V31" i="57"/>
  <c r="V70" i="57"/>
  <c r="V68" i="57"/>
  <c r="V66" i="57"/>
  <c r="V58" i="57"/>
  <c r="V50" i="57"/>
  <c r="V42" i="57"/>
  <c r="V26" i="57"/>
  <c r="V22" i="57"/>
  <c r="V41" i="57"/>
  <c r="V32" i="57"/>
  <c r="V28" i="57"/>
  <c r="Z12" i="57"/>
  <c r="V61" i="57"/>
  <c r="V53" i="57"/>
  <c r="V45" i="57"/>
  <c r="V33" i="57"/>
  <c r="V29" i="57"/>
  <c r="T16" i="57"/>
  <c r="X16" i="57" s="1"/>
  <c r="Z28" i="57"/>
  <c r="X28" i="57"/>
  <c r="N36" i="57"/>
  <c r="V74" i="57"/>
  <c r="X64" i="58"/>
  <c r="Z64" i="58" s="1"/>
  <c r="F23" i="48"/>
  <c r="F27" i="48"/>
  <c r="F38" i="48"/>
  <c r="F39" i="48"/>
  <c r="X59" i="51"/>
  <c r="Z59" i="51" s="1"/>
  <c r="N108" i="51"/>
  <c r="P33" i="55"/>
  <c r="N18" i="55"/>
  <c r="L31" i="55"/>
  <c r="Z18" i="56"/>
  <c r="V19" i="56"/>
  <c r="Z36" i="56"/>
  <c r="V43" i="56"/>
  <c r="X12" i="57"/>
  <c r="N38" i="57"/>
  <c r="L38" i="57"/>
  <c r="L12" i="48"/>
  <c r="F32" i="48"/>
  <c r="F47" i="48"/>
  <c r="F48" i="48"/>
  <c r="F55" i="48"/>
  <c r="F56" i="48"/>
  <c r="F63" i="48"/>
  <c r="Z85" i="51"/>
  <c r="L103" i="51"/>
  <c r="N109" i="51"/>
  <c r="X14" i="54"/>
  <c r="N21" i="55"/>
  <c r="N27" i="55"/>
  <c r="L27" i="55"/>
  <c r="V18" i="56"/>
  <c r="X28" i="56"/>
  <c r="Z28" i="56" s="1"/>
  <c r="V16" i="57"/>
  <c r="V77" i="57"/>
  <c r="Z12" i="55"/>
  <c r="J24" i="55"/>
  <c r="V28" i="55"/>
  <c r="F35" i="55"/>
  <c r="L12" i="56"/>
  <c r="J23" i="56"/>
  <c r="J27" i="56"/>
  <c r="J35" i="56"/>
  <c r="J47" i="56"/>
  <c r="F52" i="56"/>
  <c r="J59" i="56"/>
  <c r="R19" i="57"/>
  <c r="F22" i="57"/>
  <c r="F26" i="57"/>
  <c r="J41" i="57"/>
  <c r="F49" i="57"/>
  <c r="F50" i="57"/>
  <c r="F57" i="57"/>
  <c r="F58" i="57"/>
  <c r="F65" i="57"/>
  <c r="F66" i="57"/>
  <c r="R72" i="57"/>
  <c r="X12" i="58"/>
  <c r="X14" i="58"/>
  <c r="V19" i="58"/>
  <c r="V23" i="58"/>
  <c r="V27" i="58"/>
  <c r="J31" i="58"/>
  <c r="R32" i="58"/>
  <c r="J35" i="58"/>
  <c r="V39" i="58"/>
  <c r="J47" i="58"/>
  <c r="V51" i="58"/>
  <c r="J55" i="58"/>
  <c r="J58" i="58"/>
  <c r="Z59" i="58"/>
  <c r="F61" i="58"/>
  <c r="Z18" i="59"/>
  <c r="V42" i="59"/>
  <c r="Z31" i="62"/>
  <c r="Z39" i="62"/>
  <c r="Z50" i="62"/>
  <c r="X65" i="62"/>
  <c r="Z65" i="62" s="1"/>
  <c r="N93" i="62"/>
  <c r="D58" i="63"/>
  <c r="L16" i="63"/>
  <c r="N38" i="63"/>
  <c r="Z44" i="63"/>
  <c r="J61" i="64"/>
  <c r="F21" i="57"/>
  <c r="F25" i="57"/>
  <c r="F36" i="57"/>
  <c r="F37" i="57"/>
  <c r="N18" i="61"/>
  <c r="N28" i="61"/>
  <c r="N20" i="62"/>
  <c r="N89" i="62"/>
  <c r="Z102" i="62"/>
  <c r="Z36" i="63"/>
  <c r="F63" i="56"/>
  <c r="F64" i="56"/>
  <c r="D16" i="57"/>
  <c r="F30" i="57"/>
  <c r="F45" i="57"/>
  <c r="F46" i="57"/>
  <c r="F53" i="57"/>
  <c r="F54" i="57"/>
  <c r="F61" i="57"/>
  <c r="F62" i="57"/>
  <c r="H16" i="58"/>
  <c r="V31" i="58"/>
  <c r="V35" i="58"/>
  <c r="J43" i="58"/>
  <c r="V47" i="58"/>
  <c r="F52" i="58"/>
  <c r="V55" i="58"/>
  <c r="F60" i="58"/>
  <c r="R63" i="58"/>
  <c r="V68" i="58"/>
  <c r="V43" i="59"/>
  <c r="Z29" i="63"/>
  <c r="J19" i="55"/>
  <c r="R22" i="55"/>
  <c r="R23" i="55"/>
  <c r="V25" i="55"/>
  <c r="J29" i="55"/>
  <c r="V35" i="55"/>
  <c r="V37" i="55"/>
  <c r="V40" i="55"/>
  <c r="F21" i="56"/>
  <c r="F25" i="56"/>
  <c r="F40" i="56"/>
  <c r="F41" i="56"/>
  <c r="J42" i="56"/>
  <c r="F49" i="56"/>
  <c r="J50" i="56"/>
  <c r="F56" i="56"/>
  <c r="F57" i="56"/>
  <c r="J64" i="56"/>
  <c r="F14" i="57"/>
  <c r="F16" i="57"/>
  <c r="F18" i="57"/>
  <c r="J30" i="57"/>
  <c r="R31" i="57"/>
  <c r="F34" i="57"/>
  <c r="F35" i="57"/>
  <c r="J36" i="57"/>
  <c r="R39" i="57"/>
  <c r="R40" i="57"/>
  <c r="J46" i="57"/>
  <c r="J54" i="57"/>
  <c r="J62" i="57"/>
  <c r="F74" i="57"/>
  <c r="F77" i="57"/>
  <c r="J14" i="58"/>
  <c r="J16" i="58"/>
  <c r="J18" i="58"/>
  <c r="J20" i="58"/>
  <c r="R21" i="58"/>
  <c r="J24" i="58"/>
  <c r="R25" i="58"/>
  <c r="J28" i="58"/>
  <c r="R29" i="58"/>
  <c r="R30" i="58"/>
  <c r="F33" i="58"/>
  <c r="V36" i="58"/>
  <c r="F40" i="58"/>
  <c r="J42" i="58"/>
  <c r="R45" i="58"/>
  <c r="R46" i="58"/>
  <c r="V48" i="58"/>
  <c r="J52" i="58"/>
  <c r="R53" i="58"/>
  <c r="R54" i="58"/>
  <c r="J60" i="58"/>
  <c r="V63" i="58"/>
  <c r="R65" i="58"/>
  <c r="V14" i="59"/>
  <c r="Z18" i="61"/>
  <c r="Z28" i="61"/>
  <c r="N44" i="61"/>
  <c r="Z89" i="62"/>
  <c r="L118" i="66"/>
  <c r="V22" i="55"/>
  <c r="D16" i="56"/>
  <c r="J21" i="56"/>
  <c r="J25" i="56"/>
  <c r="F30" i="56"/>
  <c r="J41" i="56"/>
  <c r="J49" i="56"/>
  <c r="J57" i="56"/>
  <c r="F61" i="56"/>
  <c r="F62" i="56"/>
  <c r="J63" i="56"/>
  <c r="H16" i="57"/>
  <c r="F19" i="57"/>
  <c r="F20" i="57"/>
  <c r="F24" i="57"/>
  <c r="F44" i="57"/>
  <c r="J45" i="57"/>
  <c r="R48" i="57"/>
  <c r="R49" i="57"/>
  <c r="F52" i="57"/>
  <c r="J53" i="57"/>
  <c r="R56" i="57"/>
  <c r="R57" i="57"/>
  <c r="F60" i="57"/>
  <c r="J61" i="57"/>
  <c r="R64" i="57"/>
  <c r="R65" i="57"/>
  <c r="F80" i="58"/>
  <c r="F77" i="58"/>
  <c r="F58" i="58"/>
  <c r="F57" i="58"/>
  <c r="F65" i="58"/>
  <c r="F64" i="58"/>
  <c r="F67" i="58"/>
  <c r="F66" i="58"/>
  <c r="F69" i="58"/>
  <c r="F68" i="58"/>
  <c r="F73" i="58"/>
  <c r="F71" i="58"/>
  <c r="F62" i="58"/>
  <c r="F56" i="58"/>
  <c r="V21" i="58"/>
  <c r="V25" i="58"/>
  <c r="V29" i="58"/>
  <c r="J33" i="58"/>
  <c r="R34" i="58"/>
  <c r="J41" i="58"/>
  <c r="V45" i="58"/>
  <c r="V53" i="58"/>
  <c r="J62" i="58"/>
  <c r="P16" i="59"/>
  <c r="D16" i="54"/>
  <c r="L12" i="55"/>
  <c r="V23" i="55"/>
  <c r="F27" i="55"/>
  <c r="F28" i="55"/>
  <c r="R31" i="55"/>
  <c r="R33" i="55"/>
  <c r="F14" i="56"/>
  <c r="F16" i="56"/>
  <c r="F18" i="56"/>
  <c r="J30" i="56"/>
  <c r="F38" i="56"/>
  <c r="F39" i="56"/>
  <c r="J40" i="56"/>
  <c r="F54" i="56"/>
  <c r="F55" i="56"/>
  <c r="J56" i="56"/>
  <c r="J62" i="56"/>
  <c r="F74" i="56"/>
  <c r="F77" i="56"/>
  <c r="R25" i="57"/>
  <c r="F28" i="57"/>
  <c r="F29" i="57"/>
  <c r="F33" i="57"/>
  <c r="J34" i="57"/>
  <c r="R37" i="57"/>
  <c r="R38" i="57"/>
  <c r="J44" i="57"/>
  <c r="J52" i="57"/>
  <c r="J60" i="57"/>
  <c r="J74" i="57"/>
  <c r="J77" i="57"/>
  <c r="J65" i="58"/>
  <c r="J59" i="58"/>
  <c r="J66" i="58"/>
  <c r="J67" i="58"/>
  <c r="J68" i="58"/>
  <c r="J69" i="58"/>
  <c r="J61" i="58"/>
  <c r="J75" i="58"/>
  <c r="J80" i="58"/>
  <c r="J77" i="58"/>
  <c r="J63" i="58"/>
  <c r="J57" i="58"/>
  <c r="F23" i="58"/>
  <c r="F27" i="58"/>
  <c r="V30" i="58"/>
  <c r="V34" i="58"/>
  <c r="F38" i="58"/>
  <c r="F39" i="58"/>
  <c r="J40" i="58"/>
  <c r="R43" i="58"/>
  <c r="R44" i="58"/>
  <c r="V46" i="58"/>
  <c r="F50" i="58"/>
  <c r="F51" i="58"/>
  <c r="V54" i="58"/>
  <c r="J56" i="58"/>
  <c r="R57" i="58"/>
  <c r="R67" i="58"/>
  <c r="F75" i="58"/>
  <c r="V16" i="59"/>
  <c r="X19" i="59"/>
  <c r="N53" i="59"/>
  <c r="Z44" i="61"/>
  <c r="Z46" i="61"/>
  <c r="N101" i="62"/>
  <c r="D12" i="64"/>
  <c r="X29" i="64"/>
  <c r="Z29" i="64" s="1"/>
  <c r="T12" i="64"/>
  <c r="F72" i="57"/>
  <c r="R20" i="58"/>
  <c r="R24" i="58"/>
  <c r="R28" i="58"/>
  <c r="V43" i="58"/>
  <c r="J51" i="58"/>
  <c r="R52" i="58"/>
  <c r="F59" i="58"/>
  <c r="V60" i="58"/>
  <c r="Z19" i="59"/>
  <c r="P12" i="64"/>
  <c r="T16" i="55"/>
  <c r="X16" i="55" s="1"/>
  <c r="V21" i="55"/>
  <c r="F25" i="55"/>
  <c r="F26" i="55"/>
  <c r="J27" i="55"/>
  <c r="V29" i="55"/>
  <c r="V31" i="55"/>
  <c r="V33" i="55"/>
  <c r="F37" i="55"/>
  <c r="J14" i="56"/>
  <c r="J16" i="56"/>
  <c r="J18" i="56"/>
  <c r="J20" i="56"/>
  <c r="J24" i="56"/>
  <c r="F28" i="56"/>
  <c r="F29" i="56"/>
  <c r="F36" i="56"/>
  <c r="F37" i="56"/>
  <c r="J38" i="56"/>
  <c r="J48" i="56"/>
  <c r="F53" i="56"/>
  <c r="J54" i="56"/>
  <c r="J60" i="56"/>
  <c r="J74" i="56"/>
  <c r="J77" i="56"/>
  <c r="F23" i="57"/>
  <c r="F27" i="57"/>
  <c r="J28" i="57"/>
  <c r="R35" i="57"/>
  <c r="R36" i="57"/>
  <c r="F42" i="57"/>
  <c r="F43" i="57"/>
  <c r="F51" i="57"/>
  <c r="F59" i="57"/>
  <c r="F68" i="57"/>
  <c r="F70" i="57"/>
  <c r="J72" i="57"/>
  <c r="N12" i="58"/>
  <c r="R14" i="58"/>
  <c r="R16" i="58"/>
  <c r="R18" i="58"/>
  <c r="V20" i="58"/>
  <c r="V24" i="58"/>
  <c r="V28" i="58"/>
  <c r="J32" i="58"/>
  <c r="R33" i="58"/>
  <c r="F36" i="58"/>
  <c r="F37" i="58"/>
  <c r="J38" i="58"/>
  <c r="R41" i="58"/>
  <c r="V44" i="58"/>
  <c r="F48" i="58"/>
  <c r="F49" i="58"/>
  <c r="J50" i="58"/>
  <c r="V52" i="58"/>
  <c r="N59" i="58"/>
  <c r="V62" i="58"/>
  <c r="X44" i="59"/>
  <c r="Z44" i="59" s="1"/>
  <c r="T51" i="61"/>
  <c r="Z16" i="61"/>
  <c r="L31" i="62"/>
  <c r="N74" i="62"/>
  <c r="X97" i="62"/>
  <c r="Z103" i="62"/>
  <c r="L18" i="63"/>
  <c r="N18" i="63" s="1"/>
  <c r="Z14" i="64"/>
  <c r="V14" i="55"/>
  <c r="V16" i="55"/>
  <c r="V18" i="55"/>
  <c r="L54" i="56"/>
  <c r="F72" i="56"/>
  <c r="L12" i="57"/>
  <c r="L28" i="57"/>
  <c r="F32" i="57"/>
  <c r="X38" i="57"/>
  <c r="Z38" i="57" s="1"/>
  <c r="R69" i="58"/>
  <c r="R73" i="58"/>
  <c r="R71" i="58"/>
  <c r="R62" i="58"/>
  <c r="R75" i="58"/>
  <c r="R59" i="58"/>
  <c r="R58" i="58"/>
  <c r="R60" i="58"/>
  <c r="R19" i="58"/>
  <c r="V33" i="58"/>
  <c r="L38" i="58"/>
  <c r="X44" i="58"/>
  <c r="Z44" i="58" s="1"/>
  <c r="J49" i="58"/>
  <c r="R56" i="58"/>
  <c r="J64" i="58"/>
  <c r="N31" i="62"/>
  <c r="Z97" i="62"/>
  <c r="Z51" i="63"/>
  <c r="J121" i="64"/>
  <c r="J119" i="64"/>
  <c r="J103" i="64"/>
  <c r="J93" i="64"/>
  <c r="J87" i="64"/>
  <c r="J77" i="64"/>
  <c r="J118" i="64"/>
  <c r="J110" i="64"/>
  <c r="J94" i="64"/>
  <c r="J82" i="64"/>
  <c r="J78" i="64"/>
  <c r="J76" i="64"/>
  <c r="J74" i="64"/>
  <c r="J123" i="64"/>
  <c r="J95" i="64"/>
  <c r="J104" i="64"/>
  <c r="J96" i="64"/>
  <c r="J88" i="64"/>
  <c r="J128" i="64"/>
  <c r="J125" i="64"/>
  <c r="J111" i="64"/>
  <c r="J105" i="64"/>
  <c r="J83" i="64"/>
  <c r="J79" i="64"/>
  <c r="J106" i="64"/>
  <c r="J70" i="64"/>
  <c r="J66" i="64"/>
  <c r="J62" i="64"/>
  <c r="J58" i="64"/>
  <c r="J54" i="64"/>
  <c r="J97" i="64"/>
  <c r="J89" i="64"/>
  <c r="J112" i="64"/>
  <c r="J98" i="64"/>
  <c r="J84" i="64"/>
  <c r="J80" i="64"/>
  <c r="J113" i="64"/>
  <c r="J107" i="64"/>
  <c r="J99" i="64"/>
  <c r="J71" i="64"/>
  <c r="J67" i="64"/>
  <c r="J63" i="64"/>
  <c r="J59" i="64"/>
  <c r="J55" i="64"/>
  <c r="J114" i="64"/>
  <c r="J108" i="64"/>
  <c r="J100" i="64"/>
  <c r="J90" i="64"/>
  <c r="J115" i="64"/>
  <c r="J109" i="64"/>
  <c r="J101" i="64"/>
  <c r="J91" i="64"/>
  <c r="J85" i="64"/>
  <c r="J81" i="64"/>
  <c r="J51" i="64"/>
  <c r="J56" i="64"/>
  <c r="H74" i="64"/>
  <c r="J60" i="64"/>
  <c r="J92" i="64"/>
  <c r="J68" i="64"/>
  <c r="J64" i="64"/>
  <c r="J102" i="64"/>
  <c r="J72" i="64"/>
  <c r="J53" i="64"/>
  <c r="N12" i="64"/>
  <c r="J116" i="64"/>
  <c r="J57" i="64"/>
  <c r="J86" i="64"/>
  <c r="J69" i="64"/>
  <c r="J52" i="64"/>
  <c r="X12" i="55"/>
  <c r="J25" i="55"/>
  <c r="J37" i="55"/>
  <c r="F23" i="56"/>
  <c r="F27" i="56"/>
  <c r="J28" i="56"/>
  <c r="F34" i="56"/>
  <c r="F35" i="56"/>
  <c r="J36" i="56"/>
  <c r="F46" i="56"/>
  <c r="F47" i="56"/>
  <c r="F59" i="56"/>
  <c r="F68" i="56"/>
  <c r="F40" i="57"/>
  <c r="J68" i="57"/>
  <c r="R74" i="57"/>
  <c r="V73" i="58"/>
  <c r="V71" i="58"/>
  <c r="V69" i="58"/>
  <c r="V61" i="58"/>
  <c r="V80" i="58"/>
  <c r="V77" i="58"/>
  <c r="V75" i="58"/>
  <c r="V57" i="58"/>
  <c r="V64" i="58"/>
  <c r="V65" i="58"/>
  <c r="V67" i="58"/>
  <c r="V14" i="58"/>
  <c r="V16" i="58"/>
  <c r="V18" i="58"/>
  <c r="R23" i="58"/>
  <c r="R27" i="58"/>
  <c r="F35" i="58"/>
  <c r="R39" i="58"/>
  <c r="R40" i="58"/>
  <c r="V42" i="58"/>
  <c r="F46" i="58"/>
  <c r="F47" i="58"/>
  <c r="R51" i="58"/>
  <c r="F54" i="58"/>
  <c r="F55" i="58"/>
  <c r="V56" i="58"/>
  <c r="V68" i="59"/>
  <c r="V65" i="59"/>
  <c r="V63" i="59"/>
  <c r="V53" i="59"/>
  <c r="V45" i="59"/>
  <c r="V29" i="59"/>
  <c r="V25" i="59"/>
  <c r="V21" i="59"/>
  <c r="V52" i="59"/>
  <c r="V36" i="59"/>
  <c r="V55" i="59"/>
  <c r="V35" i="59"/>
  <c r="V31" i="59"/>
  <c r="V54" i="59"/>
  <c r="V46" i="59"/>
  <c r="V38" i="59"/>
  <c r="V26" i="59"/>
  <c r="V22" i="59"/>
  <c r="V37" i="59"/>
  <c r="V56" i="59"/>
  <c r="V48" i="59"/>
  <c r="V40" i="59"/>
  <c r="V32" i="59"/>
  <c r="Z12" i="59"/>
  <c r="V47" i="59"/>
  <c r="V39" i="59"/>
  <c r="V27" i="59"/>
  <c r="V23" i="59"/>
  <c r="V19" i="59"/>
  <c r="V61" i="59"/>
  <c r="V59" i="59"/>
  <c r="V57" i="59"/>
  <c r="V49" i="59"/>
  <c r="V41" i="59"/>
  <c r="V33" i="59"/>
  <c r="T16" i="59"/>
  <c r="V44" i="59"/>
  <c r="V28" i="59"/>
  <c r="V24" i="59"/>
  <c r="V20" i="59"/>
  <c r="V34" i="59"/>
  <c r="V30" i="59"/>
  <c r="Z42" i="59"/>
  <c r="V51" i="59"/>
  <c r="N69" i="62"/>
  <c r="N47" i="63"/>
  <c r="N14" i="59"/>
  <c r="F23" i="59"/>
  <c r="F27" i="59"/>
  <c r="F38" i="59"/>
  <c r="F39" i="59"/>
  <c r="J40" i="59"/>
  <c r="R43" i="59"/>
  <c r="R44" i="59"/>
  <c r="F47" i="59"/>
  <c r="J48" i="59"/>
  <c r="R51" i="59"/>
  <c r="D16" i="60"/>
  <c r="J21" i="60"/>
  <c r="R22" i="60"/>
  <c r="J25" i="60"/>
  <c r="R26" i="60"/>
  <c r="J33" i="60"/>
  <c r="J41" i="60"/>
  <c r="R42" i="60"/>
  <c r="J49" i="60"/>
  <c r="J51" i="60"/>
  <c r="R55" i="60"/>
  <c r="R58" i="60"/>
  <c r="V14" i="61"/>
  <c r="V16" i="61"/>
  <c r="V18" i="61"/>
  <c r="J22" i="61"/>
  <c r="R23" i="61"/>
  <c r="J26" i="61"/>
  <c r="R27" i="61"/>
  <c r="R28" i="61"/>
  <c r="F31" i="61"/>
  <c r="V34" i="61"/>
  <c r="J42" i="61"/>
  <c r="R43" i="61"/>
  <c r="R44" i="61"/>
  <c r="V46" i="61"/>
  <c r="F53" i="61"/>
  <c r="L12" i="62"/>
  <c r="V15" i="62"/>
  <c r="V17" i="62"/>
  <c r="V19" i="62"/>
  <c r="J23" i="62"/>
  <c r="R24" i="62"/>
  <c r="J27" i="62"/>
  <c r="R28" i="62"/>
  <c r="F31" i="62"/>
  <c r="F32" i="62"/>
  <c r="F36" i="62"/>
  <c r="V39" i="62"/>
  <c r="J43" i="62"/>
  <c r="V47" i="62"/>
  <c r="J51" i="62"/>
  <c r="R52" i="62"/>
  <c r="R53" i="62"/>
  <c r="V55" i="62"/>
  <c r="F59" i="62"/>
  <c r="F60" i="62"/>
  <c r="J61" i="62"/>
  <c r="R64" i="62"/>
  <c r="R65" i="62"/>
  <c r="V67" i="62"/>
  <c r="J71" i="62"/>
  <c r="R72" i="62"/>
  <c r="F76" i="62"/>
  <c r="V79" i="62"/>
  <c r="J83" i="62"/>
  <c r="R84" i="62"/>
  <c r="J87" i="62"/>
  <c r="R88" i="62"/>
  <c r="R89" i="62"/>
  <c r="V91" i="62"/>
  <c r="J95" i="62"/>
  <c r="R96" i="62"/>
  <c r="R97" i="62"/>
  <c r="V101" i="62"/>
  <c r="R103" i="62"/>
  <c r="R105" i="62"/>
  <c r="J30" i="63"/>
  <c r="R31" i="63"/>
  <c r="J34" i="63"/>
  <c r="R35" i="63"/>
  <c r="R36" i="63"/>
  <c r="V38" i="63"/>
  <c r="F42" i="63"/>
  <c r="F43" i="63"/>
  <c r="J44" i="63"/>
  <c r="V46" i="63"/>
  <c r="J50" i="63"/>
  <c r="V54" i="63"/>
  <c r="V56" i="63"/>
  <c r="V58" i="63"/>
  <c r="F62" i="63"/>
  <c r="F65" i="63"/>
  <c r="N38" i="64"/>
  <c r="L38" i="64"/>
  <c r="X12" i="65"/>
  <c r="N43" i="66"/>
  <c r="J67" i="66"/>
  <c r="X92" i="66"/>
  <c r="Z92" i="66" s="1"/>
  <c r="R14" i="59"/>
  <c r="R16" i="59"/>
  <c r="R18" i="59"/>
  <c r="J32" i="59"/>
  <c r="R33" i="59"/>
  <c r="F36" i="59"/>
  <c r="F37" i="59"/>
  <c r="J38" i="59"/>
  <c r="R41" i="59"/>
  <c r="R42" i="59"/>
  <c r="R49" i="59"/>
  <c r="R50" i="59"/>
  <c r="J56" i="59"/>
  <c r="R57" i="59"/>
  <c r="H16" i="60"/>
  <c r="F19" i="60"/>
  <c r="F20" i="60"/>
  <c r="F24" i="60"/>
  <c r="J31" i="60"/>
  <c r="V35" i="60"/>
  <c r="J39" i="60"/>
  <c r="J47" i="60"/>
  <c r="V53" i="60"/>
  <c r="V55" i="60"/>
  <c r="V58" i="60"/>
  <c r="Z12" i="61"/>
  <c r="Z14" i="61"/>
  <c r="F21" i="61"/>
  <c r="F25" i="61"/>
  <c r="V28" i="61"/>
  <c r="V32" i="61"/>
  <c r="J40" i="61"/>
  <c r="V44" i="61"/>
  <c r="F22" i="62"/>
  <c r="F26" i="62"/>
  <c r="F30" i="62"/>
  <c r="J31" i="62"/>
  <c r="V33" i="62"/>
  <c r="V37" i="62"/>
  <c r="F41" i="62"/>
  <c r="F42" i="62"/>
  <c r="V45" i="62"/>
  <c r="J49" i="62"/>
  <c r="V53" i="62"/>
  <c r="F57" i="62"/>
  <c r="F58" i="62"/>
  <c r="J59" i="62"/>
  <c r="R62" i="62"/>
  <c r="R63" i="62"/>
  <c r="V65" i="62"/>
  <c r="F69" i="62"/>
  <c r="F70" i="62"/>
  <c r="V77" i="62"/>
  <c r="F81" i="62"/>
  <c r="F82" i="62"/>
  <c r="F86" i="62"/>
  <c r="V89" i="62"/>
  <c r="F93" i="62"/>
  <c r="F94" i="62"/>
  <c r="V97" i="62"/>
  <c r="D100" i="62"/>
  <c r="L100" i="62" s="1"/>
  <c r="N100" i="62" s="1"/>
  <c r="Z101" i="62"/>
  <c r="X102" i="62"/>
  <c r="V103" i="62"/>
  <c r="V105" i="62"/>
  <c r="F109" i="62"/>
  <c r="F112" i="62"/>
  <c r="J14" i="63"/>
  <c r="J16" i="63"/>
  <c r="J18" i="63"/>
  <c r="J20" i="63"/>
  <c r="R21" i="63"/>
  <c r="J24" i="63"/>
  <c r="R25" i="63"/>
  <c r="J28" i="63"/>
  <c r="F33" i="63"/>
  <c r="V36" i="63"/>
  <c r="F40" i="63"/>
  <c r="F41" i="63"/>
  <c r="J42" i="63"/>
  <c r="R45" i="63"/>
  <c r="F49" i="63"/>
  <c r="V52" i="63"/>
  <c r="J62" i="63"/>
  <c r="J65" i="63"/>
  <c r="X24" i="64"/>
  <c r="Z24" i="64" s="1"/>
  <c r="Z31" i="64"/>
  <c r="Z38" i="64"/>
  <c r="X40" i="64"/>
  <c r="Z40" i="64" s="1"/>
  <c r="Z47" i="64"/>
  <c r="Z119" i="64"/>
  <c r="F43" i="65"/>
  <c r="F42" i="65"/>
  <c r="F35" i="65"/>
  <c r="F54" i="65"/>
  <c r="F30" i="65"/>
  <c r="F26" i="65"/>
  <c r="F75" i="65"/>
  <c r="F72" i="65"/>
  <c r="F61" i="65"/>
  <c r="F45" i="65"/>
  <c r="F44" i="65"/>
  <c r="F17" i="65"/>
  <c r="F16" i="65"/>
  <c r="F56" i="65"/>
  <c r="F55" i="65"/>
  <c r="F36" i="65"/>
  <c r="L12" i="65"/>
  <c r="F47" i="65"/>
  <c r="F46" i="65"/>
  <c r="F31" i="65"/>
  <c r="F27" i="65"/>
  <c r="F62" i="65"/>
  <c r="F18" i="65"/>
  <c r="F57" i="65"/>
  <c r="F49" i="65"/>
  <c r="F48" i="65"/>
  <c r="F37" i="65"/>
  <c r="F33" i="65"/>
  <c r="F32" i="65"/>
  <c r="F64" i="65"/>
  <c r="F63" i="65"/>
  <c r="F28" i="65"/>
  <c r="F24" i="65"/>
  <c r="F23" i="65"/>
  <c r="F51" i="65"/>
  <c r="F50" i="65"/>
  <c r="F39" i="65"/>
  <c r="F38" i="65"/>
  <c r="F22" i="65"/>
  <c r="F20" i="65"/>
  <c r="F58" i="65"/>
  <c r="F34" i="65"/>
  <c r="D20" i="65"/>
  <c r="F68" i="65"/>
  <c r="F66" i="65"/>
  <c r="F53" i="65"/>
  <c r="F52" i="65"/>
  <c r="F41" i="65"/>
  <c r="F40" i="65"/>
  <c r="F29" i="65"/>
  <c r="F25" i="65"/>
  <c r="L12" i="66"/>
  <c r="Z43" i="66"/>
  <c r="X18" i="67"/>
  <c r="R19" i="59"/>
  <c r="F22" i="59"/>
  <c r="F26" i="59"/>
  <c r="J37" i="59"/>
  <c r="F46" i="59"/>
  <c r="F53" i="59"/>
  <c r="F54" i="59"/>
  <c r="J55" i="59"/>
  <c r="F65" i="59"/>
  <c r="F68" i="59"/>
  <c r="J14" i="60"/>
  <c r="J16" i="60"/>
  <c r="J18" i="60"/>
  <c r="J20" i="60"/>
  <c r="J24" i="60"/>
  <c r="R25" i="60"/>
  <c r="F28" i="60"/>
  <c r="F29" i="60"/>
  <c r="J30" i="60"/>
  <c r="R33" i="60"/>
  <c r="R34" i="60"/>
  <c r="F37" i="60"/>
  <c r="J38" i="60"/>
  <c r="R41" i="60"/>
  <c r="F44" i="60"/>
  <c r="F45" i="60"/>
  <c r="J46" i="60"/>
  <c r="D16" i="61"/>
  <c r="R22" i="61"/>
  <c r="R26" i="61"/>
  <c r="R42" i="61"/>
  <c r="R55" i="61"/>
  <c r="R58" i="61"/>
  <c r="V14" i="62"/>
  <c r="J22" i="62"/>
  <c r="J26" i="62"/>
  <c r="J30" i="62"/>
  <c r="F35" i="62"/>
  <c r="J42" i="62"/>
  <c r="R43" i="62"/>
  <c r="R44" i="62"/>
  <c r="V46" i="62"/>
  <c r="R51" i="62"/>
  <c r="J58" i="62"/>
  <c r="V62" i="62"/>
  <c r="J70" i="62"/>
  <c r="R71" i="62"/>
  <c r="F74" i="62"/>
  <c r="F75" i="62"/>
  <c r="V78" i="62"/>
  <c r="J82" i="62"/>
  <c r="R83" i="62"/>
  <c r="J86" i="62"/>
  <c r="R87" i="62"/>
  <c r="J94" i="62"/>
  <c r="R95" i="62"/>
  <c r="F100" i="62"/>
  <c r="L14" i="63"/>
  <c r="J19" i="63"/>
  <c r="R30" i="63"/>
  <c r="J33" i="63"/>
  <c r="R34" i="63"/>
  <c r="J41" i="63"/>
  <c r="V45" i="63"/>
  <c r="J49" i="63"/>
  <c r="R50" i="63"/>
  <c r="R51" i="63"/>
  <c r="V53" i="63"/>
  <c r="F60" i="63"/>
  <c r="X22" i="64"/>
  <c r="Z22" i="64" s="1"/>
  <c r="N42" i="64"/>
  <c r="L42" i="64"/>
  <c r="J75" i="65"/>
  <c r="J72" i="65"/>
  <c r="J54" i="65"/>
  <c r="J44" i="65"/>
  <c r="J30" i="65"/>
  <c r="J26" i="65"/>
  <c r="J16" i="65"/>
  <c r="J61" i="65"/>
  <c r="J55" i="65"/>
  <c r="J45" i="65"/>
  <c r="J17" i="65"/>
  <c r="J56" i="65"/>
  <c r="J46" i="65"/>
  <c r="J36" i="65"/>
  <c r="N12" i="65"/>
  <c r="J47" i="65"/>
  <c r="J31" i="65"/>
  <c r="J27" i="65"/>
  <c r="J62" i="65"/>
  <c r="J48" i="65"/>
  <c r="J32" i="65"/>
  <c r="J18" i="65"/>
  <c r="J63" i="65"/>
  <c r="J57" i="65"/>
  <c r="J49" i="65"/>
  <c r="J37" i="65"/>
  <c r="J33" i="65"/>
  <c r="J23" i="65"/>
  <c r="J64" i="65"/>
  <c r="J50" i="65"/>
  <c r="J38" i="65"/>
  <c r="J28" i="65"/>
  <c r="J24" i="65"/>
  <c r="J22" i="65"/>
  <c r="J20" i="65"/>
  <c r="J51" i="65"/>
  <c r="J39" i="65"/>
  <c r="H20" i="65"/>
  <c r="J68" i="65"/>
  <c r="J66" i="65"/>
  <c r="J58" i="65"/>
  <c r="J52" i="65"/>
  <c r="J40" i="65"/>
  <c r="J34" i="65"/>
  <c r="J59" i="65"/>
  <c r="J53" i="65"/>
  <c r="J41" i="65"/>
  <c r="J29" i="65"/>
  <c r="J25" i="65"/>
  <c r="J70" i="65"/>
  <c r="J60" i="65"/>
  <c r="J42" i="65"/>
  <c r="N16" i="65"/>
  <c r="N44" i="65"/>
  <c r="Z88" i="66"/>
  <c r="Z18" i="67"/>
  <c r="R53" i="61"/>
  <c r="J41" i="62"/>
  <c r="V43" i="62"/>
  <c r="V51" i="62"/>
  <c r="J57" i="62"/>
  <c r="V63" i="62"/>
  <c r="J69" i="62"/>
  <c r="V71" i="62"/>
  <c r="J75" i="62"/>
  <c r="F80" i="62"/>
  <c r="J81" i="62"/>
  <c r="V83" i="62"/>
  <c r="V87" i="62"/>
  <c r="F91" i="62"/>
  <c r="F92" i="62"/>
  <c r="J93" i="62"/>
  <c r="V95" i="62"/>
  <c r="F101" i="62"/>
  <c r="J109" i="62"/>
  <c r="J112" i="62"/>
  <c r="J40" i="63"/>
  <c r="F56" i="63"/>
  <c r="F58" i="63"/>
  <c r="J60" i="63"/>
  <c r="X14" i="67"/>
  <c r="Z14" i="67" s="1"/>
  <c r="X12" i="59"/>
  <c r="J31" i="59"/>
  <c r="R32" i="59"/>
  <c r="J35" i="59"/>
  <c r="F52" i="59"/>
  <c r="J53" i="59"/>
  <c r="R56" i="59"/>
  <c r="J65" i="59"/>
  <c r="J68" i="59"/>
  <c r="F23" i="60"/>
  <c r="F27" i="60"/>
  <c r="J28" i="60"/>
  <c r="R39" i="60"/>
  <c r="R40" i="60"/>
  <c r="F43" i="60"/>
  <c r="J44" i="60"/>
  <c r="R47" i="60"/>
  <c r="H16" i="61"/>
  <c r="F35" i="61"/>
  <c r="F36" i="61"/>
  <c r="R40" i="61"/>
  <c r="R41" i="61"/>
  <c r="J47" i="61"/>
  <c r="V53" i="61"/>
  <c r="V55" i="61"/>
  <c r="V58" i="61"/>
  <c r="Z12" i="62"/>
  <c r="H17" i="62"/>
  <c r="F25" i="62"/>
  <c r="F29" i="62"/>
  <c r="V32" i="62"/>
  <c r="V36" i="62"/>
  <c r="J40" i="62"/>
  <c r="V44" i="62"/>
  <c r="J48" i="62"/>
  <c r="R49" i="62"/>
  <c r="R50" i="62"/>
  <c r="J56" i="62"/>
  <c r="V60" i="62"/>
  <c r="J68" i="62"/>
  <c r="F73" i="62"/>
  <c r="J74" i="62"/>
  <c r="V76" i="62"/>
  <c r="J80" i="62"/>
  <c r="F85" i="62"/>
  <c r="J92" i="62"/>
  <c r="J100" i="62"/>
  <c r="F102" i="62"/>
  <c r="D105" i="62"/>
  <c r="F107" i="62"/>
  <c r="L12" i="63"/>
  <c r="P16" i="63"/>
  <c r="R20" i="63"/>
  <c r="J23" i="63"/>
  <c r="R24" i="63"/>
  <c r="J27" i="63"/>
  <c r="R28" i="63"/>
  <c r="R29" i="63"/>
  <c r="F32" i="63"/>
  <c r="J39" i="63"/>
  <c r="V43" i="63"/>
  <c r="F47" i="63"/>
  <c r="F48" i="63"/>
  <c r="V51" i="63"/>
  <c r="X19" i="64"/>
  <c r="Z26" i="64"/>
  <c r="X28" i="64"/>
  <c r="Z28" i="64" s="1"/>
  <c r="Z33" i="64"/>
  <c r="Z35" i="64"/>
  <c r="Z42" i="64"/>
  <c r="X44" i="64"/>
  <c r="Z44" i="64" s="1"/>
  <c r="Z95" i="64"/>
  <c r="V23" i="65"/>
  <c r="X48" i="65"/>
  <c r="Z48" i="65" s="1"/>
  <c r="F70" i="65"/>
  <c r="J98" i="66"/>
  <c r="J88" i="66"/>
  <c r="J58" i="66"/>
  <c r="J54" i="66"/>
  <c r="J50" i="66"/>
  <c r="J46" i="66"/>
  <c r="J105" i="66"/>
  <c r="J89" i="66"/>
  <c r="J81" i="66"/>
  <c r="J77" i="66"/>
  <c r="J112" i="66"/>
  <c r="J106" i="66"/>
  <c r="J90" i="66"/>
  <c r="J72" i="66"/>
  <c r="J68" i="66"/>
  <c r="J113" i="66"/>
  <c r="J107" i="66"/>
  <c r="J99" i="66"/>
  <c r="J91" i="66"/>
  <c r="J59" i="66"/>
  <c r="J55" i="66"/>
  <c r="J51" i="66"/>
  <c r="J47" i="66"/>
  <c r="J114" i="66"/>
  <c r="J100" i="66"/>
  <c r="J92" i="66"/>
  <c r="J82" i="66"/>
  <c r="J78" i="66"/>
  <c r="J121" i="66"/>
  <c r="J115" i="66"/>
  <c r="J101" i="66"/>
  <c r="J93" i="66"/>
  <c r="J83" i="66"/>
  <c r="J73" i="66"/>
  <c r="J69" i="66"/>
  <c r="J43" i="66"/>
  <c r="J120" i="66"/>
  <c r="J116" i="66"/>
  <c r="J108" i="66"/>
  <c r="J84" i="66"/>
  <c r="J60" i="66"/>
  <c r="J56" i="66"/>
  <c r="J52" i="66"/>
  <c r="J48" i="66"/>
  <c r="J44" i="66"/>
  <c r="J125" i="66"/>
  <c r="J119" i="66"/>
  <c r="J85" i="66"/>
  <c r="J79" i="66"/>
  <c r="J65" i="66"/>
  <c r="J118" i="66"/>
  <c r="J102" i="66"/>
  <c r="J94" i="66"/>
  <c r="J86" i="66"/>
  <c r="J74" i="66"/>
  <c r="J70" i="66"/>
  <c r="J66" i="66"/>
  <c r="J64" i="66"/>
  <c r="J109" i="66"/>
  <c r="J103" i="66"/>
  <c r="J95" i="66"/>
  <c r="J75" i="66"/>
  <c r="H62" i="66"/>
  <c r="J62" i="66" s="1"/>
  <c r="J57" i="66"/>
  <c r="J53" i="66"/>
  <c r="J49" i="66"/>
  <c r="J45" i="66"/>
  <c r="J110" i="66"/>
  <c r="J104" i="66"/>
  <c r="J96" i="66"/>
  <c r="J80" i="66"/>
  <c r="J76" i="66"/>
  <c r="N12" i="66"/>
  <c r="D123" i="66"/>
  <c r="J87" i="66"/>
  <c r="J111" i="66"/>
  <c r="N121" i="66"/>
  <c r="N20" i="67"/>
  <c r="L32" i="68"/>
  <c r="D12" i="68"/>
  <c r="F21" i="59"/>
  <c r="F25" i="59"/>
  <c r="F29" i="59"/>
  <c r="J30" i="59"/>
  <c r="R37" i="59"/>
  <c r="R38" i="59"/>
  <c r="F44" i="59"/>
  <c r="F45" i="59"/>
  <c r="J52" i="59"/>
  <c r="F63" i="59"/>
  <c r="L12" i="60"/>
  <c r="P16" i="60"/>
  <c r="R20" i="60"/>
  <c r="J23" i="60"/>
  <c r="R24" i="60"/>
  <c r="J27" i="60"/>
  <c r="V31" i="60"/>
  <c r="X34" i="60"/>
  <c r="Z34" i="60" s="1"/>
  <c r="F36" i="60"/>
  <c r="V39" i="60"/>
  <c r="J43" i="60"/>
  <c r="V47" i="60"/>
  <c r="V49" i="60"/>
  <c r="V51" i="60"/>
  <c r="F55" i="60"/>
  <c r="F58" i="60"/>
  <c r="J14" i="61"/>
  <c r="J16" i="61"/>
  <c r="J18" i="61"/>
  <c r="J20" i="61"/>
  <c r="R21" i="61"/>
  <c r="J24" i="61"/>
  <c r="R25" i="61"/>
  <c r="F28" i="61"/>
  <c r="F29" i="61"/>
  <c r="J36" i="61"/>
  <c r="V40" i="61"/>
  <c r="F44" i="61"/>
  <c r="F45" i="61"/>
  <c r="J46" i="61"/>
  <c r="J17" i="62"/>
  <c r="J19" i="62"/>
  <c r="J21" i="62"/>
  <c r="R22" i="62"/>
  <c r="J25" i="62"/>
  <c r="R26" i="62"/>
  <c r="J29" i="62"/>
  <c r="R30" i="62"/>
  <c r="R31" i="62"/>
  <c r="F34" i="62"/>
  <c r="F38" i="62"/>
  <c r="J39" i="62"/>
  <c r="R42" i="62"/>
  <c r="X44" i="62"/>
  <c r="Z44" i="62" s="1"/>
  <c r="V49" i="62"/>
  <c r="F53" i="62"/>
  <c r="F54" i="62"/>
  <c r="J55" i="62"/>
  <c r="R58" i="62"/>
  <c r="R59" i="62"/>
  <c r="V61" i="62"/>
  <c r="F65" i="62"/>
  <c r="F66" i="62"/>
  <c r="J67" i="62"/>
  <c r="R70" i="62"/>
  <c r="J73" i="62"/>
  <c r="L74" i="62"/>
  <c r="R82" i="62"/>
  <c r="J85" i="62"/>
  <c r="R86" i="62"/>
  <c r="F89" i="62"/>
  <c r="F90" i="62"/>
  <c r="J91" i="62"/>
  <c r="R94" i="62"/>
  <c r="F97" i="62"/>
  <c r="F98" i="62"/>
  <c r="J101" i="62"/>
  <c r="F103" i="62"/>
  <c r="F105" i="62"/>
  <c r="J107" i="62"/>
  <c r="N12" i="63"/>
  <c r="J32" i="63"/>
  <c r="R33" i="63"/>
  <c r="F36" i="63"/>
  <c r="F37" i="63"/>
  <c r="J38" i="63"/>
  <c r="R41" i="63"/>
  <c r="R42" i="63"/>
  <c r="V44" i="63"/>
  <c r="J48" i="63"/>
  <c r="R49" i="63"/>
  <c r="X51" i="63"/>
  <c r="J56" i="63"/>
  <c r="J58" i="63"/>
  <c r="R62" i="63"/>
  <c r="R65" i="63"/>
  <c r="Z19" i="64"/>
  <c r="N46" i="64"/>
  <c r="L46" i="64"/>
  <c r="V62" i="65"/>
  <c r="V50" i="65"/>
  <c r="V38" i="65"/>
  <c r="V22" i="65"/>
  <c r="V20" i="65"/>
  <c r="V18" i="65"/>
  <c r="V57" i="65"/>
  <c r="V49" i="65"/>
  <c r="V37" i="65"/>
  <c r="V33" i="65"/>
  <c r="T20" i="65"/>
  <c r="V66" i="65"/>
  <c r="V64" i="65"/>
  <c r="V52" i="65"/>
  <c r="V40" i="65"/>
  <c r="V28" i="65"/>
  <c r="V24" i="65"/>
  <c r="V59" i="65"/>
  <c r="V51" i="65"/>
  <c r="V39" i="65"/>
  <c r="V58" i="65"/>
  <c r="V42" i="65"/>
  <c r="V34" i="65"/>
  <c r="V53" i="65"/>
  <c r="V41" i="65"/>
  <c r="V29" i="65"/>
  <c r="V25" i="65"/>
  <c r="V70" i="65"/>
  <c r="V60" i="65"/>
  <c r="V44" i="65"/>
  <c r="V16" i="65"/>
  <c r="V55" i="65"/>
  <c r="V43" i="65"/>
  <c r="V35" i="65"/>
  <c r="V54" i="65"/>
  <c r="V46" i="65"/>
  <c r="V30" i="65"/>
  <c r="V26" i="65"/>
  <c r="V61" i="65"/>
  <c r="V45" i="65"/>
  <c r="V17" i="65"/>
  <c r="V56" i="65"/>
  <c r="V48" i="65"/>
  <c r="V36" i="65"/>
  <c r="V32" i="65"/>
  <c r="Z12" i="65"/>
  <c r="V63" i="65"/>
  <c r="Z97" i="66"/>
  <c r="F66" i="67"/>
  <c r="F62" i="67"/>
  <c r="F61" i="67"/>
  <c r="F54" i="67"/>
  <c r="F53" i="67"/>
  <c r="F82" i="67"/>
  <c r="F79" i="67"/>
  <c r="F56" i="67"/>
  <c r="F55" i="67"/>
  <c r="F67" i="67"/>
  <c r="F63" i="67"/>
  <c r="F64" i="67"/>
  <c r="F71" i="67"/>
  <c r="F70" i="67"/>
  <c r="F65" i="67"/>
  <c r="F75" i="67"/>
  <c r="F73" i="67"/>
  <c r="F60" i="67"/>
  <c r="F59" i="67"/>
  <c r="F52" i="67"/>
  <c r="F51" i="67"/>
  <c r="F77" i="67"/>
  <c r="F69" i="67"/>
  <c r="F48" i="67"/>
  <c r="F32" i="67"/>
  <c r="F28" i="67"/>
  <c r="F27" i="67"/>
  <c r="F26" i="67"/>
  <c r="F24" i="67"/>
  <c r="F42" i="67"/>
  <c r="F38" i="67"/>
  <c r="D24" i="67"/>
  <c r="F57" i="67"/>
  <c r="F33" i="67"/>
  <c r="F29" i="67"/>
  <c r="F49" i="67"/>
  <c r="F44" i="67"/>
  <c r="F43" i="67"/>
  <c r="F39" i="67"/>
  <c r="F46" i="67"/>
  <c r="F45" i="67"/>
  <c r="F34" i="67"/>
  <c r="F30" i="67"/>
  <c r="F50" i="67"/>
  <c r="F21" i="67"/>
  <c r="F20" i="67"/>
  <c r="F68" i="67"/>
  <c r="F58" i="67"/>
  <c r="F40" i="67"/>
  <c r="L12" i="67"/>
  <c r="N12" i="67" s="1"/>
  <c r="F47" i="67"/>
  <c r="F35" i="67"/>
  <c r="F31" i="67"/>
  <c r="F22" i="67"/>
  <c r="N26" i="67"/>
  <c r="F36" i="67"/>
  <c r="D16" i="59"/>
  <c r="J21" i="59"/>
  <c r="R22" i="59"/>
  <c r="J25" i="59"/>
  <c r="R26" i="59"/>
  <c r="J29" i="59"/>
  <c r="F34" i="59"/>
  <c r="J45" i="59"/>
  <c r="R46" i="59"/>
  <c r="R54" i="59"/>
  <c r="R55" i="59"/>
  <c r="F59" i="59"/>
  <c r="F61" i="59"/>
  <c r="J63" i="59"/>
  <c r="N12" i="60"/>
  <c r="R14" i="60"/>
  <c r="R16" i="60"/>
  <c r="R18" i="60"/>
  <c r="V20" i="60"/>
  <c r="V24" i="60"/>
  <c r="R29" i="60"/>
  <c r="R30" i="60"/>
  <c r="V32" i="60"/>
  <c r="J36" i="60"/>
  <c r="R37" i="60"/>
  <c r="R38" i="60"/>
  <c r="V40" i="60"/>
  <c r="R45" i="60"/>
  <c r="R46" i="60"/>
  <c r="J29" i="61"/>
  <c r="R30" i="61"/>
  <c r="F33" i="61"/>
  <c r="F34" i="61"/>
  <c r="J35" i="61"/>
  <c r="R38" i="61"/>
  <c r="R39" i="61"/>
  <c r="V41" i="61"/>
  <c r="J45" i="61"/>
  <c r="R49" i="61"/>
  <c r="R51" i="61"/>
  <c r="J20" i="62"/>
  <c r="V22" i="62"/>
  <c r="V26" i="62"/>
  <c r="V30" i="62"/>
  <c r="J34" i="62"/>
  <c r="R35" i="62"/>
  <c r="J38" i="62"/>
  <c r="V42" i="62"/>
  <c r="F46" i="62"/>
  <c r="F47" i="62"/>
  <c r="V50" i="62"/>
  <c r="J54" i="62"/>
  <c r="V58" i="62"/>
  <c r="J66" i="62"/>
  <c r="V70" i="62"/>
  <c r="R75" i="62"/>
  <c r="F78" i="62"/>
  <c r="F79" i="62"/>
  <c r="V82" i="62"/>
  <c r="V86" i="62"/>
  <c r="J90" i="62"/>
  <c r="V94" i="62"/>
  <c r="J98" i="62"/>
  <c r="J102" i="62"/>
  <c r="T16" i="63"/>
  <c r="R19" i="63"/>
  <c r="F22" i="63"/>
  <c r="F26" i="63"/>
  <c r="V29" i="63"/>
  <c r="V33" i="63"/>
  <c r="J37" i="63"/>
  <c r="V41" i="63"/>
  <c r="F46" i="63"/>
  <c r="J47" i="63"/>
  <c r="V49" i="63"/>
  <c r="F53" i="63"/>
  <c r="F54" i="63"/>
  <c r="R60" i="63"/>
  <c r="L23" i="64"/>
  <c r="N51" i="64"/>
  <c r="N22" i="65"/>
  <c r="J71" i="66"/>
  <c r="Z115" i="66"/>
  <c r="Z121" i="66"/>
  <c r="J55" i="67"/>
  <c r="J67" i="67"/>
  <c r="J63" i="67"/>
  <c r="J68" i="67"/>
  <c r="J71" i="67"/>
  <c r="J60" i="67"/>
  <c r="J52" i="67"/>
  <c r="J77" i="67"/>
  <c r="J61" i="67"/>
  <c r="J53" i="67"/>
  <c r="J64" i="67"/>
  <c r="H24" i="67"/>
  <c r="J42" i="67"/>
  <c r="J38" i="67"/>
  <c r="J62" i="67"/>
  <c r="J57" i="67"/>
  <c r="J54" i="67"/>
  <c r="J49" i="67"/>
  <c r="J43" i="67"/>
  <c r="J33" i="67"/>
  <c r="J29" i="67"/>
  <c r="J73" i="67"/>
  <c r="J70" i="67"/>
  <c r="J44" i="67"/>
  <c r="J45" i="67"/>
  <c r="J39" i="67"/>
  <c r="J65" i="67"/>
  <c r="J46" i="67"/>
  <c r="J34" i="67"/>
  <c r="J30" i="67"/>
  <c r="J20" i="67"/>
  <c r="J50" i="67"/>
  <c r="J21" i="67"/>
  <c r="J58" i="67"/>
  <c r="J47" i="67"/>
  <c r="J40" i="67"/>
  <c r="J35" i="67"/>
  <c r="J31" i="67"/>
  <c r="J66" i="67"/>
  <c r="J56" i="67"/>
  <c r="J51" i="67"/>
  <c r="J36" i="67"/>
  <c r="J22" i="67"/>
  <c r="J59" i="67"/>
  <c r="J41" i="67"/>
  <c r="J37" i="67"/>
  <c r="J27" i="67"/>
  <c r="N15" i="67"/>
  <c r="Z20" i="67"/>
  <c r="J26" i="67"/>
  <c r="F14" i="59"/>
  <c r="F16" i="59"/>
  <c r="F18" i="59"/>
  <c r="R31" i="59"/>
  <c r="J34" i="59"/>
  <c r="R35" i="59"/>
  <c r="R36" i="59"/>
  <c r="F42" i="59"/>
  <c r="F43" i="59"/>
  <c r="J44" i="59"/>
  <c r="F50" i="59"/>
  <c r="F51" i="59"/>
  <c r="R19" i="60"/>
  <c r="F22" i="60"/>
  <c r="F26" i="60"/>
  <c r="V29" i="60"/>
  <c r="V37" i="60"/>
  <c r="F42" i="60"/>
  <c r="V45" i="60"/>
  <c r="J55" i="60"/>
  <c r="J58" i="60"/>
  <c r="F23" i="61"/>
  <c r="F27" i="61"/>
  <c r="J28" i="61"/>
  <c r="V30" i="61"/>
  <c r="J34" i="61"/>
  <c r="V38" i="61"/>
  <c r="F43" i="61"/>
  <c r="J44" i="61"/>
  <c r="R47" i="61"/>
  <c r="J15" i="62"/>
  <c r="F24" i="62"/>
  <c r="F28" i="62"/>
  <c r="V31" i="62"/>
  <c r="V35" i="62"/>
  <c r="R40" i="62"/>
  <c r="R41" i="62"/>
  <c r="J47" i="62"/>
  <c r="R48" i="62"/>
  <c r="F52" i="62"/>
  <c r="J53" i="62"/>
  <c r="R56" i="62"/>
  <c r="R57" i="62"/>
  <c r="V59" i="62"/>
  <c r="F63" i="62"/>
  <c r="F64" i="62"/>
  <c r="J65" i="62"/>
  <c r="R68" i="62"/>
  <c r="R69" i="62"/>
  <c r="F72" i="62"/>
  <c r="V75" i="62"/>
  <c r="J79" i="62"/>
  <c r="R80" i="62"/>
  <c r="R81" i="62"/>
  <c r="F84" i="62"/>
  <c r="F88" i="62"/>
  <c r="J89" i="62"/>
  <c r="R92" i="62"/>
  <c r="R93" i="62"/>
  <c r="F96" i="62"/>
  <c r="J97" i="62"/>
  <c r="J103" i="62"/>
  <c r="J105" i="62"/>
  <c r="R109" i="62"/>
  <c r="R112" i="62"/>
  <c r="V14" i="63"/>
  <c r="V16" i="63"/>
  <c r="V18" i="63"/>
  <c r="J22" i="63"/>
  <c r="R23" i="63"/>
  <c r="J26" i="63"/>
  <c r="R27" i="63"/>
  <c r="F31" i="63"/>
  <c r="F35" i="63"/>
  <c r="J36" i="63"/>
  <c r="R39" i="63"/>
  <c r="R40" i="63"/>
  <c r="V42" i="63"/>
  <c r="J46" i="63"/>
  <c r="J54" i="63"/>
  <c r="V60" i="63"/>
  <c r="V62" i="63"/>
  <c r="V65" i="63"/>
  <c r="Z30" i="64"/>
  <c r="Z39" i="64"/>
  <c r="Z46" i="64"/>
  <c r="Z102" i="64"/>
  <c r="Z15" i="66"/>
  <c r="F41" i="67"/>
  <c r="F19" i="59"/>
  <c r="F20" i="59"/>
  <c r="F24" i="59"/>
  <c r="F28" i="59"/>
  <c r="J43" i="59"/>
  <c r="J51" i="59"/>
  <c r="R52" i="59"/>
  <c r="R53" i="59"/>
  <c r="J59" i="59"/>
  <c r="J61" i="59"/>
  <c r="R65" i="59"/>
  <c r="R68" i="59"/>
  <c r="V14" i="60"/>
  <c r="V16" i="60"/>
  <c r="V18" i="60"/>
  <c r="J22" i="60"/>
  <c r="R23" i="60"/>
  <c r="J26" i="60"/>
  <c r="R27" i="60"/>
  <c r="R28" i="60"/>
  <c r="V30" i="60"/>
  <c r="F34" i="60"/>
  <c r="F35" i="60"/>
  <c r="V38" i="60"/>
  <c r="J42" i="60"/>
  <c r="R43" i="60"/>
  <c r="R44" i="60"/>
  <c r="V46" i="60"/>
  <c r="F53" i="60"/>
  <c r="P16" i="61"/>
  <c r="R20" i="61"/>
  <c r="R24" i="61"/>
  <c r="F32" i="61"/>
  <c r="R36" i="61"/>
  <c r="R37" i="61"/>
  <c r="V39" i="61"/>
  <c r="J43" i="61"/>
  <c r="V47" i="61"/>
  <c r="V49" i="61"/>
  <c r="V51" i="61"/>
  <c r="F55" i="61"/>
  <c r="F58" i="61"/>
  <c r="J14" i="62"/>
  <c r="R21" i="62"/>
  <c r="J24" i="62"/>
  <c r="R25" i="62"/>
  <c r="J28" i="62"/>
  <c r="R29" i="62"/>
  <c r="F33" i="62"/>
  <c r="F37" i="62"/>
  <c r="V40" i="62"/>
  <c r="F44" i="62"/>
  <c r="F45" i="62"/>
  <c r="J46" i="62"/>
  <c r="V48" i="62"/>
  <c r="J52" i="62"/>
  <c r="V56" i="62"/>
  <c r="J64" i="62"/>
  <c r="V68" i="62"/>
  <c r="J72" i="62"/>
  <c r="R73" i="62"/>
  <c r="R74" i="62"/>
  <c r="F77" i="62"/>
  <c r="J78" i="62"/>
  <c r="V80" i="62"/>
  <c r="J84" i="62"/>
  <c r="R85" i="62"/>
  <c r="J88" i="62"/>
  <c r="V92" i="62"/>
  <c r="J96" i="62"/>
  <c r="R100" i="62"/>
  <c r="R107" i="62"/>
  <c r="X12" i="63"/>
  <c r="V23" i="63"/>
  <c r="V27" i="63"/>
  <c r="J31" i="63"/>
  <c r="R32" i="63"/>
  <c r="J35" i="63"/>
  <c r="V39" i="63"/>
  <c r="R48" i="63"/>
  <c r="F51" i="63"/>
  <c r="F52" i="63"/>
  <c r="J53" i="63"/>
  <c r="Z23" i="64"/>
  <c r="X25" i="64"/>
  <c r="Z25" i="64" s="1"/>
  <c r="L27" i="64"/>
  <c r="L34" i="64"/>
  <c r="L43" i="64"/>
  <c r="X105" i="64"/>
  <c r="Z105" i="64" s="1"/>
  <c r="J43" i="65"/>
  <c r="T12" i="66"/>
  <c r="Z13" i="66"/>
  <c r="X13" i="66"/>
  <c r="X25" i="66"/>
  <c r="Z29" i="66"/>
  <c r="X29" i="66"/>
  <c r="X33" i="66"/>
  <c r="Z15" i="67"/>
  <c r="J14" i="59"/>
  <c r="J16" i="59"/>
  <c r="J18" i="59"/>
  <c r="J20" i="59"/>
  <c r="R21" i="59"/>
  <c r="J24" i="59"/>
  <c r="R25" i="59"/>
  <c r="J28" i="59"/>
  <c r="R29" i="59"/>
  <c r="R30" i="59"/>
  <c r="F33" i="59"/>
  <c r="F40" i="59"/>
  <c r="F41" i="59"/>
  <c r="J42" i="59"/>
  <c r="R45" i="59"/>
  <c r="F48" i="59"/>
  <c r="F49" i="59"/>
  <c r="J50" i="59"/>
  <c r="R63" i="59"/>
  <c r="X12" i="60"/>
  <c r="V19" i="60"/>
  <c r="V23" i="60"/>
  <c r="V27" i="60"/>
  <c r="J35" i="60"/>
  <c r="V43" i="60"/>
  <c r="F49" i="60"/>
  <c r="F51" i="60"/>
  <c r="J53" i="60"/>
  <c r="R14" i="61"/>
  <c r="R16" i="61"/>
  <c r="R18" i="61"/>
  <c r="V20" i="61"/>
  <c r="V24" i="61"/>
  <c r="R29" i="61"/>
  <c r="R45" i="61"/>
  <c r="R46" i="61"/>
  <c r="V21" i="62"/>
  <c r="V25" i="62"/>
  <c r="V29" i="62"/>
  <c r="J33" i="62"/>
  <c r="R34" i="62"/>
  <c r="J37" i="62"/>
  <c r="R38" i="62"/>
  <c r="R39" i="62"/>
  <c r="V41" i="62"/>
  <c r="J45" i="62"/>
  <c r="R54" i="62"/>
  <c r="R55" i="62"/>
  <c r="V57" i="62"/>
  <c r="F61" i="62"/>
  <c r="F62" i="62"/>
  <c r="J63" i="62"/>
  <c r="R66" i="62"/>
  <c r="R67" i="62"/>
  <c r="V69" i="62"/>
  <c r="V73" i="62"/>
  <c r="J77" i="62"/>
  <c r="V81" i="62"/>
  <c r="V85" i="62"/>
  <c r="R90" i="62"/>
  <c r="R91" i="62"/>
  <c r="V93" i="62"/>
  <c r="R98" i="62"/>
  <c r="R101" i="62"/>
  <c r="V107" i="62"/>
  <c r="V109" i="62"/>
  <c r="V112" i="62"/>
  <c r="F21" i="63"/>
  <c r="F25" i="63"/>
  <c r="V32" i="63"/>
  <c r="R37" i="63"/>
  <c r="R38" i="63"/>
  <c r="V40" i="63"/>
  <c r="F44" i="63"/>
  <c r="F45" i="63"/>
  <c r="V48" i="63"/>
  <c r="J52" i="63"/>
  <c r="R56" i="63"/>
  <c r="R58" i="63"/>
  <c r="V27" i="65"/>
  <c r="Z38" i="65"/>
  <c r="V47" i="65"/>
  <c r="Z17" i="66"/>
  <c r="X17" i="66"/>
  <c r="Z25" i="66"/>
  <c r="Z33" i="66"/>
  <c r="X37" i="66"/>
  <c r="Z37" i="66" s="1"/>
  <c r="Z41" i="66"/>
  <c r="X41" i="66"/>
  <c r="T12" i="67"/>
  <c r="Z45" i="67"/>
  <c r="J48" i="67"/>
  <c r="J41" i="59"/>
  <c r="J49" i="59"/>
  <c r="F21" i="60"/>
  <c r="F25" i="60"/>
  <c r="F32" i="60"/>
  <c r="F33" i="60"/>
  <c r="F40" i="60"/>
  <c r="R19" i="61"/>
  <c r="R34" i="61"/>
  <c r="F41" i="61"/>
  <c r="T17" i="62"/>
  <c r="V34" i="62"/>
  <c r="V38" i="62"/>
  <c r="F43" i="62"/>
  <c r="J44" i="62"/>
  <c r="R47" i="62"/>
  <c r="F50" i="62"/>
  <c r="F51" i="62"/>
  <c r="V54" i="62"/>
  <c r="V66" i="62"/>
  <c r="F71" i="62"/>
  <c r="V74" i="62"/>
  <c r="R79" i="62"/>
  <c r="F83" i="62"/>
  <c r="F87" i="62"/>
  <c r="V90" i="62"/>
  <c r="V98" i="62"/>
  <c r="J21" i="63"/>
  <c r="R22" i="63"/>
  <c r="J25" i="63"/>
  <c r="R26" i="63"/>
  <c r="F29" i="63"/>
  <c r="F30" i="63"/>
  <c r="F34" i="63"/>
  <c r="J45" i="63"/>
  <c r="R46" i="63"/>
  <c r="R47" i="63"/>
  <c r="X18" i="64"/>
  <c r="Z18" i="64" s="1"/>
  <c r="X20" i="64"/>
  <c r="Z20" i="64" s="1"/>
  <c r="Z27" i="64"/>
  <c r="Z34" i="64"/>
  <c r="X36" i="64"/>
  <c r="Z36" i="64" s="1"/>
  <c r="Z43" i="64"/>
  <c r="L76" i="64"/>
  <c r="N76" i="64" s="1"/>
  <c r="X32" i="65"/>
  <c r="Z32" i="65" s="1"/>
  <c r="X21" i="66"/>
  <c r="Z21" i="66" s="1"/>
  <c r="Z100" i="66"/>
  <c r="N110" i="66"/>
  <c r="L27" i="67"/>
  <c r="N27" i="67" s="1"/>
  <c r="J32" i="67"/>
  <c r="J69" i="67"/>
  <c r="P118" i="64"/>
  <c r="X118" i="64" s="1"/>
  <c r="R17" i="65"/>
  <c r="R45" i="65"/>
  <c r="R46" i="65"/>
  <c r="R61" i="65"/>
  <c r="F45" i="66"/>
  <c r="F49" i="66"/>
  <c r="F53" i="66"/>
  <c r="F57" i="66"/>
  <c r="F62" i="66"/>
  <c r="F64" i="66"/>
  <c r="F109" i="66"/>
  <c r="F118" i="66"/>
  <c r="R38" i="67"/>
  <c r="R42" i="67"/>
  <c r="R43" i="67"/>
  <c r="R82" i="67"/>
  <c r="Z28" i="68"/>
  <c r="X28" i="68"/>
  <c r="J86" i="68"/>
  <c r="R26" i="65"/>
  <c r="R30" i="65"/>
  <c r="R54" i="65"/>
  <c r="R55" i="65"/>
  <c r="P12" i="66"/>
  <c r="F65" i="66"/>
  <c r="F66" i="66"/>
  <c r="F70" i="66"/>
  <c r="F74" i="66"/>
  <c r="F85" i="66"/>
  <c r="F86" i="66"/>
  <c r="F94" i="66"/>
  <c r="F102" i="66"/>
  <c r="H118" i="66"/>
  <c r="F119" i="66"/>
  <c r="X49" i="67"/>
  <c r="Z49" i="67" s="1"/>
  <c r="L53" i="67"/>
  <c r="L61" i="67"/>
  <c r="N61" i="67" s="1"/>
  <c r="L68" i="67"/>
  <c r="N68" i="67" s="1"/>
  <c r="Z30" i="68"/>
  <c r="R35" i="68"/>
  <c r="D12" i="69"/>
  <c r="L16" i="69"/>
  <c r="T118" i="64"/>
  <c r="R16" i="65"/>
  <c r="R35" i="65"/>
  <c r="R43" i="65"/>
  <c r="R44" i="65"/>
  <c r="R72" i="65"/>
  <c r="R75" i="65"/>
  <c r="F79" i="66"/>
  <c r="F120" i="66"/>
  <c r="F125" i="66"/>
  <c r="P24" i="67"/>
  <c r="R28" i="67"/>
  <c r="R32" i="67"/>
  <c r="R69" i="67"/>
  <c r="Z15" i="68"/>
  <c r="X15" i="68"/>
  <c r="R60" i="65"/>
  <c r="R70" i="65"/>
  <c r="F43" i="66"/>
  <c r="F44" i="66"/>
  <c r="F48" i="66"/>
  <c r="F52" i="66"/>
  <c r="F56" i="66"/>
  <c r="F60" i="66"/>
  <c r="F83" i="66"/>
  <c r="F84" i="66"/>
  <c r="F108" i="66"/>
  <c r="F115" i="66"/>
  <c r="F116" i="66"/>
  <c r="F121" i="66"/>
  <c r="X13" i="67"/>
  <c r="Z13" i="67" s="1"/>
  <c r="R24" i="67"/>
  <c r="R26" i="67"/>
  <c r="R37" i="67"/>
  <c r="R41" i="67"/>
  <c r="R66" i="67"/>
  <c r="Z19" i="68"/>
  <c r="X19" i="68"/>
  <c r="Z32" i="68"/>
  <c r="X32" i="68"/>
  <c r="J62" i="68"/>
  <c r="Z46" i="69"/>
  <c r="R25" i="65"/>
  <c r="R29" i="65"/>
  <c r="R41" i="65"/>
  <c r="R42" i="65"/>
  <c r="R53" i="65"/>
  <c r="F69" i="66"/>
  <c r="F73" i="66"/>
  <c r="F92" i="66"/>
  <c r="F93" i="66"/>
  <c r="F100" i="66"/>
  <c r="F101" i="66"/>
  <c r="R47" i="67"/>
  <c r="R64" i="67"/>
  <c r="R49" i="67"/>
  <c r="R48" i="67"/>
  <c r="R71" i="67"/>
  <c r="R61" i="67"/>
  <c r="R60" i="67"/>
  <c r="R53" i="67"/>
  <c r="R52" i="67"/>
  <c r="R77" i="67"/>
  <c r="R56" i="67"/>
  <c r="R22" i="67"/>
  <c r="R27" i="67"/>
  <c r="R51" i="67"/>
  <c r="R59" i="67"/>
  <c r="Z23" i="68"/>
  <c r="X23" i="68"/>
  <c r="Z20" i="69"/>
  <c r="N13" i="65"/>
  <c r="R34" i="65"/>
  <c r="R58" i="65"/>
  <c r="R59" i="65"/>
  <c r="L14" i="66"/>
  <c r="N14" i="66" s="1"/>
  <c r="L18" i="66"/>
  <c r="L22" i="66"/>
  <c r="N22" i="66" s="1"/>
  <c r="L26" i="66"/>
  <c r="N26" i="66" s="1"/>
  <c r="L30" i="66"/>
  <c r="N30" i="66" s="1"/>
  <c r="L34" i="66"/>
  <c r="L38" i="66"/>
  <c r="F78" i="66"/>
  <c r="F82" i="66"/>
  <c r="X88" i="66"/>
  <c r="F113" i="66"/>
  <c r="F114" i="66"/>
  <c r="L120" i="66"/>
  <c r="R31" i="67"/>
  <c r="R35" i="67"/>
  <c r="R36" i="67"/>
  <c r="Z51" i="67"/>
  <c r="Z53" i="67"/>
  <c r="Z59" i="67"/>
  <c r="Z61" i="67"/>
  <c r="T12" i="68"/>
  <c r="R47" i="68"/>
  <c r="R43" i="68"/>
  <c r="R39" i="68"/>
  <c r="R83" i="68"/>
  <c r="R82" i="68"/>
  <c r="R74" i="68"/>
  <c r="R73" i="68"/>
  <c r="R61" i="68"/>
  <c r="R57" i="68"/>
  <c r="R84" i="68"/>
  <c r="R48" i="68"/>
  <c r="R44" i="68"/>
  <c r="R40" i="68"/>
  <c r="R36" i="68"/>
  <c r="R86" i="68"/>
  <c r="R76" i="68"/>
  <c r="R75" i="68"/>
  <c r="R67" i="68"/>
  <c r="R88" i="68"/>
  <c r="R62" i="68"/>
  <c r="R58" i="68"/>
  <c r="R78" i="68"/>
  <c r="R77" i="68"/>
  <c r="R49" i="68"/>
  <c r="R45" i="68"/>
  <c r="R41" i="68"/>
  <c r="R37" i="68"/>
  <c r="R69" i="68"/>
  <c r="R68" i="68"/>
  <c r="X12" i="68"/>
  <c r="R71" i="68"/>
  <c r="R70" i="68"/>
  <c r="R55" i="68"/>
  <c r="R50" i="68"/>
  <c r="R46" i="68"/>
  <c r="R42" i="68"/>
  <c r="R38" i="68"/>
  <c r="R92" i="68"/>
  <c r="R54" i="68"/>
  <c r="R52" i="68"/>
  <c r="R95" i="68"/>
  <c r="R81" i="68"/>
  <c r="R80" i="68"/>
  <c r="R72" i="68"/>
  <c r="R65" i="68"/>
  <c r="R64" i="68"/>
  <c r="R60" i="68"/>
  <c r="R56" i="68"/>
  <c r="P52" i="68"/>
  <c r="N71" i="68"/>
  <c r="R29" i="75"/>
  <c r="R17" i="75"/>
  <c r="R18" i="75"/>
  <c r="R19" i="75"/>
  <c r="P21" i="75"/>
  <c r="R25" i="75"/>
  <c r="R23" i="75"/>
  <c r="R39" i="65"/>
  <c r="R40" i="65"/>
  <c r="R51" i="65"/>
  <c r="R52" i="65"/>
  <c r="R66" i="65"/>
  <c r="R68" i="65"/>
  <c r="F47" i="66"/>
  <c r="F51" i="66"/>
  <c r="F55" i="66"/>
  <c r="F59" i="66"/>
  <c r="F90" i="66"/>
  <c r="F91" i="66"/>
  <c r="F99" i="66"/>
  <c r="F106" i="66"/>
  <c r="F107" i="66"/>
  <c r="X12" i="67"/>
  <c r="R40" i="67"/>
  <c r="X47" i="67"/>
  <c r="Z47" i="67" s="1"/>
  <c r="L55" i="67"/>
  <c r="R58" i="67"/>
  <c r="R63" i="67"/>
  <c r="R68" i="67"/>
  <c r="Z14" i="68"/>
  <c r="X27" i="68"/>
  <c r="Z27" i="68" s="1"/>
  <c r="R79" i="68"/>
  <c r="H12" i="69"/>
  <c r="N13" i="69"/>
  <c r="L13" i="69"/>
  <c r="P20" i="65"/>
  <c r="R24" i="65"/>
  <c r="R28" i="65"/>
  <c r="R64" i="65"/>
  <c r="F68" i="66"/>
  <c r="F72" i="66"/>
  <c r="F112" i="66"/>
  <c r="T118" i="66"/>
  <c r="X118" i="66" s="1"/>
  <c r="R21" i="67"/>
  <c r="R50" i="67"/>
  <c r="Z16" i="68"/>
  <c r="X16" i="68"/>
  <c r="F105" i="66"/>
  <c r="R30" i="67"/>
  <c r="R34" i="67"/>
  <c r="R46" i="67"/>
  <c r="R55" i="67"/>
  <c r="R65" i="67"/>
  <c r="J70" i="68"/>
  <c r="J50" i="68"/>
  <c r="J46" i="68"/>
  <c r="J42" i="68"/>
  <c r="J38" i="68"/>
  <c r="J80" i="68"/>
  <c r="J72" i="68"/>
  <c r="J64" i="68"/>
  <c r="J60" i="68"/>
  <c r="J56" i="68"/>
  <c r="J54" i="68"/>
  <c r="J52" i="68"/>
  <c r="J81" i="68"/>
  <c r="J65" i="68"/>
  <c r="H52" i="68"/>
  <c r="J47" i="68"/>
  <c r="J43" i="68"/>
  <c r="J39" i="68"/>
  <c r="J82" i="68"/>
  <c r="J66" i="68"/>
  <c r="J83" i="68"/>
  <c r="J73" i="68"/>
  <c r="J61" i="68"/>
  <c r="J57" i="68"/>
  <c r="J35" i="68"/>
  <c r="J84" i="68"/>
  <c r="J74" i="68"/>
  <c r="J48" i="68"/>
  <c r="J44" i="68"/>
  <c r="J40" i="68"/>
  <c r="J36" i="68"/>
  <c r="J75" i="68"/>
  <c r="J67" i="68"/>
  <c r="J77" i="68"/>
  <c r="J49" i="68"/>
  <c r="J45" i="68"/>
  <c r="J41" i="68"/>
  <c r="J37" i="68"/>
  <c r="J78" i="68"/>
  <c r="J68" i="68"/>
  <c r="J90" i="68"/>
  <c r="J79" i="68"/>
  <c r="J69" i="68"/>
  <c r="J63" i="68"/>
  <c r="J59" i="68"/>
  <c r="J55" i="68"/>
  <c r="Z69" i="68"/>
  <c r="X71" i="68"/>
  <c r="Z71" i="68" s="1"/>
  <c r="N34" i="69"/>
  <c r="R18" i="65"/>
  <c r="R23" i="65"/>
  <c r="R62" i="65"/>
  <c r="R63" i="65"/>
  <c r="X14" i="66"/>
  <c r="Z14" i="66" s="1"/>
  <c r="X18" i="66"/>
  <c r="Z18" i="66" s="1"/>
  <c r="X22" i="66"/>
  <c r="Z22" i="66" s="1"/>
  <c r="X26" i="66"/>
  <c r="Z26" i="66" s="1"/>
  <c r="X30" i="66"/>
  <c r="Z30" i="66" s="1"/>
  <c r="X34" i="66"/>
  <c r="Z34" i="66" s="1"/>
  <c r="X38" i="66"/>
  <c r="Z38" i="66" s="1"/>
  <c r="F46" i="66"/>
  <c r="F50" i="66"/>
  <c r="F54" i="66"/>
  <c r="F58" i="66"/>
  <c r="F97" i="66"/>
  <c r="F98" i="66"/>
  <c r="X15" i="67"/>
  <c r="R20" i="67"/>
  <c r="R39" i="67"/>
  <c r="R67" i="67"/>
  <c r="R79" i="67"/>
  <c r="Z20" i="68"/>
  <c r="X20" i="68"/>
  <c r="X31" i="68"/>
  <c r="Z31" i="68" s="1"/>
  <c r="R27" i="65"/>
  <c r="R31" i="65"/>
  <c r="R32" i="65"/>
  <c r="R47" i="65"/>
  <c r="F67" i="66"/>
  <c r="F71" i="66"/>
  <c r="F87" i="66"/>
  <c r="F110" i="66"/>
  <c r="R44" i="67"/>
  <c r="R45" i="67"/>
  <c r="R70" i="67"/>
  <c r="R73" i="67"/>
  <c r="Z24" i="68"/>
  <c r="X24" i="68"/>
  <c r="Z26" i="68"/>
  <c r="X55" i="68"/>
  <c r="Z55" i="68" s="1"/>
  <c r="X74" i="68"/>
  <c r="Z74" i="68" s="1"/>
  <c r="X21" i="69"/>
  <c r="Z21" i="69" s="1"/>
  <c r="X33" i="69"/>
  <c r="X45" i="69"/>
  <c r="V60" i="69"/>
  <c r="V62" i="69"/>
  <c r="Z121" i="69"/>
  <c r="X121" i="69"/>
  <c r="J52" i="70"/>
  <c r="Z80" i="70"/>
  <c r="X80" i="70"/>
  <c r="X13" i="68"/>
  <c r="Z13" i="68" s="1"/>
  <c r="X17" i="68"/>
  <c r="Z17" i="68" s="1"/>
  <c r="X21" i="68"/>
  <c r="Z21" i="68" s="1"/>
  <c r="X25" i="68"/>
  <c r="Z25" i="68" s="1"/>
  <c r="X29" i="68"/>
  <c r="Z29" i="68" s="1"/>
  <c r="X33" i="68"/>
  <c r="Z33" i="68" s="1"/>
  <c r="N20" i="69"/>
  <c r="Z33" i="69"/>
  <c r="N44" i="69"/>
  <c r="Z45" i="69"/>
  <c r="V52" i="69"/>
  <c r="N135" i="69"/>
  <c r="L137" i="69"/>
  <c r="N137" i="69" s="1"/>
  <c r="D135" i="69"/>
  <c r="L135" i="69" s="1"/>
  <c r="H12" i="71"/>
  <c r="N16" i="71"/>
  <c r="D12" i="71"/>
  <c r="V66" i="69"/>
  <c r="V68" i="69"/>
  <c r="L81" i="69"/>
  <c r="Z135" i="69"/>
  <c r="X19" i="70"/>
  <c r="Z76" i="70"/>
  <c r="L16" i="71"/>
  <c r="N48" i="73"/>
  <c r="L48" i="73"/>
  <c r="Z47" i="69"/>
  <c r="N81" i="69"/>
  <c r="V124" i="69"/>
  <c r="V130" i="69"/>
  <c r="Z35" i="72"/>
  <c r="X20" i="69"/>
  <c r="Z23" i="69"/>
  <c r="X26" i="69"/>
  <c r="X32" i="69"/>
  <c r="Z35" i="69"/>
  <c r="X38" i="69"/>
  <c r="Z38" i="69" s="1"/>
  <c r="X44" i="69"/>
  <c r="Z44" i="69" s="1"/>
  <c r="V59" i="69"/>
  <c r="X105" i="69"/>
  <c r="Z105" i="69" s="1"/>
  <c r="V113" i="69"/>
  <c r="H33" i="70"/>
  <c r="N32" i="73"/>
  <c r="L32" i="73"/>
  <c r="X23" i="74"/>
  <c r="Z23" i="74" s="1"/>
  <c r="X13" i="69"/>
  <c r="P12" i="69"/>
  <c r="V105" i="69"/>
  <c r="L16" i="70"/>
  <c r="J75" i="70"/>
  <c r="Z37" i="71"/>
  <c r="V56" i="69"/>
  <c r="V85" i="69"/>
  <c r="V87" i="69"/>
  <c r="V103" i="69"/>
  <c r="N16" i="70"/>
  <c r="X16" i="69"/>
  <c r="X25" i="69"/>
  <c r="X37" i="69"/>
  <c r="X46" i="69"/>
  <c r="N48" i="69"/>
  <c r="Z49" i="69"/>
  <c r="V63" i="69"/>
  <c r="V67" i="69"/>
  <c r="Z81" i="69"/>
  <c r="V96" i="69"/>
  <c r="Z98" i="69"/>
  <c r="N14" i="70"/>
  <c r="P12" i="71"/>
  <c r="N21" i="71"/>
  <c r="N24" i="69"/>
  <c r="N36" i="69"/>
  <c r="Z37" i="69"/>
  <c r="Z43" i="69"/>
  <c r="V58" i="69"/>
  <c r="V75" i="69"/>
  <c r="N39" i="71"/>
  <c r="V126" i="69"/>
  <c r="V122" i="69"/>
  <c r="V114" i="69"/>
  <c r="V128" i="69"/>
  <c r="V116" i="69"/>
  <c r="V108" i="69"/>
  <c r="V131" i="69"/>
  <c r="V123" i="69"/>
  <c r="V107" i="69"/>
  <c r="V99" i="69"/>
  <c r="V117" i="69"/>
  <c r="V109" i="69"/>
  <c r="V101" i="69"/>
  <c r="V138" i="69"/>
  <c r="V132" i="69"/>
  <c r="V119" i="69"/>
  <c r="V88" i="69"/>
  <c r="V84" i="69"/>
  <c r="V98" i="69"/>
  <c r="V97" i="69"/>
  <c r="V94" i="69"/>
  <c r="V137" i="69"/>
  <c r="V110" i="69"/>
  <c r="V89" i="69"/>
  <c r="V129" i="69"/>
  <c r="V111" i="69"/>
  <c r="V76" i="69"/>
  <c r="V72" i="69"/>
  <c r="V100" i="69"/>
  <c r="V95" i="69"/>
  <c r="V91" i="69"/>
  <c r="V120" i="69"/>
  <c r="V118" i="69"/>
  <c r="V90" i="69"/>
  <c r="V86" i="69"/>
  <c r="V82" i="69"/>
  <c r="V127" i="69"/>
  <c r="V115" i="69"/>
  <c r="V104" i="69"/>
  <c r="V81" i="69"/>
  <c r="V77" i="69"/>
  <c r="V73" i="69"/>
  <c r="V69" i="69"/>
  <c r="V65" i="69"/>
  <c r="V61" i="69"/>
  <c r="V57" i="69"/>
  <c r="V53" i="69"/>
  <c r="V142" i="69"/>
  <c r="V133" i="69"/>
  <c r="V121" i="69"/>
  <c r="V92" i="69"/>
  <c r="T79" i="69"/>
  <c r="V112" i="69"/>
  <c r="V93" i="69"/>
  <c r="V71" i="69"/>
  <c r="V106" i="69"/>
  <c r="V125" i="69"/>
  <c r="J76" i="70"/>
  <c r="J56" i="70"/>
  <c r="J42" i="70"/>
  <c r="J38" i="70"/>
  <c r="J78" i="70"/>
  <c r="J72" i="70"/>
  <c r="J58" i="70"/>
  <c r="J48" i="70"/>
  <c r="J79" i="70"/>
  <c r="J59" i="70"/>
  <c r="J43" i="70"/>
  <c r="J39" i="70"/>
  <c r="J81" i="70"/>
  <c r="J73" i="70"/>
  <c r="J67" i="70"/>
  <c r="J49" i="70"/>
  <c r="J84" i="70"/>
  <c r="J68" i="70"/>
  <c r="J60" i="70"/>
  <c r="J50" i="70"/>
  <c r="J44" i="70"/>
  <c r="J40" i="70"/>
  <c r="J88" i="70"/>
  <c r="J71" i="70"/>
  <c r="J65" i="70"/>
  <c r="J35" i="70"/>
  <c r="J80" i="70"/>
  <c r="J62" i="70"/>
  <c r="J53" i="70"/>
  <c r="J47" i="70"/>
  <c r="J69" i="70"/>
  <c r="J45" i="70"/>
  <c r="J36" i="70"/>
  <c r="J74" i="70"/>
  <c r="J63" i="70"/>
  <c r="J66" i="70"/>
  <c r="J31" i="70"/>
  <c r="J77" i="70"/>
  <c r="J41" i="70"/>
  <c r="J54" i="70"/>
  <c r="J37" i="70"/>
  <c r="J70" i="70"/>
  <c r="J64" i="70"/>
  <c r="J57" i="70"/>
  <c r="J51" i="70"/>
  <c r="J46" i="70"/>
  <c r="J61" i="70"/>
  <c r="J33" i="70"/>
  <c r="J55" i="70"/>
  <c r="T12" i="70"/>
  <c r="V55" i="69"/>
  <c r="V102" i="69"/>
  <c r="V136" i="69"/>
  <c r="L21" i="70"/>
  <c r="N52" i="70"/>
  <c r="Z113" i="69"/>
  <c r="N19" i="70"/>
  <c r="L61" i="70"/>
  <c r="N76" i="70"/>
  <c r="N14" i="71"/>
  <c r="N19" i="71"/>
  <c r="L24" i="71"/>
  <c r="L34" i="71"/>
  <c r="Z39" i="71"/>
  <c r="Z80" i="71"/>
  <c r="X82" i="71"/>
  <c r="Z82" i="71" s="1"/>
  <c r="P58" i="72"/>
  <c r="X58" i="72" s="1"/>
  <c r="X59" i="72"/>
  <c r="Z59" i="72" s="1"/>
  <c r="F30" i="73"/>
  <c r="V66" i="74"/>
  <c r="V25" i="76"/>
  <c r="L42" i="76"/>
  <c r="D12" i="70"/>
  <c r="L13" i="70"/>
  <c r="L13" i="71"/>
  <c r="N26" i="71"/>
  <c r="L95" i="71"/>
  <c r="Z111" i="71"/>
  <c r="T108" i="71"/>
  <c r="F57" i="73"/>
  <c r="F41" i="73"/>
  <c r="F40" i="73"/>
  <c r="F29" i="73"/>
  <c r="F25" i="73"/>
  <c r="F78" i="73"/>
  <c r="F75" i="73"/>
  <c r="F63" i="73"/>
  <c r="F59" i="73"/>
  <c r="F58" i="73"/>
  <c r="F51" i="73"/>
  <c r="F43" i="73"/>
  <c r="F42" i="73"/>
  <c r="F35" i="73"/>
  <c r="F65" i="73"/>
  <c r="F64" i="73"/>
  <c r="F53" i="73"/>
  <c r="F52" i="73"/>
  <c r="F45" i="73"/>
  <c r="F44" i="73"/>
  <c r="F17" i="73"/>
  <c r="F16" i="73"/>
  <c r="F60" i="73"/>
  <c r="F36" i="73"/>
  <c r="L12" i="73"/>
  <c r="F67" i="73"/>
  <c r="F66" i="73"/>
  <c r="F55" i="73"/>
  <c r="F54" i="73"/>
  <c r="F47" i="73"/>
  <c r="F46" i="73"/>
  <c r="F31" i="73"/>
  <c r="F27" i="73"/>
  <c r="F71" i="73"/>
  <c r="F69" i="73"/>
  <c r="F56" i="73"/>
  <c r="F28" i="73"/>
  <c r="F24" i="73"/>
  <c r="F23" i="73"/>
  <c r="F62" i="73"/>
  <c r="F50" i="73"/>
  <c r="F34" i="73"/>
  <c r="D20" i="73"/>
  <c r="F61" i="73"/>
  <c r="F37" i="73"/>
  <c r="F33" i="73"/>
  <c r="F73" i="73"/>
  <c r="F39" i="73"/>
  <c r="F22" i="73"/>
  <c r="N44" i="74"/>
  <c r="N46" i="74"/>
  <c r="L46" i="74"/>
  <c r="L113" i="69"/>
  <c r="Z118" i="69"/>
  <c r="L28" i="70"/>
  <c r="N67" i="70"/>
  <c r="L18" i="71"/>
  <c r="N18" i="71" s="1"/>
  <c r="L23" i="71"/>
  <c r="N23" i="71" s="1"/>
  <c r="L33" i="71"/>
  <c r="L39" i="71"/>
  <c r="Z76" i="71"/>
  <c r="L109" i="71"/>
  <c r="N109" i="71" s="1"/>
  <c r="V19" i="72"/>
  <c r="X42" i="73"/>
  <c r="Z42" i="73" s="1"/>
  <c r="V38" i="74"/>
  <c r="J19" i="75"/>
  <c r="J25" i="75"/>
  <c r="J23" i="75"/>
  <c r="J29" i="75"/>
  <c r="J18" i="75"/>
  <c r="H21" i="75"/>
  <c r="Z47" i="76"/>
  <c r="R123" i="77"/>
  <c r="R122" i="77"/>
  <c r="R114" i="77"/>
  <c r="R103" i="77"/>
  <c r="R102" i="77"/>
  <c r="R95" i="77"/>
  <c r="R94" i="77"/>
  <c r="R71" i="77"/>
  <c r="R70" i="77"/>
  <c r="R66" i="77"/>
  <c r="R110" i="77"/>
  <c r="R109" i="77"/>
  <c r="R85" i="77"/>
  <c r="R62" i="77"/>
  <c r="R57" i="77"/>
  <c r="R53" i="77"/>
  <c r="R49" i="77"/>
  <c r="R45" i="77"/>
  <c r="R41" i="77"/>
  <c r="R124" i="77"/>
  <c r="R104" i="77"/>
  <c r="R97" i="77"/>
  <c r="R96" i="77"/>
  <c r="R76" i="77"/>
  <c r="R72" i="77"/>
  <c r="R61" i="77"/>
  <c r="R59" i="77"/>
  <c r="X12" i="77"/>
  <c r="R126" i="77"/>
  <c r="R115" i="77"/>
  <c r="R111" i="77"/>
  <c r="R67" i="77"/>
  <c r="R63" i="77"/>
  <c r="P59" i="77"/>
  <c r="R99" i="77"/>
  <c r="R98" i="77"/>
  <c r="R87" i="77"/>
  <c r="R86" i="77"/>
  <c r="R54" i="77"/>
  <c r="R50" i="77"/>
  <c r="R46" i="77"/>
  <c r="R42" i="77"/>
  <c r="R105" i="77"/>
  <c r="R78" i="77"/>
  <c r="R77" i="77"/>
  <c r="R73" i="77"/>
  <c r="R130" i="77"/>
  <c r="R117" i="77"/>
  <c r="R116" i="77"/>
  <c r="R112" i="77"/>
  <c r="R100" i="77"/>
  <c r="R89" i="77"/>
  <c r="R88" i="77"/>
  <c r="R68" i="77"/>
  <c r="R64" i="77"/>
  <c r="R80" i="77"/>
  <c r="R79" i="77"/>
  <c r="R55" i="77"/>
  <c r="R51" i="77"/>
  <c r="R47" i="77"/>
  <c r="R43" i="77"/>
  <c r="R121" i="77"/>
  <c r="R106" i="77"/>
  <c r="R83" i="77"/>
  <c r="R119" i="77"/>
  <c r="R81" i="77"/>
  <c r="R93" i="77"/>
  <c r="R91" i="77"/>
  <c r="R107" i="77"/>
  <c r="R84" i="77"/>
  <c r="R113" i="77"/>
  <c r="R82" i="77"/>
  <c r="R75" i="77"/>
  <c r="R65" i="77"/>
  <c r="R44" i="77"/>
  <c r="R40" i="77"/>
  <c r="R101" i="77"/>
  <c r="R92" i="77"/>
  <c r="R69" i="77"/>
  <c r="R48" i="77"/>
  <c r="R108" i="77"/>
  <c r="R74" i="77"/>
  <c r="R120" i="77"/>
  <c r="R118" i="77"/>
  <c r="R52" i="77"/>
  <c r="R56" i="77"/>
  <c r="N108" i="71"/>
  <c r="V17" i="72"/>
  <c r="F49" i="73"/>
  <c r="D12" i="74"/>
  <c r="L13" i="74"/>
  <c r="X40" i="74"/>
  <c r="Z40" i="74" s="1"/>
  <c r="T12" i="77"/>
  <c r="Z14" i="77"/>
  <c r="Z111" i="69"/>
  <c r="L45" i="70"/>
  <c r="L50" i="70"/>
  <c r="L69" i="70"/>
  <c r="L15" i="71"/>
  <c r="N15" i="71" s="1"/>
  <c r="L25" i="71"/>
  <c r="N25" i="71" s="1"/>
  <c r="N60" i="71"/>
  <c r="L78" i="71"/>
  <c r="N78" i="71" s="1"/>
  <c r="V37" i="74"/>
  <c r="V54" i="74"/>
  <c r="V26" i="76"/>
  <c r="L13" i="77"/>
  <c r="D12" i="77"/>
  <c r="P135" i="69"/>
  <c r="X135" i="69" s="1"/>
  <c r="Z137" i="69"/>
  <c r="N15" i="70"/>
  <c r="Z58" i="70"/>
  <c r="L84" i="70"/>
  <c r="N84" i="70" s="1"/>
  <c r="T12" i="71"/>
  <c r="L30" i="71"/>
  <c r="L35" i="71"/>
  <c r="L59" i="71"/>
  <c r="N59" i="71" s="1"/>
  <c r="L89" i="71"/>
  <c r="V22" i="72"/>
  <c r="D58" i="72"/>
  <c r="Z62" i="72"/>
  <c r="R90" i="77"/>
  <c r="L105" i="69"/>
  <c r="N105" i="69" s="1"/>
  <c r="L17" i="70"/>
  <c r="N36" i="70"/>
  <c r="N45" i="70"/>
  <c r="N69" i="70"/>
  <c r="L17" i="71"/>
  <c r="N30" i="71"/>
  <c r="V18" i="74"/>
  <c r="V33" i="74"/>
  <c r="N53" i="76"/>
  <c r="Z103" i="69"/>
  <c r="L121" i="69"/>
  <c r="N121" i="69" s="1"/>
  <c r="Z78" i="70"/>
  <c r="L22" i="71"/>
  <c r="L27" i="71"/>
  <c r="L37" i="71"/>
  <c r="Z78" i="71"/>
  <c r="X89" i="71"/>
  <c r="Z89" i="71" s="1"/>
  <c r="Z103" i="71"/>
  <c r="X13" i="72"/>
  <c r="P12" i="72"/>
  <c r="N15" i="72"/>
  <c r="H12" i="72"/>
  <c r="Z27" i="72"/>
  <c r="X27" i="72"/>
  <c r="L16" i="73"/>
  <c r="N16" i="73" s="1"/>
  <c r="F18" i="73"/>
  <c r="F38" i="73"/>
  <c r="V53" i="74"/>
  <c r="V41" i="74"/>
  <c r="V29" i="74"/>
  <c r="V25" i="74"/>
  <c r="V52" i="74"/>
  <c r="V44" i="74"/>
  <c r="V16" i="74"/>
  <c r="V63" i="74"/>
  <c r="V59" i="74"/>
  <c r="V43" i="74"/>
  <c r="V35" i="74"/>
  <c r="V65" i="74"/>
  <c r="V45" i="74"/>
  <c r="V17" i="74"/>
  <c r="V64" i="74"/>
  <c r="V60" i="74"/>
  <c r="V48" i="74"/>
  <c r="V36" i="74"/>
  <c r="V32" i="74"/>
  <c r="V67" i="74"/>
  <c r="V55" i="74"/>
  <c r="V47" i="74"/>
  <c r="V31" i="74"/>
  <c r="V27" i="74"/>
  <c r="V23" i="74"/>
  <c r="V68" i="74"/>
  <c r="V56" i="74"/>
  <c r="V40" i="74"/>
  <c r="V28" i="74"/>
  <c r="V24" i="74"/>
  <c r="V72" i="74"/>
  <c r="V70" i="74"/>
  <c r="V62" i="74"/>
  <c r="V58" i="74"/>
  <c r="V42" i="74"/>
  <c r="V34" i="74"/>
  <c r="V57" i="74"/>
  <c r="V61" i="74"/>
  <c r="V46" i="74"/>
  <c r="V22" i="74"/>
  <c r="V30" i="74"/>
  <c r="V26" i="74"/>
  <c r="V51" i="74"/>
  <c r="V39" i="74"/>
  <c r="V76" i="74"/>
  <c r="T20" i="74"/>
  <c r="X67" i="74"/>
  <c r="Z67" i="74" s="1"/>
  <c r="V69" i="74"/>
  <c r="V29" i="76"/>
  <c r="N22" i="71"/>
  <c r="Z60" i="71"/>
  <c r="N85" i="71"/>
  <c r="V67" i="72"/>
  <c r="V59" i="72"/>
  <c r="V33" i="72"/>
  <c r="V29" i="72"/>
  <c r="V56" i="72"/>
  <c r="V48" i="72"/>
  <c r="V20" i="72"/>
  <c r="V47" i="72"/>
  <c r="V39" i="72"/>
  <c r="V35" i="72"/>
  <c r="V49" i="72"/>
  <c r="V41" i="72"/>
  <c r="V21" i="72"/>
  <c r="V52" i="72"/>
  <c r="V40" i="72"/>
  <c r="V36" i="72"/>
  <c r="V51" i="72"/>
  <c r="V43" i="72"/>
  <c r="V31" i="72"/>
  <c r="V27" i="72"/>
  <c r="V62" i="72"/>
  <c r="V44" i="72"/>
  <c r="V32" i="72"/>
  <c r="V28" i="72"/>
  <c r="V60" i="72"/>
  <c r="V54" i="72"/>
  <c r="V46" i="72"/>
  <c r="V38" i="72"/>
  <c r="V45" i="72"/>
  <c r="V34" i="72"/>
  <c r="V30" i="72"/>
  <c r="V61" i="72"/>
  <c r="V26" i="72"/>
  <c r="V50" i="72"/>
  <c r="V37" i="72"/>
  <c r="V63" i="72"/>
  <c r="V55" i="72"/>
  <c r="V53" i="72"/>
  <c r="T24" i="72"/>
  <c r="V24" i="72" s="1"/>
  <c r="V18" i="72"/>
  <c r="N57" i="74"/>
  <c r="F19" i="75"/>
  <c r="F25" i="75"/>
  <c r="F23" i="75"/>
  <c r="F29" i="75"/>
  <c r="D21" i="75"/>
  <c r="F21" i="75" s="1"/>
  <c r="F18" i="75"/>
  <c r="F17" i="75"/>
  <c r="V84" i="76"/>
  <c r="V66" i="76"/>
  <c r="V50" i="76"/>
  <c r="V42" i="76"/>
  <c r="V74" i="76"/>
  <c r="V62" i="76"/>
  <c r="V54" i="76"/>
  <c r="V77" i="76"/>
  <c r="V69" i="76"/>
  <c r="V57" i="76"/>
  <c r="V45" i="76"/>
  <c r="V76" i="76"/>
  <c r="V56" i="76"/>
  <c r="V71" i="76"/>
  <c r="V36" i="76"/>
  <c r="V32" i="76"/>
  <c r="V75" i="76"/>
  <c r="V52" i="76"/>
  <c r="V31" i="76"/>
  <c r="V27" i="76"/>
  <c r="V23" i="76"/>
  <c r="V80" i="76"/>
  <c r="V59" i="76"/>
  <c r="V49" i="76"/>
  <c r="V48" i="76"/>
  <c r="V41" i="76"/>
  <c r="V38" i="76"/>
  <c r="V22" i="76"/>
  <c r="V20" i="76"/>
  <c r="V18" i="76"/>
  <c r="V53" i="76"/>
  <c r="V37" i="76"/>
  <c r="V33" i="76"/>
  <c r="V72" i="76"/>
  <c r="V67" i="76"/>
  <c r="V28" i="76"/>
  <c r="V24" i="76"/>
  <c r="V73" i="76"/>
  <c r="V70" i="76"/>
  <c r="V63" i="76"/>
  <c r="V60" i="76"/>
  <c r="V34" i="76"/>
  <c r="V65" i="76"/>
  <c r="V64" i="76"/>
  <c r="V51" i="76"/>
  <c r="V47" i="76"/>
  <c r="V43" i="76"/>
  <c r="V40" i="76"/>
  <c r="V35" i="76"/>
  <c r="V78" i="76"/>
  <c r="V17" i="76"/>
  <c r="V58" i="76"/>
  <c r="V30" i="76"/>
  <c r="V39" i="76"/>
  <c r="T20" i="76"/>
  <c r="V61" i="76"/>
  <c r="V46" i="76"/>
  <c r="N75" i="76"/>
  <c r="L75" i="76"/>
  <c r="N115" i="69"/>
  <c r="N127" i="69"/>
  <c r="X136" i="69"/>
  <c r="P12" i="70"/>
  <c r="X56" i="70"/>
  <c r="Z56" i="70" s="1"/>
  <c r="L83" i="70"/>
  <c r="N83" i="70" s="1"/>
  <c r="N82" i="71"/>
  <c r="L87" i="71"/>
  <c r="Z92" i="71"/>
  <c r="X105" i="71"/>
  <c r="Z105" i="71" s="1"/>
  <c r="Z112" i="71"/>
  <c r="Z13" i="72"/>
  <c r="N59" i="72"/>
  <c r="L59" i="72"/>
  <c r="H58" i="72"/>
  <c r="N61" i="72"/>
  <c r="V60" i="73"/>
  <c r="V48" i="73"/>
  <c r="V36" i="73"/>
  <c r="V32" i="73"/>
  <c r="V69" i="73"/>
  <c r="V67" i="73"/>
  <c r="V55" i="73"/>
  <c r="V47" i="73"/>
  <c r="V31" i="73"/>
  <c r="V27" i="73"/>
  <c r="V23" i="73"/>
  <c r="V38" i="73"/>
  <c r="V22" i="73"/>
  <c r="V18" i="73"/>
  <c r="V56" i="73"/>
  <c r="V40" i="73"/>
  <c r="V28" i="73"/>
  <c r="V24" i="73"/>
  <c r="V73" i="73"/>
  <c r="V39" i="73"/>
  <c r="V62" i="73"/>
  <c r="V58" i="73"/>
  <c r="V50" i="73"/>
  <c r="V42" i="73"/>
  <c r="V34" i="73"/>
  <c r="V63" i="73"/>
  <c r="V59" i="73"/>
  <c r="V51" i="73"/>
  <c r="V43" i="73"/>
  <c r="V35" i="73"/>
  <c r="V65" i="73"/>
  <c r="V53" i="73"/>
  <c r="V45" i="73"/>
  <c r="V17" i="73"/>
  <c r="V66" i="73"/>
  <c r="V64" i="73"/>
  <c r="V49" i="73"/>
  <c r="V25" i="73"/>
  <c r="T20" i="73"/>
  <c r="V54" i="73"/>
  <c r="V29" i="73"/>
  <c r="V52" i="73"/>
  <c r="V16" i="73"/>
  <c r="V41" i="73"/>
  <c r="V57" i="73"/>
  <c r="V37" i="73"/>
  <c r="V33" i="73"/>
  <c r="L12" i="75"/>
  <c r="N12" i="75" s="1"/>
  <c r="L14" i="75"/>
  <c r="N14" i="75" s="1"/>
  <c r="N17" i="75"/>
  <c r="L48" i="72"/>
  <c r="T58" i="72"/>
  <c r="Z50" i="74"/>
  <c r="N16" i="76"/>
  <c r="H12" i="77"/>
  <c r="N13" i="77"/>
  <c r="X28" i="78"/>
  <c r="R28" i="78"/>
  <c r="Z15" i="72"/>
  <c r="Z16" i="73"/>
  <c r="Z22" i="73"/>
  <c r="N54" i="73"/>
  <c r="J62" i="73"/>
  <c r="N16" i="74"/>
  <c r="N53" i="74"/>
  <c r="L53" i="74"/>
  <c r="R68" i="74"/>
  <c r="Z14" i="75"/>
  <c r="F63" i="76"/>
  <c r="F82" i="76"/>
  <c r="F80" i="76"/>
  <c r="F71" i="76"/>
  <c r="F59" i="76"/>
  <c r="F84" i="76"/>
  <c r="F66" i="76"/>
  <c r="F65" i="76"/>
  <c r="F50" i="76"/>
  <c r="F49" i="76"/>
  <c r="F41" i="76"/>
  <c r="F40" i="76"/>
  <c r="F86" i="76"/>
  <c r="F73" i="76"/>
  <c r="F68" i="76"/>
  <c r="F58" i="76"/>
  <c r="F54" i="76"/>
  <c r="F46" i="76"/>
  <c r="F29" i="76"/>
  <c r="F25" i="76"/>
  <c r="F77" i="76"/>
  <c r="F43" i="76"/>
  <c r="F64" i="76"/>
  <c r="F61" i="76"/>
  <c r="F35" i="76"/>
  <c r="F78" i="76"/>
  <c r="F74" i="76"/>
  <c r="F51" i="76"/>
  <c r="F30" i="76"/>
  <c r="F26" i="76"/>
  <c r="F47" i="76"/>
  <c r="F44" i="76"/>
  <c r="F17" i="76"/>
  <c r="F16" i="76"/>
  <c r="F69" i="76"/>
  <c r="F62" i="76"/>
  <c r="F55" i="76"/>
  <c r="F52" i="76"/>
  <c r="F36" i="76"/>
  <c r="L12" i="76"/>
  <c r="F89" i="76"/>
  <c r="F56" i="76"/>
  <c r="F31" i="76"/>
  <c r="F27" i="76"/>
  <c r="F76" i="76"/>
  <c r="F53" i="76"/>
  <c r="F42" i="76"/>
  <c r="F28" i="76"/>
  <c r="F24" i="76"/>
  <c r="F23" i="76"/>
  <c r="F39" i="76"/>
  <c r="F34" i="76"/>
  <c r="D20" i="76"/>
  <c r="J78" i="76"/>
  <c r="J70" i="76"/>
  <c r="J58" i="76"/>
  <c r="J46" i="76"/>
  <c r="J84" i="76"/>
  <c r="J66" i="76"/>
  <c r="J50" i="76"/>
  <c r="J40" i="76"/>
  <c r="J67" i="76"/>
  <c r="J51" i="76"/>
  <c r="J41" i="76"/>
  <c r="J89" i="76"/>
  <c r="J86" i="76"/>
  <c r="J72" i="76"/>
  <c r="J68" i="76"/>
  <c r="J60" i="76"/>
  <c r="J52" i="76"/>
  <c r="J42" i="76"/>
  <c r="J61" i="76"/>
  <c r="J43" i="76"/>
  <c r="J64" i="76"/>
  <c r="J35" i="76"/>
  <c r="J74" i="76"/>
  <c r="J47" i="76"/>
  <c r="J44" i="76"/>
  <c r="J30" i="76"/>
  <c r="J26" i="76"/>
  <c r="J16" i="76"/>
  <c r="J71" i="76"/>
  <c r="J65" i="76"/>
  <c r="J55" i="76"/>
  <c r="J69" i="76"/>
  <c r="J62" i="76"/>
  <c r="J36" i="76"/>
  <c r="N12" i="76"/>
  <c r="J59" i="76"/>
  <c r="J56" i="76"/>
  <c r="J31" i="76"/>
  <c r="J27" i="76"/>
  <c r="J75" i="76"/>
  <c r="J48" i="76"/>
  <c r="J45" i="76"/>
  <c r="J32" i="76"/>
  <c r="J18" i="76"/>
  <c r="H20" i="76"/>
  <c r="J82" i="76"/>
  <c r="J77" i="76"/>
  <c r="J54" i="76"/>
  <c r="J29" i="76"/>
  <c r="J25" i="76"/>
  <c r="F20" i="76"/>
  <c r="R35" i="76"/>
  <c r="J49" i="76"/>
  <c r="L89" i="77"/>
  <c r="N112" i="71"/>
  <c r="X15" i="72"/>
  <c r="X26" i="72"/>
  <c r="Z26" i="72" s="1"/>
  <c r="X35" i="72"/>
  <c r="L45" i="72"/>
  <c r="N45" i="72" s="1"/>
  <c r="J45" i="73"/>
  <c r="L64" i="73"/>
  <c r="N64" i="73" s="1"/>
  <c r="L69" i="73"/>
  <c r="Z13" i="74"/>
  <c r="R18" i="74"/>
  <c r="R44" i="74"/>
  <c r="N48" i="74"/>
  <c r="L57" i="74"/>
  <c r="Z17" i="75"/>
  <c r="R71" i="76"/>
  <c r="R59" i="76"/>
  <c r="R40" i="76"/>
  <c r="R39" i="76"/>
  <c r="R84" i="76"/>
  <c r="R89" i="76"/>
  <c r="R86" i="76"/>
  <c r="R44" i="76"/>
  <c r="R43" i="76"/>
  <c r="R75" i="76"/>
  <c r="R74" i="76"/>
  <c r="R62" i="76"/>
  <c r="R55" i="76"/>
  <c r="R54" i="76"/>
  <c r="R69" i="76"/>
  <c r="R45" i="76"/>
  <c r="R78" i="76"/>
  <c r="R17" i="76"/>
  <c r="R36" i="76"/>
  <c r="X12" i="76"/>
  <c r="Z12" i="76" s="1"/>
  <c r="R56" i="76"/>
  <c r="R52" i="76"/>
  <c r="R32" i="76"/>
  <c r="R31" i="76"/>
  <c r="R27" i="76"/>
  <c r="R66" i="76"/>
  <c r="R48" i="76"/>
  <c r="R41" i="76"/>
  <c r="R23" i="76"/>
  <c r="R80" i="76"/>
  <c r="R57" i="76"/>
  <c r="R49" i="76"/>
  <c r="R38" i="76"/>
  <c r="R37" i="76"/>
  <c r="R33" i="76"/>
  <c r="R22" i="76"/>
  <c r="R20" i="76"/>
  <c r="R76" i="76"/>
  <c r="R72" i="76"/>
  <c r="R53" i="76"/>
  <c r="R28" i="76"/>
  <c r="R24" i="76"/>
  <c r="P20" i="76"/>
  <c r="R67" i="76"/>
  <c r="R42" i="76"/>
  <c r="R82" i="76"/>
  <c r="R68" i="76"/>
  <c r="R58" i="76"/>
  <c r="R46" i="76"/>
  <c r="R65" i="76"/>
  <c r="R51" i="76"/>
  <c r="R47" i="76"/>
  <c r="R30" i="76"/>
  <c r="R26" i="76"/>
  <c r="J20" i="76"/>
  <c r="N23" i="76"/>
  <c r="R25" i="76"/>
  <c r="J39" i="76"/>
  <c r="F45" i="76"/>
  <c r="F67" i="76"/>
  <c r="R73" i="76"/>
  <c r="R22" i="80"/>
  <c r="X73" i="76"/>
  <c r="Z73" i="76"/>
  <c r="X112" i="71"/>
  <c r="N55" i="72"/>
  <c r="N63" i="72"/>
  <c r="R66" i="73"/>
  <c r="R65" i="73"/>
  <c r="R54" i="73"/>
  <c r="R53" i="73"/>
  <c r="R46" i="73"/>
  <c r="R45" i="73"/>
  <c r="R17" i="73"/>
  <c r="R60" i="73"/>
  <c r="R36" i="73"/>
  <c r="X12" i="73"/>
  <c r="Z12" i="73" s="1"/>
  <c r="R67" i="73"/>
  <c r="R55" i="73"/>
  <c r="R48" i="73"/>
  <c r="R47" i="73"/>
  <c r="R32" i="73"/>
  <c r="R31" i="73"/>
  <c r="R27" i="73"/>
  <c r="R61" i="73"/>
  <c r="R49" i="73"/>
  <c r="R38" i="73"/>
  <c r="R37" i="73"/>
  <c r="R33" i="73"/>
  <c r="R22" i="73"/>
  <c r="R20" i="73"/>
  <c r="R56" i="73"/>
  <c r="R28" i="73"/>
  <c r="R24" i="73"/>
  <c r="P20" i="73"/>
  <c r="R73" i="73"/>
  <c r="R40" i="73"/>
  <c r="R39" i="73"/>
  <c r="R30" i="73"/>
  <c r="R26" i="73"/>
  <c r="J20" i="73"/>
  <c r="R29" i="73"/>
  <c r="J40" i="73"/>
  <c r="J49" i="73"/>
  <c r="R58" i="73"/>
  <c r="R62" i="73"/>
  <c r="R16" i="74"/>
  <c r="Z22" i="74"/>
  <c r="R24" i="74"/>
  <c r="R28" i="74"/>
  <c r="Z46" i="74"/>
  <c r="R63" i="74"/>
  <c r="F32" i="76"/>
  <c r="L25" i="77"/>
  <c r="X38" i="73"/>
  <c r="Z38" i="73" s="1"/>
  <c r="X58" i="73"/>
  <c r="Z58" i="73" s="1"/>
  <c r="R64" i="73"/>
  <c r="R48" i="74"/>
  <c r="R55" i="74"/>
  <c r="L69" i="74"/>
  <c r="Z14" i="76"/>
  <c r="N32" i="76"/>
  <c r="L32" i="76"/>
  <c r="J34" i="76"/>
  <c r="F48" i="76"/>
  <c r="F72" i="76"/>
  <c r="Z43" i="72"/>
  <c r="X43" i="72"/>
  <c r="R69" i="73"/>
  <c r="R70" i="74"/>
  <c r="R62" i="74"/>
  <c r="R58" i="74"/>
  <c r="R34" i="74"/>
  <c r="R74" i="74"/>
  <c r="R72" i="74"/>
  <c r="R42" i="74"/>
  <c r="R41" i="74"/>
  <c r="R29" i="74"/>
  <c r="R25" i="74"/>
  <c r="R53" i="74"/>
  <c r="R52" i="74"/>
  <c r="R76" i="74"/>
  <c r="R54" i="74"/>
  <c r="R30" i="74"/>
  <c r="R26" i="74"/>
  <c r="R81" i="74"/>
  <c r="R78" i="74"/>
  <c r="R46" i="74"/>
  <c r="R45" i="74"/>
  <c r="R17" i="74"/>
  <c r="R65" i="74"/>
  <c r="R64" i="74"/>
  <c r="R60" i="74"/>
  <c r="R36" i="74"/>
  <c r="X12" i="74"/>
  <c r="Z12" i="74" s="1"/>
  <c r="R61" i="74"/>
  <c r="R50" i="74"/>
  <c r="R49" i="74"/>
  <c r="R38" i="74"/>
  <c r="R37" i="74"/>
  <c r="R33" i="74"/>
  <c r="R22" i="74"/>
  <c r="R20" i="74"/>
  <c r="R51" i="74"/>
  <c r="R40" i="74"/>
  <c r="R39" i="74"/>
  <c r="R32" i="74"/>
  <c r="R43" i="74"/>
  <c r="R59" i="74"/>
  <c r="N69" i="74"/>
  <c r="R60" i="76"/>
  <c r="F70" i="76"/>
  <c r="R71" i="80"/>
  <c r="R70" i="80"/>
  <c r="R58" i="80"/>
  <c r="R51" i="80"/>
  <c r="R50" i="80"/>
  <c r="R39" i="80"/>
  <c r="R38" i="80"/>
  <c r="R34" i="80"/>
  <c r="R65" i="80"/>
  <c r="R61" i="80"/>
  <c r="R17" i="80"/>
  <c r="R78" i="80"/>
  <c r="R45" i="80"/>
  <c r="R44" i="80"/>
  <c r="R36" i="80"/>
  <c r="R63" i="80"/>
  <c r="R67" i="80"/>
  <c r="R62" i="80"/>
  <c r="R56" i="80"/>
  <c r="R53" i="80"/>
  <c r="R60" i="80"/>
  <c r="R57" i="80"/>
  <c r="R33" i="80"/>
  <c r="R24" i="80"/>
  <c r="R18" i="80"/>
  <c r="R80" i="80"/>
  <c r="R76" i="80"/>
  <c r="R46" i="80"/>
  <c r="R42" i="80"/>
  <c r="R30" i="80"/>
  <c r="R27" i="80"/>
  <c r="R54" i="80"/>
  <c r="R43" i="80"/>
  <c r="R16" i="80"/>
  <c r="R68" i="80"/>
  <c r="R72" i="80"/>
  <c r="R47" i="80"/>
  <c r="R25" i="80"/>
  <c r="R20" i="80"/>
  <c r="R69" i="80"/>
  <c r="R31" i="80"/>
  <c r="R28" i="80"/>
  <c r="P20" i="80"/>
  <c r="R64" i="80"/>
  <c r="R49" i="80"/>
  <c r="R41" i="80"/>
  <c r="R35" i="80"/>
  <c r="R29" i="80"/>
  <c r="R26" i="80"/>
  <c r="R23" i="80"/>
  <c r="R74" i="80"/>
  <c r="R52" i="80"/>
  <c r="R48" i="80"/>
  <c r="R83" i="80"/>
  <c r="R40" i="80"/>
  <c r="R55" i="80"/>
  <c r="R66" i="80"/>
  <c r="R32" i="80"/>
  <c r="R37" i="80"/>
  <c r="D12" i="72"/>
  <c r="L13" i="72"/>
  <c r="N13" i="72" s="1"/>
  <c r="Z63" i="72"/>
  <c r="J58" i="73"/>
  <c r="J42" i="73"/>
  <c r="J63" i="73"/>
  <c r="J59" i="73"/>
  <c r="J51" i="73"/>
  <c r="J43" i="73"/>
  <c r="J35" i="73"/>
  <c r="J64" i="73"/>
  <c r="J52" i="73"/>
  <c r="J44" i="73"/>
  <c r="J30" i="73"/>
  <c r="J26" i="73"/>
  <c r="J16" i="73"/>
  <c r="J66" i="73"/>
  <c r="J60" i="73"/>
  <c r="J54" i="73"/>
  <c r="J46" i="73"/>
  <c r="J36" i="73"/>
  <c r="N12" i="73"/>
  <c r="J67" i="73"/>
  <c r="J55" i="73"/>
  <c r="J47" i="73"/>
  <c r="J31" i="73"/>
  <c r="J27" i="73"/>
  <c r="J48" i="73"/>
  <c r="J32" i="73"/>
  <c r="J18" i="73"/>
  <c r="J73" i="73"/>
  <c r="J39" i="73"/>
  <c r="H20" i="73"/>
  <c r="J78" i="73"/>
  <c r="J75" i="73"/>
  <c r="J57" i="73"/>
  <c r="J41" i="73"/>
  <c r="J29" i="73"/>
  <c r="J25" i="73"/>
  <c r="Z14" i="73"/>
  <c r="R23" i="73"/>
  <c r="R35" i="73"/>
  <c r="Z40" i="73"/>
  <c r="N44" i="73"/>
  <c r="R51" i="73"/>
  <c r="J53" i="73"/>
  <c r="R57" i="73"/>
  <c r="J61" i="73"/>
  <c r="P20" i="74"/>
  <c r="X38" i="74"/>
  <c r="Z38" i="74" s="1"/>
  <c r="X50" i="74"/>
  <c r="Z65" i="74"/>
  <c r="T12" i="75"/>
  <c r="X12" i="75" s="1"/>
  <c r="Z13" i="75"/>
  <c r="L16" i="76"/>
  <c r="R50" i="76"/>
  <c r="R64" i="76"/>
  <c r="N80" i="76"/>
  <c r="L80" i="76"/>
  <c r="Z27" i="77"/>
  <c r="J18" i="74"/>
  <c r="J32" i="74"/>
  <c r="J48" i="74"/>
  <c r="J66" i="74"/>
  <c r="N19" i="77"/>
  <c r="L19" i="77"/>
  <c r="V85" i="79"/>
  <c r="V75" i="79"/>
  <c r="V59" i="79"/>
  <c r="V47" i="79"/>
  <c r="V39" i="79"/>
  <c r="V31" i="79"/>
  <c r="V27" i="79"/>
  <c r="V23" i="79"/>
  <c r="V70" i="79"/>
  <c r="V66" i="79"/>
  <c r="V58" i="79"/>
  <c r="V50" i="79"/>
  <c r="V38" i="79"/>
  <c r="V22" i="79"/>
  <c r="V18" i="79"/>
  <c r="V78" i="79"/>
  <c r="V77" i="79"/>
  <c r="V65" i="79"/>
  <c r="V49" i="79"/>
  <c r="V41" i="79"/>
  <c r="V33" i="79"/>
  <c r="T20" i="79"/>
  <c r="V60" i="79"/>
  <c r="V52" i="79"/>
  <c r="V40" i="79"/>
  <c r="V28" i="79"/>
  <c r="V24" i="79"/>
  <c r="V71" i="79"/>
  <c r="V67" i="79"/>
  <c r="V51" i="79"/>
  <c r="V43" i="79"/>
  <c r="V54" i="79"/>
  <c r="V42" i="79"/>
  <c r="V34" i="79"/>
  <c r="V79" i="79"/>
  <c r="V61" i="79"/>
  <c r="V53" i="79"/>
  <c r="V29" i="79"/>
  <c r="V25" i="79"/>
  <c r="V81" i="79"/>
  <c r="V72" i="79"/>
  <c r="V68" i="79"/>
  <c r="V44" i="79"/>
  <c r="V16" i="79"/>
  <c r="V76" i="79"/>
  <c r="V64" i="79"/>
  <c r="V56" i="79"/>
  <c r="V48" i="79"/>
  <c r="V36" i="79"/>
  <c r="V32" i="79"/>
  <c r="N74" i="79"/>
  <c r="V28" i="81"/>
  <c r="Z60" i="72"/>
  <c r="N12" i="74"/>
  <c r="J36" i="74"/>
  <c r="J46" i="74"/>
  <c r="J60" i="74"/>
  <c r="J64" i="74"/>
  <c r="J78" i="74"/>
  <c r="J81" i="74"/>
  <c r="X44" i="76"/>
  <c r="Z44" i="76" s="1"/>
  <c r="N40" i="77"/>
  <c r="Z16" i="79"/>
  <c r="L41" i="79"/>
  <c r="Z46" i="79"/>
  <c r="V55" i="79"/>
  <c r="Z74" i="79"/>
  <c r="N43" i="80"/>
  <c r="L43" i="80"/>
  <c r="P97" i="81"/>
  <c r="V21" i="78"/>
  <c r="V20" i="78"/>
  <c r="V18" i="78"/>
  <c r="V16" i="78"/>
  <c r="V23" i="78"/>
  <c r="T18" i="78"/>
  <c r="V22" i="78"/>
  <c r="V25" i="78"/>
  <c r="V24" i="78"/>
  <c r="V28" i="78"/>
  <c r="V26" i="78"/>
  <c r="V32" i="78"/>
  <c r="N41" i="79"/>
  <c r="V93" i="81"/>
  <c r="V91" i="81"/>
  <c r="V83" i="81"/>
  <c r="V86" i="81"/>
  <c r="V78" i="81"/>
  <c r="V74" i="81"/>
  <c r="V62" i="81"/>
  <c r="V58" i="81"/>
  <c r="V46" i="81"/>
  <c r="V38" i="81"/>
  <c r="V104" i="81"/>
  <c r="V101" i="81"/>
  <c r="V99" i="81"/>
  <c r="V85" i="81"/>
  <c r="V69" i="81"/>
  <c r="V68" i="81"/>
  <c r="V64" i="81"/>
  <c r="V48" i="81"/>
  <c r="V40" i="81"/>
  <c r="V32" i="81"/>
  <c r="V87" i="81"/>
  <c r="V79" i="81"/>
  <c r="V75" i="81"/>
  <c r="V89" i="81"/>
  <c r="V80" i="81"/>
  <c r="V61" i="81"/>
  <c r="V42" i="81"/>
  <c r="V37" i="81"/>
  <c r="V25" i="81"/>
  <c r="V21" i="81"/>
  <c r="V57" i="81"/>
  <c r="V47" i="81"/>
  <c r="V90" i="81"/>
  <c r="V54" i="81"/>
  <c r="V43" i="81"/>
  <c r="V39" i="81"/>
  <c r="V81" i="81"/>
  <c r="V73" i="81"/>
  <c r="V70" i="81"/>
  <c r="V59" i="81"/>
  <c r="V50" i="81"/>
  <c r="V49" i="81"/>
  <c r="V44" i="81"/>
  <c r="Z12" i="81"/>
  <c r="V76" i="81"/>
  <c r="V27" i="81"/>
  <c r="V23" i="81"/>
  <c r="V19" i="81"/>
  <c r="V95" i="81"/>
  <c r="V77" i="81"/>
  <c r="V72" i="81"/>
  <c r="V65" i="81"/>
  <c r="V52" i="81"/>
  <c r="V33" i="81"/>
  <c r="V30" i="81"/>
  <c r="V34" i="81"/>
  <c r="V26" i="81"/>
  <c r="V66" i="81"/>
  <c r="V24" i="81"/>
  <c r="V14" i="81"/>
  <c r="V94" i="81"/>
  <c r="V97" i="81"/>
  <c r="V88" i="81"/>
  <c r="V60" i="81"/>
  <c r="V55" i="81"/>
  <c r="V53" i="81"/>
  <c r="V22" i="81"/>
  <c r="V16" i="81"/>
  <c r="V71" i="81"/>
  <c r="V63" i="81"/>
  <c r="V35" i="81"/>
  <c r="V20" i="81"/>
  <c r="T16" i="81"/>
  <c r="V41" i="81"/>
  <c r="V36" i="81"/>
  <c r="L32" i="83"/>
  <c r="N32" i="83" s="1"/>
  <c r="J35" i="74"/>
  <c r="J43" i="74"/>
  <c r="J53" i="74"/>
  <c r="J59" i="74"/>
  <c r="J63" i="74"/>
  <c r="Z16" i="77"/>
  <c r="Z40" i="77"/>
  <c r="X82" i="77"/>
  <c r="Z82" i="77" s="1"/>
  <c r="X13" i="78"/>
  <c r="L16" i="80"/>
  <c r="D20" i="80"/>
  <c r="L14" i="81"/>
  <c r="D16" i="81"/>
  <c r="J42" i="74"/>
  <c r="J52" i="74"/>
  <c r="J72" i="74"/>
  <c r="J74" i="74"/>
  <c r="L47" i="76"/>
  <c r="Z13" i="78"/>
  <c r="P12" i="79"/>
  <c r="X14" i="79"/>
  <c r="N22" i="79"/>
  <c r="L52" i="79"/>
  <c r="N52" i="79" s="1"/>
  <c r="X49" i="80"/>
  <c r="Z49" i="80" s="1"/>
  <c r="Z14" i="82"/>
  <c r="X13" i="73"/>
  <c r="Z13" i="73" s="1"/>
  <c r="J25" i="74"/>
  <c r="J29" i="74"/>
  <c r="J41" i="74"/>
  <c r="X13" i="76"/>
  <c r="Z13" i="76" s="1"/>
  <c r="F21" i="78"/>
  <c r="Z14" i="79"/>
  <c r="V30" i="79"/>
  <c r="V45" i="79"/>
  <c r="Z63" i="79"/>
  <c r="V69" i="79"/>
  <c r="V73" i="79"/>
  <c r="N16" i="80"/>
  <c r="N58" i="81"/>
  <c r="X82" i="81"/>
  <c r="Z82" i="81" s="1"/>
  <c r="N86" i="81"/>
  <c r="F68" i="84"/>
  <c r="F55" i="84"/>
  <c r="F84" i="84"/>
  <c r="F81" i="84"/>
  <c r="F69" i="84"/>
  <c r="F65" i="84"/>
  <c r="F57" i="84"/>
  <c r="F56" i="84"/>
  <c r="F48" i="84"/>
  <c r="F47" i="84"/>
  <c r="F73" i="84"/>
  <c r="F72" i="84"/>
  <c r="F61" i="84"/>
  <c r="F60" i="84"/>
  <c r="F59" i="84"/>
  <c r="F43" i="84"/>
  <c r="F35" i="84"/>
  <c r="F30" i="84"/>
  <c r="F26" i="84"/>
  <c r="F62" i="84"/>
  <c r="F39" i="84"/>
  <c r="F17" i="84"/>
  <c r="F16" i="84"/>
  <c r="F44" i="84"/>
  <c r="F40" i="84"/>
  <c r="L12" i="84"/>
  <c r="F71" i="84"/>
  <c r="F36" i="84"/>
  <c r="F31" i="84"/>
  <c r="F27" i="84"/>
  <c r="F63" i="84"/>
  <c r="F53" i="84"/>
  <c r="F18" i="84"/>
  <c r="F79" i="84"/>
  <c r="F66" i="84"/>
  <c r="F49" i="84"/>
  <c r="F45" i="84"/>
  <c r="F33" i="84"/>
  <c r="F32" i="84"/>
  <c r="F75" i="84"/>
  <c r="F46" i="84"/>
  <c r="F28" i="84"/>
  <c r="F24" i="84"/>
  <c r="F23" i="84"/>
  <c r="F54" i="84"/>
  <c r="F50" i="84"/>
  <c r="F41" i="84"/>
  <c r="F37" i="84"/>
  <c r="F22" i="84"/>
  <c r="F20" i="84"/>
  <c r="F29" i="84"/>
  <c r="F25" i="84"/>
  <c r="F70" i="84"/>
  <c r="F42" i="84"/>
  <c r="F34" i="84"/>
  <c r="F77" i="84"/>
  <c r="F51" i="84"/>
  <c r="D20" i="84"/>
  <c r="F52" i="84"/>
  <c r="F38" i="84"/>
  <c r="F64" i="84"/>
  <c r="F67" i="84"/>
  <c r="F58" i="84"/>
  <c r="Z38" i="76"/>
  <c r="N44" i="76"/>
  <c r="N15" i="77"/>
  <c r="L15" i="77"/>
  <c r="Z18" i="77"/>
  <c r="Z34" i="77"/>
  <c r="Z52" i="79"/>
  <c r="V63" i="79"/>
  <c r="N69" i="80"/>
  <c r="L69" i="80"/>
  <c r="X56" i="81"/>
  <c r="Z56" i="81" s="1"/>
  <c r="V82" i="81"/>
  <c r="X50" i="72"/>
  <c r="Z50" i="72" s="1"/>
  <c r="H20" i="74"/>
  <c r="J39" i="74"/>
  <c r="J51" i="74"/>
  <c r="J57" i="74"/>
  <c r="J69" i="74"/>
  <c r="Z53" i="76"/>
  <c r="Z20" i="77"/>
  <c r="X27" i="77"/>
  <c r="Z36" i="77"/>
  <c r="L126" i="77"/>
  <c r="D30" i="78"/>
  <c r="L18" i="78"/>
  <c r="D12" i="79"/>
  <c r="L13" i="79"/>
  <c r="V29" i="81"/>
  <c r="V51" i="81"/>
  <c r="V56" i="81"/>
  <c r="V84" i="81"/>
  <c r="J20" i="74"/>
  <c r="J22" i="74"/>
  <c r="J24" i="74"/>
  <c r="J28" i="74"/>
  <c r="J38" i="74"/>
  <c r="J50" i="74"/>
  <c r="J56" i="74"/>
  <c r="J68" i="74"/>
  <c r="X49" i="76"/>
  <c r="Z49" i="76" s="1"/>
  <c r="N61" i="76"/>
  <c r="L73" i="76"/>
  <c r="N73" i="76" s="1"/>
  <c r="X84" i="77"/>
  <c r="Z84" i="77" s="1"/>
  <c r="Z93" i="77"/>
  <c r="L99" i="77"/>
  <c r="X121" i="77"/>
  <c r="Z121" i="77" s="1"/>
  <c r="R32" i="78"/>
  <c r="R15" i="78"/>
  <c r="R21" i="78"/>
  <c r="R16" i="78"/>
  <c r="R20" i="78"/>
  <c r="R18" i="78"/>
  <c r="R23" i="78"/>
  <c r="R22" i="78"/>
  <c r="P18" i="78"/>
  <c r="R25" i="78"/>
  <c r="R24" i="78"/>
  <c r="X12" i="78"/>
  <c r="Z12" i="78" s="1"/>
  <c r="H12" i="79"/>
  <c r="N13" i="79"/>
  <c r="V26" i="79"/>
  <c r="T12" i="80"/>
  <c r="X13" i="80"/>
  <c r="Z13" i="80" s="1"/>
  <c r="V18" i="81"/>
  <c r="V31" i="81"/>
  <c r="J23" i="74"/>
  <c r="J33" i="74"/>
  <c r="J37" i="74"/>
  <c r="J49" i="74"/>
  <c r="J61" i="74"/>
  <c r="X47" i="76"/>
  <c r="Z22" i="77"/>
  <c r="Z38" i="77"/>
  <c r="N78" i="77"/>
  <c r="L87" i="77"/>
  <c r="H30" i="78"/>
  <c r="N18" i="78"/>
  <c r="V62" i="79"/>
  <c r="J26" i="78"/>
  <c r="N13" i="80"/>
  <c r="H12" i="80"/>
  <c r="L47" i="80"/>
  <c r="X74" i="80"/>
  <c r="R97" i="81"/>
  <c r="R95" i="81"/>
  <c r="R94" i="81"/>
  <c r="R91" i="81"/>
  <c r="R84" i="81"/>
  <c r="R83" i="81"/>
  <c r="R67" i="81"/>
  <c r="R56" i="81"/>
  <c r="R55" i="81"/>
  <c r="R44" i="81"/>
  <c r="R43" i="81"/>
  <c r="R36" i="81"/>
  <c r="R35" i="81"/>
  <c r="R31" i="81"/>
  <c r="R93" i="81"/>
  <c r="R78" i="81"/>
  <c r="R74" i="81"/>
  <c r="R99" i="81"/>
  <c r="R86" i="81"/>
  <c r="R85" i="81"/>
  <c r="R58" i="81"/>
  <c r="R57" i="81"/>
  <c r="R46" i="81"/>
  <c r="R45" i="81"/>
  <c r="R38" i="81"/>
  <c r="R37" i="81"/>
  <c r="R104" i="81"/>
  <c r="R101" i="81"/>
  <c r="R70" i="81"/>
  <c r="R77" i="81"/>
  <c r="R65" i="81"/>
  <c r="R33" i="81"/>
  <c r="R30" i="81"/>
  <c r="R89" i="81"/>
  <c r="R80" i="81"/>
  <c r="R72" i="81"/>
  <c r="R69" i="81"/>
  <c r="R61" i="81"/>
  <c r="R52" i="81"/>
  <c r="R42" i="81"/>
  <c r="R25" i="81"/>
  <c r="R21" i="81"/>
  <c r="R90" i="81"/>
  <c r="R66" i="81"/>
  <c r="R62" i="81"/>
  <c r="R53" i="81"/>
  <c r="R34" i="81"/>
  <c r="R26" i="81"/>
  <c r="R22" i="81"/>
  <c r="R63" i="81"/>
  <c r="R40" i="81"/>
  <c r="R39" i="81"/>
  <c r="R81" i="81"/>
  <c r="R73" i="81"/>
  <c r="R59" i="81"/>
  <c r="R54" i="81"/>
  <c r="R49" i="81"/>
  <c r="X12" i="81"/>
  <c r="R71" i="81"/>
  <c r="R68" i="81"/>
  <c r="R51" i="81"/>
  <c r="H97" i="81"/>
  <c r="N16" i="81"/>
  <c r="R23" i="81"/>
  <c r="Z29" i="81"/>
  <c r="R76" i="81"/>
  <c r="R82" i="81"/>
  <c r="L32" i="82"/>
  <c r="N32" i="82" s="1"/>
  <c r="N63" i="83"/>
  <c r="J18" i="78"/>
  <c r="J20" i="78"/>
  <c r="J22" i="78"/>
  <c r="F30" i="80"/>
  <c r="F36" i="80"/>
  <c r="F42" i="80"/>
  <c r="X47" i="80"/>
  <c r="Z47" i="80" s="1"/>
  <c r="F65" i="80"/>
  <c r="F76" i="80"/>
  <c r="R48" i="81"/>
  <c r="F15" i="78"/>
  <c r="F16" i="78"/>
  <c r="J21" i="78"/>
  <c r="L12" i="80"/>
  <c r="F24" i="80"/>
  <c r="F50" i="80"/>
  <c r="F57" i="80"/>
  <c r="L60" i="80"/>
  <c r="Z69" i="80"/>
  <c r="R27" i="81"/>
  <c r="Z58" i="81"/>
  <c r="R60" i="81"/>
  <c r="R75" i="81"/>
  <c r="R88" i="81"/>
  <c r="J68" i="83"/>
  <c r="J60" i="83"/>
  <c r="J38" i="83"/>
  <c r="J28" i="83"/>
  <c r="J24" i="83"/>
  <c r="J22" i="83"/>
  <c r="J20" i="83"/>
  <c r="J73" i="83"/>
  <c r="J55" i="83"/>
  <c r="J39" i="83"/>
  <c r="H20" i="83"/>
  <c r="J56" i="83"/>
  <c r="J50" i="83"/>
  <c r="J40" i="83"/>
  <c r="J34" i="83"/>
  <c r="J78" i="83"/>
  <c r="J75" i="83"/>
  <c r="J61" i="83"/>
  <c r="J57" i="83"/>
  <c r="J41" i="83"/>
  <c r="J29" i="83"/>
  <c r="J25" i="83"/>
  <c r="J42" i="83"/>
  <c r="J51" i="83"/>
  <c r="J43" i="83"/>
  <c r="J35" i="83"/>
  <c r="J62" i="83"/>
  <c r="J58" i="83"/>
  <c r="J52" i="83"/>
  <c r="J44" i="83"/>
  <c r="J30" i="83"/>
  <c r="J26" i="83"/>
  <c r="J16" i="83"/>
  <c r="J63" i="83"/>
  <c r="J53" i="83"/>
  <c r="J45" i="83"/>
  <c r="J17" i="83"/>
  <c r="J65" i="83"/>
  <c r="J71" i="83"/>
  <c r="J69" i="83"/>
  <c r="J49" i="83"/>
  <c r="J23" i="83"/>
  <c r="J64" i="83"/>
  <c r="J33" i="83"/>
  <c r="J27" i="83"/>
  <c r="N12" i="83"/>
  <c r="J66" i="83"/>
  <c r="J37" i="83"/>
  <c r="J31" i="83"/>
  <c r="J59" i="83"/>
  <c r="J47" i="83"/>
  <c r="J18" i="83"/>
  <c r="J54" i="83"/>
  <c r="J46" i="83"/>
  <c r="J16" i="78"/>
  <c r="J34" i="78"/>
  <c r="J37" i="78"/>
  <c r="X16" i="80"/>
  <c r="Z16" i="80" s="1"/>
  <c r="F38" i="80"/>
  <c r="L53" i="80"/>
  <c r="F60" i="80"/>
  <c r="X14" i="81"/>
  <c r="L18" i="81"/>
  <c r="R79" i="81"/>
  <c r="J15" i="78"/>
  <c r="F32" i="78"/>
  <c r="F33" i="80"/>
  <c r="F49" i="80"/>
  <c r="F53" i="80"/>
  <c r="F56" i="80"/>
  <c r="N60" i="80"/>
  <c r="F67" i="80"/>
  <c r="R14" i="81"/>
  <c r="R47" i="81"/>
  <c r="R50" i="81"/>
  <c r="Z90" i="81"/>
  <c r="X90" i="81"/>
  <c r="Z93" i="81"/>
  <c r="L23" i="77"/>
  <c r="L27" i="77"/>
  <c r="L31" i="77"/>
  <c r="L35" i="77"/>
  <c r="F28" i="78"/>
  <c r="F30" i="78"/>
  <c r="J32" i="78"/>
  <c r="X13" i="79"/>
  <c r="F23" i="80"/>
  <c r="F41" i="80"/>
  <c r="Z43" i="80"/>
  <c r="N18" i="81"/>
  <c r="R19" i="81"/>
  <c r="R24" i="81"/>
  <c r="L29" i="81"/>
  <c r="N29" i="81" s="1"/>
  <c r="N61" i="82"/>
  <c r="X32" i="84"/>
  <c r="Z32" i="84" s="1"/>
  <c r="L40" i="77"/>
  <c r="X78" i="77"/>
  <c r="Z78" i="77" s="1"/>
  <c r="L84" i="77"/>
  <c r="Z13" i="79"/>
  <c r="L46" i="79"/>
  <c r="X52" i="79"/>
  <c r="L74" i="79"/>
  <c r="L22" i="80"/>
  <c r="F26" i="80"/>
  <c r="F32" i="80"/>
  <c r="F35" i="80"/>
  <c r="F48" i="80"/>
  <c r="X60" i="80"/>
  <c r="F70" i="80"/>
  <c r="F74" i="80"/>
  <c r="Z19" i="81"/>
  <c r="R32" i="81"/>
  <c r="N46" i="81"/>
  <c r="L46" i="81"/>
  <c r="X14" i="82"/>
  <c r="J28" i="78"/>
  <c r="F22" i="80"/>
  <c r="X43" i="80"/>
  <c r="L49" i="80"/>
  <c r="N49" i="80" s="1"/>
  <c r="X53" i="80"/>
  <c r="Z53" i="80" s="1"/>
  <c r="F59" i="80"/>
  <c r="X67" i="80"/>
  <c r="Z67" i="80" s="1"/>
  <c r="X18" i="81"/>
  <c r="Z18" i="81" s="1"/>
  <c r="N54" i="81"/>
  <c r="R64" i="81"/>
  <c r="P12" i="83"/>
  <c r="X13" i="83"/>
  <c r="N16" i="83"/>
  <c r="F25" i="78"/>
  <c r="F66" i="80"/>
  <c r="F62" i="80"/>
  <c r="F46" i="80"/>
  <c r="F45" i="80"/>
  <c r="F18" i="80"/>
  <c r="F83" i="80"/>
  <c r="F80" i="80"/>
  <c r="F29" i="80"/>
  <c r="F25" i="80"/>
  <c r="F72" i="80"/>
  <c r="F71" i="80"/>
  <c r="F64" i="80"/>
  <c r="F52" i="80"/>
  <c r="F51" i="80"/>
  <c r="F40" i="80"/>
  <c r="F39" i="80"/>
  <c r="F55" i="80"/>
  <c r="F31" i="80"/>
  <c r="F27" i="80"/>
  <c r="X14" i="80"/>
  <c r="Z14" i="80" s="1"/>
  <c r="F17" i="80"/>
  <c r="N22" i="80"/>
  <c r="X23" i="80"/>
  <c r="Z23" i="80" s="1"/>
  <c r="F37" i="80"/>
  <c r="X41" i="80"/>
  <c r="Z41" i="80" s="1"/>
  <c r="Z57" i="80"/>
  <c r="Z60" i="80"/>
  <c r="R18" i="81"/>
  <c r="R29" i="81"/>
  <c r="Z36" i="81"/>
  <c r="R41" i="81"/>
  <c r="L48" i="81"/>
  <c r="N48" i="81" s="1"/>
  <c r="R87" i="81"/>
  <c r="L95" i="81"/>
  <c r="D93" i="81"/>
  <c r="L93" i="81" s="1"/>
  <c r="N93" i="81" s="1"/>
  <c r="N45" i="82"/>
  <c r="T12" i="83"/>
  <c r="Z13" i="83"/>
  <c r="N65" i="83"/>
  <c r="L65" i="83"/>
  <c r="J72" i="81"/>
  <c r="J66" i="81"/>
  <c r="J52" i="81"/>
  <c r="J42" i="81"/>
  <c r="J34" i="81"/>
  <c r="J89" i="81"/>
  <c r="J81" i="81"/>
  <c r="J77" i="81"/>
  <c r="J73" i="81"/>
  <c r="J90" i="81"/>
  <c r="J82" i="81"/>
  <c r="J54" i="81"/>
  <c r="J97" i="81"/>
  <c r="J95" i="81"/>
  <c r="J91" i="81"/>
  <c r="J83" i="81"/>
  <c r="J94" i="81"/>
  <c r="J99" i="81"/>
  <c r="J93" i="81"/>
  <c r="J85" i="81"/>
  <c r="F32" i="81"/>
  <c r="F35" i="81"/>
  <c r="F40" i="81"/>
  <c r="F44" i="81"/>
  <c r="J50" i="81"/>
  <c r="J55" i="81"/>
  <c r="F63" i="81"/>
  <c r="F64" i="81"/>
  <c r="F67" i="81"/>
  <c r="F76" i="81"/>
  <c r="N82" i="81"/>
  <c r="F85" i="81"/>
  <c r="J88" i="81"/>
  <c r="F94" i="81"/>
  <c r="F101" i="81"/>
  <c r="L12" i="82"/>
  <c r="F27" i="82"/>
  <c r="F31" i="82"/>
  <c r="F37" i="82"/>
  <c r="F44" i="82"/>
  <c r="N47" i="82"/>
  <c r="F60" i="82"/>
  <c r="Z69" i="83"/>
  <c r="Z46" i="83"/>
  <c r="R70" i="86"/>
  <c r="R69" i="86"/>
  <c r="R57" i="86"/>
  <c r="R37" i="86"/>
  <c r="R33" i="86"/>
  <c r="R22" i="86"/>
  <c r="R20" i="86"/>
  <c r="R81" i="86"/>
  <c r="R80" i="86"/>
  <c r="R64" i="86"/>
  <c r="R28" i="86"/>
  <c r="R24" i="86"/>
  <c r="P20" i="86"/>
  <c r="R75" i="86"/>
  <c r="R71" i="86"/>
  <c r="R48" i="86"/>
  <c r="R47" i="86"/>
  <c r="R87" i="86"/>
  <c r="R85" i="86"/>
  <c r="R82" i="86"/>
  <c r="R59" i="86"/>
  <c r="R58" i="86"/>
  <c r="R39" i="86"/>
  <c r="R38" i="86"/>
  <c r="R34" i="86"/>
  <c r="R84" i="86"/>
  <c r="R76" i="86"/>
  <c r="R72" i="86"/>
  <c r="R60" i="86"/>
  <c r="R41" i="86"/>
  <c r="R40" i="86"/>
  <c r="R89" i="86"/>
  <c r="R52" i="86"/>
  <c r="R51" i="86"/>
  <c r="R35" i="86"/>
  <c r="R94" i="86"/>
  <c r="R91" i="86"/>
  <c r="R67" i="86"/>
  <c r="R66" i="86"/>
  <c r="R43" i="86"/>
  <c r="R42" i="86"/>
  <c r="R30" i="86"/>
  <c r="R26" i="86"/>
  <c r="R68" i="86"/>
  <c r="R45" i="86"/>
  <c r="R44" i="86"/>
  <c r="R36" i="86"/>
  <c r="R53" i="86"/>
  <c r="R46" i="86"/>
  <c r="R16" i="86"/>
  <c r="R74" i="86"/>
  <c r="R56" i="86"/>
  <c r="R78" i="86"/>
  <c r="R54" i="86"/>
  <c r="R62" i="86"/>
  <c r="R49" i="86"/>
  <c r="R31" i="86"/>
  <c r="R17" i="86"/>
  <c r="R27" i="86"/>
  <c r="R77" i="86"/>
  <c r="R65" i="86"/>
  <c r="R63" i="86"/>
  <c r="R25" i="86"/>
  <c r="R23" i="86"/>
  <c r="R32" i="86"/>
  <c r="R18" i="86"/>
  <c r="R61" i="86"/>
  <c r="R73" i="86"/>
  <c r="R55" i="86"/>
  <c r="R29" i="86"/>
  <c r="R79" i="86"/>
  <c r="J58" i="81"/>
  <c r="J75" i="81"/>
  <c r="J84" i="81"/>
  <c r="J87" i="81"/>
  <c r="N90" i="81"/>
  <c r="N16" i="82"/>
  <c r="Z39" i="82"/>
  <c r="F43" i="82"/>
  <c r="Z49" i="82"/>
  <c r="F55" i="82"/>
  <c r="Z56" i="83"/>
  <c r="J84" i="84"/>
  <c r="J81" i="84"/>
  <c r="J56" i="84"/>
  <c r="J46" i="84"/>
  <c r="J69" i="84"/>
  <c r="J65" i="84"/>
  <c r="J57" i="84"/>
  <c r="J70" i="84"/>
  <c r="J58" i="84"/>
  <c r="J48" i="84"/>
  <c r="J71" i="84"/>
  <c r="J59" i="84"/>
  <c r="J49" i="84"/>
  <c r="J62" i="84"/>
  <c r="J52" i="84"/>
  <c r="J40" i="84"/>
  <c r="J73" i="84"/>
  <c r="J17" i="84"/>
  <c r="J44" i="84"/>
  <c r="N12" i="84"/>
  <c r="J68" i="84"/>
  <c r="J53" i="84"/>
  <c r="J36" i="84"/>
  <c r="J31" i="84"/>
  <c r="J27" i="84"/>
  <c r="J63" i="84"/>
  <c r="J60" i="84"/>
  <c r="J45" i="84"/>
  <c r="J32" i="84"/>
  <c r="J18" i="84"/>
  <c r="J79" i="84"/>
  <c r="J75" i="84"/>
  <c r="J66" i="84"/>
  <c r="J33" i="84"/>
  <c r="J23" i="84"/>
  <c r="J41" i="84"/>
  <c r="J28" i="84"/>
  <c r="J24" i="84"/>
  <c r="J22" i="84"/>
  <c r="J20" i="84"/>
  <c r="J54" i="84"/>
  <c r="J50" i="84"/>
  <c r="J37" i="84"/>
  <c r="H20" i="84"/>
  <c r="J72" i="84"/>
  <c r="J64" i="84"/>
  <c r="J34" i="84"/>
  <c r="J67" i="84"/>
  <c r="J47" i="84"/>
  <c r="J42" i="84"/>
  <c r="J38" i="84"/>
  <c r="J39" i="84"/>
  <c r="J35" i="84"/>
  <c r="J30" i="84"/>
  <c r="J26" i="84"/>
  <c r="J16" i="84"/>
  <c r="Z56" i="84"/>
  <c r="J61" i="84"/>
  <c r="T17" i="88"/>
  <c r="F21" i="81"/>
  <c r="F25" i="81"/>
  <c r="J38" i="81"/>
  <c r="J47" i="81"/>
  <c r="F57" i="81"/>
  <c r="J69" i="81"/>
  <c r="F80" i="81"/>
  <c r="L86" i="81"/>
  <c r="J104" i="81"/>
  <c r="P12" i="82"/>
  <c r="X13" i="82"/>
  <c r="J24" i="82"/>
  <c r="J28" i="82"/>
  <c r="F36" i="82"/>
  <c r="L45" i="82"/>
  <c r="Z51" i="82"/>
  <c r="L61" i="82"/>
  <c r="X68" i="82"/>
  <c r="Z68" i="82" s="1"/>
  <c r="R72" i="84"/>
  <c r="R71" i="84"/>
  <c r="R60" i="84"/>
  <c r="R59" i="84"/>
  <c r="R66" i="84"/>
  <c r="R73" i="84"/>
  <c r="R62" i="84"/>
  <c r="R61" i="84"/>
  <c r="R75" i="84"/>
  <c r="R53" i="84"/>
  <c r="R52" i="84"/>
  <c r="R41" i="84"/>
  <c r="R40" i="84"/>
  <c r="R79" i="84"/>
  <c r="R63" i="84"/>
  <c r="R23" i="84"/>
  <c r="R18" i="84"/>
  <c r="R49" i="84"/>
  <c r="R33" i="84"/>
  <c r="R22" i="84"/>
  <c r="R57" i="84"/>
  <c r="R28" i="84"/>
  <c r="R24" i="84"/>
  <c r="P20" i="84"/>
  <c r="R54" i="84"/>
  <c r="R50" i="84"/>
  <c r="R46" i="84"/>
  <c r="R37" i="84"/>
  <c r="R64" i="84"/>
  <c r="R51" i="84"/>
  <c r="R34" i="84"/>
  <c r="R69" i="84"/>
  <c r="R58" i="84"/>
  <c r="R29" i="84"/>
  <c r="R25" i="84"/>
  <c r="R67" i="84"/>
  <c r="R47" i="84"/>
  <c r="R43" i="84"/>
  <c r="R42" i="84"/>
  <c r="R38" i="84"/>
  <c r="R55" i="84"/>
  <c r="R16" i="84"/>
  <c r="R56" i="84"/>
  <c r="R17" i="84"/>
  <c r="R68" i="84"/>
  <c r="R48" i="84"/>
  <c r="R45" i="84"/>
  <c r="R36" i="84"/>
  <c r="R32" i="84"/>
  <c r="R31" i="84"/>
  <c r="R27" i="84"/>
  <c r="Z16" i="84"/>
  <c r="J43" i="84"/>
  <c r="Z40" i="81"/>
  <c r="T12" i="82"/>
  <c r="Z13" i="82"/>
  <c r="F49" i="83"/>
  <c r="F48" i="83"/>
  <c r="F37" i="83"/>
  <c r="F33" i="83"/>
  <c r="F32" i="83"/>
  <c r="F71" i="83"/>
  <c r="F69" i="83"/>
  <c r="F60" i="83"/>
  <c r="F28" i="83"/>
  <c r="F24" i="83"/>
  <c r="F23" i="83"/>
  <c r="F73" i="83"/>
  <c r="F68" i="83"/>
  <c r="F55" i="83"/>
  <c r="F39" i="83"/>
  <c r="F38" i="83"/>
  <c r="F22" i="83"/>
  <c r="F20" i="83"/>
  <c r="F50" i="83"/>
  <c r="F34" i="83"/>
  <c r="D20" i="83"/>
  <c r="F61" i="83"/>
  <c r="F57" i="83"/>
  <c r="F56" i="83"/>
  <c r="F41" i="83"/>
  <c r="F40" i="83"/>
  <c r="F29" i="83"/>
  <c r="F25" i="83"/>
  <c r="F78" i="83"/>
  <c r="F75" i="83"/>
  <c r="F51" i="83"/>
  <c r="F43" i="83"/>
  <c r="F42" i="83"/>
  <c r="F35" i="83"/>
  <c r="F62" i="83"/>
  <c r="F58" i="83"/>
  <c r="F30" i="83"/>
  <c r="F26" i="83"/>
  <c r="F64" i="83"/>
  <c r="F63" i="83"/>
  <c r="F66" i="83"/>
  <c r="F65" i="83"/>
  <c r="F54" i="83"/>
  <c r="F31" i="83"/>
  <c r="F53" i="83"/>
  <c r="N22" i="84"/>
  <c r="R50" i="86"/>
  <c r="X53" i="82"/>
  <c r="Z53" i="82" s="1"/>
  <c r="L12" i="83"/>
  <c r="F27" i="83"/>
  <c r="Z38" i="83"/>
  <c r="Z40" i="83"/>
  <c r="F44" i="83"/>
  <c r="Z23" i="85"/>
  <c r="Z48" i="81"/>
  <c r="J74" i="81"/>
  <c r="F82" i="82"/>
  <c r="F79" i="82"/>
  <c r="F56" i="82"/>
  <c r="F48" i="82"/>
  <c r="F47" i="82"/>
  <c r="F28" i="82"/>
  <c r="F24" i="82"/>
  <c r="F23" i="82"/>
  <c r="F67" i="82"/>
  <c r="F63" i="82"/>
  <c r="F22" i="82"/>
  <c r="F20" i="82"/>
  <c r="F58" i="82"/>
  <c r="F57" i="82"/>
  <c r="F50" i="82"/>
  <c r="F49" i="82"/>
  <c r="F38" i="82"/>
  <c r="F34" i="82"/>
  <c r="D20" i="82"/>
  <c r="F69" i="82"/>
  <c r="F68" i="82"/>
  <c r="F29" i="82"/>
  <c r="F25" i="82"/>
  <c r="F64" i="82"/>
  <c r="F52" i="82"/>
  <c r="F51" i="82"/>
  <c r="F40" i="82"/>
  <c r="F39" i="82"/>
  <c r="F71" i="82"/>
  <c r="F70" i="82"/>
  <c r="F59" i="82"/>
  <c r="F35" i="82"/>
  <c r="F54" i="82"/>
  <c r="F53" i="82"/>
  <c r="F42" i="82"/>
  <c r="F41" i="82"/>
  <c r="F30" i="82"/>
  <c r="F26" i="82"/>
  <c r="F65" i="82"/>
  <c r="F17" i="82"/>
  <c r="F16" i="82"/>
  <c r="F17" i="83"/>
  <c r="N44" i="83"/>
  <c r="F46" i="83"/>
  <c r="F88" i="81"/>
  <c r="F71" i="81"/>
  <c r="F51" i="81"/>
  <c r="F50" i="81"/>
  <c r="F89" i="81"/>
  <c r="F81" i="81"/>
  <c r="F77" i="81"/>
  <c r="F73" i="81"/>
  <c r="F72" i="81"/>
  <c r="F61" i="81"/>
  <c r="F53" i="81"/>
  <c r="F52" i="81"/>
  <c r="F91" i="81"/>
  <c r="F97" i="81"/>
  <c r="F95" i="81"/>
  <c r="F78" i="81"/>
  <c r="F74" i="81"/>
  <c r="J19" i="81"/>
  <c r="J36" i="81"/>
  <c r="J41" i="81"/>
  <c r="J45" i="81"/>
  <c r="F55" i="81"/>
  <c r="J60" i="81"/>
  <c r="J79" i="81"/>
  <c r="F82" i="81"/>
  <c r="J67" i="82"/>
  <c r="J63" i="82"/>
  <c r="J57" i="82"/>
  <c r="J49" i="82"/>
  <c r="H20" i="82"/>
  <c r="J68" i="82"/>
  <c r="J58" i="82"/>
  <c r="J50" i="82"/>
  <c r="J38" i="82"/>
  <c r="J34" i="82"/>
  <c r="J69" i="82"/>
  <c r="J51" i="82"/>
  <c r="J39" i="82"/>
  <c r="J29" i="82"/>
  <c r="J25" i="82"/>
  <c r="J70" i="82"/>
  <c r="J64" i="82"/>
  <c r="J52" i="82"/>
  <c r="J40" i="82"/>
  <c r="J71" i="82"/>
  <c r="J59" i="82"/>
  <c r="J53" i="82"/>
  <c r="J41" i="82"/>
  <c r="J35" i="82"/>
  <c r="J54" i="82"/>
  <c r="J42" i="82"/>
  <c r="J30" i="82"/>
  <c r="J26" i="82"/>
  <c r="J16" i="82"/>
  <c r="J75" i="82"/>
  <c r="J73" i="82"/>
  <c r="J65" i="82"/>
  <c r="J43" i="82"/>
  <c r="J17" i="82"/>
  <c r="J60" i="82"/>
  <c r="J44" i="82"/>
  <c r="J36" i="82"/>
  <c r="N12" i="82"/>
  <c r="J23" i="82"/>
  <c r="J56" i="82"/>
  <c r="Z57" i="82"/>
  <c r="X70" i="82"/>
  <c r="Z70" i="82" s="1"/>
  <c r="X69" i="83"/>
  <c r="P68" i="83"/>
  <c r="R39" i="84"/>
  <c r="V70" i="85"/>
  <c r="V50" i="85"/>
  <c r="V38" i="85"/>
  <c r="V34" i="85"/>
  <c r="V65" i="85"/>
  <c r="V49" i="85"/>
  <c r="V41" i="85"/>
  <c r="V29" i="85"/>
  <c r="V25" i="85"/>
  <c r="V80" i="85"/>
  <c r="V76" i="85"/>
  <c r="V72" i="85"/>
  <c r="V60" i="85"/>
  <c r="V52" i="85"/>
  <c r="V40" i="85"/>
  <c r="V16" i="85"/>
  <c r="V71" i="85"/>
  <c r="V51" i="85"/>
  <c r="V43" i="85"/>
  <c r="V35" i="85"/>
  <c r="V82" i="85"/>
  <c r="V66" i="85"/>
  <c r="V54" i="85"/>
  <c r="V42" i="85"/>
  <c r="V30" i="85"/>
  <c r="V26" i="85"/>
  <c r="V81" i="85"/>
  <c r="V77" i="85"/>
  <c r="V73" i="85"/>
  <c r="V61" i="85"/>
  <c r="V53" i="85"/>
  <c r="V45" i="85"/>
  <c r="V84" i="85"/>
  <c r="V94" i="85"/>
  <c r="V83" i="85"/>
  <c r="V67" i="85"/>
  <c r="V63" i="85"/>
  <c r="V55" i="85"/>
  <c r="V31" i="85"/>
  <c r="V27" i="85"/>
  <c r="V23" i="85"/>
  <c r="V85" i="85"/>
  <c r="V69" i="85"/>
  <c r="V57" i="85"/>
  <c r="V37" i="85"/>
  <c r="V33" i="85"/>
  <c r="T20" i="85"/>
  <c r="V90" i="85"/>
  <c r="V89" i="85"/>
  <c r="V87" i="85"/>
  <c r="V79" i="85"/>
  <c r="V75" i="85"/>
  <c r="V59" i="85"/>
  <c r="V47" i="85"/>
  <c r="V39" i="85"/>
  <c r="V62" i="85"/>
  <c r="V68" i="85"/>
  <c r="V32" i="85"/>
  <c r="V20" i="85"/>
  <c r="V74" i="85"/>
  <c r="V17" i="85"/>
  <c r="V36" i="85"/>
  <c r="V24" i="85"/>
  <c r="V44" i="85"/>
  <c r="V28" i="85"/>
  <c r="Z12" i="85"/>
  <c r="V86" i="85"/>
  <c r="V78" i="85"/>
  <c r="V48" i="85"/>
  <c r="V46" i="85"/>
  <c r="V22" i="85"/>
  <c r="V18" i="85"/>
  <c r="V58" i="85"/>
  <c r="V71" i="84"/>
  <c r="V66" i="84"/>
  <c r="V62" i="84"/>
  <c r="V50" i="84"/>
  <c r="V38" i="84"/>
  <c r="V34" i="84"/>
  <c r="V75" i="84"/>
  <c r="V73" i="84"/>
  <c r="V61" i="84"/>
  <c r="V52" i="84"/>
  <c r="V67" i="84"/>
  <c r="V63" i="84"/>
  <c r="V43" i="84"/>
  <c r="V68" i="84"/>
  <c r="V64" i="84"/>
  <c r="V56" i="84"/>
  <c r="V44" i="84"/>
  <c r="V36" i="84"/>
  <c r="V18" i="84"/>
  <c r="V22" i="84"/>
  <c r="V40" i="84"/>
  <c r="V49" i="84"/>
  <c r="X45" i="85"/>
  <c r="Z45" i="85" s="1"/>
  <c r="Z12" i="84"/>
  <c r="V32" i="84"/>
  <c r="V45" i="84"/>
  <c r="V59" i="84"/>
  <c r="V65" i="84"/>
  <c r="L72" i="84"/>
  <c r="Z13" i="85"/>
  <c r="F73" i="85"/>
  <c r="H46" i="91"/>
  <c r="N16" i="91"/>
  <c r="T68" i="83"/>
  <c r="V26" i="84"/>
  <c r="V30" i="84"/>
  <c r="V35" i="84"/>
  <c r="R87" i="85"/>
  <c r="R79" i="85"/>
  <c r="R75" i="85"/>
  <c r="R59" i="85"/>
  <c r="R48" i="85"/>
  <c r="R47" i="85"/>
  <c r="R90" i="85"/>
  <c r="R89" i="85"/>
  <c r="R70" i="85"/>
  <c r="R39" i="85"/>
  <c r="R38" i="85"/>
  <c r="R34" i="85"/>
  <c r="R65" i="85"/>
  <c r="R50" i="85"/>
  <c r="R49" i="85"/>
  <c r="R29" i="85"/>
  <c r="R25" i="85"/>
  <c r="R80" i="85"/>
  <c r="R76" i="85"/>
  <c r="R60" i="85"/>
  <c r="R41" i="85"/>
  <c r="R40" i="85"/>
  <c r="R72" i="85"/>
  <c r="R71" i="85"/>
  <c r="R52" i="85"/>
  <c r="R51" i="85"/>
  <c r="R35" i="85"/>
  <c r="R16" i="85"/>
  <c r="R66" i="85"/>
  <c r="R43" i="85"/>
  <c r="R42" i="85"/>
  <c r="R30" i="85"/>
  <c r="R26" i="85"/>
  <c r="R82" i="85"/>
  <c r="R81" i="85"/>
  <c r="R77" i="85"/>
  <c r="R73" i="85"/>
  <c r="R45" i="85"/>
  <c r="R44" i="85"/>
  <c r="R36" i="85"/>
  <c r="X12" i="85"/>
  <c r="R78" i="85"/>
  <c r="R74" i="85"/>
  <c r="R63" i="85"/>
  <c r="R62" i="85"/>
  <c r="R46" i="85"/>
  <c r="R23" i="85"/>
  <c r="R69" i="85"/>
  <c r="R68" i="85"/>
  <c r="R64" i="85"/>
  <c r="X23" i="86"/>
  <c r="Z23" i="86" s="1"/>
  <c r="V39" i="84"/>
  <c r="V55" i="84"/>
  <c r="V70" i="84"/>
  <c r="H12" i="85"/>
  <c r="L12" i="85" s="1"/>
  <c r="N14" i="85"/>
  <c r="F17" i="85"/>
  <c r="R28" i="85"/>
  <c r="F52" i="85"/>
  <c r="R67" i="85"/>
  <c r="L13" i="84"/>
  <c r="V16" i="84"/>
  <c r="V42" i="84"/>
  <c r="L53" i="84"/>
  <c r="X70" i="84"/>
  <c r="Z70" i="84" s="1"/>
  <c r="L14" i="85"/>
  <c r="R24" i="85"/>
  <c r="R57" i="85"/>
  <c r="R61" i="85"/>
  <c r="X69" i="85"/>
  <c r="Z69" i="85" s="1"/>
  <c r="F81" i="85"/>
  <c r="N13" i="84"/>
  <c r="V25" i="84"/>
  <c r="V29" i="84"/>
  <c r="Z43" i="84"/>
  <c r="V47" i="84"/>
  <c r="Z58" i="84"/>
  <c r="V69" i="84"/>
  <c r="V72" i="84"/>
  <c r="D20" i="85"/>
  <c r="R83" i="85"/>
  <c r="L13" i="86"/>
  <c r="X63" i="86"/>
  <c r="Z63" i="86" s="1"/>
  <c r="V58" i="84"/>
  <c r="F90" i="85"/>
  <c r="F83" i="85"/>
  <c r="F82" i="85"/>
  <c r="F67" i="85"/>
  <c r="F55" i="85"/>
  <c r="F54" i="85"/>
  <c r="F31" i="85"/>
  <c r="F27" i="85"/>
  <c r="F78" i="85"/>
  <c r="F74" i="85"/>
  <c r="F62" i="85"/>
  <c r="F46" i="85"/>
  <c r="F45" i="85"/>
  <c r="F18" i="85"/>
  <c r="F85" i="85"/>
  <c r="F84" i="85"/>
  <c r="F57" i="85"/>
  <c r="F56" i="85"/>
  <c r="F37" i="85"/>
  <c r="F33" i="85"/>
  <c r="F32" i="85"/>
  <c r="F68" i="85"/>
  <c r="F64" i="85"/>
  <c r="F63" i="85"/>
  <c r="F28" i="85"/>
  <c r="F24" i="85"/>
  <c r="F23" i="85"/>
  <c r="F87" i="85"/>
  <c r="F86" i="85"/>
  <c r="F79" i="85"/>
  <c r="F75" i="85"/>
  <c r="F59" i="85"/>
  <c r="F58" i="85"/>
  <c r="F47" i="85"/>
  <c r="F22" i="85"/>
  <c r="F70" i="85"/>
  <c r="F69" i="85"/>
  <c r="F38" i="85"/>
  <c r="F34" i="85"/>
  <c r="F65" i="85"/>
  <c r="F89" i="85"/>
  <c r="F80" i="85"/>
  <c r="F76" i="85"/>
  <c r="F60" i="85"/>
  <c r="F40" i="85"/>
  <c r="F39" i="85"/>
  <c r="F66" i="85"/>
  <c r="F42" i="85"/>
  <c r="F41" i="85"/>
  <c r="F30" i="85"/>
  <c r="F26" i="85"/>
  <c r="F94" i="85"/>
  <c r="F44" i="85"/>
  <c r="F43" i="85"/>
  <c r="F36" i="85"/>
  <c r="P92" i="85"/>
  <c r="X20" i="85"/>
  <c r="F49" i="85"/>
  <c r="Z63" i="85"/>
  <c r="J68" i="86"/>
  <c r="J54" i="86"/>
  <c r="J44" i="86"/>
  <c r="J36" i="86"/>
  <c r="N12" i="86"/>
  <c r="J55" i="86"/>
  <c r="J45" i="86"/>
  <c r="J31" i="86"/>
  <c r="J27" i="86"/>
  <c r="J78" i="86"/>
  <c r="J74" i="86"/>
  <c r="J62" i="86"/>
  <c r="J56" i="86"/>
  <c r="J46" i="86"/>
  <c r="J32" i="86"/>
  <c r="J18" i="86"/>
  <c r="J79" i="86"/>
  <c r="J69" i="86"/>
  <c r="J63" i="86"/>
  <c r="J57" i="86"/>
  <c r="J37" i="86"/>
  <c r="J33" i="86"/>
  <c r="J80" i="86"/>
  <c r="J70" i="86"/>
  <c r="J81" i="86"/>
  <c r="J75" i="86"/>
  <c r="J71" i="86"/>
  <c r="J47" i="86"/>
  <c r="H20" i="86"/>
  <c r="J82" i="86"/>
  <c r="J58" i="86"/>
  <c r="J48" i="86"/>
  <c r="J38" i="86"/>
  <c r="J34" i="86"/>
  <c r="J87" i="86"/>
  <c r="J85" i="86"/>
  <c r="J65" i="86"/>
  <c r="J59" i="86"/>
  <c r="J49" i="86"/>
  <c r="J39" i="86"/>
  <c r="J29" i="86"/>
  <c r="J25" i="86"/>
  <c r="J89" i="86"/>
  <c r="J51" i="86"/>
  <c r="J41" i="86"/>
  <c r="J35" i="86"/>
  <c r="J77" i="86"/>
  <c r="J61" i="86"/>
  <c r="J53" i="86"/>
  <c r="J30" i="86"/>
  <c r="J28" i="86"/>
  <c r="J72" i="86"/>
  <c r="J26" i="86"/>
  <c r="J24" i="86"/>
  <c r="J76" i="86"/>
  <c r="J66" i="86"/>
  <c r="J64" i="86"/>
  <c r="J42" i="86"/>
  <c r="J94" i="86"/>
  <c r="J20" i="86"/>
  <c r="J16" i="86"/>
  <c r="J60" i="86"/>
  <c r="J40" i="86"/>
  <c r="J91" i="86"/>
  <c r="J67" i="86"/>
  <c r="J43" i="86"/>
  <c r="J22" i="86"/>
  <c r="J17" i="86"/>
  <c r="J84" i="86"/>
  <c r="J73" i="86"/>
  <c r="J50" i="86"/>
  <c r="J23" i="86"/>
  <c r="L85" i="86"/>
  <c r="D84" i="86"/>
  <c r="V37" i="84"/>
  <c r="V46" i="84"/>
  <c r="V51" i="84"/>
  <c r="V54" i="84"/>
  <c r="L16" i="85"/>
  <c r="N16" i="85" s="1"/>
  <c r="R20" i="85"/>
  <c r="N39" i="85"/>
  <c r="R85" i="85"/>
  <c r="N13" i="86"/>
  <c r="X13" i="84"/>
  <c r="Z13" i="84" s="1"/>
  <c r="V24" i="84"/>
  <c r="V28" i="84"/>
  <c r="V41" i="84"/>
  <c r="V57" i="84"/>
  <c r="V79" i="84"/>
  <c r="F16" i="85"/>
  <c r="F29" i="85"/>
  <c r="F77" i="85"/>
  <c r="R94" i="85"/>
  <c r="T20" i="84"/>
  <c r="V20" i="84" s="1"/>
  <c r="V33" i="84"/>
  <c r="V60" i="84"/>
  <c r="F25" i="85"/>
  <c r="F35" i="85"/>
  <c r="L43" i="85"/>
  <c r="N43" i="85" s="1"/>
  <c r="R54" i="85"/>
  <c r="R56" i="85"/>
  <c r="T12" i="86"/>
  <c r="F22" i="86"/>
  <c r="F25" i="86"/>
  <c r="F57" i="86"/>
  <c r="N63" i="86"/>
  <c r="R48" i="87"/>
  <c r="R47" i="87"/>
  <c r="R51" i="87"/>
  <c r="R43" i="87"/>
  <c r="R45" i="87"/>
  <c r="R44" i="87"/>
  <c r="R46" i="87"/>
  <c r="R49" i="87"/>
  <c r="R34" i="87"/>
  <c r="R29" i="87"/>
  <c r="R25" i="87"/>
  <c r="R42" i="87"/>
  <c r="R35" i="87"/>
  <c r="R16" i="87"/>
  <c r="R30" i="87"/>
  <c r="R26" i="87"/>
  <c r="R17" i="87"/>
  <c r="R37" i="87"/>
  <c r="R36" i="87"/>
  <c r="X12" i="87"/>
  <c r="R32" i="87"/>
  <c r="R31" i="87"/>
  <c r="R27" i="87"/>
  <c r="R33" i="87"/>
  <c r="R22" i="87"/>
  <c r="R28" i="87"/>
  <c r="X14" i="88"/>
  <c r="Z14" i="88" s="1"/>
  <c r="X14" i="86"/>
  <c r="Z14" i="86" s="1"/>
  <c r="F35" i="86"/>
  <c r="X41" i="86"/>
  <c r="Z41" i="86" s="1"/>
  <c r="N52" i="86"/>
  <c r="F46" i="87"/>
  <c r="F45" i="87"/>
  <c r="F47" i="87"/>
  <c r="F51" i="87"/>
  <c r="F42" i="87"/>
  <c r="F41" i="87"/>
  <c r="F38" i="87"/>
  <c r="F37" i="87"/>
  <c r="F18" i="87"/>
  <c r="F44" i="87"/>
  <c r="F33" i="87"/>
  <c r="F32" i="87"/>
  <c r="F40" i="87"/>
  <c r="F39" i="87"/>
  <c r="F28" i="87"/>
  <c r="F24" i="87"/>
  <c r="F23" i="87"/>
  <c r="F49" i="87"/>
  <c r="F22" i="87"/>
  <c r="F34" i="87"/>
  <c r="D20" i="87"/>
  <c r="F29" i="87"/>
  <c r="F25" i="87"/>
  <c r="F35" i="87"/>
  <c r="F17" i="87"/>
  <c r="F16" i="87"/>
  <c r="Z22" i="87"/>
  <c r="R24" i="87"/>
  <c r="N37" i="87"/>
  <c r="L51" i="87"/>
  <c r="X13" i="86"/>
  <c r="F20" i="86"/>
  <c r="Z50" i="86"/>
  <c r="Z79" i="86"/>
  <c r="N85" i="86"/>
  <c r="H84" i="86"/>
  <c r="N84" i="86" s="1"/>
  <c r="X13" i="87"/>
  <c r="Z13" i="87" s="1"/>
  <c r="J27" i="87"/>
  <c r="F48" i="87"/>
  <c r="F77" i="86"/>
  <c r="F73" i="86"/>
  <c r="F61" i="86"/>
  <c r="F53" i="86"/>
  <c r="F52" i="86"/>
  <c r="F17" i="86"/>
  <c r="F16" i="86"/>
  <c r="F94" i="86"/>
  <c r="F91" i="86"/>
  <c r="F68" i="86"/>
  <c r="F67" i="86"/>
  <c r="F44" i="86"/>
  <c r="F43" i="86"/>
  <c r="F36" i="86"/>
  <c r="F55" i="86"/>
  <c r="F54" i="86"/>
  <c r="F31" i="86"/>
  <c r="F27" i="86"/>
  <c r="F78" i="86"/>
  <c r="F74" i="86"/>
  <c r="F62" i="86"/>
  <c r="F46" i="86"/>
  <c r="F45" i="86"/>
  <c r="F69" i="86"/>
  <c r="F80" i="86"/>
  <c r="F79" i="86"/>
  <c r="F64" i="86"/>
  <c r="F63" i="86"/>
  <c r="F28" i="86"/>
  <c r="F24" i="86"/>
  <c r="F23" i="86"/>
  <c r="F75" i="86"/>
  <c r="F71" i="86"/>
  <c r="F70" i="86"/>
  <c r="F47" i="86"/>
  <c r="F82" i="86"/>
  <c r="F81" i="86"/>
  <c r="F58" i="86"/>
  <c r="F38" i="86"/>
  <c r="F34" i="86"/>
  <c r="D20" i="86"/>
  <c r="F87" i="86"/>
  <c r="F85" i="86"/>
  <c r="F76" i="86"/>
  <c r="F72" i="86"/>
  <c r="F60" i="86"/>
  <c r="F59" i="86"/>
  <c r="F40" i="86"/>
  <c r="F39" i="86"/>
  <c r="F42" i="86"/>
  <c r="F56" i="86"/>
  <c r="F66" i="86"/>
  <c r="V51" i="87"/>
  <c r="V49" i="87"/>
  <c r="V43" i="87"/>
  <c r="V55" i="87"/>
  <c r="V45" i="87"/>
  <c r="V29" i="87"/>
  <c r="V25" i="87"/>
  <c r="V42" i="87"/>
  <c r="V16" i="87"/>
  <c r="V35" i="87"/>
  <c r="V47" i="87"/>
  <c r="V30" i="87"/>
  <c r="V26" i="87"/>
  <c r="V37" i="87"/>
  <c r="V17" i="87"/>
  <c r="V36" i="87"/>
  <c r="V32" i="87"/>
  <c r="Z12" i="87"/>
  <c r="V48" i="87"/>
  <c r="V39" i="87"/>
  <c r="V31" i="87"/>
  <c r="V27" i="87"/>
  <c r="V23" i="87"/>
  <c r="V38" i="87"/>
  <c r="V22" i="87"/>
  <c r="V20" i="87"/>
  <c r="V18" i="87"/>
  <c r="V46" i="87"/>
  <c r="V44" i="87"/>
  <c r="V41" i="87"/>
  <c r="V40" i="87"/>
  <c r="V28" i="87"/>
  <c r="V24" i="87"/>
  <c r="V33" i="87"/>
  <c r="R41" i="87"/>
  <c r="L12" i="86"/>
  <c r="Z13" i="86"/>
  <c r="F26" i="86"/>
  <c r="Z45" i="86"/>
  <c r="F51" i="86"/>
  <c r="F36" i="87"/>
  <c r="R39" i="87"/>
  <c r="L90" i="85"/>
  <c r="X22" i="86"/>
  <c r="Z22" i="86" s="1"/>
  <c r="F30" i="86"/>
  <c r="F48" i="86"/>
  <c r="X41" i="87"/>
  <c r="Z41" i="87" s="1"/>
  <c r="L48" i="85"/>
  <c r="X54" i="85"/>
  <c r="Z54" i="85" s="1"/>
  <c r="X82" i="85"/>
  <c r="Z82" i="85" s="1"/>
  <c r="P20" i="87"/>
  <c r="R20" i="87" s="1"/>
  <c r="F30" i="87"/>
  <c r="F55" i="87"/>
  <c r="X38" i="88"/>
  <c r="Z14" i="89"/>
  <c r="F32" i="86"/>
  <c r="T20" i="87"/>
  <c r="R23" i="87"/>
  <c r="Z36" i="88"/>
  <c r="Z38" i="88"/>
  <c r="Z16" i="86"/>
  <c r="F18" i="86"/>
  <c r="L23" i="86"/>
  <c r="L39" i="86"/>
  <c r="F50" i="86"/>
  <c r="L59" i="86"/>
  <c r="J46" i="87"/>
  <c r="J47" i="87"/>
  <c r="J48" i="87"/>
  <c r="J49" i="87"/>
  <c r="J53" i="87"/>
  <c r="J51" i="87"/>
  <c r="J55" i="87"/>
  <c r="J43" i="87"/>
  <c r="J60" i="87"/>
  <c r="J44" i="87"/>
  <c r="J39" i="87"/>
  <c r="J33" i="87"/>
  <c r="J23" i="87"/>
  <c r="J40" i="87"/>
  <c r="J28" i="87"/>
  <c r="J24" i="87"/>
  <c r="J22" i="87"/>
  <c r="J20" i="87"/>
  <c r="H20" i="87"/>
  <c r="J41" i="87"/>
  <c r="J34" i="87"/>
  <c r="J45" i="87"/>
  <c r="J29" i="87"/>
  <c r="J25" i="87"/>
  <c r="J57" i="87"/>
  <c r="J42" i="87"/>
  <c r="J35" i="87"/>
  <c r="J30" i="87"/>
  <c r="J26" i="87"/>
  <c r="J16" i="87"/>
  <c r="J36" i="87"/>
  <c r="N12" i="87"/>
  <c r="F26" i="87"/>
  <c r="R38" i="87"/>
  <c r="R55" i="87"/>
  <c r="Z90" i="85"/>
  <c r="N23" i="86"/>
  <c r="F41" i="86"/>
  <c r="L63" i="86"/>
  <c r="F65" i="86"/>
  <c r="F84" i="86"/>
  <c r="F89" i="86"/>
  <c r="L12" i="87"/>
  <c r="V34" i="87"/>
  <c r="R40" i="87"/>
  <c r="N16" i="89"/>
  <c r="X23" i="92"/>
  <c r="Z23" i="92" s="1"/>
  <c r="X36" i="88"/>
  <c r="L16" i="89"/>
  <c r="V66" i="90"/>
  <c r="Z40" i="88"/>
  <c r="T12" i="89"/>
  <c r="F36" i="89"/>
  <c r="V75" i="90"/>
  <c r="L44" i="88"/>
  <c r="D43" i="88"/>
  <c r="L43" i="88" s="1"/>
  <c r="H12" i="92"/>
  <c r="P84" i="86"/>
  <c r="X84" i="86" s="1"/>
  <c r="J37" i="88"/>
  <c r="J38" i="88"/>
  <c r="J28" i="88"/>
  <c r="J24" i="88"/>
  <c r="J14" i="88"/>
  <c r="J39" i="88"/>
  <c r="J29" i="88"/>
  <c r="J40" i="88"/>
  <c r="J30" i="88"/>
  <c r="J20" i="88"/>
  <c r="J41" i="88"/>
  <c r="J25" i="88"/>
  <c r="J21" i="88"/>
  <c r="J19" i="88"/>
  <c r="J17" i="88"/>
  <c r="J46" i="88"/>
  <c r="J44" i="88"/>
  <c r="H17" i="88"/>
  <c r="J48" i="88"/>
  <c r="J32" i="88"/>
  <c r="J26" i="88"/>
  <c r="J22" i="88"/>
  <c r="J53" i="88"/>
  <c r="J50" i="88"/>
  <c r="J34" i="88"/>
  <c r="N12" i="88"/>
  <c r="J15" i="88"/>
  <c r="N44" i="88"/>
  <c r="H43" i="88"/>
  <c r="F65" i="89"/>
  <c r="F60" i="89"/>
  <c r="F63" i="89"/>
  <c r="F48" i="89"/>
  <c r="F47" i="89"/>
  <c r="F24" i="89"/>
  <c r="F23" i="89"/>
  <c r="F55" i="89"/>
  <c r="F39" i="89"/>
  <c r="F38" i="89"/>
  <c r="F22" i="89"/>
  <c r="F20" i="89"/>
  <c r="F50" i="89"/>
  <c r="F49" i="89"/>
  <c r="F30" i="89"/>
  <c r="D20" i="89"/>
  <c r="F41" i="89"/>
  <c r="F40" i="89"/>
  <c r="F25" i="89"/>
  <c r="F56" i="89"/>
  <c r="F52" i="89"/>
  <c r="F51" i="89"/>
  <c r="F43" i="89"/>
  <c r="F42" i="89"/>
  <c r="F31" i="89"/>
  <c r="F27" i="89"/>
  <c r="F26" i="89"/>
  <c r="F58" i="89"/>
  <c r="F57" i="89"/>
  <c r="F67" i="89"/>
  <c r="F53" i="89"/>
  <c r="F45" i="89"/>
  <c r="F44" i="89"/>
  <c r="F33" i="89"/>
  <c r="F32" i="89"/>
  <c r="F17" i="89"/>
  <c r="F16" i="89"/>
  <c r="F35" i="89"/>
  <c r="F34" i="89"/>
  <c r="L36" i="89"/>
  <c r="L17" i="90"/>
  <c r="L15" i="92"/>
  <c r="N15" i="92" s="1"/>
  <c r="F46" i="89"/>
  <c r="R30" i="88"/>
  <c r="R19" i="88"/>
  <c r="R17" i="88"/>
  <c r="R46" i="88"/>
  <c r="R44" i="88"/>
  <c r="R41" i="88"/>
  <c r="R25" i="88"/>
  <c r="R21" i="88"/>
  <c r="P17" i="88"/>
  <c r="R43" i="88"/>
  <c r="R32" i="88"/>
  <c r="R31" i="88"/>
  <c r="R48" i="88"/>
  <c r="R26" i="88"/>
  <c r="R22" i="88"/>
  <c r="R53" i="88"/>
  <c r="R50" i="88"/>
  <c r="R34" i="88"/>
  <c r="R33" i="88"/>
  <c r="R36" i="88"/>
  <c r="R35" i="88"/>
  <c r="R27" i="88"/>
  <c r="R23" i="88"/>
  <c r="R38" i="88"/>
  <c r="R37" i="88"/>
  <c r="R14" i="88"/>
  <c r="R20" i="88"/>
  <c r="R24" i="88"/>
  <c r="X60" i="89"/>
  <c r="Z60" i="89" s="1"/>
  <c r="V61" i="90"/>
  <c r="V53" i="90"/>
  <c r="V41" i="90"/>
  <c r="V37" i="90"/>
  <c r="V72" i="90"/>
  <c r="V68" i="90"/>
  <c r="V60" i="90"/>
  <c r="V52" i="90"/>
  <c r="V32" i="90"/>
  <c r="V28" i="90"/>
  <c r="V85" i="90"/>
  <c r="V63" i="90"/>
  <c r="V55" i="90"/>
  <c r="V43" i="90"/>
  <c r="V19" i="90"/>
  <c r="V62" i="90"/>
  <c r="V54" i="90"/>
  <c r="V42" i="90"/>
  <c r="V38" i="90"/>
  <c r="V73" i="90"/>
  <c r="V69" i="90"/>
  <c r="V57" i="90"/>
  <c r="V45" i="90"/>
  <c r="V33" i="90"/>
  <c r="V29" i="90"/>
  <c r="V64" i="90"/>
  <c r="V56" i="90"/>
  <c r="V74" i="90"/>
  <c r="V70" i="90"/>
  <c r="V58" i="90"/>
  <c r="V46" i="90"/>
  <c r="V34" i="90"/>
  <c r="V30" i="90"/>
  <c r="V26" i="90"/>
  <c r="V76" i="90"/>
  <c r="V48" i="90"/>
  <c r="V40" i="90"/>
  <c r="V36" i="90"/>
  <c r="V50" i="90"/>
  <c r="V67" i="90"/>
  <c r="V81" i="90"/>
  <c r="V78" i="90"/>
  <c r="V71" i="90"/>
  <c r="V65" i="90"/>
  <c r="V39" i="90"/>
  <c r="V51" i="90"/>
  <c r="T23" i="90"/>
  <c r="V20" i="90"/>
  <c r="V49" i="90"/>
  <c r="V47" i="90"/>
  <c r="V59" i="90"/>
  <c r="V25" i="90"/>
  <c r="V31" i="90"/>
  <c r="Z28" i="91"/>
  <c r="X45" i="87"/>
  <c r="R15" i="88"/>
  <c r="Z20" i="88"/>
  <c r="J27" i="88"/>
  <c r="L34" i="88"/>
  <c r="R65" i="89"/>
  <c r="R57" i="89"/>
  <c r="R56" i="89"/>
  <c r="R52" i="89"/>
  <c r="R44" i="89"/>
  <c r="R43" i="89"/>
  <c r="R32" i="89"/>
  <c r="R31" i="89"/>
  <c r="R27" i="89"/>
  <c r="R16" i="89"/>
  <c r="R58" i="89"/>
  <c r="R53" i="89"/>
  <c r="R45" i="89"/>
  <c r="R34" i="89"/>
  <c r="R33" i="89"/>
  <c r="R17" i="89"/>
  <c r="R67" i="89"/>
  <c r="R61" i="89"/>
  <c r="R28" i="89"/>
  <c r="R60" i="89"/>
  <c r="R36" i="89"/>
  <c r="R35" i="89"/>
  <c r="R54" i="89"/>
  <c r="R47" i="89"/>
  <c r="R46" i="89"/>
  <c r="R23" i="89"/>
  <c r="R70" i="89"/>
  <c r="R63" i="89"/>
  <c r="R38" i="89"/>
  <c r="R37" i="89"/>
  <c r="R29" i="89"/>
  <c r="R22" i="89"/>
  <c r="R20" i="89"/>
  <c r="R55" i="89"/>
  <c r="R40" i="89"/>
  <c r="R39" i="89"/>
  <c r="X40" i="89"/>
  <c r="Z40" i="89" s="1"/>
  <c r="R49" i="89"/>
  <c r="R51" i="89"/>
  <c r="P63" i="89"/>
  <c r="V21" i="90"/>
  <c r="X36" i="90"/>
  <c r="Z36" i="90" s="1"/>
  <c r="T12" i="92"/>
  <c r="X13" i="92"/>
  <c r="Z13" i="92" s="1"/>
  <c r="L32" i="86"/>
  <c r="N32" i="86" s="1"/>
  <c r="X50" i="86"/>
  <c r="L56" i="86"/>
  <c r="L13" i="87"/>
  <c r="Z45" i="87"/>
  <c r="X12" i="88"/>
  <c r="J23" i="88"/>
  <c r="F29" i="89"/>
  <c r="F37" i="89"/>
  <c r="R42" i="89"/>
  <c r="X19" i="88"/>
  <c r="Z19" i="88" s="1"/>
  <c r="J31" i="88"/>
  <c r="Z34" i="88"/>
  <c r="J36" i="88"/>
  <c r="R25" i="89"/>
  <c r="Z42" i="89"/>
  <c r="F54" i="89"/>
  <c r="F61" i="89"/>
  <c r="V20" i="88"/>
  <c r="V24" i="88"/>
  <c r="V28" i="88"/>
  <c r="F32" i="88"/>
  <c r="F33" i="88"/>
  <c r="V40" i="88"/>
  <c r="J60" i="89"/>
  <c r="J70" i="89"/>
  <c r="J67" i="89"/>
  <c r="J18" i="89"/>
  <c r="J36" i="89"/>
  <c r="J46" i="89"/>
  <c r="J54" i="89"/>
  <c r="L41" i="91"/>
  <c r="Z41" i="92"/>
  <c r="F86" i="94"/>
  <c r="F78" i="94"/>
  <c r="F74" i="94"/>
  <c r="F62" i="94"/>
  <c r="F54" i="94"/>
  <c r="F53" i="94"/>
  <c r="F88" i="94"/>
  <c r="F79" i="94"/>
  <c r="F75" i="94"/>
  <c r="F71" i="94"/>
  <c r="F70" i="94"/>
  <c r="F92" i="94"/>
  <c r="F81" i="94"/>
  <c r="F80" i="94"/>
  <c r="F65" i="94"/>
  <c r="F84" i="94"/>
  <c r="F69" i="94"/>
  <c r="F33" i="94"/>
  <c r="F29" i="94"/>
  <c r="F25" i="94"/>
  <c r="F24" i="94"/>
  <c r="F66" i="94"/>
  <c r="F63" i="94"/>
  <c r="F60" i="94"/>
  <c r="F48" i="94"/>
  <c r="F47" i="94"/>
  <c r="F23" i="94"/>
  <c r="F21" i="94"/>
  <c r="F73" i="94"/>
  <c r="F55" i="94"/>
  <c r="F39" i="94"/>
  <c r="F35" i="94"/>
  <c r="F34" i="94"/>
  <c r="D21" i="94"/>
  <c r="F85" i="94"/>
  <c r="F49" i="94"/>
  <c r="F30" i="94"/>
  <c r="F26" i="94"/>
  <c r="F82" i="94"/>
  <c r="F76" i="94"/>
  <c r="F64" i="94"/>
  <c r="F56" i="94"/>
  <c r="F50" i="94"/>
  <c r="F61" i="94"/>
  <c r="F40" i="94"/>
  <c r="F36" i="94"/>
  <c r="L12" i="94"/>
  <c r="F57" i="94"/>
  <c r="F83" i="94"/>
  <c r="F67" i="94"/>
  <c r="F58" i="94"/>
  <c r="F52" i="94"/>
  <c r="F42" i="94"/>
  <c r="F41" i="94"/>
  <c r="F18" i="94"/>
  <c r="F17" i="94"/>
  <c r="F68" i="94"/>
  <c r="F44" i="94"/>
  <c r="F43" i="94"/>
  <c r="F32" i="94"/>
  <c r="F28" i="94"/>
  <c r="F19" i="94"/>
  <c r="F45" i="94"/>
  <c r="F27" i="94"/>
  <c r="F37" i="94"/>
  <c r="F31" i="94"/>
  <c r="F77" i="94"/>
  <c r="F59" i="94"/>
  <c r="F46" i="94"/>
  <c r="F72" i="94"/>
  <c r="F38" i="94"/>
  <c r="T12" i="94"/>
  <c r="X14" i="94"/>
  <c r="Z14" i="94"/>
  <c r="V14" i="88"/>
  <c r="D17" i="88"/>
  <c r="F31" i="88"/>
  <c r="V38" i="88"/>
  <c r="F44" i="88"/>
  <c r="F46" i="88"/>
  <c r="N12" i="89"/>
  <c r="J28" i="89"/>
  <c r="J34" i="89"/>
  <c r="D12" i="90"/>
  <c r="Z14" i="90"/>
  <c r="X51" i="90"/>
  <c r="Z51" i="90" s="1"/>
  <c r="J37" i="91"/>
  <c r="J27" i="91"/>
  <c r="J23" i="91"/>
  <c r="J38" i="91"/>
  <c r="J39" i="91"/>
  <c r="J29" i="91"/>
  <c r="J41" i="91"/>
  <c r="J31" i="91"/>
  <c r="J32" i="91"/>
  <c r="J24" i="91"/>
  <c r="J21" i="91"/>
  <c r="J44" i="91"/>
  <c r="J36" i="91"/>
  <c r="J28" i="91"/>
  <c r="J50" i="91"/>
  <c r="J33" i="91"/>
  <c r="J46" i="91"/>
  <c r="J40" i="91"/>
  <c r="J34" i="91"/>
  <c r="J19" i="91"/>
  <c r="J16" i="91"/>
  <c r="J35" i="91"/>
  <c r="J53" i="91"/>
  <c r="L13" i="94"/>
  <c r="H12" i="90"/>
  <c r="N13" i="90"/>
  <c r="Z12" i="88"/>
  <c r="F20" i="88"/>
  <c r="F21" i="88"/>
  <c r="F25" i="88"/>
  <c r="V36" i="88"/>
  <c r="F40" i="88"/>
  <c r="F41" i="88"/>
  <c r="J16" i="89"/>
  <c r="J32" i="89"/>
  <c r="J44" i="89"/>
  <c r="J58" i="89"/>
  <c r="L13" i="90"/>
  <c r="L45" i="90"/>
  <c r="L19" i="91"/>
  <c r="N19" i="91" s="1"/>
  <c r="F29" i="88"/>
  <c r="F30" i="88"/>
  <c r="V33" i="88"/>
  <c r="J27" i="89"/>
  <c r="J31" i="89"/>
  <c r="J43" i="89"/>
  <c r="J57" i="89"/>
  <c r="P12" i="90"/>
  <c r="X67" i="90"/>
  <c r="Z67" i="90" s="1"/>
  <c r="Z80" i="90"/>
  <c r="N24" i="93"/>
  <c r="L24" i="93"/>
  <c r="F14" i="88"/>
  <c r="F15" i="88"/>
  <c r="V22" i="88"/>
  <c r="V26" i="88"/>
  <c r="V34" i="88"/>
  <c r="F38" i="88"/>
  <c r="F39" i="88"/>
  <c r="V48" i="88"/>
  <c r="V50" i="88"/>
  <c r="V53" i="88"/>
  <c r="J26" i="89"/>
  <c r="J42" i="89"/>
  <c r="J52" i="89"/>
  <c r="J56" i="89"/>
  <c r="Z61" i="89"/>
  <c r="J65" i="89"/>
  <c r="Z19" i="91"/>
  <c r="X39" i="91"/>
  <c r="Z39" i="91" s="1"/>
  <c r="N51" i="92"/>
  <c r="L51" i="92"/>
  <c r="R53" i="93"/>
  <c r="R43" i="93"/>
  <c r="R32" i="93"/>
  <c r="R31" i="93"/>
  <c r="R58" i="93"/>
  <c r="R55" i="93"/>
  <c r="R34" i="93"/>
  <c r="R33" i="93"/>
  <c r="R44" i="93"/>
  <c r="R17" i="93"/>
  <c r="R36" i="93"/>
  <c r="R35" i="93"/>
  <c r="R28" i="93"/>
  <c r="R27" i="93"/>
  <c r="R46" i="93"/>
  <c r="R45" i="93"/>
  <c r="R38" i="93"/>
  <c r="R37" i="93"/>
  <c r="R29" i="93"/>
  <c r="R47" i="93"/>
  <c r="R40" i="93"/>
  <c r="R39" i="93"/>
  <c r="R24" i="93"/>
  <c r="R19" i="93"/>
  <c r="R42" i="93"/>
  <c r="R18" i="93"/>
  <c r="R26" i="93"/>
  <c r="R23" i="93"/>
  <c r="R51" i="93"/>
  <c r="R25" i="93"/>
  <c r="R49" i="93"/>
  <c r="R41" i="93"/>
  <c r="R30" i="93"/>
  <c r="R21" i="93"/>
  <c r="J41" i="89"/>
  <c r="J51" i="89"/>
  <c r="L57" i="90"/>
  <c r="N57" i="90" s="1"/>
  <c r="Z81" i="90"/>
  <c r="V32" i="88"/>
  <c r="F36" i="88"/>
  <c r="J30" i="89"/>
  <c r="J40" i="89"/>
  <c r="J50" i="89"/>
  <c r="X45" i="90"/>
  <c r="Z45" i="90" s="1"/>
  <c r="N18" i="91"/>
  <c r="Z63" i="92"/>
  <c r="P21" i="93"/>
  <c r="X42" i="93"/>
  <c r="Z42" i="93" s="1"/>
  <c r="V21" i="88"/>
  <c r="V25" i="88"/>
  <c r="V41" i="88"/>
  <c r="H20" i="89"/>
  <c r="J39" i="89"/>
  <c r="J49" i="89"/>
  <c r="J55" i="89"/>
  <c r="N14" i="91"/>
  <c r="J20" i="91"/>
  <c r="L23" i="92"/>
  <c r="N23" i="92" s="1"/>
  <c r="L34" i="93"/>
  <c r="F51" i="94"/>
  <c r="X81" i="90"/>
  <c r="F36" i="91"/>
  <c r="F53" i="91"/>
  <c r="F50" i="91"/>
  <c r="F38" i="91"/>
  <c r="F37" i="91"/>
  <c r="F40" i="91"/>
  <c r="F39" i="91"/>
  <c r="F24" i="91"/>
  <c r="R31" i="91"/>
  <c r="V32" i="91"/>
  <c r="F34" i="91"/>
  <c r="V39" i="91"/>
  <c r="F41" i="91"/>
  <c r="L12" i="91"/>
  <c r="P16" i="91"/>
  <c r="V20" i="91"/>
  <c r="F22" i="91"/>
  <c r="R23" i="91"/>
  <c r="F25" i="91"/>
  <c r="R26" i="91"/>
  <c r="R35" i="91"/>
  <c r="F46" i="91"/>
  <c r="P12" i="92"/>
  <c r="L14" i="92"/>
  <c r="N14" i="92" s="1"/>
  <c r="X43" i="92"/>
  <c r="Z43" i="92" s="1"/>
  <c r="Z51" i="92"/>
  <c r="Z14" i="93"/>
  <c r="Z32" i="93"/>
  <c r="R41" i="91"/>
  <c r="R40" i="91"/>
  <c r="R24" i="91"/>
  <c r="R20" i="91"/>
  <c r="R42" i="91"/>
  <c r="T16" i="91"/>
  <c r="R19" i="91"/>
  <c r="F28" i="91"/>
  <c r="R30" i="91"/>
  <c r="F33" i="91"/>
  <c r="F44" i="91"/>
  <c r="J47" i="93"/>
  <c r="J39" i="93"/>
  <c r="J40" i="93"/>
  <c r="J30" i="93"/>
  <c r="J24" i="93"/>
  <c r="J51" i="93"/>
  <c r="J49" i="93"/>
  <c r="J41" i="93"/>
  <c r="J42" i="93"/>
  <c r="H21" i="93"/>
  <c r="J53" i="93"/>
  <c r="J43" i="93"/>
  <c r="J31" i="93"/>
  <c r="J32" i="93"/>
  <c r="J26" i="93"/>
  <c r="J44" i="93"/>
  <c r="J34" i="93"/>
  <c r="N12" i="93"/>
  <c r="J36" i="93"/>
  <c r="J28" i="93"/>
  <c r="J18" i="93"/>
  <c r="J37" i="93"/>
  <c r="J46" i="93"/>
  <c r="J25" i="93"/>
  <c r="J21" i="93"/>
  <c r="J35" i="93"/>
  <c r="J38" i="93"/>
  <c r="J33" i="93"/>
  <c r="J23" i="93"/>
  <c r="J58" i="93"/>
  <c r="J29" i="93"/>
  <c r="Z28" i="93"/>
  <c r="J55" i="93"/>
  <c r="P31" i="96"/>
  <c r="X33" i="96"/>
  <c r="Z33" i="96" s="1"/>
  <c r="V31" i="91"/>
  <c r="V46" i="91"/>
  <c r="V44" i="91"/>
  <c r="V42" i="91"/>
  <c r="V34" i="91"/>
  <c r="V33" i="91"/>
  <c r="V35" i="91"/>
  <c r="V14" i="91"/>
  <c r="V16" i="91"/>
  <c r="V18" i="91"/>
  <c r="R29" i="91"/>
  <c r="F32" i="91"/>
  <c r="V41" i="91"/>
  <c r="R53" i="91"/>
  <c r="Z53" i="92"/>
  <c r="N76" i="92"/>
  <c r="X12" i="91"/>
  <c r="V19" i="91"/>
  <c r="F21" i="91"/>
  <c r="R22" i="91"/>
  <c r="R25" i="91"/>
  <c r="V29" i="91"/>
  <c r="V30" i="91"/>
  <c r="R34" i="91"/>
  <c r="X41" i="91"/>
  <c r="Z41" i="91" s="1"/>
  <c r="L17" i="92"/>
  <c r="N17" i="92" s="1"/>
  <c r="X55" i="92"/>
  <c r="Z55" i="92" s="1"/>
  <c r="N57" i="92"/>
  <c r="N13" i="93"/>
  <c r="Z12" i="91"/>
  <c r="V22" i="91"/>
  <c r="V25" i="91"/>
  <c r="F27" i="91"/>
  <c r="X30" i="91"/>
  <c r="Z30" i="91" s="1"/>
  <c r="R37" i="91"/>
  <c r="L39" i="91"/>
  <c r="V40" i="91"/>
  <c r="R46" i="91"/>
  <c r="V53" i="91"/>
  <c r="D12" i="92"/>
  <c r="L13" i="92"/>
  <c r="N13" i="92" s="1"/>
  <c r="X45" i="92"/>
  <c r="Z45" i="92" s="1"/>
  <c r="J27" i="93"/>
  <c r="D16" i="91"/>
  <c r="R33" i="91"/>
  <c r="Z37" i="91"/>
  <c r="Z76" i="92"/>
  <c r="T12" i="93"/>
  <c r="N24" i="94"/>
  <c r="F14" i="91"/>
  <c r="F16" i="91"/>
  <c r="F18" i="91"/>
  <c r="R28" i="91"/>
  <c r="R36" i="91"/>
  <c r="V37" i="91"/>
  <c r="F42" i="91"/>
  <c r="F48" i="91"/>
  <c r="R50" i="91"/>
  <c r="Z17" i="92"/>
  <c r="Z57" i="92"/>
  <c r="Z15" i="93"/>
  <c r="X46" i="93"/>
  <c r="Z46" i="93" s="1"/>
  <c r="J38" i="94"/>
  <c r="J44" i="94"/>
  <c r="X47" i="94"/>
  <c r="X49" i="94"/>
  <c r="Z49" i="94" s="1"/>
  <c r="X13" i="93"/>
  <c r="Z13" i="93" s="1"/>
  <c r="F36" i="93"/>
  <c r="F58" i="93"/>
  <c r="P12" i="94"/>
  <c r="X13" i="94"/>
  <c r="H31" i="96"/>
  <c r="N32" i="96"/>
  <c r="L32" i="96"/>
  <c r="Z13" i="94"/>
  <c r="X51" i="94"/>
  <c r="Z51" i="94" s="1"/>
  <c r="X53" i="95"/>
  <c r="Z53" i="95" s="1"/>
  <c r="D36" i="96"/>
  <c r="X15" i="93"/>
  <c r="L36" i="93"/>
  <c r="F47" i="93"/>
  <c r="F46" i="93"/>
  <c r="F39" i="93"/>
  <c r="F38" i="93"/>
  <c r="F19" i="93"/>
  <c r="F41" i="93"/>
  <c r="F40" i="93"/>
  <c r="F25" i="93"/>
  <c r="F24" i="93"/>
  <c r="F51" i="93"/>
  <c r="F49" i="93"/>
  <c r="F23" i="93"/>
  <c r="F21" i="93"/>
  <c r="F53" i="93"/>
  <c r="F43" i="93"/>
  <c r="F42" i="93"/>
  <c r="F31" i="93"/>
  <c r="F33" i="93"/>
  <c r="F32" i="93"/>
  <c r="F35" i="93"/>
  <c r="F34" i="93"/>
  <c r="F27" i="93"/>
  <c r="F18" i="93"/>
  <c r="Z24" i="93"/>
  <c r="X70" i="94"/>
  <c r="Z70" i="94" s="1"/>
  <c r="J84" i="94"/>
  <c r="L12" i="93"/>
  <c r="F28" i="93"/>
  <c r="Z36" i="93"/>
  <c r="F44" i="93"/>
  <c r="Z24" i="94"/>
  <c r="J33" i="94"/>
  <c r="J52" i="94"/>
  <c r="Z55" i="94"/>
  <c r="Z59" i="94"/>
  <c r="L76" i="92"/>
  <c r="D21" i="93"/>
  <c r="X38" i="93"/>
  <c r="Z38" i="93" s="1"/>
  <c r="N46" i="93"/>
  <c r="X15" i="94"/>
  <c r="Z15" i="94" s="1"/>
  <c r="J23" i="94"/>
  <c r="J29" i="94"/>
  <c r="L80" i="92"/>
  <c r="F17" i="93"/>
  <c r="F37" i="93"/>
  <c r="Z40" i="93"/>
  <c r="J69" i="94"/>
  <c r="J63" i="94"/>
  <c r="J55" i="94"/>
  <c r="J92" i="94"/>
  <c r="J80" i="94"/>
  <c r="J58" i="94"/>
  <c r="J81" i="94"/>
  <c r="J65" i="94"/>
  <c r="J97" i="94"/>
  <c r="J94" i="94"/>
  <c r="J82" i="94"/>
  <c r="J76" i="94"/>
  <c r="J72" i="94"/>
  <c r="J60" i="94"/>
  <c r="J85" i="94"/>
  <c r="J75" i="94"/>
  <c r="J66" i="94"/>
  <c r="J48" i="94"/>
  <c r="J34" i="94"/>
  <c r="H21" i="94"/>
  <c r="J88" i="94"/>
  <c r="J78" i="94"/>
  <c r="J73" i="94"/>
  <c r="J49" i="94"/>
  <c r="J39" i="94"/>
  <c r="J35" i="94"/>
  <c r="J70" i="94"/>
  <c r="J30" i="94"/>
  <c r="J26" i="94"/>
  <c r="J64" i="94"/>
  <c r="J56" i="94"/>
  <c r="J50" i="94"/>
  <c r="J61" i="94"/>
  <c r="J57" i="94"/>
  <c r="J51" i="94"/>
  <c r="J40" i="94"/>
  <c r="J36" i="94"/>
  <c r="N12" i="94"/>
  <c r="J41" i="94"/>
  <c r="J31" i="94"/>
  <c r="J27" i="94"/>
  <c r="J17" i="94"/>
  <c r="J90" i="94"/>
  <c r="J83" i="94"/>
  <c r="J79" i="94"/>
  <c r="J71" i="94"/>
  <c r="J67" i="94"/>
  <c r="J77" i="94"/>
  <c r="J74" i="94"/>
  <c r="J68" i="94"/>
  <c r="J43" i="94"/>
  <c r="J37" i="94"/>
  <c r="J86" i="94"/>
  <c r="J62" i="94"/>
  <c r="J59" i="94"/>
  <c r="J45" i="94"/>
  <c r="J19" i="94"/>
  <c r="L17" i="94"/>
  <c r="N17" i="94" s="1"/>
  <c r="J25" i="94"/>
  <c r="Z41" i="94"/>
  <c r="L32" i="93"/>
  <c r="X23" i="94"/>
  <c r="Z23" i="94" s="1"/>
  <c r="X63" i="94"/>
  <c r="Z63" i="94" s="1"/>
  <c r="J46" i="95"/>
  <c r="J48" i="95"/>
  <c r="Z61" i="95"/>
  <c r="D88" i="95"/>
  <c r="R86" i="95"/>
  <c r="R53" i="95"/>
  <c r="R52" i="95"/>
  <c r="R41" i="95"/>
  <c r="R40" i="95"/>
  <c r="R36" i="95"/>
  <c r="R17" i="95"/>
  <c r="R91" i="95"/>
  <c r="R88" i="95"/>
  <c r="R64" i="95"/>
  <c r="R63" i="95"/>
  <c r="R31" i="95"/>
  <c r="R27" i="95"/>
  <c r="R75" i="95"/>
  <c r="R74" i="95"/>
  <c r="R70" i="95"/>
  <c r="R55" i="95"/>
  <c r="R54" i="95"/>
  <c r="R43" i="95"/>
  <c r="R42" i="95"/>
  <c r="R18" i="95"/>
  <c r="R65" i="95"/>
  <c r="R37" i="95"/>
  <c r="R77" i="95"/>
  <c r="R76" i="95"/>
  <c r="R57" i="95"/>
  <c r="R56" i="95"/>
  <c r="R45" i="95"/>
  <c r="R44" i="95"/>
  <c r="R32" i="95"/>
  <c r="R28" i="95"/>
  <c r="R71" i="95"/>
  <c r="R24" i="95"/>
  <c r="R19" i="95"/>
  <c r="R79" i="95"/>
  <c r="R78" i="95"/>
  <c r="R66" i="95"/>
  <c r="R59" i="95"/>
  <c r="R58" i="95"/>
  <c r="R47" i="95"/>
  <c r="R46" i="95"/>
  <c r="R38" i="95"/>
  <c r="R34" i="95"/>
  <c r="R33" i="95"/>
  <c r="R29" i="95"/>
  <c r="R25" i="95"/>
  <c r="P21" i="95"/>
  <c r="R80" i="95"/>
  <c r="R72" i="95"/>
  <c r="R61" i="95"/>
  <c r="R60" i="95"/>
  <c r="R49" i="95"/>
  <c r="R48" i="95"/>
  <c r="H21" i="95"/>
  <c r="R30" i="95"/>
  <c r="R50" i="95"/>
  <c r="F58" i="95"/>
  <c r="J60" i="95"/>
  <c r="N64" i="95"/>
  <c r="J66" i="95"/>
  <c r="J58" i="95"/>
  <c r="F80" i="95"/>
  <c r="F79" i="95"/>
  <c r="F72" i="95"/>
  <c r="F60" i="95"/>
  <c r="F59" i="95"/>
  <c r="F48" i="95"/>
  <c r="F47" i="95"/>
  <c r="F23" i="95"/>
  <c r="F21" i="95"/>
  <c r="F67" i="95"/>
  <c r="F39" i="95"/>
  <c r="F35" i="95"/>
  <c r="F34" i="95"/>
  <c r="F62" i="95"/>
  <c r="F61" i="95"/>
  <c r="F50" i="95"/>
  <c r="F49" i="95"/>
  <c r="F30" i="95"/>
  <c r="F26" i="95"/>
  <c r="F84" i="95"/>
  <c r="F82" i="95"/>
  <c r="F73" i="95"/>
  <c r="F69" i="95"/>
  <c r="F68" i="95"/>
  <c r="F86" i="95"/>
  <c r="F52" i="95"/>
  <c r="F51" i="95"/>
  <c r="F40" i="95"/>
  <c r="F36" i="95"/>
  <c r="L12" i="95"/>
  <c r="F63" i="95"/>
  <c r="F31" i="95"/>
  <c r="F27" i="95"/>
  <c r="F74" i="95"/>
  <c r="F70" i="95"/>
  <c r="F54" i="95"/>
  <c r="F53" i="95"/>
  <c r="F42" i="95"/>
  <c r="F41" i="95"/>
  <c r="F91" i="95"/>
  <c r="F88" i="95"/>
  <c r="F65" i="95"/>
  <c r="F64" i="95"/>
  <c r="F37" i="95"/>
  <c r="F76" i="95"/>
  <c r="F75" i="95"/>
  <c r="F56" i="95"/>
  <c r="F55" i="95"/>
  <c r="F44" i="95"/>
  <c r="F43" i="95"/>
  <c r="F32" i="95"/>
  <c r="F28" i="95"/>
  <c r="X15" i="95"/>
  <c r="Z15" i="95" s="1"/>
  <c r="N24" i="95"/>
  <c r="L24" i="95"/>
  <c r="J33" i="95"/>
  <c r="R62" i="95"/>
  <c r="R68" i="95"/>
  <c r="N75" i="95"/>
  <c r="J79" i="95"/>
  <c r="X68" i="94"/>
  <c r="T12" i="95"/>
  <c r="X12" i="95" s="1"/>
  <c r="L14" i="95"/>
  <c r="R21" i="95"/>
  <c r="J24" i="95"/>
  <c r="R26" i="95"/>
  <c r="R39" i="95"/>
  <c r="F45" i="95"/>
  <c r="Z68" i="95"/>
  <c r="F71" i="95"/>
  <c r="L79" i="95"/>
  <c r="R82" i="95"/>
  <c r="X34" i="96"/>
  <c r="T31" i="96"/>
  <c r="F17" i="95"/>
  <c r="F29" i="95"/>
  <c r="R73" i="95"/>
  <c r="X80" i="94"/>
  <c r="Z80" i="94" s="1"/>
  <c r="N23" i="95"/>
  <c r="J29" i="95"/>
  <c r="R35" i="95"/>
  <c r="Z41" i="95"/>
  <c r="J47" i="95"/>
  <c r="L57" i="95"/>
  <c r="N57" i="95" s="1"/>
  <c r="Z34" i="96"/>
  <c r="Z14" i="95"/>
  <c r="F19" i="95"/>
  <c r="L47" i="95"/>
  <c r="N47" i="95" s="1"/>
  <c r="F57" i="95"/>
  <c r="N59" i="95"/>
  <c r="R67" i="95"/>
  <c r="R69" i="95"/>
  <c r="F78" i="95"/>
  <c r="J67" i="95"/>
  <c r="J61" i="95"/>
  <c r="J49" i="95"/>
  <c r="J39" i="95"/>
  <c r="J35" i="95"/>
  <c r="J84" i="95"/>
  <c r="J82" i="95"/>
  <c r="J68" i="95"/>
  <c r="J62" i="95"/>
  <c r="J50" i="95"/>
  <c r="J30" i="95"/>
  <c r="J26" i="95"/>
  <c r="J73" i="95"/>
  <c r="J69" i="95"/>
  <c r="J51" i="95"/>
  <c r="J86" i="95"/>
  <c r="J52" i="95"/>
  <c r="J40" i="95"/>
  <c r="J36" i="95"/>
  <c r="N12" i="95"/>
  <c r="J63" i="95"/>
  <c r="J53" i="95"/>
  <c r="J41" i="95"/>
  <c r="J31" i="95"/>
  <c r="J27" i="95"/>
  <c r="J17" i="95"/>
  <c r="J91" i="95"/>
  <c r="J88" i="95"/>
  <c r="J74" i="95"/>
  <c r="J70" i="95"/>
  <c r="J64" i="95"/>
  <c r="J54" i="95"/>
  <c r="J42" i="95"/>
  <c r="J18" i="95"/>
  <c r="J75" i="95"/>
  <c r="J65" i="95"/>
  <c r="J55" i="95"/>
  <c r="J43" i="95"/>
  <c r="J37" i="95"/>
  <c r="J76" i="95"/>
  <c r="J56" i="95"/>
  <c r="J44" i="95"/>
  <c r="J32" i="95"/>
  <c r="J28" i="95"/>
  <c r="J77" i="95"/>
  <c r="J71" i="95"/>
  <c r="J57" i="95"/>
  <c r="J45" i="95"/>
  <c r="J19" i="95"/>
  <c r="Z17" i="95"/>
  <c r="F25" i="95"/>
  <c r="F38" i="95"/>
  <c r="X51" i="95"/>
  <c r="Z51" i="95" s="1"/>
  <c r="J59" i="95"/>
  <c r="J78" i="95"/>
  <c r="J80" i="95"/>
  <c r="R84" i="95"/>
  <c r="T69" i="97"/>
  <c r="H16" i="96"/>
  <c r="L16" i="96" s="1"/>
  <c r="F19" i="96"/>
  <c r="F20" i="96"/>
  <c r="R21" i="96"/>
  <c r="R25" i="96"/>
  <c r="R32" i="96"/>
  <c r="V33" i="96"/>
  <c r="R43" i="96"/>
  <c r="X13" i="97"/>
  <c r="X20" i="97"/>
  <c r="Z20" i="97" s="1"/>
  <c r="F26" i="96"/>
  <c r="F28" i="96"/>
  <c r="F27" i="96"/>
  <c r="F36" i="96"/>
  <c r="F34" i="96"/>
  <c r="F29" i="96"/>
  <c r="F40" i="96"/>
  <c r="V61" i="97"/>
  <c r="V53" i="97"/>
  <c r="V45" i="97"/>
  <c r="V29" i="97"/>
  <c r="V25" i="97"/>
  <c r="V21" i="97"/>
  <c r="V60" i="97"/>
  <c r="V44" i="97"/>
  <c r="V36" i="97"/>
  <c r="V63" i="97"/>
  <c r="V55" i="97"/>
  <c r="V47" i="97"/>
  <c r="V35" i="97"/>
  <c r="V31" i="97"/>
  <c r="V62" i="97"/>
  <c r="V54" i="97"/>
  <c r="V46" i="97"/>
  <c r="V38" i="97"/>
  <c r="V26" i="97"/>
  <c r="V22" i="97"/>
  <c r="V69" i="97"/>
  <c r="V67" i="97"/>
  <c r="V57" i="97"/>
  <c r="V49" i="97"/>
  <c r="V37" i="97"/>
  <c r="V66" i="97"/>
  <c r="V64" i="97"/>
  <c r="V56" i="97"/>
  <c r="V48" i="97"/>
  <c r="V40" i="97"/>
  <c r="V32" i="97"/>
  <c r="V51" i="97"/>
  <c r="V39" i="97"/>
  <c r="V27" i="97"/>
  <c r="V23" i="97"/>
  <c r="V58" i="97"/>
  <c r="V50" i="97"/>
  <c r="V42" i="97"/>
  <c r="V52" i="97"/>
  <c r="V28" i="97"/>
  <c r="V24" i="97"/>
  <c r="V20" i="97"/>
  <c r="V34" i="97"/>
  <c r="V30" i="97"/>
  <c r="V43" i="97"/>
  <c r="V71" i="97"/>
  <c r="J26" i="96"/>
  <c r="J27" i="96"/>
  <c r="J38" i="96"/>
  <c r="J32" i="96"/>
  <c r="F23" i="96"/>
  <c r="R27" i="96"/>
  <c r="J40" i="96"/>
  <c r="Z13" i="97"/>
  <c r="V41" i="97"/>
  <c r="J47" i="97"/>
  <c r="J55" i="97"/>
  <c r="L12" i="96"/>
  <c r="P16" i="96"/>
  <c r="R20" i="96"/>
  <c r="R24" i="96"/>
  <c r="J29" i="96"/>
  <c r="J57" i="97"/>
  <c r="V59" i="97"/>
  <c r="R14" i="96"/>
  <c r="R16" i="96"/>
  <c r="V20" i="96"/>
  <c r="V24" i="96"/>
  <c r="V27" i="96"/>
  <c r="V19" i="97"/>
  <c r="N66" i="97"/>
  <c r="R36" i="96"/>
  <c r="R34" i="96"/>
  <c r="R33" i="96"/>
  <c r="R38" i="96"/>
  <c r="R31" i="96"/>
  <c r="R19" i="96"/>
  <c r="F22" i="96"/>
  <c r="J34" i="96"/>
  <c r="R40" i="96"/>
  <c r="J71" i="97"/>
  <c r="J51" i="97"/>
  <c r="J41" i="97"/>
  <c r="J33" i="97"/>
  <c r="J52" i="97"/>
  <c r="J42" i="97"/>
  <c r="J28" i="97"/>
  <c r="J24" i="97"/>
  <c r="J59" i="97"/>
  <c r="J43" i="97"/>
  <c r="J34" i="97"/>
  <c r="J20" i="97"/>
  <c r="J53" i="97"/>
  <c r="J29" i="97"/>
  <c r="J25" i="97"/>
  <c r="J21" i="97"/>
  <c r="J19" i="97"/>
  <c r="J15" i="97"/>
  <c r="J60" i="97"/>
  <c r="J44" i="97"/>
  <c r="J30" i="97"/>
  <c r="H17" i="97"/>
  <c r="J17" i="97" s="1"/>
  <c r="J61" i="97"/>
  <c r="J45" i="97"/>
  <c r="J35" i="97"/>
  <c r="J31" i="97"/>
  <c r="J62" i="97"/>
  <c r="J54" i="97"/>
  <c r="J46" i="97"/>
  <c r="J36" i="97"/>
  <c r="J26" i="97"/>
  <c r="J22" i="97"/>
  <c r="J64" i="97"/>
  <c r="J56" i="97"/>
  <c r="J48" i="97"/>
  <c r="J38" i="97"/>
  <c r="J32" i="97"/>
  <c r="J66" i="97"/>
  <c r="J58" i="97"/>
  <c r="J50" i="97"/>
  <c r="J40" i="97"/>
  <c r="L36" i="97"/>
  <c r="N38" i="97"/>
  <c r="Z63" i="97"/>
  <c r="J67" i="97"/>
  <c r="V32" i="96"/>
  <c r="V31" i="96"/>
  <c r="V29" i="96"/>
  <c r="V14" i="96"/>
  <c r="V16" i="96"/>
  <c r="V18" i="96"/>
  <c r="R23" i="96"/>
  <c r="R26" i="96"/>
  <c r="R29" i="96"/>
  <c r="F33" i="96"/>
  <c r="F38" i="96"/>
  <c r="V40" i="96"/>
  <c r="L12" i="97"/>
  <c r="N12" i="97" s="1"/>
  <c r="V33" i="97"/>
  <c r="Z51" i="97"/>
  <c r="X12" i="96"/>
  <c r="V19" i="96"/>
  <c r="V23" i="96"/>
  <c r="V26" i="96"/>
  <c r="J28" i="96"/>
  <c r="F32" i="96"/>
  <c r="P12" i="97"/>
  <c r="V15" i="97"/>
  <c r="F23" i="97"/>
  <c r="F27" i="97"/>
  <c r="F38" i="97"/>
  <c r="F39" i="97"/>
  <c r="F36" i="97"/>
  <c r="F37" i="97"/>
  <c r="L67" i="97"/>
  <c r="N67" i="97" s="1"/>
  <c r="D17" i="97"/>
  <c r="F30" i="97"/>
  <c r="F31" i="97"/>
  <c r="F35" i="97"/>
  <c r="F15" i="97"/>
  <c r="F19" i="97"/>
  <c r="F44" i="97"/>
  <c r="F60" i="97"/>
  <c r="F20" i="97"/>
  <c r="F21" i="97"/>
  <c r="F25" i="97"/>
  <c r="F29" i="97"/>
  <c r="F53" i="97"/>
  <c r="F34" i="97"/>
  <c r="F42" i="97"/>
  <c r="F43" i="97"/>
  <c r="F59" i="97"/>
  <c r="F24" i="97"/>
  <c r="F28" i="97"/>
  <c r="F51" i="97"/>
  <c r="F52" i="97"/>
  <c r="F33" i="97"/>
  <c r="F40" i="97"/>
  <c r="F41" i="97"/>
  <c r="X47" i="97"/>
  <c r="Z47" i="97" s="1"/>
  <c r="F66" i="97"/>
  <c r="F71" i="97"/>
  <c r="F49" i="97"/>
  <c r="F50" i="97"/>
  <c r="F57" i="97"/>
  <c r="F58" i="97"/>
  <c r="F67" i="97"/>
  <c r="V43" i="89" l="1"/>
  <c r="V31" i="89"/>
  <c r="V27" i="89"/>
  <c r="V58" i="89"/>
  <c r="V34" i="89"/>
  <c r="V61" i="89"/>
  <c r="V53" i="89"/>
  <c r="V45" i="89"/>
  <c r="V33" i="89"/>
  <c r="V17" i="89"/>
  <c r="V60" i="89"/>
  <c r="V36" i="89"/>
  <c r="V28" i="89"/>
  <c r="V47" i="89"/>
  <c r="V35" i="89"/>
  <c r="V23" i="89"/>
  <c r="V54" i="89"/>
  <c r="V46" i="89"/>
  <c r="V38" i="89"/>
  <c r="V22" i="89"/>
  <c r="V18" i="89"/>
  <c r="V49" i="89"/>
  <c r="V37" i="89"/>
  <c r="V29" i="89"/>
  <c r="V48" i="89"/>
  <c r="V40" i="89"/>
  <c r="V24" i="89"/>
  <c r="V50" i="89"/>
  <c r="V42" i="89"/>
  <c r="V30" i="89"/>
  <c r="V26" i="89"/>
  <c r="V51" i="89"/>
  <c r="V44" i="89"/>
  <c r="V57" i="89"/>
  <c r="T20" i="89"/>
  <c r="V55" i="89"/>
  <c r="V32" i="89"/>
  <c r="V16" i="89"/>
  <c r="V39" i="89"/>
  <c r="V65" i="89"/>
  <c r="V52" i="89"/>
  <c r="V25" i="89"/>
  <c r="V56" i="89"/>
  <c r="V41" i="89"/>
  <c r="H87" i="86"/>
  <c r="F116" i="64"/>
  <c r="F115" i="64"/>
  <c r="F92" i="64"/>
  <c r="F91" i="64"/>
  <c r="F72" i="64"/>
  <c r="F68" i="64"/>
  <c r="F64" i="64"/>
  <c r="F60" i="64"/>
  <c r="F56" i="64"/>
  <c r="F52" i="64"/>
  <c r="F51" i="64"/>
  <c r="F103" i="64"/>
  <c r="F102" i="64"/>
  <c r="F87" i="64"/>
  <c r="F86" i="64"/>
  <c r="F121" i="64"/>
  <c r="F119" i="64"/>
  <c r="F110" i="64"/>
  <c r="F94" i="64"/>
  <c r="F93" i="64"/>
  <c r="F123" i="64"/>
  <c r="F118" i="64"/>
  <c r="F76" i="64"/>
  <c r="F74" i="64"/>
  <c r="F69" i="64"/>
  <c r="F65" i="64"/>
  <c r="F61" i="64"/>
  <c r="F57" i="64"/>
  <c r="F53" i="64"/>
  <c r="F104" i="64"/>
  <c r="F96" i="64"/>
  <c r="F95" i="64"/>
  <c r="F88" i="64"/>
  <c r="D74" i="64"/>
  <c r="F111" i="64"/>
  <c r="F83" i="64"/>
  <c r="F79" i="64"/>
  <c r="F128" i="64"/>
  <c r="F125" i="64"/>
  <c r="F106" i="64"/>
  <c r="F105" i="64"/>
  <c r="F70" i="64"/>
  <c r="F66" i="64"/>
  <c r="F62" i="64"/>
  <c r="F58" i="64"/>
  <c r="F54" i="64"/>
  <c r="F97" i="64"/>
  <c r="F89" i="64"/>
  <c r="F112" i="64"/>
  <c r="F84" i="64"/>
  <c r="F80" i="64"/>
  <c r="F107" i="64"/>
  <c r="F99" i="64"/>
  <c r="F98" i="64"/>
  <c r="F71" i="64"/>
  <c r="F67" i="64"/>
  <c r="F63" i="64"/>
  <c r="F59" i="64"/>
  <c r="F55" i="64"/>
  <c r="F114" i="64"/>
  <c r="F113" i="64"/>
  <c r="F90" i="64"/>
  <c r="F108" i="64"/>
  <c r="F101" i="64"/>
  <c r="F85" i="64"/>
  <c r="F82" i="64"/>
  <c r="F77" i="64"/>
  <c r="F109" i="64"/>
  <c r="F100" i="64"/>
  <c r="L12" i="64"/>
  <c r="F78" i="64"/>
  <c r="F81" i="64"/>
  <c r="P70" i="56"/>
  <c r="X16" i="56"/>
  <c r="L17" i="88"/>
  <c r="D46" i="88"/>
  <c r="H50" i="91"/>
  <c r="P87" i="86"/>
  <c r="X20" i="86"/>
  <c r="V52" i="83"/>
  <c r="V44" i="83"/>
  <c r="V16" i="83"/>
  <c r="V63" i="83"/>
  <c r="V51" i="83"/>
  <c r="V43" i="83"/>
  <c r="V35" i="83"/>
  <c r="V62" i="83"/>
  <c r="V58" i="83"/>
  <c r="V46" i="83"/>
  <c r="V30" i="83"/>
  <c r="V26" i="83"/>
  <c r="V65" i="83"/>
  <c r="V53" i="83"/>
  <c r="V45" i="83"/>
  <c r="V17" i="83"/>
  <c r="V64" i="83"/>
  <c r="V48" i="83"/>
  <c r="V36" i="83"/>
  <c r="V32" i="83"/>
  <c r="V69" i="83"/>
  <c r="V59" i="83"/>
  <c r="V47" i="83"/>
  <c r="V31" i="83"/>
  <c r="V27" i="83"/>
  <c r="V23" i="83"/>
  <c r="V68" i="83"/>
  <c r="V66" i="83"/>
  <c r="V54" i="83"/>
  <c r="V38" i="83"/>
  <c r="V22" i="83"/>
  <c r="V18" i="83"/>
  <c r="V49" i="83"/>
  <c r="V37" i="83"/>
  <c r="V33" i="83"/>
  <c r="T20" i="83"/>
  <c r="V20" i="83" s="1"/>
  <c r="V73" i="83"/>
  <c r="V61" i="83"/>
  <c r="V57" i="83"/>
  <c r="V42" i="83"/>
  <c r="V55" i="83"/>
  <c r="V40" i="83"/>
  <c r="V56" i="83"/>
  <c r="V34" i="83"/>
  <c r="V28" i="83"/>
  <c r="V41" i="83"/>
  <c r="V29" i="83"/>
  <c r="V60" i="83"/>
  <c r="V25" i="83"/>
  <c r="V50" i="83"/>
  <c r="V39" i="83"/>
  <c r="V24" i="83"/>
  <c r="P74" i="74"/>
  <c r="X20" i="74"/>
  <c r="F42" i="72"/>
  <c r="F41" i="72"/>
  <c r="F22" i="72"/>
  <c r="F18" i="72"/>
  <c r="F17" i="72"/>
  <c r="F53" i="72"/>
  <c r="F52" i="72"/>
  <c r="F37" i="72"/>
  <c r="F44" i="72"/>
  <c r="F43" i="72"/>
  <c r="F32" i="72"/>
  <c r="F28" i="72"/>
  <c r="F27" i="72"/>
  <c r="F65" i="72"/>
  <c r="F63" i="72"/>
  <c r="F54" i="72"/>
  <c r="F46" i="72"/>
  <c r="F45" i="72"/>
  <c r="F38" i="72"/>
  <c r="D24" i="72"/>
  <c r="F67" i="72"/>
  <c r="F62" i="72"/>
  <c r="F33" i="72"/>
  <c r="F29" i="72"/>
  <c r="F61" i="72"/>
  <c r="F56" i="72"/>
  <c r="F55" i="72"/>
  <c r="F20" i="72"/>
  <c r="F58" i="72"/>
  <c r="F49" i="72"/>
  <c r="F48" i="72"/>
  <c r="F21" i="72"/>
  <c r="F51" i="72"/>
  <c r="F50" i="72"/>
  <c r="F19" i="72"/>
  <c r="F69" i="72"/>
  <c r="F36" i="72"/>
  <c r="F24" i="72"/>
  <c r="F60" i="72"/>
  <c r="F40" i="72"/>
  <c r="F47" i="72"/>
  <c r="F34" i="72"/>
  <c r="F30" i="72"/>
  <c r="F31" i="72"/>
  <c r="F26" i="72"/>
  <c r="F59" i="72"/>
  <c r="F35" i="72"/>
  <c r="F72" i="72"/>
  <c r="F39" i="72"/>
  <c r="L12" i="72"/>
  <c r="J119" i="77"/>
  <c r="J113" i="77"/>
  <c r="J107" i="77"/>
  <c r="J101" i="77"/>
  <c r="J91" i="77"/>
  <c r="J81" i="77"/>
  <c r="J69" i="77"/>
  <c r="J65" i="77"/>
  <c r="J120" i="77"/>
  <c r="J108" i="77"/>
  <c r="J92" i="77"/>
  <c r="J82" i="77"/>
  <c r="J56" i="77"/>
  <c r="J52" i="77"/>
  <c r="J48" i="77"/>
  <c r="J44" i="77"/>
  <c r="J121" i="77"/>
  <c r="J93" i="77"/>
  <c r="J83" i="77"/>
  <c r="J75" i="77"/>
  <c r="J122" i="77"/>
  <c r="J114" i="77"/>
  <c r="J102" i="77"/>
  <c r="J94" i="77"/>
  <c r="J84" i="77"/>
  <c r="J70" i="77"/>
  <c r="J66" i="77"/>
  <c r="J40" i="77"/>
  <c r="J123" i="77"/>
  <c r="J109" i="77"/>
  <c r="J103" i="77"/>
  <c r="J95" i="77"/>
  <c r="J85" i="77"/>
  <c r="J71" i="77"/>
  <c r="J57" i="77"/>
  <c r="J53" i="77"/>
  <c r="J49" i="77"/>
  <c r="J45" i="77"/>
  <c r="J41" i="77"/>
  <c r="J124" i="77"/>
  <c r="J110" i="77"/>
  <c r="J104" i="77"/>
  <c r="J96" i="77"/>
  <c r="J76" i="77"/>
  <c r="J72" i="77"/>
  <c r="J62" i="77"/>
  <c r="N12" i="77"/>
  <c r="J115" i="77"/>
  <c r="J111" i="77"/>
  <c r="J97" i="77"/>
  <c r="J67" i="77"/>
  <c r="J63" i="77"/>
  <c r="J61" i="77"/>
  <c r="J59" i="77"/>
  <c r="J128" i="77"/>
  <c r="J126" i="77"/>
  <c r="J98" i="77"/>
  <c r="J86" i="77"/>
  <c r="H59" i="77"/>
  <c r="J54" i="77"/>
  <c r="J50" i="77"/>
  <c r="J46" i="77"/>
  <c r="J42" i="77"/>
  <c r="J135" i="77"/>
  <c r="J132" i="77"/>
  <c r="J118" i="77"/>
  <c r="J106" i="77"/>
  <c r="J64" i="77"/>
  <c r="J112" i="77"/>
  <c r="J90" i="77"/>
  <c r="J74" i="77"/>
  <c r="J116" i="77"/>
  <c r="J68" i="77"/>
  <c r="J43" i="77"/>
  <c r="J130" i="77"/>
  <c r="J88" i="77"/>
  <c r="J100" i="77"/>
  <c r="J79" i="77"/>
  <c r="J47" i="77"/>
  <c r="J55" i="77"/>
  <c r="J51" i="77"/>
  <c r="J105" i="77"/>
  <c r="J89" i="77"/>
  <c r="J87" i="77"/>
  <c r="J80" i="77"/>
  <c r="J78" i="77"/>
  <c r="J117" i="77"/>
  <c r="J73" i="77"/>
  <c r="J77" i="77"/>
  <c r="J99" i="77"/>
  <c r="T82" i="76"/>
  <c r="R129" i="69"/>
  <c r="R128" i="69"/>
  <c r="R116" i="69"/>
  <c r="R131" i="69"/>
  <c r="R130" i="69"/>
  <c r="R112" i="69"/>
  <c r="R93" i="69"/>
  <c r="R125" i="69"/>
  <c r="R122" i="69"/>
  <c r="R106" i="69"/>
  <c r="R102" i="69"/>
  <c r="R136" i="69"/>
  <c r="R135" i="69"/>
  <c r="R113" i="69"/>
  <c r="R103" i="69"/>
  <c r="R97" i="69"/>
  <c r="R94" i="69"/>
  <c r="R132" i="69"/>
  <c r="R110" i="69"/>
  <c r="R98" i="69"/>
  <c r="R89" i="69"/>
  <c r="R85" i="69"/>
  <c r="R137" i="69"/>
  <c r="R117" i="69"/>
  <c r="R107" i="69"/>
  <c r="R76" i="69"/>
  <c r="R72" i="69"/>
  <c r="R68" i="69"/>
  <c r="R64" i="69"/>
  <c r="R60" i="69"/>
  <c r="R56" i="69"/>
  <c r="R126" i="69"/>
  <c r="R123" i="69"/>
  <c r="R114" i="69"/>
  <c r="R111" i="69"/>
  <c r="R108" i="69"/>
  <c r="R99" i="69"/>
  <c r="R95" i="69"/>
  <c r="R120" i="69"/>
  <c r="R100" i="69"/>
  <c r="R91" i="69"/>
  <c r="R90" i="69"/>
  <c r="R86" i="69"/>
  <c r="R138" i="69"/>
  <c r="R118" i="69"/>
  <c r="R104" i="69"/>
  <c r="R82" i="69"/>
  <c r="R77" i="69"/>
  <c r="R73" i="69"/>
  <c r="R69" i="69"/>
  <c r="R65" i="69"/>
  <c r="R105" i="69"/>
  <c r="R96" i="69"/>
  <c r="R74" i="69"/>
  <c r="R70" i="69"/>
  <c r="R66" i="69"/>
  <c r="R62" i="69"/>
  <c r="R58" i="69"/>
  <c r="R54" i="69"/>
  <c r="R121" i="69"/>
  <c r="R92" i="69"/>
  <c r="R52" i="69"/>
  <c r="X12" i="69"/>
  <c r="Z12" i="69" s="1"/>
  <c r="R133" i="69"/>
  <c r="R127" i="69"/>
  <c r="R55" i="69"/>
  <c r="R71" i="69"/>
  <c r="R83" i="69"/>
  <c r="R75" i="69"/>
  <c r="R81" i="69"/>
  <c r="R67" i="69"/>
  <c r="R63" i="69"/>
  <c r="R53" i="69"/>
  <c r="R101" i="69"/>
  <c r="R87" i="69"/>
  <c r="R61" i="69"/>
  <c r="R109" i="69"/>
  <c r="R115" i="69"/>
  <c r="R59" i="69"/>
  <c r="R142" i="69"/>
  <c r="R84" i="69"/>
  <c r="R119" i="69"/>
  <c r="R57" i="69"/>
  <c r="R88" i="69"/>
  <c r="P79" i="69"/>
  <c r="R79" i="69" s="1"/>
  <c r="R124" i="69"/>
  <c r="V82" i="68"/>
  <c r="V74" i="68"/>
  <c r="V66" i="68"/>
  <c r="V86" i="68"/>
  <c r="V84" i="68"/>
  <c r="V76" i="68"/>
  <c r="V48" i="68"/>
  <c r="V44" i="68"/>
  <c r="V40" i="68"/>
  <c r="V36" i="68"/>
  <c r="V75" i="68"/>
  <c r="V67" i="68"/>
  <c r="V78" i="68"/>
  <c r="V62" i="68"/>
  <c r="V58" i="68"/>
  <c r="V77" i="68"/>
  <c r="V69" i="68"/>
  <c r="V49" i="68"/>
  <c r="V45" i="68"/>
  <c r="V41" i="68"/>
  <c r="V37" i="68"/>
  <c r="V68" i="68"/>
  <c r="Z12" i="68"/>
  <c r="V90" i="68"/>
  <c r="V79" i="68"/>
  <c r="V71" i="68"/>
  <c r="V63" i="68"/>
  <c r="V59" i="68"/>
  <c r="V55" i="68"/>
  <c r="V81" i="68"/>
  <c r="V65" i="68"/>
  <c r="T52" i="68"/>
  <c r="V80" i="68"/>
  <c r="V72" i="68"/>
  <c r="V64" i="68"/>
  <c r="V60" i="68"/>
  <c r="V56" i="68"/>
  <c r="V83" i="68"/>
  <c r="V47" i="68"/>
  <c r="V43" i="68"/>
  <c r="V39" i="68"/>
  <c r="V35" i="68"/>
  <c r="V52" i="68"/>
  <c r="V42" i="68"/>
  <c r="V50" i="68"/>
  <c r="V57" i="68"/>
  <c r="V73" i="68"/>
  <c r="V54" i="68"/>
  <c r="V38" i="68"/>
  <c r="V70" i="68"/>
  <c r="V46" i="68"/>
  <c r="V61" i="68"/>
  <c r="V120" i="66"/>
  <c r="V114" i="66"/>
  <c r="V82" i="66"/>
  <c r="V78" i="66"/>
  <c r="V119" i="66"/>
  <c r="V101" i="66"/>
  <c r="V93" i="66"/>
  <c r="V85" i="66"/>
  <c r="V73" i="66"/>
  <c r="V69" i="66"/>
  <c r="V65" i="66"/>
  <c r="V118" i="66"/>
  <c r="V116" i="66"/>
  <c r="V108" i="66"/>
  <c r="V84" i="66"/>
  <c r="V64" i="66"/>
  <c r="V60" i="66"/>
  <c r="V56" i="66"/>
  <c r="V52" i="66"/>
  <c r="V48" i="66"/>
  <c r="V44" i="66"/>
  <c r="V125" i="66"/>
  <c r="V103" i="66"/>
  <c r="V95" i="66"/>
  <c r="V79" i="66"/>
  <c r="V75" i="66"/>
  <c r="T62" i="66"/>
  <c r="V110" i="66"/>
  <c r="V102" i="66"/>
  <c r="V94" i="66"/>
  <c r="V86" i="66"/>
  <c r="V74" i="66"/>
  <c r="V70" i="66"/>
  <c r="V66" i="66"/>
  <c r="V109" i="66"/>
  <c r="V97" i="66"/>
  <c r="V57" i="66"/>
  <c r="V53" i="66"/>
  <c r="V49" i="66"/>
  <c r="V45" i="66"/>
  <c r="V104" i="66"/>
  <c r="V96" i="66"/>
  <c r="V88" i="66"/>
  <c r="V80" i="66"/>
  <c r="V76" i="66"/>
  <c r="V111" i="66"/>
  <c r="V87" i="66"/>
  <c r="V71" i="66"/>
  <c r="V67" i="66"/>
  <c r="V106" i="66"/>
  <c r="V98" i="66"/>
  <c r="V90" i="66"/>
  <c r="V58" i="66"/>
  <c r="V54" i="66"/>
  <c r="V50" i="66"/>
  <c r="V46" i="66"/>
  <c r="V113" i="66"/>
  <c r="V105" i="66"/>
  <c r="V89" i="66"/>
  <c r="V81" i="66"/>
  <c r="V77" i="66"/>
  <c r="V112" i="66"/>
  <c r="V100" i="66"/>
  <c r="V92" i="66"/>
  <c r="V72" i="66"/>
  <c r="V68" i="66"/>
  <c r="V83" i="66"/>
  <c r="V59" i="66"/>
  <c r="V121" i="66"/>
  <c r="V115" i="66"/>
  <c r="V47" i="66"/>
  <c r="V91" i="66"/>
  <c r="V55" i="66"/>
  <c r="V43" i="66"/>
  <c r="V99" i="66"/>
  <c r="V107" i="66"/>
  <c r="V51" i="66"/>
  <c r="T70" i="56"/>
  <c r="Z16" i="56"/>
  <c r="F121" i="39"/>
  <c r="F113" i="39"/>
  <c r="F109" i="39"/>
  <c r="F105" i="39"/>
  <c r="F104" i="39"/>
  <c r="F93" i="39"/>
  <c r="F92" i="39"/>
  <c r="F77" i="39"/>
  <c r="F76" i="39"/>
  <c r="F36" i="39"/>
  <c r="F34" i="39"/>
  <c r="F88" i="39"/>
  <c r="F87" i="39"/>
  <c r="F68" i="39"/>
  <c r="F67" i="39"/>
  <c r="F60" i="39"/>
  <c r="F59" i="39"/>
  <c r="F52" i="39"/>
  <c r="F48" i="39"/>
  <c r="F47" i="39"/>
  <c r="D34" i="39"/>
  <c r="L12" i="39"/>
  <c r="N12" i="39" s="1"/>
  <c r="F99" i="39"/>
  <c r="F43" i="39"/>
  <c r="F39" i="39"/>
  <c r="F122" i="39"/>
  <c r="F114" i="39"/>
  <c r="F110" i="39"/>
  <c r="F106" i="39"/>
  <c r="F94" i="39"/>
  <c r="F78" i="39"/>
  <c r="F70" i="39"/>
  <c r="F69" i="39"/>
  <c r="F62" i="39"/>
  <c r="F61" i="39"/>
  <c r="F89" i="39"/>
  <c r="F53" i="39"/>
  <c r="F49" i="39"/>
  <c r="F129" i="39"/>
  <c r="F124" i="39"/>
  <c r="F123" i="39"/>
  <c r="F116" i="39"/>
  <c r="F115" i="39"/>
  <c r="F100" i="39"/>
  <c r="F96" i="39"/>
  <c r="F95" i="39"/>
  <c r="F80" i="39"/>
  <c r="F79" i="39"/>
  <c r="F72" i="39"/>
  <c r="F71" i="39"/>
  <c r="F44" i="39"/>
  <c r="F40" i="39"/>
  <c r="F133" i="39"/>
  <c r="F128" i="39"/>
  <c r="F111" i="39"/>
  <c r="F107" i="39"/>
  <c r="F63" i="39"/>
  <c r="F127" i="39"/>
  <c r="F118" i="39"/>
  <c r="F117" i="39"/>
  <c r="F102" i="39"/>
  <c r="F101" i="39"/>
  <c r="F90" i="39"/>
  <c r="F82" i="39"/>
  <c r="F81" i="39"/>
  <c r="F74" i="39"/>
  <c r="F73" i="39"/>
  <c r="F54" i="39"/>
  <c r="F50" i="39"/>
  <c r="F126" i="39"/>
  <c r="F97" i="39"/>
  <c r="F45" i="39"/>
  <c r="F41" i="39"/>
  <c r="F98" i="39"/>
  <c r="F86" i="39"/>
  <c r="F85" i="39"/>
  <c r="F66" i="39"/>
  <c r="F65" i="39"/>
  <c r="F58" i="39"/>
  <c r="F57" i="39"/>
  <c r="F46" i="39"/>
  <c r="F42" i="39"/>
  <c r="F38" i="39"/>
  <c r="F37" i="39"/>
  <c r="F112" i="39"/>
  <c r="F75" i="39"/>
  <c r="F31" i="39"/>
  <c r="F83" i="39"/>
  <c r="F56" i="39"/>
  <c r="F120" i="39"/>
  <c r="F91" i="39"/>
  <c r="F64" i="39"/>
  <c r="F108" i="39"/>
  <c r="F30" i="39"/>
  <c r="F84" i="39"/>
  <c r="F55" i="39"/>
  <c r="F32" i="39"/>
  <c r="F51" i="39"/>
  <c r="F119" i="39"/>
  <c r="F103" i="39"/>
  <c r="L202" i="3"/>
  <c r="D321" i="3"/>
  <c r="T27" i="100"/>
  <c r="Z18" i="100"/>
  <c r="T27" i="98"/>
  <c r="Z18" i="98"/>
  <c r="X18" i="35"/>
  <c r="P27" i="35"/>
  <c r="H27" i="34"/>
  <c r="N18" i="34"/>
  <c r="D69" i="97"/>
  <c r="L17" i="97"/>
  <c r="V75" i="95"/>
  <c r="V63" i="95"/>
  <c r="V55" i="95"/>
  <c r="V43" i="95"/>
  <c r="V31" i="95"/>
  <c r="V27" i="95"/>
  <c r="V74" i="95"/>
  <c r="V70" i="95"/>
  <c r="V54" i="95"/>
  <c r="V42" i="95"/>
  <c r="V77" i="95"/>
  <c r="V65" i="95"/>
  <c r="V57" i="95"/>
  <c r="V45" i="95"/>
  <c r="V37" i="95"/>
  <c r="V76" i="95"/>
  <c r="V56" i="95"/>
  <c r="V44" i="95"/>
  <c r="V32" i="95"/>
  <c r="V28" i="95"/>
  <c r="V24" i="95"/>
  <c r="V79" i="95"/>
  <c r="V71" i="95"/>
  <c r="V59" i="95"/>
  <c r="V47" i="95"/>
  <c r="V23" i="95"/>
  <c r="V19" i="95"/>
  <c r="V78" i="95"/>
  <c r="V66" i="95"/>
  <c r="V58" i="95"/>
  <c r="V46" i="95"/>
  <c r="V38" i="95"/>
  <c r="V34" i="95"/>
  <c r="T21" i="95"/>
  <c r="V21" i="95" s="1"/>
  <c r="V61" i="95"/>
  <c r="V49" i="95"/>
  <c r="V33" i="95"/>
  <c r="V29" i="95"/>
  <c r="V25" i="95"/>
  <c r="V82" i="95"/>
  <c r="V80" i="95"/>
  <c r="V72" i="95"/>
  <c r="V68" i="95"/>
  <c r="V60" i="95"/>
  <c r="V48" i="95"/>
  <c r="V67" i="95"/>
  <c r="V51" i="95"/>
  <c r="V39" i="95"/>
  <c r="V35" i="95"/>
  <c r="V69" i="95"/>
  <c r="V41" i="95"/>
  <c r="V73" i="95"/>
  <c r="V26" i="95"/>
  <c r="Z12" i="95"/>
  <c r="V64" i="95"/>
  <c r="V62" i="95"/>
  <c r="V18" i="95"/>
  <c r="V52" i="95"/>
  <c r="V50" i="95"/>
  <c r="V30" i="95"/>
  <c r="V36" i="95"/>
  <c r="V53" i="95"/>
  <c r="V86" i="95"/>
  <c r="V40" i="95"/>
  <c r="V17" i="95"/>
  <c r="X31" i="96"/>
  <c r="Z31" i="96" s="1"/>
  <c r="H51" i="93"/>
  <c r="D92" i="85"/>
  <c r="T46" i="88"/>
  <c r="T97" i="81"/>
  <c r="X97" i="81" s="1"/>
  <c r="Z16" i="81"/>
  <c r="T83" i="79"/>
  <c r="X20" i="76"/>
  <c r="Z20" i="76" s="1"/>
  <c r="P82" i="76"/>
  <c r="V109" i="77"/>
  <c r="V97" i="77"/>
  <c r="V85" i="77"/>
  <c r="V61" i="77"/>
  <c r="V57" i="77"/>
  <c r="V53" i="77"/>
  <c r="V49" i="77"/>
  <c r="V45" i="77"/>
  <c r="V41" i="77"/>
  <c r="V126" i="77"/>
  <c r="V124" i="77"/>
  <c r="V104" i="77"/>
  <c r="V96" i="77"/>
  <c r="V76" i="77"/>
  <c r="V72" i="77"/>
  <c r="T59" i="77"/>
  <c r="Z12" i="77"/>
  <c r="V115" i="77"/>
  <c r="V111" i="77"/>
  <c r="V99" i="77"/>
  <c r="V87" i="77"/>
  <c r="V67" i="77"/>
  <c r="V63" i="77"/>
  <c r="V98" i="77"/>
  <c r="V86" i="77"/>
  <c r="V78" i="77"/>
  <c r="V54" i="77"/>
  <c r="V50" i="77"/>
  <c r="V46" i="77"/>
  <c r="V42" i="77"/>
  <c r="V117" i="77"/>
  <c r="V105" i="77"/>
  <c r="V89" i="77"/>
  <c r="V77" i="77"/>
  <c r="V73" i="77"/>
  <c r="V130" i="77"/>
  <c r="V116" i="77"/>
  <c r="V112" i="77"/>
  <c r="V100" i="77"/>
  <c r="V88" i="77"/>
  <c r="V80" i="77"/>
  <c r="V68" i="77"/>
  <c r="V64" i="77"/>
  <c r="V119" i="77"/>
  <c r="V107" i="77"/>
  <c r="V91" i="77"/>
  <c r="V79" i="77"/>
  <c r="V55" i="77"/>
  <c r="V51" i="77"/>
  <c r="V47" i="77"/>
  <c r="V43" i="77"/>
  <c r="V118" i="77"/>
  <c r="V106" i="77"/>
  <c r="V90" i="77"/>
  <c r="V82" i="77"/>
  <c r="V74" i="77"/>
  <c r="V122" i="77"/>
  <c r="V114" i="77"/>
  <c r="V110" i="77"/>
  <c r="V93" i="77"/>
  <c r="V81" i="77"/>
  <c r="V66" i="77"/>
  <c r="V84" i="77"/>
  <c r="V102" i="77"/>
  <c r="V70" i="77"/>
  <c r="V113" i="77"/>
  <c r="V103" i="77"/>
  <c r="V75" i="77"/>
  <c r="V71" i="77"/>
  <c r="V65" i="77"/>
  <c r="V40" i="77"/>
  <c r="V44" i="77"/>
  <c r="V120" i="77"/>
  <c r="V123" i="77"/>
  <c r="V94" i="77"/>
  <c r="V56" i="77"/>
  <c r="V52" i="77"/>
  <c r="V95" i="77"/>
  <c r="V83" i="77"/>
  <c r="V69" i="77"/>
  <c r="V121" i="77"/>
  <c r="V62" i="77"/>
  <c r="V108" i="77"/>
  <c r="V101" i="77"/>
  <c r="V92" i="77"/>
  <c r="V48" i="77"/>
  <c r="P27" i="75"/>
  <c r="T58" i="63"/>
  <c r="Z16" i="63"/>
  <c r="D109" i="62"/>
  <c r="H73" i="58"/>
  <c r="N16" i="58"/>
  <c r="F116" i="51"/>
  <c r="F111" i="51"/>
  <c r="F106" i="51"/>
  <c r="F105" i="51"/>
  <c r="F109" i="51"/>
  <c r="F84" i="51"/>
  <c r="F94" i="51"/>
  <c r="F86" i="51"/>
  <c r="F85" i="51"/>
  <c r="F100" i="51"/>
  <c r="F96" i="51"/>
  <c r="F95" i="51"/>
  <c r="F88" i="51"/>
  <c r="F87" i="51"/>
  <c r="F112" i="51"/>
  <c r="F91" i="51"/>
  <c r="F83" i="51"/>
  <c r="F102" i="51"/>
  <c r="F66" i="51"/>
  <c r="F62" i="51"/>
  <c r="F77" i="51"/>
  <c r="F76" i="51"/>
  <c r="F53" i="51"/>
  <c r="F49" i="51"/>
  <c r="F45" i="51"/>
  <c r="F41" i="51"/>
  <c r="F97" i="51"/>
  <c r="F72" i="51"/>
  <c r="L12" i="51"/>
  <c r="F103" i="51"/>
  <c r="F79" i="51"/>
  <c r="F78" i="51"/>
  <c r="F67" i="51"/>
  <c r="F63" i="51"/>
  <c r="F54" i="51"/>
  <c r="F50" i="51"/>
  <c r="F46" i="51"/>
  <c r="F42" i="51"/>
  <c r="F81" i="51"/>
  <c r="F80" i="51"/>
  <c r="F73" i="51"/>
  <c r="F110" i="51"/>
  <c r="F98" i="51"/>
  <c r="F68" i="51"/>
  <c r="F64" i="51"/>
  <c r="F104" i="51"/>
  <c r="F89" i="51"/>
  <c r="F82" i="51"/>
  <c r="F55" i="51"/>
  <c r="F51" i="51"/>
  <c r="F47" i="51"/>
  <c r="F43" i="51"/>
  <c r="F101" i="51"/>
  <c r="F92" i="51"/>
  <c r="F74" i="51"/>
  <c r="F90" i="51"/>
  <c r="F75" i="51"/>
  <c r="F71" i="51"/>
  <c r="F70" i="51"/>
  <c r="D57" i="51"/>
  <c r="F57" i="51" s="1"/>
  <c r="F99" i="51"/>
  <c r="F60" i="51"/>
  <c r="F65" i="51"/>
  <c r="F40" i="51"/>
  <c r="F108" i="51"/>
  <c r="F44" i="51"/>
  <c r="F59" i="51"/>
  <c r="F48" i="51"/>
  <c r="F69" i="51"/>
  <c r="F61" i="51"/>
  <c r="F52" i="51"/>
  <c r="F93" i="51"/>
  <c r="F39" i="51"/>
  <c r="P77" i="57"/>
  <c r="T69" i="48"/>
  <c r="Z16" i="54"/>
  <c r="T22" i="54"/>
  <c r="J115" i="42"/>
  <c r="J107" i="42"/>
  <c r="J103" i="42"/>
  <c r="J99" i="42"/>
  <c r="J87" i="42"/>
  <c r="J124" i="42"/>
  <c r="J122" i="42"/>
  <c r="J116" i="42"/>
  <c r="J108" i="42"/>
  <c r="J88" i="42"/>
  <c r="J82" i="42"/>
  <c r="J72" i="42"/>
  <c r="J62" i="42"/>
  <c r="J54" i="42"/>
  <c r="J46" i="42"/>
  <c r="J42" i="42"/>
  <c r="J121" i="42"/>
  <c r="J117" i="42"/>
  <c r="J109" i="42"/>
  <c r="J93" i="42"/>
  <c r="J89" i="42"/>
  <c r="J73" i="42"/>
  <c r="J63" i="42"/>
  <c r="J55" i="42"/>
  <c r="J37" i="42"/>
  <c r="J33" i="42"/>
  <c r="J126" i="42"/>
  <c r="J120" i="42"/>
  <c r="J110" i="42"/>
  <c r="J104" i="42"/>
  <c r="J100" i="42"/>
  <c r="J94" i="42"/>
  <c r="J74" i="42"/>
  <c r="J64" i="42"/>
  <c r="J56" i="42"/>
  <c r="J119" i="42"/>
  <c r="J111" i="42"/>
  <c r="J95" i="42"/>
  <c r="J83" i="42"/>
  <c r="J75" i="42"/>
  <c r="J65" i="42"/>
  <c r="J131" i="42"/>
  <c r="J128" i="42"/>
  <c r="J112" i="42"/>
  <c r="J90" i="42"/>
  <c r="J76" i="42"/>
  <c r="J66" i="42"/>
  <c r="J38" i="42"/>
  <c r="J34" i="42"/>
  <c r="J24" i="42"/>
  <c r="J113" i="42"/>
  <c r="J105" i="42"/>
  <c r="J101" i="42"/>
  <c r="J77" i="42"/>
  <c r="J67" i="42"/>
  <c r="J57" i="42"/>
  <c r="J97" i="42"/>
  <c r="J91" i="42"/>
  <c r="J85" i="42"/>
  <c r="J79" i="42"/>
  <c r="J114" i="42"/>
  <c r="J106" i="42"/>
  <c r="J102" i="42"/>
  <c r="J98" i="42"/>
  <c r="J86" i="42"/>
  <c r="J80" i="42"/>
  <c r="J70" i="42"/>
  <c r="J58" i="42"/>
  <c r="J50" i="42"/>
  <c r="J26" i="42"/>
  <c r="J92" i="42"/>
  <c r="J60" i="42"/>
  <c r="J52" i="42"/>
  <c r="J40" i="42"/>
  <c r="J36" i="42"/>
  <c r="J96" i="42"/>
  <c r="J53" i="42"/>
  <c r="J32" i="42"/>
  <c r="J47" i="42"/>
  <c r="J61" i="42"/>
  <c r="J51" i="42"/>
  <c r="J84" i="42"/>
  <c r="J68" i="42"/>
  <c r="J45" i="42"/>
  <c r="J28" i="42"/>
  <c r="J59" i="42"/>
  <c r="J43" i="42"/>
  <c r="H28" i="42"/>
  <c r="J25" i="42"/>
  <c r="J41" i="42"/>
  <c r="J71" i="42"/>
  <c r="J69" i="42"/>
  <c r="J48" i="42"/>
  <c r="J35" i="42"/>
  <c r="J30" i="42"/>
  <c r="N12" i="42"/>
  <c r="J78" i="42"/>
  <c r="J44" i="42"/>
  <c r="J39" i="42"/>
  <c r="J81" i="42"/>
  <c r="J31" i="42"/>
  <c r="J49" i="42"/>
  <c r="P168" i="30"/>
  <c r="X88" i="30"/>
  <c r="L163" i="30"/>
  <c r="H91" i="9"/>
  <c r="N16" i="9"/>
  <c r="P26" i="6"/>
  <c r="X18" i="100"/>
  <c r="P27" i="100"/>
  <c r="P27" i="52"/>
  <c r="X18" i="52"/>
  <c r="X18" i="49"/>
  <c r="P27" i="49"/>
  <c r="L18" i="50"/>
  <c r="D27" i="50"/>
  <c r="P27" i="46"/>
  <c r="X18" i="46"/>
  <c r="T27" i="46"/>
  <c r="Z18" i="46"/>
  <c r="P27" i="38"/>
  <c r="X18" i="38"/>
  <c r="T27" i="31"/>
  <c r="Z18" i="31"/>
  <c r="H27" i="26"/>
  <c r="N18" i="26"/>
  <c r="D27" i="25"/>
  <c r="L18" i="25"/>
  <c r="L18" i="19"/>
  <c r="D27" i="19"/>
  <c r="L18" i="17"/>
  <c r="D27" i="17"/>
  <c r="X18" i="10"/>
  <c r="P27" i="10"/>
  <c r="H27" i="11"/>
  <c r="N18" i="11"/>
  <c r="H84" i="95"/>
  <c r="H70" i="57"/>
  <c r="N16" i="57"/>
  <c r="T27" i="37"/>
  <c r="Z18" i="37"/>
  <c r="H101" i="81"/>
  <c r="N16" i="96"/>
  <c r="H36" i="96"/>
  <c r="L16" i="91"/>
  <c r="D46" i="91"/>
  <c r="L20" i="84"/>
  <c r="D77" i="84"/>
  <c r="R80" i="70"/>
  <c r="R79" i="70"/>
  <c r="R59" i="70"/>
  <c r="R43" i="70"/>
  <c r="R39" i="70"/>
  <c r="R84" i="70"/>
  <c r="R81" i="70"/>
  <c r="R73" i="70"/>
  <c r="R50" i="70"/>
  <c r="R49" i="70"/>
  <c r="R83" i="70"/>
  <c r="R69" i="70"/>
  <c r="R68" i="70"/>
  <c r="R61" i="70"/>
  <c r="R60" i="70"/>
  <c r="R45" i="70"/>
  <c r="R44" i="70"/>
  <c r="R40" i="70"/>
  <c r="R88" i="70"/>
  <c r="R74" i="70"/>
  <c r="R70" i="70"/>
  <c r="R63" i="70"/>
  <c r="R62" i="70"/>
  <c r="R46" i="70"/>
  <c r="R35" i="70"/>
  <c r="R33" i="70"/>
  <c r="R31" i="70"/>
  <c r="R54" i="70"/>
  <c r="R53" i="70"/>
  <c r="R41" i="70"/>
  <c r="R37" i="70"/>
  <c r="P33" i="70"/>
  <c r="R66" i="70"/>
  <c r="R77" i="70"/>
  <c r="R72" i="70"/>
  <c r="R78" i="70"/>
  <c r="R67" i="70"/>
  <c r="R64" i="70"/>
  <c r="R57" i="70"/>
  <c r="R51" i="70"/>
  <c r="R48" i="70"/>
  <c r="R58" i="70"/>
  <c r="R75" i="70"/>
  <c r="R52" i="70"/>
  <c r="R55" i="70"/>
  <c r="R56" i="70"/>
  <c r="R36" i="70"/>
  <c r="X12" i="70"/>
  <c r="R47" i="70"/>
  <c r="R42" i="70"/>
  <c r="R65" i="70"/>
  <c r="R71" i="70"/>
  <c r="R76" i="70"/>
  <c r="R38" i="70"/>
  <c r="J116" i="71"/>
  <c r="J110" i="71"/>
  <c r="J104" i="71"/>
  <c r="J82" i="71"/>
  <c r="J68" i="71"/>
  <c r="J64" i="71"/>
  <c r="J106" i="71"/>
  <c r="J98" i="71"/>
  <c r="J92" i="71"/>
  <c r="J74" i="71"/>
  <c r="J60" i="71"/>
  <c r="J111" i="71"/>
  <c r="J109" i="71"/>
  <c r="J93" i="71"/>
  <c r="J69" i="71"/>
  <c r="J65" i="71"/>
  <c r="J61" i="71"/>
  <c r="J59" i="71"/>
  <c r="J39" i="71"/>
  <c r="J99" i="71"/>
  <c r="J85" i="71"/>
  <c r="J75" i="71"/>
  <c r="J71" i="71"/>
  <c r="J94" i="71"/>
  <c r="J86" i="71"/>
  <c r="J76" i="71"/>
  <c r="J66" i="71"/>
  <c r="J62" i="71"/>
  <c r="J103" i="71"/>
  <c r="J97" i="71"/>
  <c r="J81" i="71"/>
  <c r="J73" i="71"/>
  <c r="J72" i="71"/>
  <c r="J54" i="71"/>
  <c r="J46" i="71"/>
  <c r="J108" i="71"/>
  <c r="J70" i="71"/>
  <c r="J49" i="71"/>
  <c r="J41" i="71"/>
  <c r="J112" i="71"/>
  <c r="J105" i="71"/>
  <c r="J88" i="71"/>
  <c r="J91" i="71"/>
  <c r="J80" i="71"/>
  <c r="J52" i="71"/>
  <c r="J44" i="71"/>
  <c r="J102" i="71"/>
  <c r="J77" i="71"/>
  <c r="J95" i="71"/>
  <c r="J89" i="71"/>
  <c r="J55" i="71"/>
  <c r="J47" i="71"/>
  <c r="J83" i="71"/>
  <c r="J78" i="71"/>
  <c r="J50" i="71"/>
  <c r="J42" i="71"/>
  <c r="J53" i="71"/>
  <c r="J45" i="71"/>
  <c r="J100" i="71"/>
  <c r="J101" i="71"/>
  <c r="J96" i="71"/>
  <c r="J51" i="71"/>
  <c r="J43" i="71"/>
  <c r="J84" i="71"/>
  <c r="J67" i="71"/>
  <c r="J79" i="71"/>
  <c r="J90" i="71"/>
  <c r="J87" i="71"/>
  <c r="J63" i="71"/>
  <c r="H57" i="71"/>
  <c r="J57" i="71" s="1"/>
  <c r="J40" i="71"/>
  <c r="J48" i="71"/>
  <c r="P68" i="65"/>
  <c r="X20" i="65"/>
  <c r="Z118" i="64"/>
  <c r="L16" i="61"/>
  <c r="D51" i="61"/>
  <c r="T77" i="58"/>
  <c r="L66" i="48"/>
  <c r="N66" i="48" s="1"/>
  <c r="F66" i="48"/>
  <c r="V111" i="42"/>
  <c r="V95" i="42"/>
  <c r="V83" i="42"/>
  <c r="V90" i="42"/>
  <c r="V78" i="42"/>
  <c r="V66" i="42"/>
  <c r="V113" i="42"/>
  <c r="V105" i="42"/>
  <c r="V101" i="42"/>
  <c r="V97" i="42"/>
  <c r="V85" i="42"/>
  <c r="V77" i="42"/>
  <c r="V69" i="42"/>
  <c r="V57" i="42"/>
  <c r="V49" i="42"/>
  <c r="V25" i="42"/>
  <c r="V96" i="42"/>
  <c r="V84" i="42"/>
  <c r="V80" i="42"/>
  <c r="V68" i="42"/>
  <c r="V48" i="42"/>
  <c r="V44" i="42"/>
  <c r="V91" i="42"/>
  <c r="V79" i="42"/>
  <c r="V59" i="42"/>
  <c r="V114" i="42"/>
  <c r="V106" i="42"/>
  <c r="V102" i="42"/>
  <c r="V98" i="42"/>
  <c r="V86" i="42"/>
  <c r="V70" i="42"/>
  <c r="V58" i="42"/>
  <c r="V50" i="42"/>
  <c r="V30" i="42"/>
  <c r="V26" i="42"/>
  <c r="V81" i="42"/>
  <c r="V61" i="42"/>
  <c r="V53" i="42"/>
  <c r="V121" i="42"/>
  <c r="V115" i="42"/>
  <c r="V107" i="42"/>
  <c r="V103" i="42"/>
  <c r="V99" i="42"/>
  <c r="V87" i="42"/>
  <c r="V120" i="42"/>
  <c r="V110" i="42"/>
  <c r="V94" i="42"/>
  <c r="V82" i="42"/>
  <c r="V74" i="42"/>
  <c r="V62" i="42"/>
  <c r="V54" i="42"/>
  <c r="V46" i="42"/>
  <c r="V42" i="42"/>
  <c r="V126" i="42"/>
  <c r="V112" i="42"/>
  <c r="V104" i="42"/>
  <c r="V100" i="42"/>
  <c r="V76" i="42"/>
  <c r="V64" i="42"/>
  <c r="V56" i="42"/>
  <c r="V119" i="42"/>
  <c r="V88" i="42"/>
  <c r="V51" i="42"/>
  <c r="V40" i="42"/>
  <c r="V38" i="42"/>
  <c r="V109" i="42"/>
  <c r="V47" i="42"/>
  <c r="V45" i="42"/>
  <c r="T28" i="42"/>
  <c r="V28" i="42" s="1"/>
  <c r="V122" i="42"/>
  <c r="V41" i="42"/>
  <c r="V93" i="42"/>
  <c r="V117" i="42"/>
  <c r="V43" i="42"/>
  <c r="V108" i="42"/>
  <c r="V73" i="42"/>
  <c r="V71" i="42"/>
  <c r="V55" i="42"/>
  <c r="V35" i="42"/>
  <c r="V33" i="42"/>
  <c r="V31" i="42"/>
  <c r="V75" i="42"/>
  <c r="V52" i="42"/>
  <c r="V39" i="42"/>
  <c r="V37" i="42"/>
  <c r="V116" i="42"/>
  <c r="V92" i="42"/>
  <c r="V89" i="42"/>
  <c r="V65" i="42"/>
  <c r="V36" i="42"/>
  <c r="V34" i="42"/>
  <c r="V32" i="42"/>
  <c r="V63" i="42"/>
  <c r="V24" i="42"/>
  <c r="V67" i="42"/>
  <c r="V72" i="42"/>
  <c r="V60" i="42"/>
  <c r="N285" i="18"/>
  <c r="F102" i="27"/>
  <c r="F101" i="27"/>
  <c r="F94" i="27"/>
  <c r="F93" i="27"/>
  <c r="F74" i="27"/>
  <c r="F70" i="27"/>
  <c r="F122" i="27"/>
  <c r="F117" i="27"/>
  <c r="F116" i="27"/>
  <c r="F109" i="27"/>
  <c r="F85" i="27"/>
  <c r="F84" i="27"/>
  <c r="F61" i="27"/>
  <c r="F57" i="27"/>
  <c r="F53" i="27"/>
  <c r="F49" i="27"/>
  <c r="F45" i="27"/>
  <c r="F44" i="27"/>
  <c r="F126" i="27"/>
  <c r="F121" i="27"/>
  <c r="F80" i="27"/>
  <c r="L12" i="27"/>
  <c r="F120" i="27"/>
  <c r="F103" i="27"/>
  <c r="F95" i="27"/>
  <c r="F87" i="27"/>
  <c r="F86" i="27"/>
  <c r="F75" i="27"/>
  <c r="F71" i="27"/>
  <c r="F67" i="27"/>
  <c r="F66" i="27"/>
  <c r="F119" i="27"/>
  <c r="F110" i="27"/>
  <c r="F65" i="27"/>
  <c r="F63" i="27"/>
  <c r="F58" i="27"/>
  <c r="F54" i="27"/>
  <c r="F50" i="27"/>
  <c r="F46" i="27"/>
  <c r="F105" i="27"/>
  <c r="F104" i="27"/>
  <c r="F97" i="27"/>
  <c r="F96" i="27"/>
  <c r="F81" i="27"/>
  <c r="F77" i="27"/>
  <c r="F76" i="27"/>
  <c r="D63" i="27"/>
  <c r="F112" i="27"/>
  <c r="F111" i="27"/>
  <c r="F88" i="27"/>
  <c r="F72" i="27"/>
  <c r="F68" i="27"/>
  <c r="F106" i="27"/>
  <c r="F90" i="27"/>
  <c r="F89" i="27"/>
  <c r="F82" i="27"/>
  <c r="F78" i="27"/>
  <c r="F115" i="27"/>
  <c r="F114" i="27"/>
  <c r="F83" i="27"/>
  <c r="F79" i="27"/>
  <c r="F52" i="27"/>
  <c r="F113" i="27"/>
  <c r="F47" i="27"/>
  <c r="F73" i="27"/>
  <c r="F56" i="27"/>
  <c r="F108" i="27"/>
  <c r="F92" i="27"/>
  <c r="F100" i="27"/>
  <c r="F98" i="27"/>
  <c r="F51" i="27"/>
  <c r="F60" i="27"/>
  <c r="F69" i="27"/>
  <c r="F55" i="27"/>
  <c r="F107" i="27"/>
  <c r="F91" i="27"/>
  <c r="F59" i="27"/>
  <c r="F99" i="27"/>
  <c r="F48" i="27"/>
  <c r="P105" i="21"/>
  <c r="P27" i="99"/>
  <c r="X18" i="99"/>
  <c r="X18" i="50"/>
  <c r="P27" i="50"/>
  <c r="T27" i="53"/>
  <c r="Z18" i="53"/>
  <c r="T27" i="43"/>
  <c r="Z18" i="43"/>
  <c r="H27" i="44"/>
  <c r="N18" i="44"/>
  <c r="H27" i="43"/>
  <c r="N18" i="43"/>
  <c r="T27" i="47"/>
  <c r="Z18" i="47"/>
  <c r="T27" i="40"/>
  <c r="Z18" i="40"/>
  <c r="X18" i="40"/>
  <c r="P27" i="40"/>
  <c r="D27" i="40"/>
  <c r="L18" i="40"/>
  <c r="X18" i="34"/>
  <c r="P27" i="34"/>
  <c r="X18" i="28"/>
  <c r="P27" i="28"/>
  <c r="D27" i="32"/>
  <c r="L18" i="32"/>
  <c r="P27" i="22"/>
  <c r="X18" i="22"/>
  <c r="T27" i="23"/>
  <c r="Z18" i="23"/>
  <c r="T27" i="16"/>
  <c r="Z18" i="16"/>
  <c r="L18" i="4"/>
  <c r="D27" i="4"/>
  <c r="X18" i="4"/>
  <c r="P27" i="4"/>
  <c r="L18" i="5"/>
  <c r="D27" i="5"/>
  <c r="L18" i="7"/>
  <c r="D27" i="7"/>
  <c r="P46" i="91"/>
  <c r="X16" i="91"/>
  <c r="R107" i="66"/>
  <c r="R100" i="66"/>
  <c r="R99" i="66"/>
  <c r="R92" i="66"/>
  <c r="R91" i="66"/>
  <c r="R59" i="66"/>
  <c r="R55" i="66"/>
  <c r="R51" i="66"/>
  <c r="R47" i="66"/>
  <c r="R121" i="66"/>
  <c r="R115" i="66"/>
  <c r="R114" i="66"/>
  <c r="R83" i="66"/>
  <c r="R82" i="66"/>
  <c r="R78" i="66"/>
  <c r="R43" i="66"/>
  <c r="R120" i="66"/>
  <c r="R101" i="66"/>
  <c r="R93" i="66"/>
  <c r="R73" i="66"/>
  <c r="R69" i="66"/>
  <c r="R119" i="66"/>
  <c r="R116" i="66"/>
  <c r="R108" i="66"/>
  <c r="R85" i="66"/>
  <c r="R84" i="66"/>
  <c r="R65" i="66"/>
  <c r="R60" i="66"/>
  <c r="R56" i="66"/>
  <c r="R52" i="66"/>
  <c r="R48" i="66"/>
  <c r="R44" i="66"/>
  <c r="R125" i="66"/>
  <c r="R118" i="66"/>
  <c r="R79" i="66"/>
  <c r="R64" i="66"/>
  <c r="R103" i="66"/>
  <c r="R102" i="66"/>
  <c r="R95" i="66"/>
  <c r="R94" i="66"/>
  <c r="R86" i="66"/>
  <c r="R75" i="66"/>
  <c r="R74" i="66"/>
  <c r="R70" i="66"/>
  <c r="R66" i="66"/>
  <c r="P62" i="66"/>
  <c r="R110" i="66"/>
  <c r="R109" i="66"/>
  <c r="R57" i="66"/>
  <c r="R53" i="66"/>
  <c r="R49" i="66"/>
  <c r="R45" i="66"/>
  <c r="R104" i="66"/>
  <c r="R97" i="66"/>
  <c r="R96" i="66"/>
  <c r="R80" i="66"/>
  <c r="R76" i="66"/>
  <c r="X12" i="66"/>
  <c r="Z12" i="66" s="1"/>
  <c r="R111" i="66"/>
  <c r="R88" i="66"/>
  <c r="R87" i="66"/>
  <c r="R71" i="66"/>
  <c r="R67" i="66"/>
  <c r="R98" i="66"/>
  <c r="R58" i="66"/>
  <c r="R54" i="66"/>
  <c r="R50" i="66"/>
  <c r="R46" i="66"/>
  <c r="R106" i="66"/>
  <c r="R105" i="66"/>
  <c r="R90" i="66"/>
  <c r="R89" i="66"/>
  <c r="R81" i="66"/>
  <c r="R77" i="66"/>
  <c r="R112" i="66"/>
  <c r="R113" i="66"/>
  <c r="R68" i="66"/>
  <c r="R72" i="66"/>
  <c r="H27" i="52"/>
  <c r="N18" i="52"/>
  <c r="L18" i="37"/>
  <c r="D27" i="37"/>
  <c r="N18" i="35"/>
  <c r="H27" i="35"/>
  <c r="T27" i="32"/>
  <c r="Z18" i="32"/>
  <c r="T27" i="25"/>
  <c r="Z18" i="25"/>
  <c r="L21" i="93"/>
  <c r="N21" i="93" s="1"/>
  <c r="D51" i="93"/>
  <c r="F74" i="90"/>
  <c r="F70" i="90"/>
  <c r="F58" i="90"/>
  <c r="F57" i="90"/>
  <c r="F46" i="90"/>
  <c r="F45" i="90"/>
  <c r="F34" i="90"/>
  <c r="F30" i="90"/>
  <c r="F65" i="90"/>
  <c r="F21" i="90"/>
  <c r="F76" i="90"/>
  <c r="F75" i="90"/>
  <c r="F48" i="90"/>
  <c r="F47" i="90"/>
  <c r="F40" i="90"/>
  <c r="L12" i="90"/>
  <c r="F71" i="90"/>
  <c r="F59" i="90"/>
  <c r="F35" i="90"/>
  <c r="F31" i="90"/>
  <c r="F27" i="90"/>
  <c r="F26" i="90"/>
  <c r="F78" i="90"/>
  <c r="F77" i="90"/>
  <c r="F66" i="90"/>
  <c r="F50" i="90"/>
  <c r="F49" i="90"/>
  <c r="F25" i="90"/>
  <c r="F23" i="90"/>
  <c r="F85" i="90"/>
  <c r="F80" i="90"/>
  <c r="F73" i="90"/>
  <c r="F69" i="90"/>
  <c r="F33" i="90"/>
  <c r="F29" i="90"/>
  <c r="F64" i="90"/>
  <c r="F44" i="90"/>
  <c r="F90" i="90"/>
  <c r="F83" i="90"/>
  <c r="F62" i="90"/>
  <c r="F52" i="90"/>
  <c r="F42" i="90"/>
  <c r="F38" i="90"/>
  <c r="F55" i="90"/>
  <c r="F36" i="90"/>
  <c r="F32" i="90"/>
  <c r="F28" i="90"/>
  <c r="F87" i="90"/>
  <c r="F60" i="90"/>
  <c r="F19" i="90"/>
  <c r="F67" i="90"/>
  <c r="F81" i="90"/>
  <c r="F63" i="90"/>
  <c r="F53" i="90"/>
  <c r="F43" i="90"/>
  <c r="F51" i="90"/>
  <c r="F20" i="90"/>
  <c r="F37" i="90"/>
  <c r="F68" i="90"/>
  <c r="F39" i="90"/>
  <c r="F61" i="90"/>
  <c r="F41" i="90"/>
  <c r="F72" i="90"/>
  <c r="F56" i="90"/>
  <c r="F54" i="90"/>
  <c r="D23" i="90"/>
  <c r="V81" i="94"/>
  <c r="V65" i="94"/>
  <c r="V49" i="94"/>
  <c r="V83" i="94"/>
  <c r="V66" i="94"/>
  <c r="V85" i="94"/>
  <c r="V77" i="94"/>
  <c r="V73" i="94"/>
  <c r="V68" i="94"/>
  <c r="V76" i="94"/>
  <c r="V40" i="94"/>
  <c r="V36" i="94"/>
  <c r="V61" i="94"/>
  <c r="V43" i="94"/>
  <c r="V31" i="94"/>
  <c r="V27" i="94"/>
  <c r="V79" i="94"/>
  <c r="V71" i="94"/>
  <c r="V67" i="94"/>
  <c r="V53" i="94"/>
  <c r="V52" i="94"/>
  <c r="V42" i="94"/>
  <c r="V18" i="94"/>
  <c r="V80" i="94"/>
  <c r="V74" i="94"/>
  <c r="V45" i="94"/>
  <c r="V37" i="94"/>
  <c r="V58" i="94"/>
  <c r="V44" i="94"/>
  <c r="V32" i="94"/>
  <c r="V28" i="94"/>
  <c r="V24" i="94"/>
  <c r="V62" i="94"/>
  <c r="V59" i="94"/>
  <c r="V47" i="94"/>
  <c r="V23" i="94"/>
  <c r="V19" i="94"/>
  <c r="V86" i="94"/>
  <c r="V84" i="94"/>
  <c r="V72" i="94"/>
  <c r="V63" i="94"/>
  <c r="V55" i="94"/>
  <c r="V33" i="94"/>
  <c r="V29" i="94"/>
  <c r="V25" i="94"/>
  <c r="V88" i="94"/>
  <c r="V78" i="94"/>
  <c r="V70" i="94"/>
  <c r="V60" i="94"/>
  <c r="V39" i="94"/>
  <c r="V35" i="94"/>
  <c r="V41" i="94"/>
  <c r="V82" i="94"/>
  <c r="V69" i="94"/>
  <c r="V64" i="94"/>
  <c r="V50" i="94"/>
  <c r="V57" i="94"/>
  <c r="V48" i="94"/>
  <c r="V46" i="94"/>
  <c r="V34" i="94"/>
  <c r="V75" i="94"/>
  <c r="V51" i="94"/>
  <c r="V38" i="94"/>
  <c r="V26" i="94"/>
  <c r="T21" i="94"/>
  <c r="V21" i="94" s="1"/>
  <c r="V92" i="94"/>
  <c r="V30" i="94"/>
  <c r="V56" i="94"/>
  <c r="V54" i="94"/>
  <c r="V17" i="94"/>
  <c r="T53" i="87"/>
  <c r="Z20" i="87"/>
  <c r="L84" i="86"/>
  <c r="J94" i="85"/>
  <c r="J99" i="85"/>
  <c r="J96" i="85"/>
  <c r="J84" i="85"/>
  <c r="J78" i="85"/>
  <c r="J74" i="85"/>
  <c r="J62" i="85"/>
  <c r="J56" i="85"/>
  <c r="J46" i="85"/>
  <c r="J32" i="85"/>
  <c r="J18" i="85"/>
  <c r="J85" i="85"/>
  <c r="J63" i="85"/>
  <c r="J57" i="85"/>
  <c r="J37" i="85"/>
  <c r="J33" i="85"/>
  <c r="J23" i="85"/>
  <c r="J86" i="85"/>
  <c r="J68" i="85"/>
  <c r="J64" i="85"/>
  <c r="J58" i="85"/>
  <c r="J28" i="85"/>
  <c r="J24" i="85"/>
  <c r="J22" i="85"/>
  <c r="J20" i="85"/>
  <c r="J87" i="85"/>
  <c r="J79" i="85"/>
  <c r="J75" i="85"/>
  <c r="J69" i="85"/>
  <c r="J59" i="85"/>
  <c r="J47" i="85"/>
  <c r="H20" i="85"/>
  <c r="J70" i="85"/>
  <c r="J48" i="85"/>
  <c r="J38" i="85"/>
  <c r="J34" i="85"/>
  <c r="J90" i="85"/>
  <c r="J89" i="85"/>
  <c r="J65" i="85"/>
  <c r="J49" i="85"/>
  <c r="J39" i="85"/>
  <c r="J29" i="85"/>
  <c r="J25" i="85"/>
  <c r="J80" i="85"/>
  <c r="J76" i="85"/>
  <c r="J92" i="85"/>
  <c r="J71" i="85"/>
  <c r="J51" i="85"/>
  <c r="J41" i="85"/>
  <c r="J35" i="85"/>
  <c r="J81" i="85"/>
  <c r="J77" i="85"/>
  <c r="J73" i="85"/>
  <c r="J61" i="85"/>
  <c r="J53" i="85"/>
  <c r="J43" i="85"/>
  <c r="J83" i="85"/>
  <c r="J67" i="85"/>
  <c r="J55" i="85"/>
  <c r="J45" i="85"/>
  <c r="J31" i="85"/>
  <c r="J27" i="85"/>
  <c r="J72" i="85"/>
  <c r="J66" i="85"/>
  <c r="J60" i="85"/>
  <c r="J54" i="85"/>
  <c r="J52" i="85"/>
  <c r="J17" i="85"/>
  <c r="J50" i="85"/>
  <c r="J36" i="85"/>
  <c r="J30" i="85"/>
  <c r="J26" i="85"/>
  <c r="J40" i="85"/>
  <c r="J16" i="85"/>
  <c r="J82" i="85"/>
  <c r="J42" i="85"/>
  <c r="N12" i="85"/>
  <c r="J44" i="85"/>
  <c r="T92" i="85"/>
  <c r="Z20" i="85"/>
  <c r="L20" i="82"/>
  <c r="D75" i="82"/>
  <c r="R64" i="82"/>
  <c r="R53" i="82"/>
  <c r="R52" i="82"/>
  <c r="R41" i="82"/>
  <c r="R40" i="82"/>
  <c r="R71" i="82"/>
  <c r="R59" i="82"/>
  <c r="R35" i="82"/>
  <c r="R16" i="82"/>
  <c r="R75" i="82"/>
  <c r="R73" i="82"/>
  <c r="R54" i="82"/>
  <c r="R43" i="82"/>
  <c r="R42" i="82"/>
  <c r="R30" i="82"/>
  <c r="R26" i="82"/>
  <c r="R65" i="82"/>
  <c r="R17" i="82"/>
  <c r="R61" i="82"/>
  <c r="R60" i="82"/>
  <c r="R45" i="82"/>
  <c r="R44" i="82"/>
  <c r="R36" i="82"/>
  <c r="X12" i="82"/>
  <c r="R77" i="82"/>
  <c r="R55" i="82"/>
  <c r="R32" i="82"/>
  <c r="R31" i="82"/>
  <c r="R27" i="82"/>
  <c r="R82" i="82"/>
  <c r="R79" i="82"/>
  <c r="R66" i="82"/>
  <c r="R62" i="82"/>
  <c r="R47" i="82"/>
  <c r="R46" i="82"/>
  <c r="R23" i="82"/>
  <c r="R18" i="82"/>
  <c r="R37" i="82"/>
  <c r="R33" i="82"/>
  <c r="R22" i="82"/>
  <c r="R20" i="82"/>
  <c r="R69" i="82"/>
  <c r="R63" i="82"/>
  <c r="R57" i="82"/>
  <c r="R34" i="82"/>
  <c r="R67" i="82"/>
  <c r="R50" i="82"/>
  <c r="R28" i="82"/>
  <c r="R24" i="82"/>
  <c r="R68" i="82"/>
  <c r="R51" i="82"/>
  <c r="P20" i="82"/>
  <c r="R48" i="82"/>
  <c r="R29" i="82"/>
  <c r="R38" i="82"/>
  <c r="R58" i="82"/>
  <c r="R56" i="82"/>
  <c r="R49" i="82"/>
  <c r="R70" i="82"/>
  <c r="R25" i="82"/>
  <c r="R39" i="82"/>
  <c r="R61" i="83"/>
  <c r="R57" i="83"/>
  <c r="R42" i="83"/>
  <c r="R41" i="83"/>
  <c r="R29" i="83"/>
  <c r="R25" i="83"/>
  <c r="R52" i="83"/>
  <c r="R51" i="83"/>
  <c r="R44" i="83"/>
  <c r="R43" i="83"/>
  <c r="R35" i="83"/>
  <c r="R16" i="83"/>
  <c r="R63" i="83"/>
  <c r="R62" i="83"/>
  <c r="R58" i="83"/>
  <c r="R30" i="83"/>
  <c r="R26" i="83"/>
  <c r="R53" i="83"/>
  <c r="R46" i="83"/>
  <c r="R45" i="83"/>
  <c r="R17" i="83"/>
  <c r="R65" i="83"/>
  <c r="R64" i="83"/>
  <c r="R36" i="83"/>
  <c r="X12" i="83"/>
  <c r="Z12" i="83" s="1"/>
  <c r="R59" i="83"/>
  <c r="R48" i="83"/>
  <c r="R47" i="83"/>
  <c r="R32" i="83"/>
  <c r="R31" i="83"/>
  <c r="R27" i="83"/>
  <c r="R71" i="83"/>
  <c r="R69" i="83"/>
  <c r="R66" i="83"/>
  <c r="R54" i="83"/>
  <c r="R23" i="83"/>
  <c r="R18" i="83"/>
  <c r="R78" i="83"/>
  <c r="R75" i="83"/>
  <c r="R50" i="83"/>
  <c r="P20" i="83"/>
  <c r="R49" i="83"/>
  <c r="R55" i="83"/>
  <c r="R40" i="83"/>
  <c r="R38" i="83"/>
  <c r="R24" i="83"/>
  <c r="R22" i="83"/>
  <c r="R73" i="83"/>
  <c r="R68" i="83"/>
  <c r="R34" i="83"/>
  <c r="R28" i="83"/>
  <c r="R60" i="83"/>
  <c r="R37" i="83"/>
  <c r="R20" i="83"/>
  <c r="R39" i="83"/>
  <c r="R56" i="83"/>
  <c r="R33" i="83"/>
  <c r="H71" i="83"/>
  <c r="V53" i="80"/>
  <c r="V41" i="80"/>
  <c r="V29" i="80"/>
  <c r="V25" i="80"/>
  <c r="V74" i="80"/>
  <c r="V72" i="80"/>
  <c r="V64" i="80"/>
  <c r="V60" i="80"/>
  <c r="V78" i="80"/>
  <c r="V44" i="80"/>
  <c r="V36" i="80"/>
  <c r="V32" i="80"/>
  <c r="V67" i="80"/>
  <c r="V55" i="80"/>
  <c r="V47" i="80"/>
  <c r="V31" i="80"/>
  <c r="V27" i="80"/>
  <c r="V70" i="80"/>
  <c r="V58" i="80"/>
  <c r="V50" i="80"/>
  <c r="V38" i="80"/>
  <c r="V34" i="80"/>
  <c r="V71" i="80"/>
  <c r="V33" i="80"/>
  <c r="V24" i="80"/>
  <c r="V18" i="80"/>
  <c r="V46" i="80"/>
  <c r="V43" i="80"/>
  <c r="V42" i="80"/>
  <c r="V30" i="80"/>
  <c r="V16" i="80"/>
  <c r="V65" i="80"/>
  <c r="V54" i="80"/>
  <c r="V39" i="80"/>
  <c r="V68" i="80"/>
  <c r="V51" i="80"/>
  <c r="V20" i="80"/>
  <c r="V69" i="80"/>
  <c r="V63" i="80"/>
  <c r="T20" i="80"/>
  <c r="V61" i="80"/>
  <c r="V28" i="80"/>
  <c r="V22" i="80"/>
  <c r="V62" i="80"/>
  <c r="V57" i="80"/>
  <c r="V56" i="80"/>
  <c r="V52" i="80"/>
  <c r="V26" i="80"/>
  <c r="V48" i="80"/>
  <c r="V40" i="80"/>
  <c r="V23" i="80"/>
  <c r="V49" i="80"/>
  <c r="V45" i="80"/>
  <c r="V59" i="80"/>
  <c r="V35" i="80"/>
  <c r="V37" i="80"/>
  <c r="V17" i="80"/>
  <c r="V66" i="80"/>
  <c r="T30" i="78"/>
  <c r="N20" i="73"/>
  <c r="H71" i="73"/>
  <c r="Z58" i="72"/>
  <c r="L20" i="73"/>
  <c r="D71" i="73"/>
  <c r="N118" i="66"/>
  <c r="H68" i="65"/>
  <c r="H121" i="64"/>
  <c r="L16" i="58"/>
  <c r="D73" i="58"/>
  <c r="Z108" i="51"/>
  <c r="H74" i="56"/>
  <c r="F92" i="42"/>
  <c r="F115" i="42"/>
  <c r="F107" i="42"/>
  <c r="F103" i="42"/>
  <c r="F99" i="42"/>
  <c r="F87" i="42"/>
  <c r="F71" i="42"/>
  <c r="F82" i="42"/>
  <c r="F62" i="42"/>
  <c r="F61" i="42"/>
  <c r="F54" i="42"/>
  <c r="F53" i="42"/>
  <c r="F46" i="42"/>
  <c r="F42" i="42"/>
  <c r="F41" i="42"/>
  <c r="D28" i="42"/>
  <c r="F122" i="42"/>
  <c r="F117" i="42"/>
  <c r="F116" i="42"/>
  <c r="F109" i="42"/>
  <c r="F108" i="42"/>
  <c r="F93" i="42"/>
  <c r="F89" i="42"/>
  <c r="F88" i="42"/>
  <c r="F73" i="42"/>
  <c r="F72" i="42"/>
  <c r="F37" i="42"/>
  <c r="F33" i="42"/>
  <c r="F126" i="42"/>
  <c r="F121" i="42"/>
  <c r="F104" i="42"/>
  <c r="F100" i="42"/>
  <c r="F64" i="42"/>
  <c r="F63" i="42"/>
  <c r="F120" i="42"/>
  <c r="F111" i="42"/>
  <c r="F110" i="42"/>
  <c r="F95" i="42"/>
  <c r="F94" i="42"/>
  <c r="F83" i="42"/>
  <c r="F75" i="42"/>
  <c r="F74" i="42"/>
  <c r="F47" i="42"/>
  <c r="F43" i="42"/>
  <c r="F119" i="42"/>
  <c r="F90" i="42"/>
  <c r="F66" i="42"/>
  <c r="F65" i="42"/>
  <c r="F96" i="42"/>
  <c r="F84" i="42"/>
  <c r="F91" i="42"/>
  <c r="F79" i="42"/>
  <c r="F78" i="42"/>
  <c r="F39" i="42"/>
  <c r="F35" i="42"/>
  <c r="F81" i="42"/>
  <c r="F80" i="42"/>
  <c r="F45" i="42"/>
  <c r="F55" i="42"/>
  <c r="F49" i="42"/>
  <c r="F44" i="42"/>
  <c r="F31" i="42"/>
  <c r="F26" i="42"/>
  <c r="F105" i="42"/>
  <c r="F76" i="42"/>
  <c r="F70" i="42"/>
  <c r="F67" i="42"/>
  <c r="F60" i="42"/>
  <c r="F50" i="42"/>
  <c r="F34" i="42"/>
  <c r="F102" i="42"/>
  <c r="F86" i="42"/>
  <c r="F58" i="42"/>
  <c r="F56" i="42"/>
  <c r="F38" i="42"/>
  <c r="F36" i="42"/>
  <c r="F40" i="42"/>
  <c r="F32" i="42"/>
  <c r="F113" i="42"/>
  <c r="F24" i="42"/>
  <c r="F97" i="42"/>
  <c r="F68" i="42"/>
  <c r="F51" i="42"/>
  <c r="F106" i="42"/>
  <c r="F77" i="42"/>
  <c r="F28" i="42"/>
  <c r="F25" i="42"/>
  <c r="F101" i="42"/>
  <c r="F59" i="42"/>
  <c r="F57" i="42"/>
  <c r="F85" i="42"/>
  <c r="F112" i="42"/>
  <c r="F114" i="42"/>
  <c r="F30" i="42"/>
  <c r="L12" i="42"/>
  <c r="F98" i="42"/>
  <c r="F52" i="42"/>
  <c r="F48" i="42"/>
  <c r="F69" i="42"/>
  <c r="H131" i="39"/>
  <c r="L93" i="33"/>
  <c r="P270" i="15"/>
  <c r="H22" i="6"/>
  <c r="N16" i="6"/>
  <c r="L18" i="49"/>
  <c r="D27" i="49"/>
  <c r="L18" i="46"/>
  <c r="D27" i="46"/>
  <c r="T27" i="22"/>
  <c r="Z18" i="22"/>
  <c r="X18" i="16"/>
  <c r="P27" i="16"/>
  <c r="L18" i="13"/>
  <c r="D27" i="13"/>
  <c r="X18" i="8"/>
  <c r="P27" i="8"/>
  <c r="H27" i="8"/>
  <c r="N18" i="8"/>
  <c r="L18" i="8"/>
  <c r="D27" i="8"/>
  <c r="X18" i="5"/>
  <c r="P27" i="5"/>
  <c r="T27" i="8"/>
  <c r="Z18" i="8"/>
  <c r="H27" i="5"/>
  <c r="N18" i="5"/>
  <c r="T73" i="97"/>
  <c r="R83" i="92"/>
  <c r="R67" i="92"/>
  <c r="R77" i="92"/>
  <c r="R72" i="92"/>
  <c r="R59" i="92"/>
  <c r="R58" i="92"/>
  <c r="R47" i="92"/>
  <c r="R46" i="92"/>
  <c r="R38" i="92"/>
  <c r="R23" i="92"/>
  <c r="R78" i="92"/>
  <c r="R69" i="92"/>
  <c r="R65" i="92"/>
  <c r="R34" i="92"/>
  <c r="R33" i="92"/>
  <c r="R29" i="92"/>
  <c r="R25" i="92"/>
  <c r="P21" i="92"/>
  <c r="R21" i="92" s="1"/>
  <c r="R60" i="92"/>
  <c r="R49" i="92"/>
  <c r="R48" i="92"/>
  <c r="R73" i="92"/>
  <c r="R79" i="92"/>
  <c r="R66" i="92"/>
  <c r="R51" i="92"/>
  <c r="R50" i="92"/>
  <c r="R30" i="92"/>
  <c r="R26" i="92"/>
  <c r="R70" i="92"/>
  <c r="R61" i="92"/>
  <c r="R80" i="92"/>
  <c r="R53" i="92"/>
  <c r="R52" i="92"/>
  <c r="R41" i="92"/>
  <c r="R40" i="92"/>
  <c r="R36" i="92"/>
  <c r="R17" i="92"/>
  <c r="R57" i="92"/>
  <c r="R44" i="92"/>
  <c r="R76" i="92"/>
  <c r="R68" i="92"/>
  <c r="R55" i="92"/>
  <c r="R39" i="92"/>
  <c r="R37" i="92"/>
  <c r="R32" i="92"/>
  <c r="R74" i="92"/>
  <c r="R64" i="92"/>
  <c r="R42" i="92"/>
  <c r="R35" i="92"/>
  <c r="R87" i="92"/>
  <c r="R45" i="92"/>
  <c r="X12" i="92"/>
  <c r="R71" i="92"/>
  <c r="R63" i="92"/>
  <c r="R56" i="92"/>
  <c r="R18" i="92"/>
  <c r="R75" i="92"/>
  <c r="R31" i="92"/>
  <c r="R24" i="92"/>
  <c r="R81" i="92"/>
  <c r="R28" i="92"/>
  <c r="R54" i="92"/>
  <c r="R19" i="92"/>
  <c r="R62" i="92"/>
  <c r="R43" i="92"/>
  <c r="R27" i="92"/>
  <c r="J79" i="92"/>
  <c r="J87" i="92"/>
  <c r="J71" i="92"/>
  <c r="J62" i="92"/>
  <c r="J54" i="92"/>
  <c r="J81" i="92"/>
  <c r="J68" i="92"/>
  <c r="J63" i="92"/>
  <c r="J55" i="92"/>
  <c r="J43" i="92"/>
  <c r="J37" i="92"/>
  <c r="J75" i="92"/>
  <c r="J64" i="92"/>
  <c r="J56" i="92"/>
  <c r="J44" i="92"/>
  <c r="J32" i="92"/>
  <c r="J28" i="92"/>
  <c r="J76" i="92"/>
  <c r="J57" i="92"/>
  <c r="J45" i="92"/>
  <c r="J19" i="92"/>
  <c r="J83" i="92"/>
  <c r="J77" i="92"/>
  <c r="J72" i="92"/>
  <c r="J69" i="92"/>
  <c r="J58" i="92"/>
  <c r="J65" i="92"/>
  <c r="J59" i="92"/>
  <c r="J47" i="92"/>
  <c r="J33" i="92"/>
  <c r="J29" i="92"/>
  <c r="J25" i="92"/>
  <c r="J23" i="92"/>
  <c r="J21" i="92"/>
  <c r="J78" i="92"/>
  <c r="J60" i="92"/>
  <c r="J48" i="92"/>
  <c r="J73" i="92"/>
  <c r="J49" i="92"/>
  <c r="J39" i="92"/>
  <c r="J35" i="92"/>
  <c r="J46" i="92"/>
  <c r="J36" i="92"/>
  <c r="J24" i="92"/>
  <c r="J80" i="92"/>
  <c r="J61" i="92"/>
  <c r="J41" i="92"/>
  <c r="J34" i="92"/>
  <c r="J27" i="92"/>
  <c r="J52" i="92"/>
  <c r="J17" i="92"/>
  <c r="J70" i="92"/>
  <c r="J74" i="92"/>
  <c r="J42" i="92"/>
  <c r="J30" i="92"/>
  <c r="J18" i="92"/>
  <c r="J66" i="92"/>
  <c r="J51" i="92"/>
  <c r="J53" i="92"/>
  <c r="H21" i="92"/>
  <c r="J31" i="92"/>
  <c r="J26" i="92"/>
  <c r="J67" i="92"/>
  <c r="J38" i="92"/>
  <c r="J50" i="92"/>
  <c r="J40" i="92"/>
  <c r="L20" i="87"/>
  <c r="D53" i="87"/>
  <c r="P77" i="84"/>
  <c r="X20" i="84"/>
  <c r="X20" i="80"/>
  <c r="P76" i="80"/>
  <c r="D82" i="76"/>
  <c r="L20" i="76"/>
  <c r="N20" i="76" s="1"/>
  <c r="V116" i="71"/>
  <c r="V112" i="71"/>
  <c r="V84" i="71"/>
  <c r="V76" i="71"/>
  <c r="V52" i="71"/>
  <c r="V48" i="71"/>
  <c r="V44" i="71"/>
  <c r="V40" i="71"/>
  <c r="V94" i="71"/>
  <c r="V86" i="71"/>
  <c r="V78" i="71"/>
  <c r="V66" i="71"/>
  <c r="V62" i="71"/>
  <c r="V101" i="71"/>
  <c r="V89" i="71"/>
  <c r="V77" i="71"/>
  <c r="V53" i="71"/>
  <c r="V49" i="71"/>
  <c r="V45" i="71"/>
  <c r="V41" i="71"/>
  <c r="V103" i="71"/>
  <c r="V79" i="71"/>
  <c r="V67" i="71"/>
  <c r="V63" i="71"/>
  <c r="V102" i="71"/>
  <c r="V90" i="71"/>
  <c r="V82" i="71"/>
  <c r="V54" i="71"/>
  <c r="V50" i="71"/>
  <c r="V46" i="71"/>
  <c r="V42" i="71"/>
  <c r="V93" i="71"/>
  <c r="V85" i="71"/>
  <c r="V69" i="71"/>
  <c r="V65" i="71"/>
  <c r="V61" i="71"/>
  <c r="V68" i="71"/>
  <c r="V64" i="71"/>
  <c r="V60" i="71"/>
  <c r="V99" i="71"/>
  <c r="V97" i="71"/>
  <c r="V55" i="71"/>
  <c r="V47" i="71"/>
  <c r="V39" i="71"/>
  <c r="V109" i="71"/>
  <c r="V95" i="71"/>
  <c r="V83" i="71"/>
  <c r="V73" i="71"/>
  <c r="V110" i="71"/>
  <c r="V106" i="71"/>
  <c r="V100" i="71"/>
  <c r="V81" i="71"/>
  <c r="V75" i="71"/>
  <c r="V71" i="71"/>
  <c r="V87" i="71"/>
  <c r="V111" i="71"/>
  <c r="V104" i="71"/>
  <c r="V98" i="71"/>
  <c r="V51" i="71"/>
  <c r="V43" i="71"/>
  <c r="V96" i="71"/>
  <c r="T57" i="71"/>
  <c r="V108" i="71"/>
  <c r="V92" i="71"/>
  <c r="V91" i="71"/>
  <c r="V88" i="71"/>
  <c r="V59" i="71"/>
  <c r="V74" i="71"/>
  <c r="V80" i="71"/>
  <c r="V70" i="71"/>
  <c r="V105" i="71"/>
  <c r="V72" i="71"/>
  <c r="F66" i="74"/>
  <c r="F65" i="74"/>
  <c r="F18" i="74"/>
  <c r="F61" i="74"/>
  <c r="F49" i="74"/>
  <c r="F48" i="74"/>
  <c r="F37" i="74"/>
  <c r="F33" i="74"/>
  <c r="F32" i="74"/>
  <c r="F68" i="74"/>
  <c r="F67" i="74"/>
  <c r="F56" i="74"/>
  <c r="F28" i="74"/>
  <c r="F24" i="74"/>
  <c r="F23" i="74"/>
  <c r="F70" i="74"/>
  <c r="F69" i="74"/>
  <c r="F62" i="74"/>
  <c r="F58" i="74"/>
  <c r="F57" i="74"/>
  <c r="F34" i="74"/>
  <c r="D20" i="74"/>
  <c r="F41" i="74"/>
  <c r="F40" i="74"/>
  <c r="F29" i="74"/>
  <c r="F25" i="74"/>
  <c r="F52" i="74"/>
  <c r="F45" i="74"/>
  <c r="F44" i="74"/>
  <c r="F17" i="74"/>
  <c r="F16" i="74"/>
  <c r="F81" i="74"/>
  <c r="F78" i="74"/>
  <c r="F55" i="74"/>
  <c r="F47" i="74"/>
  <c r="F46" i="74"/>
  <c r="F31" i="74"/>
  <c r="F27" i="74"/>
  <c r="F72" i="74"/>
  <c r="F54" i="74"/>
  <c r="F20" i="74"/>
  <c r="L12" i="74"/>
  <c r="F76" i="74"/>
  <c r="F63" i="74"/>
  <c r="F74" i="74"/>
  <c r="F64" i="74"/>
  <c r="F42" i="74"/>
  <c r="F35" i="74"/>
  <c r="F53" i="74"/>
  <c r="F51" i="74"/>
  <c r="F38" i="74"/>
  <c r="F36" i="74"/>
  <c r="F30" i="74"/>
  <c r="F59" i="74"/>
  <c r="F43" i="74"/>
  <c r="F39" i="74"/>
  <c r="F26" i="74"/>
  <c r="F50" i="74"/>
  <c r="F22" i="74"/>
  <c r="F60" i="74"/>
  <c r="F75" i="70"/>
  <c r="F71" i="70"/>
  <c r="F55" i="70"/>
  <c r="F54" i="70"/>
  <c r="F47" i="70"/>
  <c r="D33" i="70"/>
  <c r="F77" i="70"/>
  <c r="F76" i="70"/>
  <c r="F65" i="70"/>
  <c r="F57" i="70"/>
  <c r="F56" i="70"/>
  <c r="F72" i="70"/>
  <c r="F48" i="70"/>
  <c r="L12" i="70"/>
  <c r="N12" i="70" s="1"/>
  <c r="F66" i="70"/>
  <c r="F81" i="70"/>
  <c r="F80" i="70"/>
  <c r="F73" i="70"/>
  <c r="F49" i="70"/>
  <c r="F59" i="70"/>
  <c r="F42" i="70"/>
  <c r="F88" i="70"/>
  <c r="F62" i="70"/>
  <c r="F53" i="70"/>
  <c r="F35" i="70"/>
  <c r="F84" i="70"/>
  <c r="F74" i="70"/>
  <c r="F69" i="70"/>
  <c r="F50" i="70"/>
  <c r="F45" i="70"/>
  <c r="F36" i="70"/>
  <c r="F63" i="70"/>
  <c r="F60" i="70"/>
  <c r="F43" i="70"/>
  <c r="F41" i="70"/>
  <c r="F39" i="70"/>
  <c r="F31" i="70"/>
  <c r="F37" i="70"/>
  <c r="F78" i="70"/>
  <c r="F70" i="70"/>
  <c r="F67" i="70"/>
  <c r="F64" i="70"/>
  <c r="F51" i="70"/>
  <c r="F46" i="70"/>
  <c r="F83" i="70"/>
  <c r="F52" i="70"/>
  <c r="F40" i="70"/>
  <c r="F38" i="70"/>
  <c r="F58" i="70"/>
  <c r="F68" i="70"/>
  <c r="F61" i="70"/>
  <c r="F33" i="70"/>
  <c r="F44" i="70"/>
  <c r="F79" i="70"/>
  <c r="H88" i="68"/>
  <c r="P75" i="67"/>
  <c r="H75" i="67"/>
  <c r="J24" i="67"/>
  <c r="D127" i="66"/>
  <c r="H123" i="66"/>
  <c r="L123" i="66" s="1"/>
  <c r="D62" i="63"/>
  <c r="H65" i="59"/>
  <c r="J97" i="45"/>
  <c r="J91" i="45"/>
  <c r="J83" i="45"/>
  <c r="J79" i="45"/>
  <c r="J84" i="45"/>
  <c r="J80" i="45"/>
  <c r="J76" i="45"/>
  <c r="J66" i="45"/>
  <c r="J56" i="45"/>
  <c r="J44" i="45"/>
  <c r="J34" i="45"/>
  <c r="J30" i="45"/>
  <c r="J87" i="45"/>
  <c r="J57" i="45"/>
  <c r="J45" i="45"/>
  <c r="J21" i="45"/>
  <c r="J72" i="45"/>
  <c r="J58" i="45"/>
  <c r="J46" i="45"/>
  <c r="J40" i="45"/>
  <c r="J26" i="45"/>
  <c r="N12" i="45"/>
  <c r="J78" i="45"/>
  <c r="J73" i="45"/>
  <c r="J67" i="45"/>
  <c r="J59" i="45"/>
  <c r="J47" i="45"/>
  <c r="J35" i="45"/>
  <c r="J31" i="45"/>
  <c r="J27" i="45"/>
  <c r="J25" i="45"/>
  <c r="J23" i="45"/>
  <c r="J93" i="45"/>
  <c r="J88" i="45"/>
  <c r="J81" i="45"/>
  <c r="J74" i="45"/>
  <c r="J68" i="45"/>
  <c r="J60" i="45"/>
  <c r="J48" i="45"/>
  <c r="J36" i="45"/>
  <c r="H23" i="45"/>
  <c r="J75" i="45"/>
  <c r="J69" i="45"/>
  <c r="J61" i="45"/>
  <c r="J49" i="45"/>
  <c r="J41" i="45"/>
  <c r="J37" i="45"/>
  <c r="J89" i="45"/>
  <c r="J62" i="45"/>
  <c r="J50" i="45"/>
  <c r="J32" i="45"/>
  <c r="J28" i="45"/>
  <c r="J63" i="45"/>
  <c r="J90" i="45"/>
  <c r="J85" i="45"/>
  <c r="J70" i="45"/>
  <c r="J64" i="45"/>
  <c r="J52" i="45"/>
  <c r="J42" i="45"/>
  <c r="J38" i="45"/>
  <c r="J82" i="45"/>
  <c r="J65" i="45"/>
  <c r="J53" i="45"/>
  <c r="J33" i="45"/>
  <c r="J29" i="45"/>
  <c r="J19" i="45"/>
  <c r="J86" i="45"/>
  <c r="J77" i="45"/>
  <c r="J71" i="45"/>
  <c r="J55" i="45"/>
  <c r="J43" i="45"/>
  <c r="J39" i="45"/>
  <c r="J54" i="45"/>
  <c r="J51" i="45"/>
  <c r="J20" i="45"/>
  <c r="D101" i="33"/>
  <c r="J121" i="27"/>
  <c r="J117" i="27"/>
  <c r="J109" i="27"/>
  <c r="J85" i="27"/>
  <c r="J61" i="27"/>
  <c r="J57" i="27"/>
  <c r="J53" i="27"/>
  <c r="J49" i="27"/>
  <c r="J45" i="27"/>
  <c r="J126" i="27"/>
  <c r="J120" i="27"/>
  <c r="J86" i="27"/>
  <c r="J80" i="27"/>
  <c r="J66" i="27"/>
  <c r="N12" i="27"/>
  <c r="J119" i="27"/>
  <c r="J103" i="27"/>
  <c r="J95" i="27"/>
  <c r="J87" i="27"/>
  <c r="J75" i="27"/>
  <c r="J71" i="27"/>
  <c r="J67" i="27"/>
  <c r="J65" i="27"/>
  <c r="J110" i="27"/>
  <c r="J104" i="27"/>
  <c r="J96" i="27"/>
  <c r="J76" i="27"/>
  <c r="H63" i="27"/>
  <c r="J63" i="27" s="1"/>
  <c r="J58" i="27"/>
  <c r="J54" i="27"/>
  <c r="J50" i="27"/>
  <c r="J46" i="27"/>
  <c r="J111" i="27"/>
  <c r="J105" i="27"/>
  <c r="J97" i="27"/>
  <c r="J81" i="27"/>
  <c r="J77" i="27"/>
  <c r="J112" i="27"/>
  <c r="J98" i="27"/>
  <c r="J88" i="27"/>
  <c r="J72" i="27"/>
  <c r="J68" i="27"/>
  <c r="J99" i="27"/>
  <c r="J89" i="27"/>
  <c r="J59" i="27"/>
  <c r="J55" i="27"/>
  <c r="J51" i="27"/>
  <c r="J47" i="27"/>
  <c r="J113" i="27"/>
  <c r="J107" i="27"/>
  <c r="J91" i="27"/>
  <c r="J73" i="27"/>
  <c r="J69" i="27"/>
  <c r="J122" i="27"/>
  <c r="J116" i="27"/>
  <c r="J102" i="27"/>
  <c r="J94" i="27"/>
  <c r="J84" i="27"/>
  <c r="J74" i="27"/>
  <c r="J70" i="27"/>
  <c r="J44" i="27"/>
  <c r="J115" i="27"/>
  <c r="J78" i="27"/>
  <c r="J56" i="27"/>
  <c r="J108" i="27"/>
  <c r="J92" i="27"/>
  <c r="J100" i="27"/>
  <c r="J82" i="27"/>
  <c r="J106" i="27"/>
  <c r="J60" i="27"/>
  <c r="J90" i="27"/>
  <c r="J114" i="27"/>
  <c r="J101" i="27"/>
  <c r="J93" i="27"/>
  <c r="J48" i="27"/>
  <c r="J83" i="27"/>
  <c r="J52" i="27"/>
  <c r="J79" i="27"/>
  <c r="T168" i="30"/>
  <c r="Z88" i="30"/>
  <c r="T98" i="9"/>
  <c r="V308" i="3"/>
  <c r="V302" i="3"/>
  <c r="V290" i="3"/>
  <c r="V286" i="3"/>
  <c r="V270" i="3"/>
  <c r="V262" i="3"/>
  <c r="V254" i="3"/>
  <c r="V246" i="3"/>
  <c r="V230" i="3"/>
  <c r="V222" i="3"/>
  <c r="V218" i="3"/>
  <c r="V319" i="3"/>
  <c r="V307" i="3"/>
  <c r="V297" i="3"/>
  <c r="V281" i="3"/>
  <c r="V269" i="3"/>
  <c r="V265" i="3"/>
  <c r="V237" i="3"/>
  <c r="V213" i="3"/>
  <c r="V209" i="3"/>
  <c r="V205" i="3"/>
  <c r="V318" i="3"/>
  <c r="V306" i="3"/>
  <c r="V304" i="3"/>
  <c r="V296" i="3"/>
  <c r="V276" i="3"/>
  <c r="V264" i="3"/>
  <c r="V256" i="3"/>
  <c r="V248" i="3"/>
  <c r="V232" i="3"/>
  <c r="V224" i="3"/>
  <c r="V204" i="3"/>
  <c r="V200" i="3"/>
  <c r="V196" i="3"/>
  <c r="V192" i="3"/>
  <c r="V188" i="3"/>
  <c r="V184" i="3"/>
  <c r="V180" i="3"/>
  <c r="V176" i="3"/>
  <c r="V172" i="3"/>
  <c r="V317" i="3"/>
  <c r="V299" i="3"/>
  <c r="V291" i="3"/>
  <c r="V287" i="3"/>
  <c r="V283" i="3"/>
  <c r="V271" i="3"/>
  <c r="V247" i="3"/>
  <c r="V239" i="3"/>
  <c r="V223" i="3"/>
  <c r="V219" i="3"/>
  <c r="V316" i="3"/>
  <c r="V298" i="3"/>
  <c r="V282" i="3"/>
  <c r="V266" i="3"/>
  <c r="V238" i="3"/>
  <c r="V226" i="3"/>
  <c r="V214" i="3"/>
  <c r="V210" i="3"/>
  <c r="V206" i="3"/>
  <c r="V314" i="3"/>
  <c r="V300" i="3"/>
  <c r="V292" i="3"/>
  <c r="V288" i="3"/>
  <c r="V284" i="3"/>
  <c r="V272" i="3"/>
  <c r="V240" i="3"/>
  <c r="V220" i="3"/>
  <c r="V216" i="3"/>
  <c r="V313" i="3"/>
  <c r="V267" i="3"/>
  <c r="V259" i="3"/>
  <c r="V251" i="3"/>
  <c r="V243" i="3"/>
  <c r="V227" i="3"/>
  <c r="V215" i="3"/>
  <c r="V211" i="3"/>
  <c r="V207" i="3"/>
  <c r="V312" i="3"/>
  <c r="V294" i="3"/>
  <c r="V278" i="3"/>
  <c r="V274" i="3"/>
  <c r="V258" i="3"/>
  <c r="V250" i="3"/>
  <c r="V242" i="3"/>
  <c r="V234" i="3"/>
  <c r="V198" i="3"/>
  <c r="V194" i="3"/>
  <c r="V309" i="3"/>
  <c r="V303" i="3"/>
  <c r="V295" i="3"/>
  <c r="V279" i="3"/>
  <c r="V275" i="3"/>
  <c r="V263" i="3"/>
  <c r="V255" i="3"/>
  <c r="V235" i="3"/>
  <c r="V231" i="3"/>
  <c r="V199" i="3"/>
  <c r="V310" i="3"/>
  <c r="V293" i="3"/>
  <c r="V241" i="3"/>
  <c r="V233" i="3"/>
  <c r="V225" i="3"/>
  <c r="V193" i="3"/>
  <c r="V169" i="3"/>
  <c r="V163" i="3"/>
  <c r="V159" i="3"/>
  <c r="V155" i="3"/>
  <c r="V151" i="3"/>
  <c r="V147" i="3"/>
  <c r="V143" i="3"/>
  <c r="V139" i="3"/>
  <c r="V249" i="3"/>
  <c r="V182" i="3"/>
  <c r="V178" i="3"/>
  <c r="V301" i="3"/>
  <c r="V277" i="3"/>
  <c r="V268" i="3"/>
  <c r="V260" i="3"/>
  <c r="V191" i="3"/>
  <c r="V328" i="3"/>
  <c r="V311" i="3"/>
  <c r="V285" i="3"/>
  <c r="V187" i="3"/>
  <c r="V174" i="3"/>
  <c r="V167" i="3"/>
  <c r="V164" i="3"/>
  <c r="V160" i="3"/>
  <c r="V156" i="3"/>
  <c r="V152" i="3"/>
  <c r="V148" i="3"/>
  <c r="V144" i="3"/>
  <c r="V140" i="3"/>
  <c r="V189" i="3"/>
  <c r="V170" i="3"/>
  <c r="V252" i="3"/>
  <c r="V185" i="3"/>
  <c r="V261" i="3"/>
  <c r="V244" i="3"/>
  <c r="V217" i="3"/>
  <c r="V208" i="3"/>
  <c r="V183" i="3"/>
  <c r="V165" i="3"/>
  <c r="V161" i="3"/>
  <c r="V157" i="3"/>
  <c r="V153" i="3"/>
  <c r="V149" i="3"/>
  <c r="V145" i="3"/>
  <c r="V141" i="3"/>
  <c r="V289" i="3"/>
  <c r="V280" i="3"/>
  <c r="V236" i="3"/>
  <c r="V228" i="3"/>
  <c r="V179" i="3"/>
  <c r="V168" i="3"/>
  <c r="V181" i="3"/>
  <c r="V177" i="3"/>
  <c r="V323" i="3"/>
  <c r="V315" i="3"/>
  <c r="V253" i="3"/>
  <c r="V190" i="3"/>
  <c r="V175" i="3"/>
  <c r="V162" i="3"/>
  <c r="V158" i="3"/>
  <c r="V154" i="3"/>
  <c r="V150" i="3"/>
  <c r="V146" i="3"/>
  <c r="V142" i="3"/>
  <c r="V327" i="3"/>
  <c r="V257" i="3"/>
  <c r="V245" i="3"/>
  <c r="V212" i="3"/>
  <c r="T202" i="3"/>
  <c r="V202" i="3" s="1"/>
  <c r="V197" i="3"/>
  <c r="V186" i="3"/>
  <c r="V173" i="3"/>
  <c r="V171" i="3"/>
  <c r="V166" i="3"/>
  <c r="V273" i="3"/>
  <c r="V229" i="3"/>
  <c r="V221" i="3"/>
  <c r="V195" i="3"/>
  <c r="X18" i="32"/>
  <c r="P27" i="32"/>
  <c r="X18" i="25"/>
  <c r="P27" i="25"/>
  <c r="H27" i="29"/>
  <c r="N18" i="29"/>
  <c r="T27" i="26"/>
  <c r="Z18" i="26"/>
  <c r="T27" i="20"/>
  <c r="Z18" i="20"/>
  <c r="L18" i="20"/>
  <c r="D27" i="20"/>
  <c r="H27" i="14"/>
  <c r="N18" i="14"/>
  <c r="T27" i="10"/>
  <c r="Z18" i="10"/>
  <c r="T27" i="11"/>
  <c r="Z18" i="11"/>
  <c r="J75" i="90"/>
  <c r="J65" i="90"/>
  <c r="J47" i="90"/>
  <c r="J21" i="90"/>
  <c r="J76" i="90"/>
  <c r="J48" i="90"/>
  <c r="J40" i="90"/>
  <c r="J26" i="90"/>
  <c r="J77" i="90"/>
  <c r="J71" i="90"/>
  <c r="J59" i="90"/>
  <c r="J49" i="90"/>
  <c r="J35" i="90"/>
  <c r="J31" i="90"/>
  <c r="J27" i="90"/>
  <c r="J25" i="90"/>
  <c r="J23" i="90"/>
  <c r="J78" i="90"/>
  <c r="J66" i="90"/>
  <c r="J50" i="90"/>
  <c r="J36" i="90"/>
  <c r="H23" i="90"/>
  <c r="J83" i="90"/>
  <c r="J81" i="90"/>
  <c r="J67" i="90"/>
  <c r="J51" i="90"/>
  <c r="J41" i="90"/>
  <c r="J37" i="90"/>
  <c r="J80" i="90"/>
  <c r="J72" i="90"/>
  <c r="J68" i="90"/>
  <c r="J60" i="90"/>
  <c r="J52" i="90"/>
  <c r="J62" i="90"/>
  <c r="J54" i="90"/>
  <c r="J42" i="90"/>
  <c r="J38" i="90"/>
  <c r="J64" i="90"/>
  <c r="J56" i="90"/>
  <c r="J44" i="90"/>
  <c r="J90" i="90"/>
  <c r="J57" i="90"/>
  <c r="N12" i="90"/>
  <c r="J55" i="90"/>
  <c r="J45" i="90"/>
  <c r="J32" i="90"/>
  <c r="J28" i="90"/>
  <c r="J19" i="90"/>
  <c r="J87" i="90"/>
  <c r="J34" i="90"/>
  <c r="J30" i="90"/>
  <c r="J73" i="90"/>
  <c r="J69" i="90"/>
  <c r="J63" i="90"/>
  <c r="J53" i="90"/>
  <c r="J43" i="90"/>
  <c r="J58" i="90"/>
  <c r="J39" i="90"/>
  <c r="J85" i="90"/>
  <c r="J61" i="90"/>
  <c r="J46" i="90"/>
  <c r="J29" i="90"/>
  <c r="J70" i="90"/>
  <c r="J74" i="90"/>
  <c r="J33" i="90"/>
  <c r="J20" i="90"/>
  <c r="R78" i="79"/>
  <c r="R90" i="79"/>
  <c r="R83" i="79"/>
  <c r="R64" i="79"/>
  <c r="R57" i="79"/>
  <c r="R56" i="79"/>
  <c r="R37" i="79"/>
  <c r="R36" i="79"/>
  <c r="X12" i="79"/>
  <c r="Z12" i="79" s="1"/>
  <c r="R76" i="79"/>
  <c r="R75" i="79"/>
  <c r="R48" i="79"/>
  <c r="R47" i="79"/>
  <c r="R32" i="79"/>
  <c r="R31" i="79"/>
  <c r="R27" i="79"/>
  <c r="R70" i="79"/>
  <c r="R59" i="79"/>
  <c r="R58" i="79"/>
  <c r="R39" i="79"/>
  <c r="R38" i="79"/>
  <c r="R23" i="79"/>
  <c r="R18" i="79"/>
  <c r="R77" i="79"/>
  <c r="R66" i="79"/>
  <c r="R65" i="79"/>
  <c r="R50" i="79"/>
  <c r="R49" i="79"/>
  <c r="R33" i="79"/>
  <c r="R22" i="79"/>
  <c r="R20" i="79"/>
  <c r="R60" i="79"/>
  <c r="R41" i="79"/>
  <c r="R40" i="79"/>
  <c r="R28" i="79"/>
  <c r="R24" i="79"/>
  <c r="P20" i="79"/>
  <c r="R85" i="79"/>
  <c r="R71" i="79"/>
  <c r="R67" i="79"/>
  <c r="R52" i="79"/>
  <c r="R51" i="79"/>
  <c r="R43" i="79"/>
  <c r="R42" i="79"/>
  <c r="R34" i="79"/>
  <c r="R79" i="79"/>
  <c r="R61" i="79"/>
  <c r="R54" i="79"/>
  <c r="R53" i="79"/>
  <c r="R29" i="79"/>
  <c r="R25" i="79"/>
  <c r="R74" i="79"/>
  <c r="R73" i="79"/>
  <c r="R69" i="79"/>
  <c r="R46" i="79"/>
  <c r="R45" i="79"/>
  <c r="R17" i="79"/>
  <c r="R87" i="79"/>
  <c r="R62" i="79"/>
  <c r="R26" i="79"/>
  <c r="R63" i="79"/>
  <c r="R30" i="79"/>
  <c r="R81" i="79"/>
  <c r="R44" i="79"/>
  <c r="R35" i="79"/>
  <c r="R72" i="79"/>
  <c r="R16" i="79"/>
  <c r="R68" i="79"/>
  <c r="R55" i="79"/>
  <c r="L21" i="75"/>
  <c r="D27" i="75"/>
  <c r="F259" i="15"/>
  <c r="F234" i="15"/>
  <c r="F198" i="15"/>
  <c r="F197" i="15"/>
  <c r="F190" i="15"/>
  <c r="F174" i="15"/>
  <c r="F170" i="15"/>
  <c r="F253" i="15"/>
  <c r="F252" i="15"/>
  <c r="F245" i="15"/>
  <c r="F241" i="15"/>
  <c r="F229" i="15"/>
  <c r="F161" i="15"/>
  <c r="F157" i="15"/>
  <c r="F153" i="15"/>
  <c r="F149" i="15"/>
  <c r="F145" i="15"/>
  <c r="F141" i="15"/>
  <c r="F137" i="15"/>
  <c r="F133" i="15"/>
  <c r="F129" i="15"/>
  <c r="F125" i="15"/>
  <c r="F121" i="15"/>
  <c r="F117" i="15"/>
  <c r="F113" i="15"/>
  <c r="F236" i="15"/>
  <c r="F235" i="15"/>
  <c r="F224" i="15"/>
  <c r="F216" i="15"/>
  <c r="F208" i="15"/>
  <c r="F192" i="15"/>
  <c r="F191" i="15"/>
  <c r="F184" i="15"/>
  <c r="F180" i="15"/>
  <c r="L12" i="15"/>
  <c r="N12" i="15" s="1"/>
  <c r="F268" i="15"/>
  <c r="F231" i="15"/>
  <c r="F230" i="15"/>
  <c r="F199" i="15"/>
  <c r="F175" i="15"/>
  <c r="F171" i="15"/>
  <c r="F266" i="15"/>
  <c r="F237" i="15"/>
  <c r="F225" i="15"/>
  <c r="F201" i="15"/>
  <c r="F200" i="15"/>
  <c r="F185" i="15"/>
  <c r="F181" i="15"/>
  <c r="F265" i="15"/>
  <c r="F248" i="15"/>
  <c r="F247" i="15"/>
  <c r="F232" i="15"/>
  <c r="F220" i="15"/>
  <c r="F219" i="15"/>
  <c r="F212" i="15"/>
  <c r="F211" i="15"/>
  <c r="F176" i="15"/>
  <c r="F172" i="15"/>
  <c r="F168" i="15"/>
  <c r="F167" i="15"/>
  <c r="F264" i="15"/>
  <c r="F255" i="15"/>
  <c r="F243" i="15"/>
  <c r="F239" i="15"/>
  <c r="F238" i="15"/>
  <c r="F227" i="15"/>
  <c r="F226" i="15"/>
  <c r="F203" i="15"/>
  <c r="F202" i="15"/>
  <c r="F195" i="15"/>
  <c r="F187" i="15"/>
  <c r="F186" i="15"/>
  <c r="F166" i="15"/>
  <c r="F159" i="15"/>
  <c r="F155" i="15"/>
  <c r="F151" i="15"/>
  <c r="F147" i="15"/>
  <c r="F143" i="15"/>
  <c r="F139" i="15"/>
  <c r="F135" i="15"/>
  <c r="F131" i="15"/>
  <c r="F127" i="15"/>
  <c r="F123" i="15"/>
  <c r="F119" i="15"/>
  <c r="F115" i="15"/>
  <c r="F263" i="15"/>
  <c r="F222" i="15"/>
  <c r="F221" i="15"/>
  <c r="F214" i="15"/>
  <c r="F213" i="15"/>
  <c r="F182" i="15"/>
  <c r="D164" i="15"/>
  <c r="F164" i="15" s="1"/>
  <c r="F262" i="15"/>
  <c r="F257" i="15"/>
  <c r="F256" i="15"/>
  <c r="F249" i="15"/>
  <c r="F233" i="15"/>
  <c r="F205" i="15"/>
  <c r="F204" i="15"/>
  <c r="F189" i="15"/>
  <c r="F188" i="15"/>
  <c r="F177" i="15"/>
  <c r="F173" i="15"/>
  <c r="F169" i="15"/>
  <c r="F260" i="15"/>
  <c r="F251" i="15"/>
  <c r="F250" i="15"/>
  <c r="F223" i="15"/>
  <c r="F215" i="15"/>
  <c r="F207" i="15"/>
  <c r="F206" i="15"/>
  <c r="F183" i="15"/>
  <c r="F179" i="15"/>
  <c r="F178" i="15"/>
  <c r="F116" i="15"/>
  <c r="F162" i="15"/>
  <c r="F144" i="15"/>
  <c r="F126" i="15"/>
  <c r="F272" i="15"/>
  <c r="F267" i="15"/>
  <c r="F244" i="15"/>
  <c r="F154" i="15"/>
  <c r="F136" i="15"/>
  <c r="F111" i="15"/>
  <c r="F228" i="15"/>
  <c r="F194" i="15"/>
  <c r="F128" i="15"/>
  <c r="F118" i="15"/>
  <c r="F209" i="15"/>
  <c r="F156" i="15"/>
  <c r="F146" i="15"/>
  <c r="F246" i="15"/>
  <c r="F217" i="15"/>
  <c r="F138" i="15"/>
  <c r="F120" i="15"/>
  <c r="F261" i="15"/>
  <c r="F148" i="15"/>
  <c r="F130" i="15"/>
  <c r="F196" i="15"/>
  <c r="F158" i="15"/>
  <c r="F140" i="15"/>
  <c r="F132" i="15"/>
  <c r="F122" i="15"/>
  <c r="F112" i="15"/>
  <c r="F254" i="15"/>
  <c r="F240" i="15"/>
  <c r="F242" i="15"/>
  <c r="F218" i="15"/>
  <c r="F152" i="15"/>
  <c r="F134" i="15"/>
  <c r="F114" i="15"/>
  <c r="F210" i="15"/>
  <c r="F142" i="15"/>
  <c r="F150" i="15"/>
  <c r="F193" i="15"/>
  <c r="F124" i="15"/>
  <c r="F160" i="15"/>
  <c r="T36" i="96"/>
  <c r="T46" i="91"/>
  <c r="Z16" i="91"/>
  <c r="V87" i="92"/>
  <c r="V77" i="92"/>
  <c r="V78" i="92"/>
  <c r="V72" i="92"/>
  <c r="V58" i="92"/>
  <c r="V46" i="92"/>
  <c r="V69" i="92"/>
  <c r="V65" i="92"/>
  <c r="V49" i="92"/>
  <c r="V33" i="92"/>
  <c r="V29" i="92"/>
  <c r="V25" i="92"/>
  <c r="V60" i="92"/>
  <c r="V48" i="92"/>
  <c r="V73" i="92"/>
  <c r="V51" i="92"/>
  <c r="V39" i="92"/>
  <c r="V35" i="92"/>
  <c r="V79" i="92"/>
  <c r="V66" i="92"/>
  <c r="V80" i="92"/>
  <c r="V70" i="92"/>
  <c r="V67" i="92"/>
  <c r="V61" i="92"/>
  <c r="V53" i="92"/>
  <c r="V41" i="92"/>
  <c r="V17" i="92"/>
  <c r="V52" i="92"/>
  <c r="V40" i="92"/>
  <c r="V74" i="92"/>
  <c r="V63" i="92"/>
  <c r="V55" i="92"/>
  <c r="V43" i="92"/>
  <c r="V31" i="92"/>
  <c r="V27" i="92"/>
  <c r="V76" i="92"/>
  <c r="V44" i="92"/>
  <c r="V68" i="92"/>
  <c r="V47" i="92"/>
  <c r="V37" i="92"/>
  <c r="V32" i="92"/>
  <c r="V64" i="92"/>
  <c r="V45" i="92"/>
  <c r="V42" i="92"/>
  <c r="V30" i="92"/>
  <c r="T21" i="92"/>
  <c r="Z12" i="92"/>
  <c r="V81" i="92"/>
  <c r="V62" i="92"/>
  <c r="V50" i="92"/>
  <c r="V28" i="92"/>
  <c r="V18" i="92"/>
  <c r="V26" i="92"/>
  <c r="V23" i="92"/>
  <c r="V75" i="92"/>
  <c r="V36" i="92"/>
  <c r="V34" i="92"/>
  <c r="V24" i="92"/>
  <c r="V38" i="92"/>
  <c r="V56" i="92"/>
  <c r="V54" i="92"/>
  <c r="V19" i="92"/>
  <c r="V71" i="92"/>
  <c r="V83" i="92"/>
  <c r="V57" i="92"/>
  <c r="V59" i="92"/>
  <c r="D87" i="86"/>
  <c r="L20" i="86"/>
  <c r="N20" i="86" s="1"/>
  <c r="T77" i="84"/>
  <c r="Z20" i="84"/>
  <c r="X68" i="83"/>
  <c r="N20" i="84"/>
  <c r="H77" i="84"/>
  <c r="F72" i="79"/>
  <c r="F68" i="79"/>
  <c r="F44" i="79"/>
  <c r="F43" i="79"/>
  <c r="F87" i="79"/>
  <c r="F55" i="79"/>
  <c r="F54" i="79"/>
  <c r="F35" i="79"/>
  <c r="F81" i="79"/>
  <c r="F62" i="79"/>
  <c r="F30" i="79"/>
  <c r="F26" i="79"/>
  <c r="F73" i="79"/>
  <c r="F69" i="79"/>
  <c r="F45" i="79"/>
  <c r="F17" i="79"/>
  <c r="F16" i="79"/>
  <c r="F90" i="79"/>
  <c r="F64" i="79"/>
  <c r="F63" i="79"/>
  <c r="F56" i="79"/>
  <c r="F36" i="79"/>
  <c r="L12" i="79"/>
  <c r="F83" i="79"/>
  <c r="F75" i="79"/>
  <c r="F74" i="79"/>
  <c r="F47" i="79"/>
  <c r="F46" i="79"/>
  <c r="F31" i="79"/>
  <c r="F27" i="79"/>
  <c r="F70" i="79"/>
  <c r="F58" i="79"/>
  <c r="F57" i="79"/>
  <c r="F38" i="79"/>
  <c r="F37" i="79"/>
  <c r="F18" i="79"/>
  <c r="F77" i="79"/>
  <c r="F76" i="79"/>
  <c r="F65" i="79"/>
  <c r="F49" i="79"/>
  <c r="F48" i="79"/>
  <c r="F33" i="79"/>
  <c r="F32" i="79"/>
  <c r="F61" i="79"/>
  <c r="F53" i="79"/>
  <c r="F52" i="79"/>
  <c r="F29" i="79"/>
  <c r="F25" i="79"/>
  <c r="F66" i="79"/>
  <c r="F60" i="79"/>
  <c r="F42" i="79"/>
  <c r="F40" i="79"/>
  <c r="F51" i="79"/>
  <c r="F24" i="79"/>
  <c r="F28" i="79"/>
  <c r="F85" i="79"/>
  <c r="F79" i="79"/>
  <c r="F22" i="79"/>
  <c r="F71" i="79"/>
  <c r="F67" i="79"/>
  <c r="F34" i="79"/>
  <c r="F59" i="79"/>
  <c r="F20" i="79"/>
  <c r="F78" i="79"/>
  <c r="F50" i="79"/>
  <c r="F41" i="79"/>
  <c r="D20" i="79"/>
  <c r="F39" i="79"/>
  <c r="F23" i="79"/>
  <c r="H74" i="74"/>
  <c r="P128" i="77"/>
  <c r="X59" i="77"/>
  <c r="N21" i="75"/>
  <c r="H27" i="75"/>
  <c r="J138" i="69"/>
  <c r="J110" i="69"/>
  <c r="J142" i="69"/>
  <c r="J136" i="69"/>
  <c r="J120" i="69"/>
  <c r="J112" i="69"/>
  <c r="J104" i="69"/>
  <c r="J135" i="69"/>
  <c r="J121" i="69"/>
  <c r="J113" i="69"/>
  <c r="J105" i="69"/>
  <c r="J127" i="69"/>
  <c r="J115" i="69"/>
  <c r="J97" i="69"/>
  <c r="J128" i="69"/>
  <c r="J133" i="69"/>
  <c r="J130" i="69"/>
  <c r="J118" i="69"/>
  <c r="J101" i="69"/>
  <c r="J92" i="69"/>
  <c r="J82" i="69"/>
  <c r="J116" i="69"/>
  <c r="J96" i="69"/>
  <c r="J131" i="69"/>
  <c r="J93" i="69"/>
  <c r="J122" i="69"/>
  <c r="J119" i="69"/>
  <c r="J88" i="69"/>
  <c r="J84" i="69"/>
  <c r="J125" i="69"/>
  <c r="J106" i="69"/>
  <c r="J102" i="69"/>
  <c r="J75" i="69"/>
  <c r="J71" i="69"/>
  <c r="J67" i="69"/>
  <c r="J63" i="69"/>
  <c r="J59" i="69"/>
  <c r="J55" i="69"/>
  <c r="J94" i="69"/>
  <c r="J132" i="69"/>
  <c r="J129" i="69"/>
  <c r="J103" i="69"/>
  <c r="J98" i="69"/>
  <c r="J89" i="69"/>
  <c r="J85" i="69"/>
  <c r="J137" i="69"/>
  <c r="J117" i="69"/>
  <c r="J107" i="69"/>
  <c r="J76" i="69"/>
  <c r="J72" i="69"/>
  <c r="J68" i="69"/>
  <c r="J100" i="69"/>
  <c r="J91" i="69"/>
  <c r="J77" i="69"/>
  <c r="J73" i="69"/>
  <c r="J69" i="69"/>
  <c r="J65" i="69"/>
  <c r="J61" i="69"/>
  <c r="J57" i="69"/>
  <c r="J53" i="69"/>
  <c r="J86" i="69"/>
  <c r="J79" i="69"/>
  <c r="H79" i="69"/>
  <c r="J62" i="69"/>
  <c r="J108" i="69"/>
  <c r="J60" i="69"/>
  <c r="J90" i="69"/>
  <c r="J114" i="69"/>
  <c r="J52" i="69"/>
  <c r="J123" i="69"/>
  <c r="J83" i="69"/>
  <c r="J58" i="69"/>
  <c r="J81" i="69"/>
  <c r="J87" i="69"/>
  <c r="J56" i="69"/>
  <c r="J95" i="69"/>
  <c r="J126" i="69"/>
  <c r="J74" i="69"/>
  <c r="J124" i="69"/>
  <c r="J99" i="69"/>
  <c r="J70" i="69"/>
  <c r="J66" i="69"/>
  <c r="J64" i="69"/>
  <c r="J54" i="69"/>
  <c r="J109" i="69"/>
  <c r="J111" i="69"/>
  <c r="F119" i="69"/>
  <c r="F118" i="69"/>
  <c r="F138" i="69"/>
  <c r="F133" i="69"/>
  <c r="F125" i="69"/>
  <c r="F142" i="69"/>
  <c r="F137" i="69"/>
  <c r="F120" i="69"/>
  <c r="F112" i="69"/>
  <c r="F111" i="69"/>
  <c r="F104" i="69"/>
  <c r="F103" i="69"/>
  <c r="F96" i="69"/>
  <c r="F135" i="69"/>
  <c r="F126" i="69"/>
  <c r="F122" i="69"/>
  <c r="F121" i="69"/>
  <c r="F114" i="69"/>
  <c r="F113" i="69"/>
  <c r="F106" i="69"/>
  <c r="F105" i="69"/>
  <c r="F108" i="69"/>
  <c r="F77" i="69"/>
  <c r="F73" i="69"/>
  <c r="F69" i="69"/>
  <c r="F65" i="69"/>
  <c r="F61" i="69"/>
  <c r="F57" i="69"/>
  <c r="F53" i="69"/>
  <c r="F52" i="69"/>
  <c r="F124" i="69"/>
  <c r="F109" i="69"/>
  <c r="F128" i="69"/>
  <c r="F116" i="69"/>
  <c r="F93" i="69"/>
  <c r="D79" i="69"/>
  <c r="F131" i="69"/>
  <c r="F88" i="69"/>
  <c r="F84" i="69"/>
  <c r="F102" i="69"/>
  <c r="F97" i="69"/>
  <c r="F75" i="69"/>
  <c r="F71" i="69"/>
  <c r="F67" i="69"/>
  <c r="F110" i="69"/>
  <c r="F94" i="69"/>
  <c r="F136" i="69"/>
  <c r="F132" i="69"/>
  <c r="F89" i="69"/>
  <c r="F85" i="69"/>
  <c r="F90" i="69"/>
  <c r="F86" i="69"/>
  <c r="F99" i="69"/>
  <c r="F82" i="69"/>
  <c r="F70" i="69"/>
  <c r="F68" i="69"/>
  <c r="F66" i="69"/>
  <c r="F64" i="69"/>
  <c r="F54" i="69"/>
  <c r="F79" i="69"/>
  <c r="F62" i="69"/>
  <c r="L12" i="69"/>
  <c r="N12" i="69" s="1"/>
  <c r="F92" i="69"/>
  <c r="F60" i="69"/>
  <c r="F129" i="69"/>
  <c r="F127" i="69"/>
  <c r="F55" i="69"/>
  <c r="F100" i="69"/>
  <c r="F123" i="69"/>
  <c r="F83" i="69"/>
  <c r="F58" i="69"/>
  <c r="F98" i="69"/>
  <c r="F63" i="69"/>
  <c r="F72" i="69"/>
  <c r="F130" i="69"/>
  <c r="F115" i="69"/>
  <c r="F107" i="69"/>
  <c r="F95" i="69"/>
  <c r="F91" i="69"/>
  <c r="F59" i="69"/>
  <c r="F117" i="69"/>
  <c r="F76" i="69"/>
  <c r="F74" i="69"/>
  <c r="F56" i="69"/>
  <c r="F87" i="69"/>
  <c r="F81" i="69"/>
  <c r="F101" i="69"/>
  <c r="L16" i="59"/>
  <c r="D61" i="59"/>
  <c r="L62" i="66"/>
  <c r="N62" i="66" s="1"/>
  <c r="P37" i="55"/>
  <c r="D69" i="48"/>
  <c r="D37" i="55"/>
  <c r="H58" i="63"/>
  <c r="N16" i="63"/>
  <c r="V17" i="48"/>
  <c r="T99" i="45"/>
  <c r="R126" i="42"/>
  <c r="R119" i="42"/>
  <c r="R104" i="42"/>
  <c r="R100" i="42"/>
  <c r="R112" i="42"/>
  <c r="R111" i="42"/>
  <c r="R95" i="42"/>
  <c r="R83" i="42"/>
  <c r="R76" i="42"/>
  <c r="R75" i="42"/>
  <c r="R47" i="42"/>
  <c r="R43" i="42"/>
  <c r="R90" i="42"/>
  <c r="R67" i="42"/>
  <c r="R66" i="42"/>
  <c r="R38" i="42"/>
  <c r="R34" i="42"/>
  <c r="R113" i="42"/>
  <c r="R105" i="42"/>
  <c r="R101" i="42"/>
  <c r="R78" i="42"/>
  <c r="R77" i="42"/>
  <c r="R57" i="42"/>
  <c r="R25" i="42"/>
  <c r="R97" i="42"/>
  <c r="R96" i="42"/>
  <c r="R85" i="42"/>
  <c r="R84" i="42"/>
  <c r="R69" i="42"/>
  <c r="R68" i="42"/>
  <c r="R91" i="42"/>
  <c r="R80" i="42"/>
  <c r="R79" i="42"/>
  <c r="R39" i="42"/>
  <c r="R35" i="42"/>
  <c r="R114" i="42"/>
  <c r="R106" i="42"/>
  <c r="R102" i="42"/>
  <c r="R98" i="42"/>
  <c r="R86" i="42"/>
  <c r="R70" i="42"/>
  <c r="R59" i="42"/>
  <c r="R58" i="42"/>
  <c r="R51" i="42"/>
  <c r="R92" i="42"/>
  <c r="R122" i="42"/>
  <c r="R116" i="42"/>
  <c r="R115" i="42"/>
  <c r="R108" i="42"/>
  <c r="R107" i="42"/>
  <c r="R103" i="42"/>
  <c r="R99" i="42"/>
  <c r="R88" i="42"/>
  <c r="R87" i="42"/>
  <c r="R72" i="42"/>
  <c r="R71" i="42"/>
  <c r="R120" i="42"/>
  <c r="R117" i="42"/>
  <c r="R110" i="42"/>
  <c r="R109" i="42"/>
  <c r="R94" i="42"/>
  <c r="R93" i="42"/>
  <c r="R89" i="42"/>
  <c r="R74" i="42"/>
  <c r="R73" i="42"/>
  <c r="R37" i="42"/>
  <c r="R36" i="42"/>
  <c r="R32" i="42"/>
  <c r="R24" i="42"/>
  <c r="R82" i="42"/>
  <c r="R61" i="42"/>
  <c r="R40" i="42"/>
  <c r="R45" i="42"/>
  <c r="P28" i="42"/>
  <c r="R64" i="42"/>
  <c r="R41" i="42"/>
  <c r="R54" i="42"/>
  <c r="R48" i="42"/>
  <c r="R30" i="42"/>
  <c r="R81" i="42"/>
  <c r="R49" i="42"/>
  <c r="R33" i="42"/>
  <c r="X12" i="42"/>
  <c r="Z12" i="42" s="1"/>
  <c r="R55" i="42"/>
  <c r="R52" i="42"/>
  <c r="R46" i="42"/>
  <c r="R31" i="42"/>
  <c r="R62" i="42"/>
  <c r="R121" i="42"/>
  <c r="R63" i="42"/>
  <c r="R56" i="42"/>
  <c r="R44" i="42"/>
  <c r="R50" i="42"/>
  <c r="R65" i="42"/>
  <c r="R26" i="42"/>
  <c r="R42" i="42"/>
  <c r="R53" i="42"/>
  <c r="R60" i="42"/>
  <c r="X133" i="24"/>
  <c r="Z133" i="24" s="1"/>
  <c r="H168" i="30"/>
  <c r="D22" i="6"/>
  <c r="L16" i="6"/>
  <c r="Z268" i="12"/>
  <c r="X259" i="15"/>
  <c r="Z259" i="15" s="1"/>
  <c r="H27" i="98"/>
  <c r="N18" i="98"/>
  <c r="L18" i="98"/>
  <c r="D27" i="98"/>
  <c r="H27" i="100"/>
  <c r="N18" i="100"/>
  <c r="X18" i="53"/>
  <c r="P27" i="53"/>
  <c r="X18" i="44"/>
  <c r="P27" i="44"/>
  <c r="H27" i="50"/>
  <c r="N18" i="50"/>
  <c r="X18" i="41"/>
  <c r="P27" i="41"/>
  <c r="H27" i="41"/>
  <c r="N18" i="41"/>
  <c r="L18" i="35"/>
  <c r="D27" i="35"/>
  <c r="H27" i="28"/>
  <c r="N18" i="28"/>
  <c r="L18" i="26"/>
  <c r="D27" i="26"/>
  <c r="L18" i="31"/>
  <c r="D27" i="31"/>
  <c r="L18" i="23"/>
  <c r="D27" i="23"/>
  <c r="T27" i="29"/>
  <c r="Z18" i="29"/>
  <c r="H27" i="16"/>
  <c r="N18" i="16"/>
  <c r="H27" i="13"/>
  <c r="N18" i="13"/>
  <c r="P112" i="62"/>
  <c r="J85" i="33"/>
  <c r="J81" i="33"/>
  <c r="J65" i="33"/>
  <c r="J37" i="33"/>
  <c r="J86" i="33"/>
  <c r="J66" i="33"/>
  <c r="J56" i="33"/>
  <c r="J99" i="33"/>
  <c r="J87" i="33"/>
  <c r="J75" i="33"/>
  <c r="J67" i="33"/>
  <c r="J98" i="33"/>
  <c r="J88" i="33"/>
  <c r="J82" i="33"/>
  <c r="J52" i="33"/>
  <c r="J38" i="33"/>
  <c r="J34" i="33"/>
  <c r="J103" i="33"/>
  <c r="J97" i="33"/>
  <c r="J89" i="33"/>
  <c r="J96" i="33"/>
  <c r="J90" i="33"/>
  <c r="J76" i="33"/>
  <c r="J68" i="33"/>
  <c r="J58" i="33"/>
  <c r="J48" i="33"/>
  <c r="J44" i="33"/>
  <c r="J42" i="33"/>
  <c r="J40" i="33"/>
  <c r="J93" i="33"/>
  <c r="J74" i="33"/>
  <c r="J64" i="33"/>
  <c r="J50" i="33"/>
  <c r="J46" i="33"/>
  <c r="J95" i="33"/>
  <c r="J72" i="33"/>
  <c r="J62" i="33"/>
  <c r="J45" i="33"/>
  <c r="J79" i="33"/>
  <c r="J57" i="33"/>
  <c r="J77" i="33"/>
  <c r="J60" i="33"/>
  <c r="J35" i="33"/>
  <c r="J43" i="33"/>
  <c r="J73" i="33"/>
  <c r="J55" i="33"/>
  <c r="J84" i="33"/>
  <c r="J80" i="33"/>
  <c r="J70" i="33"/>
  <c r="J53" i="33"/>
  <c r="J63" i="33"/>
  <c r="J33" i="33"/>
  <c r="J94" i="33"/>
  <c r="J36" i="33"/>
  <c r="N12" i="33"/>
  <c r="J91" i="33"/>
  <c r="J78" i="33"/>
  <c r="J71" i="33"/>
  <c r="J61" i="33"/>
  <c r="J83" i="33"/>
  <c r="J69" i="33"/>
  <c r="J47" i="33"/>
  <c r="J51" i="33"/>
  <c r="J59" i="33"/>
  <c r="H40" i="33"/>
  <c r="L40" i="33" s="1"/>
  <c r="J54" i="33"/>
  <c r="J49" i="33"/>
  <c r="N163" i="30"/>
  <c r="H27" i="20"/>
  <c r="N18" i="20"/>
  <c r="L18" i="22"/>
  <c r="D27" i="22"/>
  <c r="F72" i="92"/>
  <c r="F68" i="92"/>
  <c r="F67" i="92"/>
  <c r="F85" i="92"/>
  <c r="F83" i="92"/>
  <c r="F74" i="92"/>
  <c r="F70" i="92"/>
  <c r="F92" i="92"/>
  <c r="F80" i="92"/>
  <c r="F87" i="92"/>
  <c r="F71" i="92"/>
  <c r="F62" i="92"/>
  <c r="F54" i="92"/>
  <c r="F53" i="92"/>
  <c r="F42" i="92"/>
  <c r="F41" i="92"/>
  <c r="F18" i="92"/>
  <c r="F17" i="92"/>
  <c r="F81" i="92"/>
  <c r="F37" i="92"/>
  <c r="F75" i="92"/>
  <c r="F64" i="92"/>
  <c r="F63" i="92"/>
  <c r="F56" i="92"/>
  <c r="F55" i="92"/>
  <c r="F44" i="92"/>
  <c r="F43" i="92"/>
  <c r="F32" i="92"/>
  <c r="F28" i="92"/>
  <c r="F77" i="92"/>
  <c r="F76" i="92"/>
  <c r="F69" i="92"/>
  <c r="F58" i="92"/>
  <c r="F57" i="92"/>
  <c r="F46" i="92"/>
  <c r="F45" i="92"/>
  <c r="F38" i="92"/>
  <c r="F65" i="92"/>
  <c r="F89" i="92"/>
  <c r="F60" i="92"/>
  <c r="F59" i="92"/>
  <c r="F48" i="92"/>
  <c r="F47" i="92"/>
  <c r="F23" i="92"/>
  <c r="F21" i="92"/>
  <c r="F73" i="92"/>
  <c r="F51" i="92"/>
  <c r="F31" i="92"/>
  <c r="F36" i="92"/>
  <c r="F29" i="92"/>
  <c r="F19" i="92"/>
  <c r="F61" i="92"/>
  <c r="F24" i="92"/>
  <c r="F49" i="92"/>
  <c r="F27" i="92"/>
  <c r="F78" i="92"/>
  <c r="F39" i="92"/>
  <c r="F34" i="92"/>
  <c r="F25" i="92"/>
  <c r="F52" i="92"/>
  <c r="F66" i="92"/>
  <c r="D21" i="92"/>
  <c r="F50" i="92"/>
  <c r="L12" i="92"/>
  <c r="N12" i="92" s="1"/>
  <c r="F79" i="92"/>
  <c r="F26" i="92"/>
  <c r="F40" i="92"/>
  <c r="F33" i="92"/>
  <c r="F35" i="92"/>
  <c r="F30" i="92"/>
  <c r="P51" i="93"/>
  <c r="D90" i="94"/>
  <c r="L21" i="94"/>
  <c r="X12" i="89"/>
  <c r="Z12" i="89" s="1"/>
  <c r="P46" i="88"/>
  <c r="X17" i="88"/>
  <c r="Z17" i="88" s="1"/>
  <c r="D63" i="89"/>
  <c r="L20" i="89"/>
  <c r="N20" i="89" s="1"/>
  <c r="F20" i="87"/>
  <c r="F20" i="85"/>
  <c r="J67" i="80"/>
  <c r="J47" i="80"/>
  <c r="J37" i="80"/>
  <c r="J33" i="80"/>
  <c r="J23" i="80"/>
  <c r="J68" i="80"/>
  <c r="J72" i="80"/>
  <c r="J64" i="80"/>
  <c r="J52" i="80"/>
  <c r="J40" i="80"/>
  <c r="J59" i="80"/>
  <c r="J53" i="80"/>
  <c r="J41" i="80"/>
  <c r="J35" i="80"/>
  <c r="J83" i="80"/>
  <c r="J80" i="80"/>
  <c r="J66" i="80"/>
  <c r="J62" i="80"/>
  <c r="J46" i="80"/>
  <c r="J32" i="80"/>
  <c r="J18" i="80"/>
  <c r="J78" i="80"/>
  <c r="J74" i="80"/>
  <c r="J70" i="80"/>
  <c r="J48" i="80"/>
  <c r="J26" i="80"/>
  <c r="J49" i="80"/>
  <c r="J45" i="80"/>
  <c r="J29" i="80"/>
  <c r="J60" i="80"/>
  <c r="J56" i="80"/>
  <c r="J57" i="80"/>
  <c r="J38" i="80"/>
  <c r="J76" i="80"/>
  <c r="J71" i="80"/>
  <c r="J50" i="80"/>
  <c r="J24" i="80"/>
  <c r="N12" i="80"/>
  <c r="J65" i="80"/>
  <c r="J42" i="80"/>
  <c r="J36" i="80"/>
  <c r="J30" i="80"/>
  <c r="J27" i="80"/>
  <c r="J63" i="80"/>
  <c r="J58" i="80"/>
  <c r="J54" i="80"/>
  <c r="J43" i="80"/>
  <c r="J16" i="80"/>
  <c r="J55" i="80"/>
  <c r="J22" i="80"/>
  <c r="J17" i="80"/>
  <c r="J69" i="80"/>
  <c r="J28" i="80"/>
  <c r="J20" i="80"/>
  <c r="J34" i="80"/>
  <c r="H20" i="80"/>
  <c r="J44" i="80"/>
  <c r="J25" i="80"/>
  <c r="J39" i="80"/>
  <c r="J51" i="80"/>
  <c r="J61" i="80"/>
  <c r="J31" i="80"/>
  <c r="J79" i="79"/>
  <c r="J90" i="79"/>
  <c r="J87" i="79"/>
  <c r="J81" i="79"/>
  <c r="J55" i="79"/>
  <c r="J35" i="79"/>
  <c r="J62" i="79"/>
  <c r="J30" i="79"/>
  <c r="J26" i="79"/>
  <c r="J16" i="79"/>
  <c r="J73" i="79"/>
  <c r="J69" i="79"/>
  <c r="J63" i="79"/>
  <c r="J45" i="79"/>
  <c r="J17" i="79"/>
  <c r="J83" i="79"/>
  <c r="J74" i="79"/>
  <c r="J64" i="79"/>
  <c r="J56" i="79"/>
  <c r="J46" i="79"/>
  <c r="J36" i="79"/>
  <c r="N12" i="79"/>
  <c r="J75" i="79"/>
  <c r="J57" i="79"/>
  <c r="J47" i="79"/>
  <c r="J37" i="79"/>
  <c r="J31" i="79"/>
  <c r="J27" i="79"/>
  <c r="J76" i="79"/>
  <c r="J70" i="79"/>
  <c r="J58" i="79"/>
  <c r="J48" i="79"/>
  <c r="J38" i="79"/>
  <c r="J32" i="79"/>
  <c r="J18" i="79"/>
  <c r="J77" i="79"/>
  <c r="J65" i="79"/>
  <c r="J59" i="79"/>
  <c r="J49" i="79"/>
  <c r="J39" i="79"/>
  <c r="J33" i="79"/>
  <c r="J23" i="79"/>
  <c r="J78" i="79"/>
  <c r="J66" i="79"/>
  <c r="J60" i="79"/>
  <c r="J50" i="79"/>
  <c r="J40" i="79"/>
  <c r="J28" i="79"/>
  <c r="J24" i="79"/>
  <c r="J22" i="79"/>
  <c r="J20" i="79"/>
  <c r="J72" i="79"/>
  <c r="J68" i="79"/>
  <c r="J54" i="79"/>
  <c r="J44" i="79"/>
  <c r="J53" i="79"/>
  <c r="J42" i="79"/>
  <c r="J29" i="79"/>
  <c r="J51" i="79"/>
  <c r="J85" i="79"/>
  <c r="J71" i="79"/>
  <c r="J67" i="79"/>
  <c r="J52" i="79"/>
  <c r="J41" i="79"/>
  <c r="J34" i="79"/>
  <c r="J43" i="79"/>
  <c r="J61" i="79"/>
  <c r="H20" i="79"/>
  <c r="J25" i="79"/>
  <c r="T71" i="73"/>
  <c r="T140" i="69"/>
  <c r="V79" i="69"/>
  <c r="H86" i="70"/>
  <c r="D75" i="67"/>
  <c r="L24" i="67"/>
  <c r="N24" i="67" s="1"/>
  <c r="N16" i="55"/>
  <c r="H33" i="55"/>
  <c r="X73" i="58"/>
  <c r="Z73" i="58" s="1"/>
  <c r="P77" i="58"/>
  <c r="J109" i="51"/>
  <c r="J99" i="51"/>
  <c r="J85" i="51"/>
  <c r="J95" i="51"/>
  <c r="J87" i="51"/>
  <c r="J101" i="51"/>
  <c r="J89" i="51"/>
  <c r="J116" i="51"/>
  <c r="J110" i="51"/>
  <c r="J106" i="51"/>
  <c r="J98" i="51"/>
  <c r="J92" i="51"/>
  <c r="J77" i="51"/>
  <c r="J53" i="51"/>
  <c r="J49" i="51"/>
  <c r="J45" i="51"/>
  <c r="J41" i="51"/>
  <c r="J103" i="51"/>
  <c r="J97" i="51"/>
  <c r="J78" i="51"/>
  <c r="J72" i="51"/>
  <c r="N12" i="51"/>
  <c r="J94" i="51"/>
  <c r="J84" i="51"/>
  <c r="J79" i="51"/>
  <c r="J67" i="51"/>
  <c r="J63" i="51"/>
  <c r="J100" i="51"/>
  <c r="J91" i="51"/>
  <c r="J88" i="51"/>
  <c r="J80" i="51"/>
  <c r="J54" i="51"/>
  <c r="J50" i="51"/>
  <c r="J46" i="51"/>
  <c r="J42" i="51"/>
  <c r="J81" i="51"/>
  <c r="J73" i="51"/>
  <c r="J82" i="51"/>
  <c r="J68" i="51"/>
  <c r="J64" i="51"/>
  <c r="J104" i="51"/>
  <c r="J55" i="51"/>
  <c r="J51" i="51"/>
  <c r="J47" i="51"/>
  <c r="J43" i="51"/>
  <c r="J111" i="51"/>
  <c r="J74" i="51"/>
  <c r="J60" i="51"/>
  <c r="J108" i="51"/>
  <c r="J86" i="51"/>
  <c r="J83" i="51"/>
  <c r="J69" i="51"/>
  <c r="J65" i="51"/>
  <c r="J61" i="51"/>
  <c r="J59" i="51"/>
  <c r="J39" i="51"/>
  <c r="J102" i="51"/>
  <c r="J76" i="51"/>
  <c r="J66" i="51"/>
  <c r="J62" i="51"/>
  <c r="J75" i="51"/>
  <c r="J70" i="51"/>
  <c r="J90" i="51"/>
  <c r="J40" i="51"/>
  <c r="J105" i="51"/>
  <c r="J44" i="51"/>
  <c r="J96" i="51"/>
  <c r="J48" i="51"/>
  <c r="J112" i="51"/>
  <c r="J52" i="51"/>
  <c r="H57" i="51"/>
  <c r="J57" i="51" s="1"/>
  <c r="J71" i="51"/>
  <c r="J93" i="51"/>
  <c r="L16" i="55"/>
  <c r="F131" i="24"/>
  <c r="F130" i="24"/>
  <c r="F123" i="24"/>
  <c r="F115" i="24"/>
  <c r="F79" i="24"/>
  <c r="F75" i="24"/>
  <c r="F71" i="24"/>
  <c r="F67" i="24"/>
  <c r="F63" i="24"/>
  <c r="F59" i="24"/>
  <c r="F106" i="24"/>
  <c r="F98" i="24"/>
  <c r="F136" i="24"/>
  <c r="F134" i="24"/>
  <c r="F117" i="24"/>
  <c r="F116" i="24"/>
  <c r="F93" i="24"/>
  <c r="F89" i="24"/>
  <c r="F85" i="24"/>
  <c r="F84" i="24"/>
  <c r="F138" i="24"/>
  <c r="F133" i="24"/>
  <c r="F124" i="24"/>
  <c r="F108" i="24"/>
  <c r="F107" i="24"/>
  <c r="F83" i="24"/>
  <c r="F81" i="24"/>
  <c r="F76" i="24"/>
  <c r="F72" i="24"/>
  <c r="F68" i="24"/>
  <c r="F64" i="24"/>
  <c r="F60" i="24"/>
  <c r="F56" i="24"/>
  <c r="F55" i="24"/>
  <c r="F99" i="24"/>
  <c r="F95" i="24"/>
  <c r="F94" i="24"/>
  <c r="F118" i="24"/>
  <c r="F110" i="24"/>
  <c r="F109" i="24"/>
  <c r="F90" i="24"/>
  <c r="F86" i="24"/>
  <c r="F127" i="24"/>
  <c r="F126" i="24"/>
  <c r="F103" i="24"/>
  <c r="F102" i="24"/>
  <c r="F91" i="24"/>
  <c r="F87" i="24"/>
  <c r="F92" i="24"/>
  <c r="F88" i="24"/>
  <c r="F119" i="24"/>
  <c r="F61" i="24"/>
  <c r="F111" i="24"/>
  <c r="F104" i="24"/>
  <c r="F74" i="24"/>
  <c r="F143" i="24"/>
  <c r="F65" i="24"/>
  <c r="F122" i="24"/>
  <c r="F100" i="24"/>
  <c r="F78" i="24"/>
  <c r="F114" i="24"/>
  <c r="F96" i="24"/>
  <c r="D81" i="24"/>
  <c r="F69" i="24"/>
  <c r="F58" i="24"/>
  <c r="F120" i="24"/>
  <c r="F105" i="24"/>
  <c r="F73" i="24"/>
  <c r="F140" i="24"/>
  <c r="F128" i="24"/>
  <c r="F112" i="24"/>
  <c r="F62" i="24"/>
  <c r="F101" i="24"/>
  <c r="F77" i="24"/>
  <c r="F125" i="24"/>
  <c r="F113" i="24"/>
  <c r="F129" i="24"/>
  <c r="F121" i="24"/>
  <c r="F66" i="24"/>
  <c r="F57" i="24"/>
  <c r="F97" i="24"/>
  <c r="F70" i="24"/>
  <c r="L12" i="24"/>
  <c r="D91" i="9"/>
  <c r="L16" i="9"/>
  <c r="F262" i="12"/>
  <c r="F261" i="12"/>
  <c r="F254" i="12"/>
  <c r="F250" i="12"/>
  <c r="F234" i="12"/>
  <c r="F233" i="12"/>
  <c r="F210" i="12"/>
  <c r="F209" i="12"/>
  <c r="F194" i="12"/>
  <c r="F193" i="12"/>
  <c r="F182" i="12"/>
  <c r="F178" i="12"/>
  <c r="F174" i="12"/>
  <c r="F245" i="12"/>
  <c r="F229" i="12"/>
  <c r="F228" i="12"/>
  <c r="F221" i="12"/>
  <c r="F220" i="12"/>
  <c r="F201" i="12"/>
  <c r="F165" i="12"/>
  <c r="F161" i="12"/>
  <c r="F157" i="12"/>
  <c r="F153" i="12"/>
  <c r="F149" i="12"/>
  <c r="F145" i="12"/>
  <c r="F141" i="12"/>
  <c r="F137" i="12"/>
  <c r="F277" i="12"/>
  <c r="F240" i="12"/>
  <c r="F212" i="12"/>
  <c r="F211" i="12"/>
  <c r="F281" i="12"/>
  <c r="F276" i="12"/>
  <c r="F263" i="12"/>
  <c r="F255" i="12"/>
  <c r="F251" i="12"/>
  <c r="F247" i="12"/>
  <c r="F246" i="12"/>
  <c r="F235" i="12"/>
  <c r="F203" i="12"/>
  <c r="F202" i="12"/>
  <c r="F195" i="12"/>
  <c r="F179" i="12"/>
  <c r="F175" i="12"/>
  <c r="F274" i="12"/>
  <c r="F257" i="12"/>
  <c r="F256" i="12"/>
  <c r="F241" i="12"/>
  <c r="F213" i="12"/>
  <c r="F197" i="12"/>
  <c r="F196" i="12"/>
  <c r="F189" i="12"/>
  <c r="F185" i="12"/>
  <c r="F273" i="12"/>
  <c r="F264" i="12"/>
  <c r="F252" i="12"/>
  <c r="F248" i="12"/>
  <c r="F236" i="12"/>
  <c r="F204" i="12"/>
  <c r="F180" i="12"/>
  <c r="F176" i="12"/>
  <c r="F271" i="12"/>
  <c r="F266" i="12"/>
  <c r="F265" i="12"/>
  <c r="F258" i="12"/>
  <c r="F242" i="12"/>
  <c r="F238" i="12"/>
  <c r="F237" i="12"/>
  <c r="F206" i="12"/>
  <c r="F205" i="12"/>
  <c r="F190" i="12"/>
  <c r="F186" i="12"/>
  <c r="F270" i="12"/>
  <c r="F253" i="12"/>
  <c r="F249" i="12"/>
  <c r="F225" i="12"/>
  <c r="F224" i="12"/>
  <c r="F217" i="12"/>
  <c r="F216" i="12"/>
  <c r="F181" i="12"/>
  <c r="F177" i="12"/>
  <c r="F173" i="12"/>
  <c r="F172" i="12"/>
  <c r="F230" i="12"/>
  <c r="F191" i="12"/>
  <c r="F148" i="12"/>
  <c r="F143" i="12"/>
  <c r="F232" i="12"/>
  <c r="F208" i="12"/>
  <c r="F158" i="12"/>
  <c r="F136" i="12"/>
  <c r="F133" i="12"/>
  <c r="F129" i="12"/>
  <c r="F125" i="12"/>
  <c r="F121" i="12"/>
  <c r="F117" i="12"/>
  <c r="F219" i="12"/>
  <c r="F200" i="12"/>
  <c r="F163" i="12"/>
  <c r="L12" i="12"/>
  <c r="F268" i="12"/>
  <c r="F243" i="12"/>
  <c r="F226" i="12"/>
  <c r="F215" i="12"/>
  <c r="F198" i="12"/>
  <c r="F187" i="12"/>
  <c r="F156" i="12"/>
  <c r="F151" i="12"/>
  <c r="F146" i="12"/>
  <c r="F139" i="12"/>
  <c r="F130" i="12"/>
  <c r="F126" i="12"/>
  <c r="F122" i="12"/>
  <c r="F118" i="12"/>
  <c r="F259" i="12"/>
  <c r="F222" i="12"/>
  <c r="F192" i="12"/>
  <c r="F183" i="12"/>
  <c r="D169" i="12"/>
  <c r="F159" i="12"/>
  <c r="F144" i="12"/>
  <c r="F134" i="12"/>
  <c r="F239" i="12"/>
  <c r="F231" i="12"/>
  <c r="F166" i="12"/>
  <c r="F154" i="12"/>
  <c r="F199" i="12"/>
  <c r="F188" i="12"/>
  <c r="F164" i="12"/>
  <c r="F147" i="12"/>
  <c r="F142" i="12"/>
  <c r="F131" i="12"/>
  <c r="F127" i="12"/>
  <c r="F123" i="12"/>
  <c r="F119" i="12"/>
  <c r="F115" i="12"/>
  <c r="F114" i="12"/>
  <c r="F244" i="12"/>
  <c r="F218" i="12"/>
  <c r="F207" i="12"/>
  <c r="F171" i="12"/>
  <c r="F152" i="12"/>
  <c r="F135" i="12"/>
  <c r="F214" i="12"/>
  <c r="F167" i="12"/>
  <c r="F138" i="12"/>
  <c r="F269" i="12"/>
  <c r="F116" i="12"/>
  <c r="F260" i="12"/>
  <c r="F223" i="12"/>
  <c r="F160" i="12"/>
  <c r="F155" i="12"/>
  <c r="F150" i="12"/>
  <c r="F128" i="12"/>
  <c r="F184" i="12"/>
  <c r="F272" i="12"/>
  <c r="F227" i="12"/>
  <c r="F162" i="12"/>
  <c r="F120" i="12"/>
  <c r="F132" i="12"/>
  <c r="F275" i="12"/>
  <c r="F140" i="12"/>
  <c r="F124" i="12"/>
  <c r="L18" i="99"/>
  <c r="D27" i="99"/>
  <c r="P27" i="98"/>
  <c r="X18" i="98"/>
  <c r="T27" i="52"/>
  <c r="Z18" i="52"/>
  <c r="D27" i="44"/>
  <c r="L18" i="44"/>
  <c r="H27" i="46"/>
  <c r="N18" i="46"/>
  <c r="H27" i="38"/>
  <c r="N18" i="38"/>
  <c r="H27" i="32"/>
  <c r="N18" i="32"/>
  <c r="L18" i="28"/>
  <c r="D27" i="28"/>
  <c r="H27" i="25"/>
  <c r="N18" i="25"/>
  <c r="T27" i="19"/>
  <c r="Z18" i="19"/>
  <c r="X18" i="14"/>
  <c r="P27" i="14"/>
  <c r="X18" i="13"/>
  <c r="P27" i="13"/>
  <c r="L18" i="11"/>
  <c r="D27" i="11"/>
  <c r="T27" i="4"/>
  <c r="Z18" i="4"/>
  <c r="H63" i="89"/>
  <c r="F112" i="71"/>
  <c r="F97" i="71"/>
  <c r="F81" i="71"/>
  <c r="F80" i="71"/>
  <c r="F73" i="71"/>
  <c r="F116" i="71"/>
  <c r="F91" i="71"/>
  <c r="F83" i="71"/>
  <c r="F82" i="71"/>
  <c r="F55" i="71"/>
  <c r="F51" i="71"/>
  <c r="F47" i="71"/>
  <c r="F43" i="71"/>
  <c r="F106" i="71"/>
  <c r="F105" i="71"/>
  <c r="F98" i="71"/>
  <c r="F74" i="71"/>
  <c r="F111" i="71"/>
  <c r="F109" i="71"/>
  <c r="F84" i="71"/>
  <c r="F59" i="71"/>
  <c r="F57" i="71"/>
  <c r="F52" i="71"/>
  <c r="F48" i="71"/>
  <c r="F44" i="71"/>
  <c r="F40" i="71"/>
  <c r="F39" i="71"/>
  <c r="F108" i="71"/>
  <c r="F99" i="71"/>
  <c r="F75" i="71"/>
  <c r="F71" i="71"/>
  <c r="F70" i="71"/>
  <c r="D57" i="71"/>
  <c r="F102" i="71"/>
  <c r="F101" i="71"/>
  <c r="F90" i="71"/>
  <c r="F89" i="71"/>
  <c r="F96" i="71"/>
  <c r="F76" i="71"/>
  <c r="F72" i="71"/>
  <c r="F54" i="71"/>
  <c r="F46" i="71"/>
  <c r="L12" i="71"/>
  <c r="N12" i="71" s="1"/>
  <c r="F94" i="71"/>
  <c r="F85" i="71"/>
  <c r="F49" i="71"/>
  <c r="F41" i="71"/>
  <c r="F88" i="71"/>
  <c r="F66" i="71"/>
  <c r="F62" i="71"/>
  <c r="F68" i="71"/>
  <c r="F64" i="71"/>
  <c r="F86" i="71"/>
  <c r="F77" i="71"/>
  <c r="F92" i="71"/>
  <c r="F60" i="71"/>
  <c r="F95" i="71"/>
  <c r="F50" i="71"/>
  <c r="F42" i="71"/>
  <c r="F103" i="71"/>
  <c r="F93" i="71"/>
  <c r="F78" i="71"/>
  <c r="F53" i="71"/>
  <c r="F45" i="71"/>
  <c r="F104" i="71"/>
  <c r="F87" i="71"/>
  <c r="F79" i="71"/>
  <c r="F67" i="71"/>
  <c r="F110" i="71"/>
  <c r="F69" i="71"/>
  <c r="F61" i="71"/>
  <c r="F63" i="71"/>
  <c r="F100" i="71"/>
  <c r="F65" i="71"/>
  <c r="F17" i="97"/>
  <c r="X21" i="95"/>
  <c r="P84" i="95"/>
  <c r="T83" i="90"/>
  <c r="L30" i="78"/>
  <c r="D34" i="78"/>
  <c r="L16" i="81"/>
  <c r="D97" i="81"/>
  <c r="V29" i="75"/>
  <c r="V17" i="75"/>
  <c r="V18" i="75"/>
  <c r="T21" i="75"/>
  <c r="X21" i="75" s="1"/>
  <c r="V25" i="75"/>
  <c r="V23" i="75"/>
  <c r="V19" i="75"/>
  <c r="Z12" i="75"/>
  <c r="H82" i="76"/>
  <c r="J53" i="72"/>
  <c r="J43" i="72"/>
  <c r="J37" i="72"/>
  <c r="J27" i="72"/>
  <c r="J44" i="72"/>
  <c r="J32" i="72"/>
  <c r="J28" i="72"/>
  <c r="J26" i="72"/>
  <c r="J24" i="72"/>
  <c r="J63" i="72"/>
  <c r="J45" i="72"/>
  <c r="H24" i="72"/>
  <c r="J19" i="72"/>
  <c r="J67" i="72"/>
  <c r="J61" i="72"/>
  <c r="J55" i="72"/>
  <c r="J33" i="72"/>
  <c r="J29" i="72"/>
  <c r="J60" i="72"/>
  <c r="J56" i="72"/>
  <c r="J20" i="72"/>
  <c r="J59" i="72"/>
  <c r="J47" i="72"/>
  <c r="J39" i="72"/>
  <c r="J50" i="72"/>
  <c r="J40" i="72"/>
  <c r="J36" i="72"/>
  <c r="N12" i="72"/>
  <c r="J52" i="72"/>
  <c r="J42" i="72"/>
  <c r="J21" i="72"/>
  <c r="J58" i="72"/>
  <c r="J17" i="72"/>
  <c r="J51" i="72"/>
  <c r="J38" i="72"/>
  <c r="J30" i="72"/>
  <c r="J48" i="72"/>
  <c r="J18" i="72"/>
  <c r="J41" i="72"/>
  <c r="J62" i="72"/>
  <c r="J54" i="72"/>
  <c r="J34" i="72"/>
  <c r="J22" i="72"/>
  <c r="J49" i="72"/>
  <c r="J46" i="72"/>
  <c r="J35" i="72"/>
  <c r="J31" i="72"/>
  <c r="Z118" i="66"/>
  <c r="T68" i="65"/>
  <c r="Z20" i="65"/>
  <c r="H51" i="60"/>
  <c r="N16" i="60"/>
  <c r="L16" i="54"/>
  <c r="D22" i="54"/>
  <c r="P26" i="54"/>
  <c r="X22" i="54"/>
  <c r="X16" i="54"/>
  <c r="J67" i="48"/>
  <c r="J57" i="48"/>
  <c r="J49" i="48"/>
  <c r="J39" i="48"/>
  <c r="J27" i="48"/>
  <c r="J23" i="48"/>
  <c r="J66" i="48"/>
  <c r="J58" i="48"/>
  <c r="J50" i="48"/>
  <c r="J40" i="48"/>
  <c r="J71" i="48"/>
  <c r="J51" i="48"/>
  <c r="J41" i="48"/>
  <c r="J33" i="48"/>
  <c r="J59" i="48"/>
  <c r="J43" i="48"/>
  <c r="J34" i="48"/>
  <c r="J20" i="48"/>
  <c r="J60" i="48"/>
  <c r="J44" i="48"/>
  <c r="J30" i="48"/>
  <c r="H17" i="48"/>
  <c r="J61" i="48"/>
  <c r="J45" i="48"/>
  <c r="J35" i="48"/>
  <c r="J31" i="48"/>
  <c r="J64" i="48"/>
  <c r="J56" i="48"/>
  <c r="J48" i="48"/>
  <c r="J38" i="48"/>
  <c r="J32" i="48"/>
  <c r="N12" i="48"/>
  <c r="J55" i="48"/>
  <c r="J24" i="48"/>
  <c r="J22" i="48"/>
  <c r="J46" i="48"/>
  <c r="J42" i="48"/>
  <c r="J37" i="48"/>
  <c r="J29" i="48"/>
  <c r="J53" i="48"/>
  <c r="J17" i="48"/>
  <c r="J47" i="48"/>
  <c r="J62" i="48"/>
  <c r="J25" i="48"/>
  <c r="J54" i="48"/>
  <c r="J36" i="48"/>
  <c r="J28" i="48"/>
  <c r="J63" i="48"/>
  <c r="J52" i="48"/>
  <c r="J26" i="48"/>
  <c r="J19" i="48"/>
  <c r="J15" i="48"/>
  <c r="J21" i="48"/>
  <c r="N126" i="39"/>
  <c r="V115" i="36"/>
  <c r="V107" i="36"/>
  <c r="V103" i="36"/>
  <c r="V99" i="36"/>
  <c r="V87" i="36"/>
  <c r="V98" i="36"/>
  <c r="V86" i="36"/>
  <c r="V82" i="36"/>
  <c r="V93" i="36"/>
  <c r="V81" i="36"/>
  <c r="V61" i="36"/>
  <c r="V53" i="36"/>
  <c r="V45" i="36"/>
  <c r="V116" i="36"/>
  <c r="V108" i="36"/>
  <c r="V104" i="36"/>
  <c r="V100" i="36"/>
  <c r="V88" i="36"/>
  <c r="V72" i="36"/>
  <c r="V60" i="36"/>
  <c r="V52" i="36"/>
  <c r="V40" i="36"/>
  <c r="V124" i="36"/>
  <c r="V118" i="36"/>
  <c r="V110" i="36"/>
  <c r="V94" i="36"/>
  <c r="V90" i="36"/>
  <c r="V74" i="36"/>
  <c r="V62" i="36"/>
  <c r="V121" i="36"/>
  <c r="V119" i="36"/>
  <c r="V111" i="36"/>
  <c r="V95" i="36"/>
  <c r="V91" i="36"/>
  <c r="V75" i="36"/>
  <c r="V67" i="36"/>
  <c r="V47" i="36"/>
  <c r="V43" i="36"/>
  <c r="V92" i="36"/>
  <c r="V80" i="36"/>
  <c r="V68" i="36"/>
  <c r="V48" i="36"/>
  <c r="V44" i="36"/>
  <c r="V117" i="36"/>
  <c r="V113" i="36"/>
  <c r="V106" i="36"/>
  <c r="V64" i="36"/>
  <c r="V46" i="36"/>
  <c r="V39" i="36"/>
  <c r="V35" i="36"/>
  <c r="V31" i="36"/>
  <c r="V123" i="36"/>
  <c r="V73" i="36"/>
  <c r="V56" i="36"/>
  <c r="V30" i="36"/>
  <c r="V28" i="36"/>
  <c r="V26" i="36"/>
  <c r="V102" i="36"/>
  <c r="V96" i="36"/>
  <c r="V79" i="36"/>
  <c r="T28" i="36"/>
  <c r="V77" i="36"/>
  <c r="V65" i="36"/>
  <c r="V58" i="36"/>
  <c r="V41" i="36"/>
  <c r="V36" i="36"/>
  <c r="V32" i="36"/>
  <c r="V112" i="36"/>
  <c r="V109" i="36"/>
  <c r="V89" i="36"/>
  <c r="V71" i="36"/>
  <c r="V69" i="36"/>
  <c r="V114" i="36"/>
  <c r="V63" i="36"/>
  <c r="V54" i="36"/>
  <c r="V50" i="36"/>
  <c r="V85" i="36"/>
  <c r="V83" i="36"/>
  <c r="V59" i="36"/>
  <c r="V55" i="36"/>
  <c r="V42" i="36"/>
  <c r="V37" i="36"/>
  <c r="V33" i="36"/>
  <c r="V105" i="36"/>
  <c r="V101" i="36"/>
  <c r="V78" i="36"/>
  <c r="V76" i="36"/>
  <c r="V57" i="36"/>
  <c r="V84" i="36"/>
  <c r="V49" i="36"/>
  <c r="Z12" i="36"/>
  <c r="V128" i="36"/>
  <c r="V25" i="36"/>
  <c r="V34" i="36"/>
  <c r="V122" i="36"/>
  <c r="V24" i="36"/>
  <c r="V38" i="36"/>
  <c r="V51" i="36"/>
  <c r="V97" i="36"/>
  <c r="V66" i="36"/>
  <c r="V70" i="36"/>
  <c r="R100" i="24"/>
  <c r="R99" i="24"/>
  <c r="R95" i="24"/>
  <c r="R119" i="24"/>
  <c r="R118" i="24"/>
  <c r="R111" i="24"/>
  <c r="R110" i="24"/>
  <c r="R90" i="24"/>
  <c r="R86" i="24"/>
  <c r="R126" i="24"/>
  <c r="R125" i="24"/>
  <c r="R102" i="24"/>
  <c r="R101" i="24"/>
  <c r="R77" i="24"/>
  <c r="R73" i="24"/>
  <c r="R69" i="24"/>
  <c r="R65" i="24"/>
  <c r="R61" i="24"/>
  <c r="R57" i="24"/>
  <c r="R121" i="24"/>
  <c r="R120" i="24"/>
  <c r="R113" i="24"/>
  <c r="R112" i="24"/>
  <c r="R96" i="24"/>
  <c r="X12" i="24"/>
  <c r="R128" i="24"/>
  <c r="R127" i="24"/>
  <c r="R104" i="24"/>
  <c r="R103" i="24"/>
  <c r="R91" i="24"/>
  <c r="R87" i="24"/>
  <c r="R122" i="24"/>
  <c r="R114" i="24"/>
  <c r="R78" i="24"/>
  <c r="R74" i="24"/>
  <c r="R70" i="24"/>
  <c r="R66" i="24"/>
  <c r="R62" i="24"/>
  <c r="R58" i="24"/>
  <c r="R134" i="24"/>
  <c r="R131" i="24"/>
  <c r="R123" i="24"/>
  <c r="R116" i="24"/>
  <c r="R115" i="24"/>
  <c r="R84" i="24"/>
  <c r="R79" i="24"/>
  <c r="R75" i="24"/>
  <c r="R71" i="24"/>
  <c r="R67" i="24"/>
  <c r="R63" i="24"/>
  <c r="R59" i="24"/>
  <c r="R138" i="24"/>
  <c r="R124" i="24"/>
  <c r="R109" i="24"/>
  <c r="R108" i="24"/>
  <c r="R76" i="24"/>
  <c r="R72" i="24"/>
  <c r="R68" i="24"/>
  <c r="R64" i="24"/>
  <c r="R60" i="24"/>
  <c r="R56" i="24"/>
  <c r="R133" i="24"/>
  <c r="R107" i="24"/>
  <c r="R105" i="24"/>
  <c r="R98" i="24"/>
  <c r="R94" i="24"/>
  <c r="R88" i="24"/>
  <c r="P81" i="24"/>
  <c r="R92" i="24"/>
  <c r="R129" i="24"/>
  <c r="R97" i="24"/>
  <c r="R85" i="24"/>
  <c r="R106" i="24"/>
  <c r="R83" i="24"/>
  <c r="R93" i="24"/>
  <c r="R117" i="24"/>
  <c r="R130" i="24"/>
  <c r="R55" i="24"/>
  <c r="R89" i="24"/>
  <c r="F170" i="30"/>
  <c r="F165" i="30"/>
  <c r="F152" i="30"/>
  <c r="F148" i="30"/>
  <c r="F140" i="30"/>
  <c r="F139" i="30"/>
  <c r="F155" i="30"/>
  <c r="F151" i="30"/>
  <c r="F144" i="30"/>
  <c r="F129" i="30"/>
  <c r="F128" i="30"/>
  <c r="F85" i="30"/>
  <c r="F81" i="30"/>
  <c r="F77" i="30"/>
  <c r="F73" i="30"/>
  <c r="F69" i="30"/>
  <c r="F65" i="30"/>
  <c r="F61" i="30"/>
  <c r="F57" i="30"/>
  <c r="F56" i="30"/>
  <c r="F160" i="30"/>
  <c r="F120" i="30"/>
  <c r="F112" i="30"/>
  <c r="F111" i="30"/>
  <c r="F104" i="30"/>
  <c r="L12" i="30"/>
  <c r="N12" i="30" s="1"/>
  <c r="F161" i="30"/>
  <c r="F156" i="30"/>
  <c r="F136" i="30"/>
  <c r="F131" i="30"/>
  <c r="F130" i="30"/>
  <c r="F99" i="30"/>
  <c r="F95" i="30"/>
  <c r="F137" i="30"/>
  <c r="F122" i="30"/>
  <c r="F121" i="30"/>
  <c r="F114" i="30"/>
  <c r="F113" i="30"/>
  <c r="F86" i="30"/>
  <c r="F82" i="30"/>
  <c r="F78" i="30"/>
  <c r="F74" i="30"/>
  <c r="F70" i="30"/>
  <c r="F66" i="30"/>
  <c r="F62" i="30"/>
  <c r="F58" i="30"/>
  <c r="F145" i="30"/>
  <c r="F141" i="30"/>
  <c r="F133" i="30"/>
  <c r="F132" i="30"/>
  <c r="F105" i="30"/>
  <c r="F101" i="30"/>
  <c r="F100" i="30"/>
  <c r="F157" i="30"/>
  <c r="F149" i="30"/>
  <c r="F124" i="30"/>
  <c r="F123" i="30"/>
  <c r="F96" i="30"/>
  <c r="F92" i="30"/>
  <c r="F91" i="30"/>
  <c r="F163" i="30"/>
  <c r="F115" i="30"/>
  <c r="F90" i="30"/>
  <c r="F88" i="30"/>
  <c r="F83" i="30"/>
  <c r="F79" i="30"/>
  <c r="F75" i="30"/>
  <c r="F71" i="30"/>
  <c r="F67" i="30"/>
  <c r="F63" i="30"/>
  <c r="F59" i="30"/>
  <c r="F166" i="30"/>
  <c r="F164" i="30"/>
  <c r="F158" i="30"/>
  <c r="F146" i="30"/>
  <c r="F134" i="30"/>
  <c r="F126" i="30"/>
  <c r="F125" i="30"/>
  <c r="F106" i="30"/>
  <c r="F102" i="30"/>
  <c r="D88" i="30"/>
  <c r="F153" i="30"/>
  <c r="F147" i="30"/>
  <c r="F142" i="30"/>
  <c r="F138" i="30"/>
  <c r="F117" i="30"/>
  <c r="F116" i="30"/>
  <c r="F97" i="30"/>
  <c r="F93" i="30"/>
  <c r="F110" i="30"/>
  <c r="F109" i="30"/>
  <c r="F98" i="30"/>
  <c r="F94" i="30"/>
  <c r="F108" i="30"/>
  <c r="F84" i="30"/>
  <c r="F68" i="30"/>
  <c r="F127" i="30"/>
  <c r="F76" i="30"/>
  <c r="F135" i="30"/>
  <c r="F103" i="30"/>
  <c r="F64" i="30"/>
  <c r="F154" i="30"/>
  <c r="F118" i="30"/>
  <c r="F107" i="30"/>
  <c r="F80" i="30"/>
  <c r="F72" i="30"/>
  <c r="F150" i="30"/>
  <c r="F119" i="30"/>
  <c r="F60" i="30"/>
  <c r="F159" i="30"/>
  <c r="F143" i="30"/>
  <c r="J134" i="24"/>
  <c r="J116" i="24"/>
  <c r="J106" i="24"/>
  <c r="J98" i="24"/>
  <c r="J84" i="24"/>
  <c r="J133" i="24"/>
  <c r="J117" i="24"/>
  <c r="J107" i="24"/>
  <c r="J93" i="24"/>
  <c r="J89" i="24"/>
  <c r="J85" i="24"/>
  <c r="J83" i="24"/>
  <c r="J138" i="24"/>
  <c r="J124" i="24"/>
  <c r="J108" i="24"/>
  <c r="J94" i="24"/>
  <c r="H81" i="24"/>
  <c r="J81" i="24" s="1"/>
  <c r="J76" i="24"/>
  <c r="J72" i="24"/>
  <c r="J68" i="24"/>
  <c r="J64" i="24"/>
  <c r="J60" i="24"/>
  <c r="J56" i="24"/>
  <c r="J109" i="24"/>
  <c r="J99" i="24"/>
  <c r="J95" i="24"/>
  <c r="J118" i="24"/>
  <c r="J110" i="24"/>
  <c r="J100" i="24"/>
  <c r="J90" i="24"/>
  <c r="J86" i="24"/>
  <c r="J125" i="24"/>
  <c r="J119" i="24"/>
  <c r="J111" i="24"/>
  <c r="J101" i="24"/>
  <c r="J77" i="24"/>
  <c r="J73" i="24"/>
  <c r="J69" i="24"/>
  <c r="J65" i="24"/>
  <c r="J61" i="24"/>
  <c r="J57" i="24"/>
  <c r="J128" i="24"/>
  <c r="J122" i="24"/>
  <c r="J114" i="24"/>
  <c r="J104" i="24"/>
  <c r="J78" i="24"/>
  <c r="J74" i="24"/>
  <c r="J70" i="24"/>
  <c r="J66" i="24"/>
  <c r="J62" i="24"/>
  <c r="J58" i="24"/>
  <c r="J131" i="24"/>
  <c r="J123" i="24"/>
  <c r="J115" i="24"/>
  <c r="J79" i="24"/>
  <c r="J75" i="24"/>
  <c r="J71" i="24"/>
  <c r="J67" i="24"/>
  <c r="J63" i="24"/>
  <c r="J59" i="24"/>
  <c r="J127" i="24"/>
  <c r="J91" i="24"/>
  <c r="J130" i="24"/>
  <c r="J102" i="24"/>
  <c r="J96" i="24"/>
  <c r="J120" i="24"/>
  <c r="J105" i="24"/>
  <c r="J126" i="24"/>
  <c r="J112" i="24"/>
  <c r="J88" i="24"/>
  <c r="J92" i="24"/>
  <c r="J121" i="24"/>
  <c r="J103" i="24"/>
  <c r="J55" i="24"/>
  <c r="N12" i="24"/>
  <c r="J113" i="24"/>
  <c r="J87" i="24"/>
  <c r="J129" i="24"/>
  <c r="J97" i="24"/>
  <c r="P91" i="9"/>
  <c r="X16" i="9"/>
  <c r="V271" i="12"/>
  <c r="V265" i="12"/>
  <c r="V257" i="12"/>
  <c r="V241" i="12"/>
  <c r="V237" i="12"/>
  <c r="V213" i="12"/>
  <c r="V205" i="12"/>
  <c r="V197" i="12"/>
  <c r="V189" i="12"/>
  <c r="V185" i="12"/>
  <c r="V270" i="12"/>
  <c r="V264" i="12"/>
  <c r="V252" i="12"/>
  <c r="V248" i="12"/>
  <c r="V236" i="12"/>
  <c r="V224" i="12"/>
  <c r="V216" i="12"/>
  <c r="V204" i="12"/>
  <c r="V180" i="12"/>
  <c r="V176" i="12"/>
  <c r="V172" i="12"/>
  <c r="V269" i="12"/>
  <c r="V259" i="12"/>
  <c r="V243" i="12"/>
  <c r="V231" i="12"/>
  <c r="V223" i="12"/>
  <c r="V215" i="12"/>
  <c r="V207" i="12"/>
  <c r="V199" i="12"/>
  <c r="V191" i="12"/>
  <c r="V268" i="12"/>
  <c r="V266" i="12"/>
  <c r="V258" i="12"/>
  <c r="V242" i="12"/>
  <c r="V238" i="12"/>
  <c r="V226" i="12"/>
  <c r="V218" i="12"/>
  <c r="V206" i="12"/>
  <c r="V190" i="12"/>
  <c r="V186" i="12"/>
  <c r="V260" i="12"/>
  <c r="V244" i="12"/>
  <c r="V232" i="12"/>
  <c r="V228" i="12"/>
  <c r="V220" i="12"/>
  <c r="V208" i="12"/>
  <c r="V200" i="12"/>
  <c r="V192" i="12"/>
  <c r="V164" i="12"/>
  <c r="V160" i="12"/>
  <c r="V277" i="12"/>
  <c r="V239" i="12"/>
  <c r="V227" i="12"/>
  <c r="V219" i="12"/>
  <c r="V211" i="12"/>
  <c r="V187" i="12"/>
  <c r="V183" i="12"/>
  <c r="V275" i="12"/>
  <c r="V245" i="12"/>
  <c r="V229" i="12"/>
  <c r="V221" i="12"/>
  <c r="V201" i="12"/>
  <c r="V274" i="12"/>
  <c r="V256" i="12"/>
  <c r="V240" i="12"/>
  <c r="V212" i="12"/>
  <c r="V196" i="12"/>
  <c r="V188" i="12"/>
  <c r="V184" i="12"/>
  <c r="V263" i="12"/>
  <c r="V261" i="12"/>
  <c r="V254" i="12"/>
  <c r="V161" i="12"/>
  <c r="V139" i="12"/>
  <c r="V134" i="12"/>
  <c r="V217" i="12"/>
  <c r="V179" i="12"/>
  <c r="V175" i="12"/>
  <c r="V171" i="12"/>
  <c r="V159" i="12"/>
  <c r="V149" i="12"/>
  <c r="V144" i="12"/>
  <c r="V247" i="12"/>
  <c r="V222" i="12"/>
  <c r="V173" i="12"/>
  <c r="V154" i="12"/>
  <c r="V137" i="12"/>
  <c r="V131" i="12"/>
  <c r="V127" i="12"/>
  <c r="V123" i="12"/>
  <c r="V119" i="12"/>
  <c r="V115" i="12"/>
  <c r="V251" i="12"/>
  <c r="V233" i="12"/>
  <c r="V209" i="12"/>
  <c r="V194" i="12"/>
  <c r="V181" i="12"/>
  <c r="V177" i="12"/>
  <c r="V166" i="12"/>
  <c r="V147" i="12"/>
  <c r="V249" i="12"/>
  <c r="V235" i="12"/>
  <c r="V157" i="12"/>
  <c r="V152" i="12"/>
  <c r="V142" i="12"/>
  <c r="V135" i="12"/>
  <c r="V272" i="12"/>
  <c r="V255" i="12"/>
  <c r="V140" i="12"/>
  <c r="V132" i="12"/>
  <c r="V128" i="12"/>
  <c r="V124" i="12"/>
  <c r="V120" i="12"/>
  <c r="V116" i="12"/>
  <c r="V253" i="12"/>
  <c r="V246" i="12"/>
  <c r="V214" i="12"/>
  <c r="V162" i="12"/>
  <c r="V155" i="12"/>
  <c r="V145" i="12"/>
  <c r="V281" i="12"/>
  <c r="V262" i="12"/>
  <c r="V203" i="12"/>
  <c r="V193" i="12"/>
  <c r="V174" i="12"/>
  <c r="V167" i="12"/>
  <c r="V150" i="12"/>
  <c r="V273" i="12"/>
  <c r="V225" i="12"/>
  <c r="V178" i="12"/>
  <c r="V148" i="12"/>
  <c r="V143" i="12"/>
  <c r="V138" i="12"/>
  <c r="V133" i="12"/>
  <c r="V129" i="12"/>
  <c r="V125" i="12"/>
  <c r="V121" i="12"/>
  <c r="V117" i="12"/>
  <c r="V234" i="12"/>
  <c r="V210" i="12"/>
  <c r="V202" i="12"/>
  <c r="T169" i="12"/>
  <c r="V156" i="12"/>
  <c r="V151" i="12"/>
  <c r="V146" i="12"/>
  <c r="V130" i="12"/>
  <c r="V126" i="12"/>
  <c r="V122" i="12"/>
  <c r="V118" i="12"/>
  <c r="V114" i="12"/>
  <c r="V182" i="12"/>
  <c r="V165" i="12"/>
  <c r="V169" i="12"/>
  <c r="V198" i="12"/>
  <c r="V141" i="12"/>
  <c r="V276" i="12"/>
  <c r="V230" i="12"/>
  <c r="V195" i="12"/>
  <c r="V163" i="12"/>
  <c r="V158" i="12"/>
  <c r="V153" i="12"/>
  <c r="V136" i="12"/>
  <c r="V250" i="12"/>
  <c r="F306" i="3"/>
  <c r="T27" i="49"/>
  <c r="Z18" i="49"/>
  <c r="D27" i="53"/>
  <c r="L18" i="53"/>
  <c r="H27" i="49"/>
  <c r="N18" i="49"/>
  <c r="L18" i="43"/>
  <c r="D27" i="43"/>
  <c r="H27" i="37"/>
  <c r="N18" i="37"/>
  <c r="T27" i="38"/>
  <c r="Z18" i="38"/>
  <c r="L18" i="29"/>
  <c r="D27" i="29"/>
  <c r="X18" i="31"/>
  <c r="P27" i="31"/>
  <c r="T27" i="28"/>
  <c r="Z18" i="28"/>
  <c r="X18" i="19"/>
  <c r="P27" i="19"/>
  <c r="H27" i="19"/>
  <c r="N18" i="19"/>
  <c r="T27" i="17"/>
  <c r="Z18" i="17"/>
  <c r="T27" i="7"/>
  <c r="Z18" i="7"/>
  <c r="T27" i="14"/>
  <c r="Z18" i="14"/>
  <c r="R301" i="18"/>
  <c r="R294" i="18"/>
  <c r="R279" i="18"/>
  <c r="R271" i="18"/>
  <c r="R267" i="18"/>
  <c r="R256" i="18"/>
  <c r="R255" i="18"/>
  <c r="R187" i="18"/>
  <c r="R183" i="18"/>
  <c r="R179" i="18"/>
  <c r="R175" i="18"/>
  <c r="R171" i="18"/>
  <c r="R167" i="18"/>
  <c r="R163" i="18"/>
  <c r="R159" i="18"/>
  <c r="R155" i="18"/>
  <c r="R151" i="18"/>
  <c r="R147" i="18"/>
  <c r="R143" i="18"/>
  <c r="R139" i="18"/>
  <c r="R135" i="18"/>
  <c r="R131" i="18"/>
  <c r="R293" i="18"/>
  <c r="R262" i="18"/>
  <c r="R250" i="18"/>
  <c r="R243" i="18"/>
  <c r="R242" i="18"/>
  <c r="R235" i="18"/>
  <c r="R234" i="18"/>
  <c r="R219" i="18"/>
  <c r="R218" i="18"/>
  <c r="R210" i="18"/>
  <c r="R206" i="18"/>
  <c r="R292" i="18"/>
  <c r="R257" i="18"/>
  <c r="R226" i="18"/>
  <c r="R225" i="18"/>
  <c r="R201" i="18"/>
  <c r="R197" i="18"/>
  <c r="R291" i="18"/>
  <c r="R280" i="18"/>
  <c r="R273" i="18"/>
  <c r="R272" i="18"/>
  <c r="R268" i="18"/>
  <c r="R245" i="18"/>
  <c r="R244" i="18"/>
  <c r="R237" i="18"/>
  <c r="R236" i="18"/>
  <c r="R220" i="18"/>
  <c r="R193" i="18"/>
  <c r="R188" i="18"/>
  <c r="R184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290" i="18"/>
  <c r="R264" i="18"/>
  <c r="R263" i="18"/>
  <c r="R252" i="18"/>
  <c r="R251" i="18"/>
  <c r="R228" i="18"/>
  <c r="R227" i="18"/>
  <c r="R212" i="18"/>
  <c r="R211" i="18"/>
  <c r="R207" i="18"/>
  <c r="R192" i="18"/>
  <c r="R190" i="18"/>
  <c r="R289" i="18"/>
  <c r="R274" i="18"/>
  <c r="R258" i="18"/>
  <c r="R247" i="18"/>
  <c r="R246" i="18"/>
  <c r="R239" i="18"/>
  <c r="R238" i="18"/>
  <c r="R202" i="18"/>
  <c r="R198" i="18"/>
  <c r="R194" i="18"/>
  <c r="P190" i="18"/>
  <c r="R288" i="18"/>
  <c r="R282" i="18"/>
  <c r="R281" i="18"/>
  <c r="R269" i="18"/>
  <c r="R265" i="18"/>
  <c r="R253" i="18"/>
  <c r="R230" i="18"/>
  <c r="R229" i="18"/>
  <c r="R287" i="18"/>
  <c r="R286" i="18"/>
  <c r="R283" i="18"/>
  <c r="R276" i="18"/>
  <c r="R275" i="18"/>
  <c r="R259" i="18"/>
  <c r="R232" i="18"/>
  <c r="R231" i="18"/>
  <c r="R215" i="18"/>
  <c r="R204" i="18"/>
  <c r="R203" i="18"/>
  <c r="R199" i="18"/>
  <c r="R195" i="18"/>
  <c r="R295" i="18"/>
  <c r="R261" i="18"/>
  <c r="R260" i="18"/>
  <c r="R224" i="18"/>
  <c r="R217" i="18"/>
  <c r="R216" i="18"/>
  <c r="R200" i="18"/>
  <c r="R196" i="18"/>
  <c r="R181" i="18"/>
  <c r="R166" i="18"/>
  <c r="R137" i="18"/>
  <c r="R133" i="18"/>
  <c r="R277" i="18"/>
  <c r="R270" i="18"/>
  <c r="R240" i="18"/>
  <c r="R208" i="18"/>
  <c r="R162" i="18"/>
  <c r="R213" i="18"/>
  <c r="R177" i="18"/>
  <c r="R158" i="18"/>
  <c r="R154" i="18"/>
  <c r="R150" i="18"/>
  <c r="R249" i="18"/>
  <c r="R173" i="18"/>
  <c r="R278" i="18"/>
  <c r="R222" i="18"/>
  <c r="R169" i="18"/>
  <c r="R142" i="18"/>
  <c r="R214" i="18"/>
  <c r="R205" i="18"/>
  <c r="R182" i="18"/>
  <c r="R165" i="18"/>
  <c r="R138" i="18"/>
  <c r="R134" i="18"/>
  <c r="R130" i="18"/>
  <c r="R241" i="18"/>
  <c r="R209" i="18"/>
  <c r="R161" i="18"/>
  <c r="R178" i="18"/>
  <c r="R157" i="18"/>
  <c r="R153" i="18"/>
  <c r="R149" i="18"/>
  <c r="R248" i="18"/>
  <c r="R223" i="18"/>
  <c r="R174" i="18"/>
  <c r="R296" i="18"/>
  <c r="R285" i="18"/>
  <c r="R233" i="18"/>
  <c r="R170" i="18"/>
  <c r="R141" i="18"/>
  <c r="R129" i="18"/>
  <c r="X12" i="18"/>
  <c r="R185" i="18"/>
  <c r="R145" i="18"/>
  <c r="R266" i="18"/>
  <c r="R186" i="18"/>
  <c r="R146" i="18"/>
  <c r="R297" i="18"/>
  <c r="R254" i="18"/>
  <c r="R221" i="18"/>
  <c r="T27" i="5"/>
  <c r="Z18" i="5"/>
  <c r="L18" i="14"/>
  <c r="D27" i="14"/>
  <c r="L31" i="96"/>
  <c r="N31" i="96" s="1"/>
  <c r="D91" i="95"/>
  <c r="V53" i="93"/>
  <c r="V43" i="93"/>
  <c r="V34" i="93"/>
  <c r="V26" i="93"/>
  <c r="V44" i="93"/>
  <c r="V36" i="93"/>
  <c r="V28" i="93"/>
  <c r="V35" i="93"/>
  <c r="V27" i="93"/>
  <c r="V46" i="93"/>
  <c r="V38" i="93"/>
  <c r="V40" i="93"/>
  <c r="V24" i="93"/>
  <c r="V42" i="93"/>
  <c r="V30" i="93"/>
  <c r="T21" i="93"/>
  <c r="V21" i="93" s="1"/>
  <c r="V23" i="93"/>
  <c r="V18" i="93"/>
  <c r="V33" i="93"/>
  <c r="V31" i="93"/>
  <c r="V29" i="93"/>
  <c r="V19" i="93"/>
  <c r="V47" i="93"/>
  <c r="V45" i="93"/>
  <c r="V41" i="93"/>
  <c r="V17" i="93"/>
  <c r="V49" i="93"/>
  <c r="V37" i="93"/>
  <c r="V39" i="93"/>
  <c r="V32" i="93"/>
  <c r="V25" i="93"/>
  <c r="X12" i="93"/>
  <c r="Z12" i="93" s="1"/>
  <c r="P96" i="85"/>
  <c r="X92" i="85"/>
  <c r="H75" i="82"/>
  <c r="N20" i="82"/>
  <c r="V73" i="82"/>
  <c r="V71" i="82"/>
  <c r="V59" i="82"/>
  <c r="V43" i="82"/>
  <c r="V35" i="82"/>
  <c r="V54" i="82"/>
  <c r="V42" i="82"/>
  <c r="V30" i="82"/>
  <c r="V26" i="82"/>
  <c r="V65" i="82"/>
  <c r="V61" i="82"/>
  <c r="V45" i="82"/>
  <c r="V17" i="82"/>
  <c r="V60" i="82"/>
  <c r="V44" i="82"/>
  <c r="V36" i="82"/>
  <c r="V32" i="82"/>
  <c r="Z12" i="82"/>
  <c r="V77" i="82"/>
  <c r="V55" i="82"/>
  <c r="V47" i="82"/>
  <c r="V31" i="82"/>
  <c r="V27" i="82"/>
  <c r="V23" i="82"/>
  <c r="V66" i="82"/>
  <c r="V62" i="82"/>
  <c r="V46" i="82"/>
  <c r="V22" i="82"/>
  <c r="V18" i="82"/>
  <c r="V57" i="82"/>
  <c r="V49" i="82"/>
  <c r="V37" i="82"/>
  <c r="V33" i="82"/>
  <c r="T20" i="82"/>
  <c r="V20" i="82" s="1"/>
  <c r="V68" i="82"/>
  <c r="V56" i="82"/>
  <c r="V48" i="82"/>
  <c r="V28" i="82"/>
  <c r="V24" i="82"/>
  <c r="V63" i="82"/>
  <c r="V52" i="82"/>
  <c r="V34" i="82"/>
  <c r="V70" i="82"/>
  <c r="V67" i="82"/>
  <c r="V50" i="82"/>
  <c r="V40" i="82"/>
  <c r="V38" i="82"/>
  <c r="V51" i="82"/>
  <c r="V41" i="82"/>
  <c r="V39" i="82"/>
  <c r="V64" i="82"/>
  <c r="V69" i="82"/>
  <c r="V29" i="82"/>
  <c r="V58" i="82"/>
  <c r="V53" i="82"/>
  <c r="V16" i="82"/>
  <c r="V25" i="82"/>
  <c r="L58" i="72"/>
  <c r="N58" i="72" s="1"/>
  <c r="V84" i="70"/>
  <c r="V66" i="70"/>
  <c r="V50" i="70"/>
  <c r="V68" i="70"/>
  <c r="V60" i="70"/>
  <c r="V52" i="70"/>
  <c r="V44" i="70"/>
  <c r="V40" i="70"/>
  <c r="V36" i="70"/>
  <c r="V63" i="70"/>
  <c r="V51" i="70"/>
  <c r="V35" i="70"/>
  <c r="V33" i="70"/>
  <c r="V31" i="70"/>
  <c r="V53" i="70"/>
  <c r="V41" i="70"/>
  <c r="V37" i="70"/>
  <c r="V76" i="70"/>
  <c r="V64" i="70"/>
  <c r="V56" i="70"/>
  <c r="V78" i="70"/>
  <c r="V77" i="70"/>
  <c r="V74" i="70"/>
  <c r="V72" i="70"/>
  <c r="V54" i="70"/>
  <c r="V67" i="70"/>
  <c r="V43" i="70"/>
  <c r="V81" i="70"/>
  <c r="V58" i="70"/>
  <c r="V57" i="70"/>
  <c r="V48" i="70"/>
  <c r="V39" i="70"/>
  <c r="V70" i="70"/>
  <c r="V75" i="70"/>
  <c r="V61" i="70"/>
  <c r="V46" i="70"/>
  <c r="T33" i="70"/>
  <c r="V83" i="70"/>
  <c r="V79" i="70"/>
  <c r="V55" i="70"/>
  <c r="V73" i="70"/>
  <c r="V71" i="70"/>
  <c r="V65" i="70"/>
  <c r="V42" i="70"/>
  <c r="V69" i="70"/>
  <c r="V45" i="70"/>
  <c r="V62" i="70"/>
  <c r="Z12" i="70"/>
  <c r="V88" i="70"/>
  <c r="V47" i="70"/>
  <c r="V59" i="70"/>
  <c r="V49" i="70"/>
  <c r="V80" i="70"/>
  <c r="V38" i="70"/>
  <c r="F123" i="66"/>
  <c r="Z17" i="62"/>
  <c r="T105" i="62"/>
  <c r="X17" i="62"/>
  <c r="N16" i="61"/>
  <c r="H51" i="61"/>
  <c r="L20" i="65"/>
  <c r="N20" i="65" s="1"/>
  <c r="D68" i="65"/>
  <c r="D51" i="60"/>
  <c r="L16" i="60"/>
  <c r="Z16" i="59"/>
  <c r="T61" i="59"/>
  <c r="Z16" i="55"/>
  <c r="T33" i="55"/>
  <c r="X33" i="55" s="1"/>
  <c r="T70" i="57"/>
  <c r="Z16" i="57"/>
  <c r="H26" i="54"/>
  <c r="N22" i="54"/>
  <c r="X17" i="48"/>
  <c r="Z17" i="48" s="1"/>
  <c r="P69" i="48"/>
  <c r="V126" i="39"/>
  <c r="V124" i="39"/>
  <c r="V116" i="39"/>
  <c r="V100" i="39"/>
  <c r="V96" i="39"/>
  <c r="V80" i="39"/>
  <c r="V72" i="39"/>
  <c r="V44" i="39"/>
  <c r="V40" i="39"/>
  <c r="V133" i="39"/>
  <c r="V119" i="39"/>
  <c r="V111" i="39"/>
  <c r="V107" i="39"/>
  <c r="V83" i="39"/>
  <c r="V63" i="39"/>
  <c r="V55" i="39"/>
  <c r="V31" i="39"/>
  <c r="V118" i="39"/>
  <c r="V102" i="39"/>
  <c r="V90" i="39"/>
  <c r="V82" i="39"/>
  <c r="V74" i="39"/>
  <c r="V54" i="39"/>
  <c r="V50" i="39"/>
  <c r="V97" i="39"/>
  <c r="V85" i="39"/>
  <c r="V65" i="39"/>
  <c r="V57" i="39"/>
  <c r="V45" i="39"/>
  <c r="V41" i="39"/>
  <c r="V37" i="39"/>
  <c r="V120" i="39"/>
  <c r="V112" i="39"/>
  <c r="V108" i="39"/>
  <c r="V104" i="39"/>
  <c r="V92" i="39"/>
  <c r="V84" i="39"/>
  <c r="V76" i="39"/>
  <c r="V64" i="39"/>
  <c r="V56" i="39"/>
  <c r="V36" i="39"/>
  <c r="V32" i="39"/>
  <c r="V103" i="39"/>
  <c r="V91" i="39"/>
  <c r="V87" i="39"/>
  <c r="V75" i="39"/>
  <c r="V67" i="39"/>
  <c r="V59" i="39"/>
  <c r="V51" i="39"/>
  <c r="V47" i="39"/>
  <c r="T34" i="39"/>
  <c r="V34" i="39" s="1"/>
  <c r="V98" i="39"/>
  <c r="V86" i="39"/>
  <c r="V66" i="39"/>
  <c r="V58" i="39"/>
  <c r="V121" i="39"/>
  <c r="V113" i="39"/>
  <c r="V109" i="39"/>
  <c r="V105" i="39"/>
  <c r="V93" i="39"/>
  <c r="V77" i="39"/>
  <c r="V69" i="39"/>
  <c r="V61" i="39"/>
  <c r="V88" i="39"/>
  <c r="V68" i="39"/>
  <c r="V60" i="39"/>
  <c r="V52" i="39"/>
  <c r="V48" i="39"/>
  <c r="Z12" i="39"/>
  <c r="V127" i="39"/>
  <c r="V117" i="39"/>
  <c r="V101" i="39"/>
  <c r="V89" i="39"/>
  <c r="V81" i="39"/>
  <c r="V73" i="39"/>
  <c r="V53" i="39"/>
  <c r="V49" i="39"/>
  <c r="V128" i="39"/>
  <c r="V114" i="39"/>
  <c r="V95" i="39"/>
  <c r="V46" i="39"/>
  <c r="V39" i="39"/>
  <c r="V70" i="39"/>
  <c r="V106" i="39"/>
  <c r="V30" i="39"/>
  <c r="V122" i="39"/>
  <c r="V78" i="39"/>
  <c r="V43" i="39"/>
  <c r="V129" i="39"/>
  <c r="V115" i="39"/>
  <c r="V110" i="39"/>
  <c r="V99" i="39"/>
  <c r="V71" i="39"/>
  <c r="V38" i="39"/>
  <c r="V94" i="39"/>
  <c r="V62" i="39"/>
  <c r="V79" i="39"/>
  <c r="V42" i="39"/>
  <c r="V123" i="39"/>
  <c r="N93" i="33"/>
  <c r="F124" i="36"/>
  <c r="F119" i="36"/>
  <c r="F118" i="36"/>
  <c r="F111" i="36"/>
  <c r="F110" i="36"/>
  <c r="F95" i="36"/>
  <c r="F91" i="36"/>
  <c r="F90" i="36"/>
  <c r="F128" i="36"/>
  <c r="F123" i="36"/>
  <c r="F106" i="36"/>
  <c r="F102" i="36"/>
  <c r="F66" i="36"/>
  <c r="F65" i="36"/>
  <c r="F122" i="36"/>
  <c r="F113" i="36"/>
  <c r="F112" i="36"/>
  <c r="F97" i="36"/>
  <c r="F96" i="36"/>
  <c r="F85" i="36"/>
  <c r="F77" i="36"/>
  <c r="F76" i="36"/>
  <c r="F57" i="36"/>
  <c r="F121" i="36"/>
  <c r="F115" i="36"/>
  <c r="F114" i="36"/>
  <c r="F107" i="36"/>
  <c r="F103" i="36"/>
  <c r="F79" i="36"/>
  <c r="F78" i="36"/>
  <c r="F116" i="36"/>
  <c r="F108" i="36"/>
  <c r="F104" i="36"/>
  <c r="F100" i="36"/>
  <c r="F99" i="36"/>
  <c r="F88" i="36"/>
  <c r="F87" i="36"/>
  <c r="F60" i="36"/>
  <c r="F59" i="36"/>
  <c r="F52" i="36"/>
  <c r="F51" i="36"/>
  <c r="F117" i="36"/>
  <c r="F109" i="36"/>
  <c r="F105" i="36"/>
  <c r="F101" i="36"/>
  <c r="F89" i="36"/>
  <c r="F73" i="36"/>
  <c r="F72" i="36"/>
  <c r="F45" i="36"/>
  <c r="F81" i="36"/>
  <c r="F70" i="36"/>
  <c r="F63" i="36"/>
  <c r="F55" i="36"/>
  <c r="F48" i="36"/>
  <c r="F84" i="36"/>
  <c r="F38" i="36"/>
  <c r="F34" i="36"/>
  <c r="F93" i="36"/>
  <c r="F86" i="36"/>
  <c r="F64" i="36"/>
  <c r="F43" i="36"/>
  <c r="F25" i="36"/>
  <c r="F24" i="36"/>
  <c r="F67" i="36"/>
  <c r="F56" i="36"/>
  <c r="L12" i="36"/>
  <c r="N12" i="36" s="1"/>
  <c r="F82" i="36"/>
  <c r="F58" i="36"/>
  <c r="F49" i="36"/>
  <c r="F46" i="36"/>
  <c r="F39" i="36"/>
  <c r="F35" i="36"/>
  <c r="F98" i="36"/>
  <c r="F68" i="36"/>
  <c r="F26" i="36"/>
  <c r="F94" i="36"/>
  <c r="F74" i="36"/>
  <c r="F53" i="36"/>
  <c r="F50" i="36"/>
  <c r="F40" i="36"/>
  <c r="F36" i="36"/>
  <c r="F32" i="36"/>
  <c r="F31" i="36"/>
  <c r="F75" i="36"/>
  <c r="F42" i="36"/>
  <c r="F41" i="36"/>
  <c r="F37" i="36"/>
  <c r="F33" i="36"/>
  <c r="F92" i="36"/>
  <c r="F80" i="36"/>
  <c r="F69" i="36"/>
  <c r="F61" i="36"/>
  <c r="F54" i="36"/>
  <c r="F30" i="36"/>
  <c r="F71" i="36"/>
  <c r="F47" i="36"/>
  <c r="F28" i="36"/>
  <c r="F62" i="36"/>
  <c r="F44" i="36"/>
  <c r="F83" i="36"/>
  <c r="D28" i="36"/>
  <c r="R111" i="27"/>
  <c r="R110" i="27"/>
  <c r="R58" i="27"/>
  <c r="R54" i="27"/>
  <c r="R50" i="27"/>
  <c r="R46" i="27"/>
  <c r="R105" i="27"/>
  <c r="R98" i="27"/>
  <c r="R97" i="27"/>
  <c r="R81" i="27"/>
  <c r="R77" i="27"/>
  <c r="R112" i="27"/>
  <c r="R89" i="27"/>
  <c r="R88" i="27"/>
  <c r="R72" i="27"/>
  <c r="R68" i="27"/>
  <c r="R99" i="27"/>
  <c r="R59" i="27"/>
  <c r="R55" i="27"/>
  <c r="R51" i="27"/>
  <c r="R47" i="27"/>
  <c r="R107" i="27"/>
  <c r="R106" i="27"/>
  <c r="R91" i="27"/>
  <c r="R90" i="27"/>
  <c r="R82" i="27"/>
  <c r="R78" i="27"/>
  <c r="R114" i="27"/>
  <c r="R113" i="27"/>
  <c r="R73" i="27"/>
  <c r="R69" i="27"/>
  <c r="R108" i="27"/>
  <c r="R101" i="27"/>
  <c r="R100" i="27"/>
  <c r="R93" i="27"/>
  <c r="R92" i="27"/>
  <c r="R60" i="27"/>
  <c r="R56" i="27"/>
  <c r="R52" i="27"/>
  <c r="R48" i="27"/>
  <c r="R121" i="27"/>
  <c r="R102" i="27"/>
  <c r="R94" i="27"/>
  <c r="R74" i="27"/>
  <c r="R70" i="27"/>
  <c r="R104" i="27"/>
  <c r="R103" i="27"/>
  <c r="R96" i="27"/>
  <c r="R95" i="27"/>
  <c r="R87" i="27"/>
  <c r="R76" i="27"/>
  <c r="R75" i="27"/>
  <c r="R71" i="27"/>
  <c r="R67" i="27"/>
  <c r="P63" i="27"/>
  <c r="R120" i="27"/>
  <c r="R86" i="27"/>
  <c r="X12" i="27"/>
  <c r="Z12" i="27" s="1"/>
  <c r="R65" i="27"/>
  <c r="R49" i="27"/>
  <c r="R116" i="27"/>
  <c r="R80" i="27"/>
  <c r="R126" i="27"/>
  <c r="R53" i="27"/>
  <c r="R44" i="27"/>
  <c r="R85" i="27"/>
  <c r="R66" i="27"/>
  <c r="R119" i="27"/>
  <c r="R79" i="27"/>
  <c r="R57" i="27"/>
  <c r="R109" i="27"/>
  <c r="R83" i="27"/>
  <c r="R63" i="27"/>
  <c r="R115" i="27"/>
  <c r="R84" i="27"/>
  <c r="R45" i="27"/>
  <c r="R117" i="27"/>
  <c r="R122" i="27"/>
  <c r="R61" i="27"/>
  <c r="V107" i="21"/>
  <c r="V82" i="21"/>
  <c r="V74" i="21"/>
  <c r="V66" i="21"/>
  <c r="V54" i="21"/>
  <c r="V46" i="21"/>
  <c r="V103" i="21"/>
  <c r="V101" i="21"/>
  <c r="V81" i="21"/>
  <c r="V77" i="21"/>
  <c r="V69" i="21"/>
  <c r="V57" i="21"/>
  <c r="V45" i="21"/>
  <c r="V41" i="21"/>
  <c r="V92" i="21"/>
  <c r="V88" i="21"/>
  <c r="V84" i="21"/>
  <c r="V76" i="21"/>
  <c r="V68" i="21"/>
  <c r="V56" i="21"/>
  <c r="V48" i="21"/>
  <c r="V36" i="21"/>
  <c r="V32" i="21"/>
  <c r="V83" i="21"/>
  <c r="V71" i="21"/>
  <c r="V59" i="21"/>
  <c r="V47" i="21"/>
  <c r="V23" i="21"/>
  <c r="V94" i="21"/>
  <c r="V78" i="21"/>
  <c r="V70" i="21"/>
  <c r="V58" i="21"/>
  <c r="V50" i="21"/>
  <c r="V42" i="21"/>
  <c r="V93" i="21"/>
  <c r="V89" i="21"/>
  <c r="V85" i="21"/>
  <c r="V61" i="21"/>
  <c r="V49" i="21"/>
  <c r="V37" i="21"/>
  <c r="V33" i="21"/>
  <c r="V96" i="21"/>
  <c r="V72" i="21"/>
  <c r="V60" i="21"/>
  <c r="V52" i="21"/>
  <c r="V24" i="21"/>
  <c r="V95" i="21"/>
  <c r="V79" i="21"/>
  <c r="V63" i="21"/>
  <c r="V51" i="21"/>
  <c r="V43" i="21"/>
  <c r="V39" i="21"/>
  <c r="V98" i="21"/>
  <c r="V90" i="21"/>
  <c r="V86" i="21"/>
  <c r="V62" i="21"/>
  <c r="V38" i="21"/>
  <c r="V34" i="21"/>
  <c r="V30" i="21"/>
  <c r="V99" i="21"/>
  <c r="V91" i="21"/>
  <c r="V87" i="21"/>
  <c r="V75" i="21"/>
  <c r="V67" i="21"/>
  <c r="V55" i="21"/>
  <c r="V35" i="21"/>
  <c r="V31" i="21"/>
  <c r="V97" i="21"/>
  <c r="Z12" i="21"/>
  <c r="V64" i="21"/>
  <c r="V40" i="21"/>
  <c r="V53" i="21"/>
  <c r="V100" i="21"/>
  <c r="V65" i="21"/>
  <c r="V44" i="21"/>
  <c r="V25" i="21"/>
  <c r="V80" i="21"/>
  <c r="T27" i="21"/>
  <c r="V73" i="21"/>
  <c r="V29" i="21"/>
  <c r="H270" i="15"/>
  <c r="Z16" i="6"/>
  <c r="T22" i="6"/>
  <c r="X22" i="6" s="1"/>
  <c r="V292" i="18"/>
  <c r="V262" i="18"/>
  <c r="V250" i="18"/>
  <c r="V242" i="18"/>
  <c r="V234" i="18"/>
  <c r="V226" i="18"/>
  <c r="V218" i="18"/>
  <c r="V210" i="18"/>
  <c r="V206" i="18"/>
  <c r="V291" i="18"/>
  <c r="V273" i="18"/>
  <c r="V257" i="18"/>
  <c r="V245" i="18"/>
  <c r="V237" i="18"/>
  <c r="V225" i="18"/>
  <c r="V201" i="18"/>
  <c r="V197" i="18"/>
  <c r="V193" i="18"/>
  <c r="V290" i="18"/>
  <c r="V280" i="18"/>
  <c r="V272" i="18"/>
  <c r="V268" i="18"/>
  <c r="V264" i="18"/>
  <c r="V252" i="18"/>
  <c r="V244" i="18"/>
  <c r="V236" i="18"/>
  <c r="V228" i="18"/>
  <c r="V220" i="18"/>
  <c r="V212" i="18"/>
  <c r="V192" i="18"/>
  <c r="V188" i="18"/>
  <c r="V184" i="18"/>
  <c r="V180" i="18"/>
  <c r="V176" i="18"/>
  <c r="V172" i="18"/>
  <c r="V168" i="18"/>
  <c r="V164" i="18"/>
  <c r="V160" i="18"/>
  <c r="V156" i="18"/>
  <c r="V152" i="18"/>
  <c r="V148" i="18"/>
  <c r="V144" i="18"/>
  <c r="V140" i="18"/>
  <c r="V136" i="18"/>
  <c r="V132" i="18"/>
  <c r="V289" i="18"/>
  <c r="V263" i="18"/>
  <c r="V251" i="18"/>
  <c r="V247" i="18"/>
  <c r="V239" i="18"/>
  <c r="V227" i="18"/>
  <c r="V211" i="18"/>
  <c r="V207" i="18"/>
  <c r="T190" i="18"/>
  <c r="V288" i="18"/>
  <c r="V282" i="18"/>
  <c r="V274" i="18"/>
  <c r="V258" i="18"/>
  <c r="V246" i="18"/>
  <c r="V238" i="18"/>
  <c r="V230" i="18"/>
  <c r="V214" i="18"/>
  <c r="V202" i="18"/>
  <c r="V198" i="18"/>
  <c r="V194" i="18"/>
  <c r="V287" i="18"/>
  <c r="V281" i="18"/>
  <c r="V269" i="18"/>
  <c r="V265" i="18"/>
  <c r="V253" i="18"/>
  <c r="V229" i="18"/>
  <c r="V221" i="18"/>
  <c r="V213" i="18"/>
  <c r="V185" i="18"/>
  <c r="V181" i="18"/>
  <c r="V177" i="18"/>
  <c r="V173" i="18"/>
  <c r="V169" i="18"/>
  <c r="V165" i="18"/>
  <c r="V161" i="18"/>
  <c r="V157" i="18"/>
  <c r="V153" i="18"/>
  <c r="V149" i="18"/>
  <c r="V145" i="18"/>
  <c r="V141" i="18"/>
  <c r="V137" i="18"/>
  <c r="V133" i="18"/>
  <c r="V129" i="18"/>
  <c r="V286" i="18"/>
  <c r="V276" i="18"/>
  <c r="V248" i="18"/>
  <c r="V240" i="18"/>
  <c r="V232" i="18"/>
  <c r="V297" i="18"/>
  <c r="V285" i="18"/>
  <c r="V283" i="18"/>
  <c r="V275" i="18"/>
  <c r="V259" i="18"/>
  <c r="V296" i="18"/>
  <c r="V278" i="18"/>
  <c r="V270" i="18"/>
  <c r="V266" i="18"/>
  <c r="V254" i="18"/>
  <c r="V222" i="18"/>
  <c r="V186" i="18"/>
  <c r="V182" i="18"/>
  <c r="V178" i="18"/>
  <c r="V174" i="18"/>
  <c r="V170" i="18"/>
  <c r="V166" i="18"/>
  <c r="V162" i="18"/>
  <c r="V158" i="18"/>
  <c r="V154" i="18"/>
  <c r="V150" i="18"/>
  <c r="V146" i="18"/>
  <c r="V142" i="18"/>
  <c r="V138" i="18"/>
  <c r="V134" i="18"/>
  <c r="V130" i="18"/>
  <c r="V301" i="18"/>
  <c r="V293" i="18"/>
  <c r="V279" i="18"/>
  <c r="V271" i="18"/>
  <c r="V267" i="18"/>
  <c r="V255" i="18"/>
  <c r="V243" i="18"/>
  <c r="V235" i="18"/>
  <c r="V219" i="18"/>
  <c r="V187" i="18"/>
  <c r="V183" i="18"/>
  <c r="V179" i="18"/>
  <c r="V175" i="18"/>
  <c r="V171" i="18"/>
  <c r="V167" i="18"/>
  <c r="V163" i="18"/>
  <c r="V159" i="18"/>
  <c r="V155" i="18"/>
  <c r="V151" i="18"/>
  <c r="V147" i="18"/>
  <c r="V143" i="18"/>
  <c r="V139" i="18"/>
  <c r="V135" i="18"/>
  <c r="V131" i="18"/>
  <c r="V294" i="18"/>
  <c r="V277" i="18"/>
  <c r="V208" i="18"/>
  <c r="V217" i="18"/>
  <c r="V215" i="18"/>
  <c r="V249" i="18"/>
  <c r="V199" i="18"/>
  <c r="V224" i="18"/>
  <c r="V295" i="18"/>
  <c r="V260" i="18"/>
  <c r="V205" i="18"/>
  <c r="V241" i="18"/>
  <c r="V209" i="18"/>
  <c r="V203" i="18"/>
  <c r="V223" i="18"/>
  <c r="V216" i="18"/>
  <c r="V200" i="18"/>
  <c r="V231" i="18"/>
  <c r="V195" i="18"/>
  <c r="V256" i="18"/>
  <c r="Z12" i="18"/>
  <c r="V261" i="18"/>
  <c r="V196" i="18"/>
  <c r="V204" i="18"/>
  <c r="V233" i="18"/>
  <c r="F288" i="18"/>
  <c r="F283" i="18"/>
  <c r="F282" i="18"/>
  <c r="F275" i="18"/>
  <c r="F259" i="18"/>
  <c r="F231" i="18"/>
  <c r="F230" i="18"/>
  <c r="F215" i="18"/>
  <c r="F214" i="18"/>
  <c r="F203" i="18"/>
  <c r="F199" i="18"/>
  <c r="F195" i="18"/>
  <c r="F287" i="18"/>
  <c r="F270" i="18"/>
  <c r="F266" i="18"/>
  <c r="F254" i="18"/>
  <c r="F222" i="18"/>
  <c r="F186" i="18"/>
  <c r="F182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130" i="18"/>
  <c r="F129" i="18"/>
  <c r="F286" i="18"/>
  <c r="F277" i="18"/>
  <c r="F276" i="18"/>
  <c r="F249" i="18"/>
  <c r="F241" i="18"/>
  <c r="F233" i="18"/>
  <c r="F232" i="18"/>
  <c r="F209" i="18"/>
  <c r="F205" i="18"/>
  <c r="F204" i="18"/>
  <c r="F297" i="18"/>
  <c r="F285" i="18"/>
  <c r="F260" i="18"/>
  <c r="F224" i="18"/>
  <c r="F223" i="18"/>
  <c r="F216" i="18"/>
  <c r="F200" i="18"/>
  <c r="F196" i="18"/>
  <c r="F301" i="18"/>
  <c r="F296" i="18"/>
  <c r="F279" i="18"/>
  <c r="F278" i="18"/>
  <c r="F271" i="18"/>
  <c r="F267" i="18"/>
  <c r="F255" i="18"/>
  <c r="F187" i="18"/>
  <c r="F183" i="18"/>
  <c r="F179" i="18"/>
  <c r="F175" i="18"/>
  <c r="F171" i="18"/>
  <c r="F167" i="18"/>
  <c r="F163" i="18"/>
  <c r="F159" i="18"/>
  <c r="F155" i="18"/>
  <c r="F151" i="18"/>
  <c r="F147" i="18"/>
  <c r="F143" i="18"/>
  <c r="F139" i="18"/>
  <c r="F135" i="18"/>
  <c r="F131" i="18"/>
  <c r="F295" i="18"/>
  <c r="F262" i="18"/>
  <c r="F261" i="18"/>
  <c r="F250" i="18"/>
  <c r="F242" i="18"/>
  <c r="F234" i="18"/>
  <c r="F218" i="18"/>
  <c r="F217" i="18"/>
  <c r="F210" i="18"/>
  <c r="F206" i="18"/>
  <c r="F294" i="18"/>
  <c r="F257" i="18"/>
  <c r="F256" i="18"/>
  <c r="F225" i="18"/>
  <c r="F293" i="18"/>
  <c r="F280" i="18"/>
  <c r="F272" i="18"/>
  <c r="F268" i="18"/>
  <c r="F292" i="18"/>
  <c r="F263" i="18"/>
  <c r="F251" i="18"/>
  <c r="F227" i="18"/>
  <c r="F226" i="18"/>
  <c r="F211" i="18"/>
  <c r="F207" i="18"/>
  <c r="F289" i="18"/>
  <c r="F248" i="18"/>
  <c r="F247" i="18"/>
  <c r="F240" i="18"/>
  <c r="F239" i="18"/>
  <c r="F208" i="18"/>
  <c r="D190" i="18"/>
  <c r="F273" i="18"/>
  <c r="F252" i="18"/>
  <c r="F235" i="18"/>
  <c r="F229" i="18"/>
  <c r="F193" i="18"/>
  <c r="F176" i="18"/>
  <c r="F157" i="18"/>
  <c r="F153" i="18"/>
  <c r="F149" i="18"/>
  <c r="F244" i="18"/>
  <c r="F202" i="18"/>
  <c r="F197" i="18"/>
  <c r="F190" i="18"/>
  <c r="F221" i="18"/>
  <c r="F185" i="18"/>
  <c r="F172" i="18"/>
  <c r="F145" i="18"/>
  <c r="F238" i="18"/>
  <c r="F212" i="18"/>
  <c r="F168" i="18"/>
  <c r="F141" i="18"/>
  <c r="L12" i="18"/>
  <c r="F290" i="18"/>
  <c r="F258" i="18"/>
  <c r="F236" i="18"/>
  <c r="F201" i="18"/>
  <c r="F164" i="18"/>
  <c r="F160" i="18"/>
  <c r="F274" i="18"/>
  <c r="F265" i="18"/>
  <c r="F253" i="18"/>
  <c r="F245" i="18"/>
  <c r="F213" i="18"/>
  <c r="F177" i="18"/>
  <c r="F156" i="18"/>
  <c r="F152" i="18"/>
  <c r="F188" i="18"/>
  <c r="F173" i="18"/>
  <c r="F148" i="18"/>
  <c r="F243" i="18"/>
  <c r="F228" i="18"/>
  <c r="F192" i="18"/>
  <c r="F269" i="18"/>
  <c r="F220" i="18"/>
  <c r="F198" i="18"/>
  <c r="F184" i="18"/>
  <c r="F169" i="18"/>
  <c r="F144" i="18"/>
  <c r="F291" i="18"/>
  <c r="F264" i="18"/>
  <c r="F246" i="18"/>
  <c r="F180" i="18"/>
  <c r="F161" i="18"/>
  <c r="F237" i="18"/>
  <c r="F219" i="18"/>
  <c r="F181" i="18"/>
  <c r="F133" i="18"/>
  <c r="F140" i="18"/>
  <c r="F165" i="18"/>
  <c r="F137" i="18"/>
  <c r="F132" i="18"/>
  <c r="F194" i="18"/>
  <c r="F281" i="18"/>
  <c r="F136" i="18"/>
  <c r="N202" i="3"/>
  <c r="H321" i="3"/>
  <c r="X306" i="3"/>
  <c r="N18" i="47"/>
  <c r="H27" i="47"/>
  <c r="X18" i="43"/>
  <c r="P27" i="43"/>
  <c r="T27" i="41"/>
  <c r="Z18" i="41"/>
  <c r="T27" i="34"/>
  <c r="Z18" i="34"/>
  <c r="X18" i="26"/>
  <c r="P27" i="26"/>
  <c r="H27" i="31"/>
  <c r="N18" i="31"/>
  <c r="P27" i="29"/>
  <c r="X18" i="29"/>
  <c r="H27" i="17"/>
  <c r="N18" i="17"/>
  <c r="T74" i="74"/>
  <c r="Z20" i="74"/>
  <c r="X18" i="11"/>
  <c r="P27" i="11"/>
  <c r="L18" i="10"/>
  <c r="D27" i="10"/>
  <c r="N17" i="97"/>
  <c r="H69" i="97"/>
  <c r="P36" i="96"/>
  <c r="X16" i="96"/>
  <c r="H90" i="94"/>
  <c r="N21" i="94"/>
  <c r="R92" i="94"/>
  <c r="R59" i="94"/>
  <c r="R58" i="94"/>
  <c r="R84" i="94"/>
  <c r="R83" i="94"/>
  <c r="R66" i="94"/>
  <c r="R85" i="94"/>
  <c r="R77" i="94"/>
  <c r="R73" i="94"/>
  <c r="R61" i="94"/>
  <c r="R86" i="94"/>
  <c r="R64" i="94"/>
  <c r="R56" i="94"/>
  <c r="R51" i="94"/>
  <c r="R50" i="94"/>
  <c r="R82" i="94"/>
  <c r="R76" i="94"/>
  <c r="R57" i="94"/>
  <c r="R41" i="94"/>
  <c r="R40" i="94"/>
  <c r="R36" i="94"/>
  <c r="R17" i="94"/>
  <c r="X12" i="94"/>
  <c r="Z12" i="94" s="1"/>
  <c r="R31" i="94"/>
  <c r="R27" i="94"/>
  <c r="R79" i="94"/>
  <c r="R71" i="94"/>
  <c r="R68" i="94"/>
  <c r="R67" i="94"/>
  <c r="R52" i="94"/>
  <c r="R43" i="94"/>
  <c r="R42" i="94"/>
  <c r="R18" i="94"/>
  <c r="R74" i="94"/>
  <c r="R53" i="94"/>
  <c r="R37" i="94"/>
  <c r="R80" i="94"/>
  <c r="R65" i="94"/>
  <c r="R45" i="94"/>
  <c r="R44" i="94"/>
  <c r="R32" i="94"/>
  <c r="R28" i="94"/>
  <c r="R62" i="94"/>
  <c r="R72" i="94"/>
  <c r="R54" i="94"/>
  <c r="R47" i="94"/>
  <c r="R46" i="94"/>
  <c r="R38" i="94"/>
  <c r="R23" i="94"/>
  <c r="R21" i="94"/>
  <c r="R81" i="94"/>
  <c r="R75" i="94"/>
  <c r="R69" i="94"/>
  <c r="R55" i="94"/>
  <c r="R49" i="94"/>
  <c r="R48" i="94"/>
  <c r="R39" i="94"/>
  <c r="R29" i="94"/>
  <c r="R33" i="94"/>
  <c r="R24" i="94"/>
  <c r="R34" i="94"/>
  <c r="R70" i="94"/>
  <c r="R63" i="94"/>
  <c r="R26" i="94"/>
  <c r="P21" i="94"/>
  <c r="R30" i="94"/>
  <c r="R88" i="94"/>
  <c r="R60" i="94"/>
  <c r="R35" i="94"/>
  <c r="R25" i="94"/>
  <c r="R19" i="94"/>
  <c r="R78" i="94"/>
  <c r="R83" i="90"/>
  <c r="R81" i="90"/>
  <c r="R78" i="90"/>
  <c r="R67" i="90"/>
  <c r="R66" i="90"/>
  <c r="R51" i="90"/>
  <c r="R50" i="90"/>
  <c r="R80" i="90"/>
  <c r="R41" i="90"/>
  <c r="R37" i="90"/>
  <c r="R72" i="90"/>
  <c r="R68" i="90"/>
  <c r="R61" i="90"/>
  <c r="R60" i="90"/>
  <c r="R53" i="90"/>
  <c r="R52" i="90"/>
  <c r="R32" i="90"/>
  <c r="R28" i="90"/>
  <c r="R85" i="90"/>
  <c r="R90" i="90"/>
  <c r="R87" i="90"/>
  <c r="R63" i="90"/>
  <c r="R62" i="90"/>
  <c r="R55" i="90"/>
  <c r="R54" i="90"/>
  <c r="R43" i="90"/>
  <c r="R42" i="90"/>
  <c r="R38" i="90"/>
  <c r="R19" i="90"/>
  <c r="R73" i="90"/>
  <c r="R69" i="90"/>
  <c r="R39" i="90"/>
  <c r="R65" i="90"/>
  <c r="R26" i="90"/>
  <c r="R75" i="90"/>
  <c r="R45" i="90"/>
  <c r="R36" i="90"/>
  <c r="R21" i="90"/>
  <c r="R48" i="90"/>
  <c r="R34" i="90"/>
  <c r="R30" i="90"/>
  <c r="R58" i="90"/>
  <c r="R71" i="90"/>
  <c r="R76" i="90"/>
  <c r="R56" i="90"/>
  <c r="R46" i="90"/>
  <c r="R23" i="90"/>
  <c r="R20" i="90"/>
  <c r="R33" i="90"/>
  <c r="R29" i="90"/>
  <c r="P23" i="90"/>
  <c r="R70" i="90"/>
  <c r="R64" i="90"/>
  <c r="R57" i="90"/>
  <c r="R47" i="90"/>
  <c r="R44" i="90"/>
  <c r="R35" i="90"/>
  <c r="R31" i="90"/>
  <c r="R27" i="90"/>
  <c r="R59" i="90"/>
  <c r="X12" i="90"/>
  <c r="Z12" i="90" s="1"/>
  <c r="R74" i="90"/>
  <c r="R49" i="90"/>
  <c r="R40" i="90"/>
  <c r="R25" i="90"/>
  <c r="R77" i="90"/>
  <c r="P67" i="89"/>
  <c r="V23" i="90"/>
  <c r="N17" i="88"/>
  <c r="H46" i="88"/>
  <c r="P53" i="87"/>
  <c r="X20" i="87"/>
  <c r="V80" i="86"/>
  <c r="V64" i="86"/>
  <c r="V48" i="86"/>
  <c r="V28" i="86"/>
  <c r="V24" i="86"/>
  <c r="V85" i="86"/>
  <c r="V75" i="86"/>
  <c r="V71" i="86"/>
  <c r="V59" i="86"/>
  <c r="V47" i="86"/>
  <c r="V39" i="86"/>
  <c r="V84" i="86"/>
  <c r="V82" i="86"/>
  <c r="V58" i="86"/>
  <c r="V50" i="86"/>
  <c r="V38" i="86"/>
  <c r="V34" i="86"/>
  <c r="V65" i="86"/>
  <c r="V49" i="86"/>
  <c r="V41" i="86"/>
  <c r="V76" i="86"/>
  <c r="V72" i="86"/>
  <c r="V89" i="86"/>
  <c r="V67" i="86"/>
  <c r="V51" i="86"/>
  <c r="V43" i="86"/>
  <c r="V35" i="86"/>
  <c r="V66" i="86"/>
  <c r="V54" i="86"/>
  <c r="V42" i="86"/>
  <c r="V77" i="86"/>
  <c r="V73" i="86"/>
  <c r="V61" i="86"/>
  <c r="V53" i="86"/>
  <c r="V45" i="86"/>
  <c r="V79" i="86"/>
  <c r="V63" i="86"/>
  <c r="V55" i="86"/>
  <c r="V31" i="86"/>
  <c r="V70" i="86"/>
  <c r="V30" i="86"/>
  <c r="V16" i="86"/>
  <c r="V56" i="86"/>
  <c r="V46" i="86"/>
  <c r="V44" i="86"/>
  <c r="V26" i="86"/>
  <c r="Z12" i="86"/>
  <c r="V74" i="86"/>
  <c r="V68" i="86"/>
  <c r="V36" i="86"/>
  <c r="V78" i="86"/>
  <c r="V20" i="86"/>
  <c r="V62" i="86"/>
  <c r="V60" i="86"/>
  <c r="V40" i="86"/>
  <c r="V33" i="86"/>
  <c r="T20" i="86"/>
  <c r="V22" i="86"/>
  <c r="V17" i="86"/>
  <c r="V52" i="86"/>
  <c r="V27" i="86"/>
  <c r="V81" i="86"/>
  <c r="V29" i="86"/>
  <c r="V23" i="86"/>
  <c r="V69" i="86"/>
  <c r="V32" i="86"/>
  <c r="V25" i="86"/>
  <c r="V37" i="86"/>
  <c r="V18" i="86"/>
  <c r="V57" i="86"/>
  <c r="R92" i="85"/>
  <c r="Z68" i="83"/>
  <c r="R20" i="84"/>
  <c r="X12" i="86"/>
  <c r="L20" i="80"/>
  <c r="D76" i="80"/>
  <c r="X16" i="81"/>
  <c r="V20" i="79"/>
  <c r="X20" i="73"/>
  <c r="Z20" i="73" s="1"/>
  <c r="P71" i="73"/>
  <c r="V20" i="74"/>
  <c r="R61" i="72"/>
  <c r="R55" i="72"/>
  <c r="R54" i="72"/>
  <c r="R46" i="72"/>
  <c r="R38" i="72"/>
  <c r="R67" i="72"/>
  <c r="R60" i="72"/>
  <c r="R33" i="72"/>
  <c r="R29" i="72"/>
  <c r="R72" i="72"/>
  <c r="R69" i="72"/>
  <c r="R59" i="72"/>
  <c r="R56" i="72"/>
  <c r="R20" i="72"/>
  <c r="R35" i="72"/>
  <c r="R34" i="72"/>
  <c r="R30" i="72"/>
  <c r="R50" i="72"/>
  <c r="R49" i="72"/>
  <c r="R21" i="72"/>
  <c r="R41" i="72"/>
  <c r="R40" i="72"/>
  <c r="R36" i="72"/>
  <c r="R17" i="72"/>
  <c r="X12" i="72"/>
  <c r="Z12" i="72" s="1"/>
  <c r="R53" i="72"/>
  <c r="R37" i="72"/>
  <c r="R26" i="72"/>
  <c r="R24" i="72"/>
  <c r="R62" i="72"/>
  <c r="R51" i="72"/>
  <c r="P24" i="72"/>
  <c r="R63" i="72"/>
  <c r="R58" i="72"/>
  <c r="R45" i="72"/>
  <c r="R43" i="72"/>
  <c r="R32" i="72"/>
  <c r="R47" i="72"/>
  <c r="R28" i="72"/>
  <c r="R52" i="72"/>
  <c r="R22" i="72"/>
  <c r="R18" i="72"/>
  <c r="R42" i="72"/>
  <c r="R39" i="72"/>
  <c r="R27" i="72"/>
  <c r="R65" i="72"/>
  <c r="R31" i="72"/>
  <c r="R19" i="72"/>
  <c r="R48" i="72"/>
  <c r="R44" i="72"/>
  <c r="R21" i="75"/>
  <c r="V69" i="67"/>
  <c r="V57" i="67"/>
  <c r="V49" i="67"/>
  <c r="V73" i="67"/>
  <c r="V71" i="67"/>
  <c r="V59" i="67"/>
  <c r="V51" i="67"/>
  <c r="V58" i="67"/>
  <c r="V50" i="67"/>
  <c r="V77" i="67"/>
  <c r="V55" i="67"/>
  <c r="V66" i="67"/>
  <c r="V68" i="67"/>
  <c r="V56" i="67"/>
  <c r="V67" i="67"/>
  <c r="V63" i="67"/>
  <c r="V47" i="67"/>
  <c r="V60" i="67"/>
  <c r="V52" i="67"/>
  <c r="V39" i="67"/>
  <c r="V65" i="67"/>
  <c r="V46" i="67"/>
  <c r="V34" i="67"/>
  <c r="V30" i="67"/>
  <c r="V21" i="67"/>
  <c r="V40" i="67"/>
  <c r="V36" i="67"/>
  <c r="Z12" i="67"/>
  <c r="V61" i="67"/>
  <c r="V53" i="67"/>
  <c r="V35" i="67"/>
  <c r="V31" i="67"/>
  <c r="V27" i="67"/>
  <c r="V26" i="67"/>
  <c r="V24" i="67"/>
  <c r="V22" i="67"/>
  <c r="V41" i="67"/>
  <c r="V37" i="67"/>
  <c r="T24" i="67"/>
  <c r="V32" i="67"/>
  <c r="V28" i="67"/>
  <c r="V43" i="67"/>
  <c r="V64" i="67"/>
  <c r="V48" i="67"/>
  <c r="V42" i="67"/>
  <c r="V38" i="67"/>
  <c r="V70" i="67"/>
  <c r="V62" i="67"/>
  <c r="V54" i="67"/>
  <c r="V45" i="67"/>
  <c r="V33" i="67"/>
  <c r="V29" i="67"/>
  <c r="V20" i="67"/>
  <c r="V44" i="67"/>
  <c r="X16" i="60"/>
  <c r="P51" i="60"/>
  <c r="F90" i="68"/>
  <c r="F79" i="68"/>
  <c r="F78" i="68"/>
  <c r="F63" i="68"/>
  <c r="F59" i="68"/>
  <c r="F92" i="68"/>
  <c r="F80" i="68"/>
  <c r="F72" i="68"/>
  <c r="F71" i="68"/>
  <c r="F64" i="68"/>
  <c r="F60" i="68"/>
  <c r="F56" i="68"/>
  <c r="F55" i="68"/>
  <c r="F95" i="68"/>
  <c r="F54" i="68"/>
  <c r="F52" i="68"/>
  <c r="F47" i="68"/>
  <c r="F43" i="68"/>
  <c r="F39" i="68"/>
  <c r="F82" i="68"/>
  <c r="F81" i="68"/>
  <c r="F66" i="68"/>
  <c r="F65" i="68"/>
  <c r="D52" i="68"/>
  <c r="F73" i="68"/>
  <c r="F61" i="68"/>
  <c r="F57" i="68"/>
  <c r="F84" i="68"/>
  <c r="F83" i="68"/>
  <c r="F48" i="68"/>
  <c r="F44" i="68"/>
  <c r="F40" i="68"/>
  <c r="F36" i="68"/>
  <c r="F35" i="68"/>
  <c r="F62" i="68"/>
  <c r="F58" i="68"/>
  <c r="F88" i="68"/>
  <c r="F86" i="68"/>
  <c r="F77" i="68"/>
  <c r="F76" i="68"/>
  <c r="F49" i="68"/>
  <c r="F45" i="68"/>
  <c r="F41" i="68"/>
  <c r="F37" i="68"/>
  <c r="F68" i="68"/>
  <c r="L12" i="68"/>
  <c r="N12" i="68" s="1"/>
  <c r="F70" i="68"/>
  <c r="F46" i="68"/>
  <c r="F74" i="68"/>
  <c r="F69" i="68"/>
  <c r="F67" i="68"/>
  <c r="F42" i="68"/>
  <c r="F50" i="68"/>
  <c r="F75" i="68"/>
  <c r="F38" i="68"/>
  <c r="R105" i="64"/>
  <c r="R104" i="64"/>
  <c r="R96" i="64"/>
  <c r="R88" i="64"/>
  <c r="R111" i="64"/>
  <c r="R83" i="64"/>
  <c r="R79" i="64"/>
  <c r="R106" i="64"/>
  <c r="R98" i="64"/>
  <c r="R97" i="64"/>
  <c r="R89" i="64"/>
  <c r="R113" i="64"/>
  <c r="R112" i="64"/>
  <c r="R84" i="64"/>
  <c r="R80" i="64"/>
  <c r="R108" i="64"/>
  <c r="R107" i="64"/>
  <c r="R100" i="64"/>
  <c r="R99" i="64"/>
  <c r="R71" i="64"/>
  <c r="R67" i="64"/>
  <c r="R63" i="64"/>
  <c r="R59" i="64"/>
  <c r="R55" i="64"/>
  <c r="R115" i="64"/>
  <c r="R114" i="64"/>
  <c r="R91" i="64"/>
  <c r="R90" i="64"/>
  <c r="R51" i="64"/>
  <c r="R109" i="64"/>
  <c r="R102" i="64"/>
  <c r="R101" i="64"/>
  <c r="R86" i="64"/>
  <c r="R85" i="64"/>
  <c r="R81" i="64"/>
  <c r="R119" i="64"/>
  <c r="R116" i="64"/>
  <c r="R93" i="64"/>
  <c r="R92" i="64"/>
  <c r="R77" i="64"/>
  <c r="R72" i="64"/>
  <c r="R68" i="64"/>
  <c r="R64" i="64"/>
  <c r="R60" i="64"/>
  <c r="R56" i="64"/>
  <c r="R52" i="64"/>
  <c r="R118" i="64"/>
  <c r="R103" i="64"/>
  <c r="R87" i="64"/>
  <c r="R76" i="64"/>
  <c r="R110" i="64"/>
  <c r="R95" i="64"/>
  <c r="R94" i="64"/>
  <c r="R82" i="64"/>
  <c r="R78" i="64"/>
  <c r="P74" i="64"/>
  <c r="R74" i="64" s="1"/>
  <c r="R58" i="64"/>
  <c r="R66" i="64"/>
  <c r="R62" i="64"/>
  <c r="R70" i="64"/>
  <c r="R53" i="64"/>
  <c r="X12" i="64"/>
  <c r="R123" i="64"/>
  <c r="R57" i="64"/>
  <c r="R65" i="64"/>
  <c r="R61" i="64"/>
  <c r="R69" i="64"/>
  <c r="R54" i="64"/>
  <c r="V111" i="64"/>
  <c r="V83" i="64"/>
  <c r="V79" i="64"/>
  <c r="V106" i="64"/>
  <c r="V98" i="64"/>
  <c r="V70" i="64"/>
  <c r="V113" i="64"/>
  <c r="V97" i="64"/>
  <c r="V89" i="64"/>
  <c r="V112" i="64"/>
  <c r="V108" i="64"/>
  <c r="V100" i="64"/>
  <c r="V84" i="64"/>
  <c r="V80" i="64"/>
  <c r="V115" i="64"/>
  <c r="V107" i="64"/>
  <c r="V99" i="64"/>
  <c r="V91" i="64"/>
  <c r="V71" i="64"/>
  <c r="V67" i="64"/>
  <c r="V63" i="64"/>
  <c r="V59" i="64"/>
  <c r="V55" i="64"/>
  <c r="V51" i="64"/>
  <c r="V114" i="64"/>
  <c r="V102" i="64"/>
  <c r="V90" i="64"/>
  <c r="V86" i="64"/>
  <c r="V119" i="64"/>
  <c r="V109" i="64"/>
  <c r="V101" i="64"/>
  <c r="V93" i="64"/>
  <c r="V85" i="64"/>
  <c r="V81" i="64"/>
  <c r="V77" i="64"/>
  <c r="V118" i="64"/>
  <c r="V116" i="64"/>
  <c r="V92" i="64"/>
  <c r="V76" i="64"/>
  <c r="V74" i="64"/>
  <c r="V72" i="64"/>
  <c r="V68" i="64"/>
  <c r="V64" i="64"/>
  <c r="V60" i="64"/>
  <c r="V56" i="64"/>
  <c r="V52" i="64"/>
  <c r="V103" i="64"/>
  <c r="V95" i="64"/>
  <c r="V87" i="64"/>
  <c r="T74" i="64"/>
  <c r="V110" i="64"/>
  <c r="V94" i="64"/>
  <c r="V82" i="64"/>
  <c r="V78" i="64"/>
  <c r="V123" i="64"/>
  <c r="V105" i="64"/>
  <c r="V69" i="64"/>
  <c r="V65" i="64"/>
  <c r="V61" i="64"/>
  <c r="V57" i="64"/>
  <c r="V53" i="64"/>
  <c r="V66" i="64"/>
  <c r="V62" i="64"/>
  <c r="V96" i="64"/>
  <c r="Z12" i="64"/>
  <c r="V104" i="64"/>
  <c r="V54" i="64"/>
  <c r="V58" i="64"/>
  <c r="V88" i="64"/>
  <c r="X16" i="59"/>
  <c r="P61" i="59"/>
  <c r="D70" i="57"/>
  <c r="L16" i="57"/>
  <c r="R101" i="51"/>
  <c r="R100" i="51"/>
  <c r="R96" i="51"/>
  <c r="R89" i="51"/>
  <c r="R88" i="51"/>
  <c r="R103" i="51"/>
  <c r="R102" i="51"/>
  <c r="R90" i="51"/>
  <c r="R112" i="51"/>
  <c r="R111" i="51"/>
  <c r="R105" i="51"/>
  <c r="R104" i="51"/>
  <c r="R99" i="51"/>
  <c r="R91" i="51"/>
  <c r="R54" i="51"/>
  <c r="R50" i="51"/>
  <c r="R46" i="51"/>
  <c r="R42" i="51"/>
  <c r="R110" i="51"/>
  <c r="R106" i="51"/>
  <c r="R85" i="51"/>
  <c r="R82" i="51"/>
  <c r="R81" i="51"/>
  <c r="R73" i="51"/>
  <c r="R68" i="51"/>
  <c r="R64" i="51"/>
  <c r="R98" i="51"/>
  <c r="R95" i="51"/>
  <c r="R92" i="51"/>
  <c r="R60" i="51"/>
  <c r="R55" i="51"/>
  <c r="R51" i="51"/>
  <c r="R47" i="51"/>
  <c r="R43" i="51"/>
  <c r="R74" i="51"/>
  <c r="R59" i="51"/>
  <c r="R39" i="51"/>
  <c r="R86" i="51"/>
  <c r="R83" i="51"/>
  <c r="R70" i="51"/>
  <c r="R69" i="51"/>
  <c r="R65" i="51"/>
  <c r="R61" i="51"/>
  <c r="P57" i="51"/>
  <c r="R108" i="51"/>
  <c r="R93" i="51"/>
  <c r="R52" i="51"/>
  <c r="R48" i="51"/>
  <c r="R44" i="51"/>
  <c r="R40" i="51"/>
  <c r="R116" i="51"/>
  <c r="R76" i="51"/>
  <c r="R75" i="51"/>
  <c r="R71" i="51"/>
  <c r="R66" i="51"/>
  <c r="R62" i="51"/>
  <c r="R94" i="51"/>
  <c r="R84" i="51"/>
  <c r="R80" i="51"/>
  <c r="R79" i="51"/>
  <c r="R67" i="51"/>
  <c r="R63" i="51"/>
  <c r="R77" i="51"/>
  <c r="R53" i="51"/>
  <c r="X12" i="51"/>
  <c r="R109" i="51"/>
  <c r="R72" i="51"/>
  <c r="R87" i="51"/>
  <c r="R78" i="51"/>
  <c r="R41" i="51"/>
  <c r="R97" i="51"/>
  <c r="R49" i="51"/>
  <c r="R45" i="51"/>
  <c r="L119" i="42"/>
  <c r="N119" i="42" s="1"/>
  <c r="P135" i="39"/>
  <c r="H126" i="36"/>
  <c r="J28" i="36"/>
  <c r="P126" i="36"/>
  <c r="X28" i="36"/>
  <c r="V126" i="24"/>
  <c r="V118" i="24"/>
  <c r="V110" i="24"/>
  <c r="V102" i="24"/>
  <c r="V90" i="24"/>
  <c r="V86" i="24"/>
  <c r="V125" i="24"/>
  <c r="V121" i="24"/>
  <c r="V113" i="24"/>
  <c r="V101" i="24"/>
  <c r="V77" i="24"/>
  <c r="V73" i="24"/>
  <c r="V128" i="24"/>
  <c r="V120" i="24"/>
  <c r="V112" i="24"/>
  <c r="V104" i="24"/>
  <c r="V96" i="24"/>
  <c r="Z12" i="24"/>
  <c r="V127" i="24"/>
  <c r="V103" i="24"/>
  <c r="V91" i="24"/>
  <c r="V87" i="24"/>
  <c r="V130" i="24"/>
  <c r="V122" i="24"/>
  <c r="V114" i="24"/>
  <c r="V129" i="24"/>
  <c r="V105" i="24"/>
  <c r="V97" i="24"/>
  <c r="V106" i="24"/>
  <c r="V98" i="24"/>
  <c r="V94" i="24"/>
  <c r="T81" i="24"/>
  <c r="V119" i="24"/>
  <c r="V111" i="24"/>
  <c r="V99" i="24"/>
  <c r="V95" i="24"/>
  <c r="V78" i="24"/>
  <c r="V67" i="24"/>
  <c r="V65" i="24"/>
  <c r="V116" i="24"/>
  <c r="V81" i="24"/>
  <c r="V71" i="24"/>
  <c r="V69" i="24"/>
  <c r="V58" i="24"/>
  <c r="V124" i="24"/>
  <c r="V88" i="24"/>
  <c r="V56" i="24"/>
  <c r="V134" i="24"/>
  <c r="V60" i="24"/>
  <c r="V131" i="24"/>
  <c r="V92" i="24"/>
  <c r="V75" i="24"/>
  <c r="V62" i="24"/>
  <c r="V108" i="24"/>
  <c r="V64" i="24"/>
  <c r="V85" i="24"/>
  <c r="V83" i="24"/>
  <c r="V79" i="24"/>
  <c r="V66" i="24"/>
  <c r="V123" i="24"/>
  <c r="V70" i="24"/>
  <c r="V68" i="24"/>
  <c r="V59" i="24"/>
  <c r="V57" i="24"/>
  <c r="V55" i="24"/>
  <c r="V89" i="24"/>
  <c r="V72" i="24"/>
  <c r="V133" i="24"/>
  <c r="V100" i="24"/>
  <c r="V76" i="24"/>
  <c r="V61" i="24"/>
  <c r="V107" i="24"/>
  <c r="V63" i="24"/>
  <c r="V74" i="24"/>
  <c r="V93" i="24"/>
  <c r="V84" i="24"/>
  <c r="V138" i="24"/>
  <c r="V115" i="24"/>
  <c r="V117" i="24"/>
  <c r="V109" i="24"/>
  <c r="X285" i="18"/>
  <c r="Z285" i="18" s="1"/>
  <c r="J286" i="18"/>
  <c r="J276" i="18"/>
  <c r="J270" i="18"/>
  <c r="J266" i="18"/>
  <c r="J254" i="18"/>
  <c r="J232" i="18"/>
  <c r="J222" i="18"/>
  <c r="J204" i="18"/>
  <c r="J186" i="18"/>
  <c r="J182" i="18"/>
  <c r="J178" i="18"/>
  <c r="J174" i="18"/>
  <c r="J170" i="18"/>
  <c r="J166" i="18"/>
  <c r="J162" i="18"/>
  <c r="J158" i="18"/>
  <c r="J154" i="18"/>
  <c r="J150" i="18"/>
  <c r="J146" i="18"/>
  <c r="J142" i="18"/>
  <c r="J138" i="18"/>
  <c r="J134" i="18"/>
  <c r="J130" i="18"/>
  <c r="J297" i="18"/>
  <c r="J285" i="18"/>
  <c r="J277" i="18"/>
  <c r="J249" i="18"/>
  <c r="J241" i="18"/>
  <c r="J233" i="18"/>
  <c r="J223" i="18"/>
  <c r="J209" i="18"/>
  <c r="J205" i="18"/>
  <c r="J296" i="18"/>
  <c r="J278" i="18"/>
  <c r="J260" i="18"/>
  <c r="J224" i="18"/>
  <c r="J216" i="18"/>
  <c r="J200" i="18"/>
  <c r="J196" i="18"/>
  <c r="J301" i="18"/>
  <c r="J295" i="18"/>
  <c r="J279" i="18"/>
  <c r="J271" i="18"/>
  <c r="J267" i="18"/>
  <c r="J261" i="18"/>
  <c r="J255" i="18"/>
  <c r="J217" i="18"/>
  <c r="J187" i="18"/>
  <c r="J183" i="18"/>
  <c r="J179" i="18"/>
  <c r="J175" i="18"/>
  <c r="J171" i="18"/>
  <c r="J167" i="18"/>
  <c r="J163" i="18"/>
  <c r="J159" i="18"/>
  <c r="J155" i="18"/>
  <c r="J151" i="18"/>
  <c r="J147" i="18"/>
  <c r="J143" i="18"/>
  <c r="J139" i="18"/>
  <c r="J135" i="18"/>
  <c r="J131" i="18"/>
  <c r="J294" i="18"/>
  <c r="J262" i="18"/>
  <c r="J256" i="18"/>
  <c r="J250" i="18"/>
  <c r="J242" i="18"/>
  <c r="J234" i="18"/>
  <c r="J218" i="18"/>
  <c r="J210" i="18"/>
  <c r="J206" i="18"/>
  <c r="J293" i="18"/>
  <c r="J257" i="18"/>
  <c r="J243" i="18"/>
  <c r="J235" i="18"/>
  <c r="J225" i="18"/>
  <c r="J219" i="18"/>
  <c r="J201" i="18"/>
  <c r="J197" i="18"/>
  <c r="J292" i="18"/>
  <c r="J280" i="18"/>
  <c r="J272" i="18"/>
  <c r="J268" i="18"/>
  <c r="J244" i="18"/>
  <c r="J236" i="18"/>
  <c r="J226" i="18"/>
  <c r="J291" i="18"/>
  <c r="J273" i="18"/>
  <c r="J263" i="18"/>
  <c r="J290" i="18"/>
  <c r="J274" i="18"/>
  <c r="J264" i="18"/>
  <c r="J258" i="18"/>
  <c r="J252" i="18"/>
  <c r="J246" i="18"/>
  <c r="J238" i="18"/>
  <c r="J228" i="18"/>
  <c r="J212" i="18"/>
  <c r="J202" i="18"/>
  <c r="J198" i="18"/>
  <c r="J194" i="18"/>
  <c r="J192" i="18"/>
  <c r="J190" i="18"/>
  <c r="J287" i="18"/>
  <c r="J283" i="18"/>
  <c r="J275" i="18"/>
  <c r="J259" i="18"/>
  <c r="J231" i="18"/>
  <c r="J215" i="18"/>
  <c r="J203" i="18"/>
  <c r="J199" i="18"/>
  <c r="J195" i="18"/>
  <c r="J129" i="18"/>
  <c r="H190" i="18"/>
  <c r="J221" i="18"/>
  <c r="J185" i="18"/>
  <c r="J172" i="18"/>
  <c r="J145" i="18"/>
  <c r="J168" i="18"/>
  <c r="J141" i="18"/>
  <c r="N12" i="18"/>
  <c r="J281" i="18"/>
  <c r="J240" i="18"/>
  <c r="J227" i="18"/>
  <c r="J208" i="18"/>
  <c r="J181" i="18"/>
  <c r="J137" i="18"/>
  <c r="J133" i="18"/>
  <c r="J265" i="18"/>
  <c r="J253" i="18"/>
  <c r="J251" i="18"/>
  <c r="J213" i="18"/>
  <c r="J177" i="18"/>
  <c r="J156" i="18"/>
  <c r="J152" i="18"/>
  <c r="J288" i="18"/>
  <c r="J188" i="18"/>
  <c r="J173" i="18"/>
  <c r="J148" i="18"/>
  <c r="J282" i="18"/>
  <c r="J269" i="18"/>
  <c r="J239" i="18"/>
  <c r="J237" i="18"/>
  <c r="J220" i="18"/>
  <c r="J207" i="18"/>
  <c r="J184" i="18"/>
  <c r="J169" i="18"/>
  <c r="J144" i="18"/>
  <c r="J214" i="18"/>
  <c r="J211" i="18"/>
  <c r="J165" i="18"/>
  <c r="J140" i="18"/>
  <c r="J136" i="18"/>
  <c r="J132" i="18"/>
  <c r="J248" i="18"/>
  <c r="J229" i="18"/>
  <c r="J176" i="18"/>
  <c r="J157" i="18"/>
  <c r="J153" i="18"/>
  <c r="J149" i="18"/>
  <c r="J161" i="18"/>
  <c r="J230" i="18"/>
  <c r="J245" i="18"/>
  <c r="J180" i="18"/>
  <c r="J160" i="18"/>
  <c r="J247" i="18"/>
  <c r="J289" i="18"/>
  <c r="J193" i="18"/>
  <c r="J164" i="18"/>
  <c r="R273" i="12"/>
  <c r="R230" i="12"/>
  <c r="R222" i="12"/>
  <c r="R166" i="12"/>
  <c r="R162" i="12"/>
  <c r="R158" i="12"/>
  <c r="R154" i="12"/>
  <c r="R150" i="12"/>
  <c r="R146" i="12"/>
  <c r="R142" i="12"/>
  <c r="R138" i="12"/>
  <c r="R272" i="12"/>
  <c r="R257" i="12"/>
  <c r="R241" i="12"/>
  <c r="R214" i="12"/>
  <c r="R213" i="12"/>
  <c r="R198" i="12"/>
  <c r="R197" i="12"/>
  <c r="R189" i="12"/>
  <c r="R185" i="12"/>
  <c r="R271" i="12"/>
  <c r="R265" i="12"/>
  <c r="R264" i="12"/>
  <c r="R252" i="12"/>
  <c r="R248" i="12"/>
  <c r="R237" i="12"/>
  <c r="R236" i="12"/>
  <c r="R205" i="12"/>
  <c r="R204" i="12"/>
  <c r="R270" i="12"/>
  <c r="R231" i="12"/>
  <c r="R224" i="12"/>
  <c r="R223" i="12"/>
  <c r="R216" i="12"/>
  <c r="R215" i="12"/>
  <c r="R199" i="12"/>
  <c r="R172" i="12"/>
  <c r="R268" i="12"/>
  <c r="R253" i="12"/>
  <c r="R249" i="12"/>
  <c r="R226" i="12"/>
  <c r="R225" i="12"/>
  <c r="R218" i="12"/>
  <c r="R217" i="12"/>
  <c r="R181" i="12"/>
  <c r="R177" i="12"/>
  <c r="R173" i="12"/>
  <c r="P169" i="12"/>
  <c r="R169" i="12" s="1"/>
  <c r="R261" i="12"/>
  <c r="R260" i="12"/>
  <c r="R244" i="12"/>
  <c r="R233" i="12"/>
  <c r="R232" i="12"/>
  <c r="R209" i="12"/>
  <c r="R208" i="12"/>
  <c r="R200" i="12"/>
  <c r="R193" i="12"/>
  <c r="R192" i="12"/>
  <c r="R164" i="12"/>
  <c r="R160" i="12"/>
  <c r="R156" i="12"/>
  <c r="R152" i="12"/>
  <c r="R148" i="12"/>
  <c r="R144" i="12"/>
  <c r="R140" i="12"/>
  <c r="R136" i="12"/>
  <c r="R277" i="12"/>
  <c r="R262" i="12"/>
  <c r="R254" i="12"/>
  <c r="R250" i="12"/>
  <c r="R234" i="12"/>
  <c r="R211" i="12"/>
  <c r="R210" i="12"/>
  <c r="R194" i="12"/>
  <c r="R183" i="12"/>
  <c r="R182" i="12"/>
  <c r="R178" i="12"/>
  <c r="R276" i="12"/>
  <c r="R246" i="12"/>
  <c r="R245" i="12"/>
  <c r="R229" i="12"/>
  <c r="R221" i="12"/>
  <c r="R202" i="12"/>
  <c r="R201" i="12"/>
  <c r="R206" i="12"/>
  <c r="R151" i="12"/>
  <c r="R130" i="12"/>
  <c r="R126" i="12"/>
  <c r="R122" i="12"/>
  <c r="R118" i="12"/>
  <c r="R263" i="12"/>
  <c r="R259" i="12"/>
  <c r="R220" i="12"/>
  <c r="R161" i="12"/>
  <c r="R139" i="12"/>
  <c r="R134" i="12"/>
  <c r="R114" i="12"/>
  <c r="R239" i="12"/>
  <c r="R196" i="12"/>
  <c r="R179" i="12"/>
  <c r="R175" i="12"/>
  <c r="R159" i="12"/>
  <c r="R149" i="12"/>
  <c r="R274" i="12"/>
  <c r="R247" i="12"/>
  <c r="R171" i="12"/>
  <c r="R137" i="12"/>
  <c r="R131" i="12"/>
  <c r="R127" i="12"/>
  <c r="R123" i="12"/>
  <c r="R119" i="12"/>
  <c r="R115" i="12"/>
  <c r="R251" i="12"/>
  <c r="R207" i="12"/>
  <c r="R190" i="12"/>
  <c r="R188" i="12"/>
  <c r="R147" i="12"/>
  <c r="R269" i="12"/>
  <c r="R266" i="12"/>
  <c r="R235" i="12"/>
  <c r="R227" i="12"/>
  <c r="R157" i="12"/>
  <c r="R135" i="12"/>
  <c r="R255" i="12"/>
  <c r="R186" i="12"/>
  <c r="R184" i="12"/>
  <c r="R132" i="12"/>
  <c r="R128" i="12"/>
  <c r="R124" i="12"/>
  <c r="R120" i="12"/>
  <c r="R116" i="12"/>
  <c r="R275" i="12"/>
  <c r="R242" i="12"/>
  <c r="R155" i="12"/>
  <c r="R145" i="12"/>
  <c r="R281" i="12"/>
  <c r="R240" i="12"/>
  <c r="R228" i="12"/>
  <c r="R203" i="12"/>
  <c r="R191" i="12"/>
  <c r="R180" i="12"/>
  <c r="R176" i="12"/>
  <c r="R174" i="12"/>
  <c r="R167" i="12"/>
  <c r="R243" i="12"/>
  <c r="R187" i="12"/>
  <c r="R163" i="12"/>
  <c r="R141" i="12"/>
  <c r="R165" i="12"/>
  <c r="R125" i="12"/>
  <c r="R117" i="12"/>
  <c r="R129" i="12"/>
  <c r="R256" i="12"/>
  <c r="R143" i="12"/>
  <c r="R238" i="12"/>
  <c r="R219" i="12"/>
  <c r="R212" i="12"/>
  <c r="R121" i="12"/>
  <c r="X12" i="12"/>
  <c r="Z12" i="12" s="1"/>
  <c r="R258" i="12"/>
  <c r="R195" i="12"/>
  <c r="R153" i="12"/>
  <c r="R133" i="12"/>
  <c r="Z306" i="3"/>
  <c r="J277" i="12"/>
  <c r="J245" i="12"/>
  <c r="J229" i="12"/>
  <c r="J221" i="12"/>
  <c r="J211" i="12"/>
  <c r="J201" i="12"/>
  <c r="J183" i="12"/>
  <c r="J165" i="12"/>
  <c r="J161" i="12"/>
  <c r="J157" i="12"/>
  <c r="J153" i="12"/>
  <c r="J149" i="12"/>
  <c r="J145" i="12"/>
  <c r="J141" i="12"/>
  <c r="J137" i="12"/>
  <c r="J276" i="12"/>
  <c r="J246" i="12"/>
  <c r="J240" i="12"/>
  <c r="J212" i="12"/>
  <c r="J202" i="12"/>
  <c r="J188" i="12"/>
  <c r="J184" i="12"/>
  <c r="J281" i="12"/>
  <c r="J275" i="12"/>
  <c r="J263" i="12"/>
  <c r="J255" i="12"/>
  <c r="J251" i="12"/>
  <c r="J247" i="12"/>
  <c r="J235" i="12"/>
  <c r="J203" i="12"/>
  <c r="J195" i="12"/>
  <c r="J274" i="12"/>
  <c r="J256" i="12"/>
  <c r="J230" i="12"/>
  <c r="J222" i="12"/>
  <c r="J196" i="12"/>
  <c r="J272" i="12"/>
  <c r="J264" i="12"/>
  <c r="J252" i="12"/>
  <c r="J248" i="12"/>
  <c r="J236" i="12"/>
  <c r="J214" i="12"/>
  <c r="J204" i="12"/>
  <c r="J198" i="12"/>
  <c r="J180" i="12"/>
  <c r="J176" i="12"/>
  <c r="J271" i="12"/>
  <c r="J265" i="12"/>
  <c r="J237" i="12"/>
  <c r="J231" i="12"/>
  <c r="J223" i="12"/>
  <c r="J215" i="12"/>
  <c r="J205" i="12"/>
  <c r="J199" i="12"/>
  <c r="J167" i="12"/>
  <c r="J163" i="12"/>
  <c r="J159" i="12"/>
  <c r="J155" i="12"/>
  <c r="J151" i="12"/>
  <c r="J147" i="12"/>
  <c r="J143" i="12"/>
  <c r="J139" i="12"/>
  <c r="J135" i="12"/>
  <c r="J269" i="12"/>
  <c r="J259" i="12"/>
  <c r="J253" i="12"/>
  <c r="J249" i="12"/>
  <c r="J243" i="12"/>
  <c r="J225" i="12"/>
  <c r="J217" i="12"/>
  <c r="J207" i="12"/>
  <c r="J191" i="12"/>
  <c r="J181" i="12"/>
  <c r="J177" i="12"/>
  <c r="J268" i="12"/>
  <c r="J260" i="12"/>
  <c r="J244" i="12"/>
  <c r="J232" i="12"/>
  <c r="J226" i="12"/>
  <c r="J218" i="12"/>
  <c r="J208" i="12"/>
  <c r="J200" i="12"/>
  <c r="J192" i="12"/>
  <c r="J273" i="12"/>
  <c r="J270" i="12"/>
  <c r="J258" i="12"/>
  <c r="J250" i="12"/>
  <c r="J238" i="12"/>
  <c r="J189" i="12"/>
  <c r="J158" i="12"/>
  <c r="J136" i="12"/>
  <c r="J133" i="12"/>
  <c r="J129" i="12"/>
  <c r="J125" i="12"/>
  <c r="J121" i="12"/>
  <c r="J117" i="12"/>
  <c r="J234" i="12"/>
  <c r="J219" i="12"/>
  <c r="J210" i="12"/>
  <c r="N12" i="12"/>
  <c r="J254" i="12"/>
  <c r="J224" i="12"/>
  <c r="J187" i="12"/>
  <c r="J185" i="12"/>
  <c r="J156" i="12"/>
  <c r="J146" i="12"/>
  <c r="J261" i="12"/>
  <c r="J206" i="12"/>
  <c r="H169" i="12"/>
  <c r="J130" i="12"/>
  <c r="J126" i="12"/>
  <c r="J122" i="12"/>
  <c r="J118" i="12"/>
  <c r="J241" i="12"/>
  <c r="J220" i="12"/>
  <c r="J179" i="12"/>
  <c r="J175" i="12"/>
  <c r="J173" i="12"/>
  <c r="J144" i="12"/>
  <c r="J134" i="12"/>
  <c r="J239" i="12"/>
  <c r="J194" i="12"/>
  <c r="J166" i="12"/>
  <c r="J154" i="12"/>
  <c r="J114" i="12"/>
  <c r="J257" i="12"/>
  <c r="J233" i="12"/>
  <c r="J213" i="12"/>
  <c r="J209" i="12"/>
  <c r="J190" i="12"/>
  <c r="J171" i="12"/>
  <c r="J164" i="12"/>
  <c r="J142" i="12"/>
  <c r="J131" i="12"/>
  <c r="J127" i="12"/>
  <c r="J123" i="12"/>
  <c r="J119" i="12"/>
  <c r="J115" i="12"/>
  <c r="J216" i="12"/>
  <c r="J152" i="12"/>
  <c r="J266" i="12"/>
  <c r="J227" i="12"/>
  <c r="J186" i="12"/>
  <c r="J162" i="12"/>
  <c r="J140" i="12"/>
  <c r="J228" i="12"/>
  <c r="J182" i="12"/>
  <c r="J178" i="12"/>
  <c r="J148" i="12"/>
  <c r="J197" i="12"/>
  <c r="J160" i="12"/>
  <c r="J150" i="12"/>
  <c r="J128" i="12"/>
  <c r="J242" i="12"/>
  <c r="J262" i="12"/>
  <c r="J138" i="12"/>
  <c r="J120" i="12"/>
  <c r="J172" i="12"/>
  <c r="J132" i="12"/>
  <c r="J193" i="12"/>
  <c r="J124" i="12"/>
  <c r="J174" i="12"/>
  <c r="J116" i="12"/>
  <c r="P321" i="3"/>
  <c r="L18" i="52"/>
  <c r="D27" i="52"/>
  <c r="D27" i="47"/>
  <c r="L18" i="47"/>
  <c r="T27" i="44"/>
  <c r="Z18" i="44"/>
  <c r="P27" i="47"/>
  <c r="X18" i="47"/>
  <c r="L18" i="38"/>
  <c r="D27" i="38"/>
  <c r="H27" i="40"/>
  <c r="N18" i="40"/>
  <c r="L18" i="34"/>
  <c r="D27" i="34"/>
  <c r="H27" i="23"/>
  <c r="N18" i="23"/>
  <c r="X18" i="20"/>
  <c r="P27" i="20"/>
  <c r="H27" i="4"/>
  <c r="N18" i="4"/>
  <c r="H34" i="78"/>
  <c r="N30" i="78"/>
  <c r="P51" i="61"/>
  <c r="X16" i="61"/>
  <c r="R85" i="45"/>
  <c r="R84" i="45"/>
  <c r="R80" i="45"/>
  <c r="R76" i="45"/>
  <c r="R81" i="45"/>
  <c r="R77" i="45"/>
  <c r="R78" i="45"/>
  <c r="R68" i="45"/>
  <c r="R67" i="45"/>
  <c r="R60" i="45"/>
  <c r="R59" i="45"/>
  <c r="R48" i="45"/>
  <c r="R47" i="45"/>
  <c r="R36" i="45"/>
  <c r="R35" i="45"/>
  <c r="R31" i="45"/>
  <c r="R27" i="45"/>
  <c r="P23" i="45"/>
  <c r="R93" i="45"/>
  <c r="R88" i="45"/>
  <c r="R75" i="45"/>
  <c r="R74" i="45"/>
  <c r="R89" i="45"/>
  <c r="R69" i="45"/>
  <c r="R62" i="45"/>
  <c r="R61" i="45"/>
  <c r="R50" i="45"/>
  <c r="R49" i="45"/>
  <c r="R41" i="45"/>
  <c r="R37" i="45"/>
  <c r="R32" i="45"/>
  <c r="R28" i="45"/>
  <c r="R64" i="45"/>
  <c r="R63" i="45"/>
  <c r="R52" i="45"/>
  <c r="R51" i="45"/>
  <c r="R90" i="45"/>
  <c r="R79" i="45"/>
  <c r="R70" i="45"/>
  <c r="R42" i="45"/>
  <c r="R38" i="45"/>
  <c r="R19" i="45"/>
  <c r="R82" i="45"/>
  <c r="R65" i="45"/>
  <c r="R54" i="45"/>
  <c r="R53" i="45"/>
  <c r="R33" i="45"/>
  <c r="R29" i="45"/>
  <c r="R71" i="45"/>
  <c r="R56" i="45"/>
  <c r="R55" i="45"/>
  <c r="R44" i="45"/>
  <c r="R43" i="45"/>
  <c r="R39" i="45"/>
  <c r="R86" i="45"/>
  <c r="R66" i="45"/>
  <c r="R34" i="45"/>
  <c r="R30" i="45"/>
  <c r="R97" i="45"/>
  <c r="R91" i="45"/>
  <c r="R83" i="45"/>
  <c r="R73" i="45"/>
  <c r="R72" i="45"/>
  <c r="R40" i="45"/>
  <c r="R25" i="45"/>
  <c r="X12" i="45"/>
  <c r="Z12" i="45" s="1"/>
  <c r="R21" i="45"/>
  <c r="R87" i="45"/>
  <c r="R57" i="45"/>
  <c r="R45" i="45"/>
  <c r="R20" i="45"/>
  <c r="R58" i="45"/>
  <c r="R26" i="45"/>
  <c r="R46" i="45"/>
  <c r="H27" i="53"/>
  <c r="N18" i="53"/>
  <c r="T27" i="35"/>
  <c r="Z18" i="35"/>
  <c r="T27" i="13"/>
  <c r="Z18" i="13"/>
  <c r="R34" i="97"/>
  <c r="R19" i="97"/>
  <c r="R15" i="97"/>
  <c r="R53" i="97"/>
  <c r="R30" i="97"/>
  <c r="R29" i="97"/>
  <c r="R25" i="97"/>
  <c r="R21" i="97"/>
  <c r="P17" i="97"/>
  <c r="R17" i="97" s="1"/>
  <c r="R61" i="97"/>
  <c r="R60" i="97"/>
  <c r="R45" i="97"/>
  <c r="R44" i="97"/>
  <c r="R36" i="97"/>
  <c r="R35" i="97"/>
  <c r="R31" i="97"/>
  <c r="R63" i="97"/>
  <c r="R62" i="97"/>
  <c r="R55" i="97"/>
  <c r="R54" i="97"/>
  <c r="R47" i="97"/>
  <c r="R46" i="97"/>
  <c r="R26" i="97"/>
  <c r="R22" i="97"/>
  <c r="R38" i="97"/>
  <c r="R37" i="97"/>
  <c r="R67" i="97"/>
  <c r="R64" i="97"/>
  <c r="R57" i="97"/>
  <c r="R56" i="97"/>
  <c r="R49" i="97"/>
  <c r="R48" i="97"/>
  <c r="R32" i="97"/>
  <c r="X12" i="97"/>
  <c r="Z12" i="97" s="1"/>
  <c r="R66" i="97"/>
  <c r="R40" i="97"/>
  <c r="R39" i="97"/>
  <c r="R27" i="97"/>
  <c r="R23" i="97"/>
  <c r="R71" i="97"/>
  <c r="R42" i="97"/>
  <c r="R41" i="97"/>
  <c r="R33" i="97"/>
  <c r="R59" i="97"/>
  <c r="R43" i="97"/>
  <c r="R20" i="97"/>
  <c r="R24" i="97"/>
  <c r="R51" i="97"/>
  <c r="R28" i="97"/>
  <c r="R58" i="97"/>
  <c r="R52" i="97"/>
  <c r="R50" i="97"/>
  <c r="L21" i="95"/>
  <c r="N21" i="95" s="1"/>
  <c r="L36" i="96"/>
  <c r="D40" i="96"/>
  <c r="N43" i="88"/>
  <c r="H53" i="87"/>
  <c r="N20" i="87"/>
  <c r="D71" i="83"/>
  <c r="L20" i="83"/>
  <c r="N20" i="83" s="1"/>
  <c r="X18" i="78"/>
  <c r="Z18" i="78" s="1"/>
  <c r="P30" i="78"/>
  <c r="P101" i="81"/>
  <c r="X12" i="80"/>
  <c r="Z12" i="80" s="1"/>
  <c r="V20" i="73"/>
  <c r="T65" i="72"/>
  <c r="V58" i="72"/>
  <c r="F118" i="77"/>
  <c r="F117" i="77"/>
  <c r="F106" i="77"/>
  <c r="F90" i="77"/>
  <c r="F89" i="77"/>
  <c r="F74" i="77"/>
  <c r="F113" i="77"/>
  <c r="F101" i="77"/>
  <c r="F81" i="77"/>
  <c r="F80" i="77"/>
  <c r="F69" i="77"/>
  <c r="F65" i="77"/>
  <c r="F120" i="77"/>
  <c r="F119" i="77"/>
  <c r="F108" i="77"/>
  <c r="F107" i="77"/>
  <c r="F92" i="77"/>
  <c r="F91" i="77"/>
  <c r="F56" i="77"/>
  <c r="F52" i="77"/>
  <c r="F48" i="77"/>
  <c r="F44" i="77"/>
  <c r="F83" i="77"/>
  <c r="F82" i="77"/>
  <c r="F75" i="77"/>
  <c r="F122" i="77"/>
  <c r="F121" i="77"/>
  <c r="F114" i="77"/>
  <c r="F102" i="77"/>
  <c r="F94" i="77"/>
  <c r="F93" i="77"/>
  <c r="F70" i="77"/>
  <c r="F66" i="77"/>
  <c r="F109" i="77"/>
  <c r="F85" i="77"/>
  <c r="F84" i="77"/>
  <c r="F57" i="77"/>
  <c r="F53" i="77"/>
  <c r="F49" i="77"/>
  <c r="F45" i="77"/>
  <c r="F41" i="77"/>
  <c r="F40" i="77"/>
  <c r="F124" i="77"/>
  <c r="F123" i="77"/>
  <c r="F104" i="77"/>
  <c r="F103" i="77"/>
  <c r="F96" i="77"/>
  <c r="F95" i="77"/>
  <c r="F76" i="77"/>
  <c r="F72" i="77"/>
  <c r="F71" i="77"/>
  <c r="L12" i="77"/>
  <c r="F115" i="77"/>
  <c r="F111" i="77"/>
  <c r="F110" i="77"/>
  <c r="F67" i="77"/>
  <c r="F63" i="77"/>
  <c r="F62" i="77"/>
  <c r="F99" i="77"/>
  <c r="F54" i="77"/>
  <c r="F50" i="77"/>
  <c r="F126" i="77"/>
  <c r="F97" i="77"/>
  <c r="F78" i="77"/>
  <c r="F64" i="77"/>
  <c r="F112" i="77"/>
  <c r="D59" i="77"/>
  <c r="F116" i="77"/>
  <c r="F68" i="77"/>
  <c r="F43" i="77"/>
  <c r="F130" i="77"/>
  <c r="F88" i="77"/>
  <c r="F100" i="77"/>
  <c r="F98" i="77"/>
  <c r="F86" i="77"/>
  <c r="F79" i="77"/>
  <c r="F47" i="77"/>
  <c r="F55" i="77"/>
  <c r="F51" i="77"/>
  <c r="F77" i="77"/>
  <c r="F73" i="77"/>
  <c r="F61" i="77"/>
  <c r="F42" i="77"/>
  <c r="F87" i="77"/>
  <c r="F105" i="77"/>
  <c r="F46" i="77"/>
  <c r="J21" i="75"/>
  <c r="X108" i="71"/>
  <c r="Z108" i="71" s="1"/>
  <c r="R110" i="71"/>
  <c r="R116" i="71"/>
  <c r="R108" i="71"/>
  <c r="R93" i="71"/>
  <c r="R70" i="71"/>
  <c r="R69" i="71"/>
  <c r="R65" i="71"/>
  <c r="R61" i="71"/>
  <c r="P57" i="71"/>
  <c r="R112" i="71"/>
  <c r="R99" i="71"/>
  <c r="R76" i="71"/>
  <c r="R75" i="71"/>
  <c r="R71" i="71"/>
  <c r="R95" i="71"/>
  <c r="R94" i="71"/>
  <c r="R87" i="71"/>
  <c r="R86" i="71"/>
  <c r="R66" i="71"/>
  <c r="R62" i="71"/>
  <c r="R101" i="71"/>
  <c r="R100" i="71"/>
  <c r="R96" i="71"/>
  <c r="R89" i="71"/>
  <c r="R88" i="71"/>
  <c r="R72" i="71"/>
  <c r="X12" i="71"/>
  <c r="Z12" i="71" s="1"/>
  <c r="R80" i="71"/>
  <c r="R79" i="71"/>
  <c r="R67" i="71"/>
  <c r="R63" i="71"/>
  <c r="R111" i="71"/>
  <c r="R109" i="71"/>
  <c r="R106" i="71"/>
  <c r="R98" i="71"/>
  <c r="R74" i="71"/>
  <c r="R59" i="71"/>
  <c r="R91" i="71"/>
  <c r="R52" i="71"/>
  <c r="R44" i="71"/>
  <c r="R102" i="71"/>
  <c r="R92" i="71"/>
  <c r="R77" i="71"/>
  <c r="R68" i="71"/>
  <c r="R64" i="71"/>
  <c r="R97" i="71"/>
  <c r="R60" i="71"/>
  <c r="R55" i="71"/>
  <c r="R47" i="71"/>
  <c r="R103" i="71"/>
  <c r="R83" i="71"/>
  <c r="R78" i="71"/>
  <c r="R50" i="71"/>
  <c r="R42" i="71"/>
  <c r="R39" i="71"/>
  <c r="R73" i="71"/>
  <c r="R53" i="71"/>
  <c r="R45" i="71"/>
  <c r="R81" i="71"/>
  <c r="R48" i="71"/>
  <c r="R40" i="71"/>
  <c r="R90" i="71"/>
  <c r="R84" i="71"/>
  <c r="R104" i="71"/>
  <c r="R51" i="71"/>
  <c r="R43" i="71"/>
  <c r="R105" i="71"/>
  <c r="R49" i="71"/>
  <c r="R41" i="71"/>
  <c r="R54" i="71"/>
  <c r="R85" i="71"/>
  <c r="R46" i="71"/>
  <c r="R82" i="71"/>
  <c r="P88" i="68"/>
  <c r="X52" i="68"/>
  <c r="P58" i="63"/>
  <c r="X16" i="63"/>
  <c r="N17" i="62"/>
  <c r="H105" i="62"/>
  <c r="L105" i="62" s="1"/>
  <c r="T55" i="61"/>
  <c r="D70" i="56"/>
  <c r="L16" i="56"/>
  <c r="L17" i="62"/>
  <c r="V103" i="51"/>
  <c r="V111" i="51"/>
  <c r="V105" i="51"/>
  <c r="V97" i="51"/>
  <c r="V110" i="51"/>
  <c r="V104" i="51"/>
  <c r="V109" i="51"/>
  <c r="V91" i="51"/>
  <c r="V83" i="51"/>
  <c r="V94" i="51"/>
  <c r="V86" i="51"/>
  <c r="V106" i="51"/>
  <c r="V100" i="51"/>
  <c r="V88" i="51"/>
  <c r="V81" i="51"/>
  <c r="V73" i="51"/>
  <c r="V95" i="51"/>
  <c r="V92" i="51"/>
  <c r="V68" i="51"/>
  <c r="V64" i="51"/>
  <c r="V60" i="51"/>
  <c r="V98" i="51"/>
  <c r="V89" i="51"/>
  <c r="V59" i="51"/>
  <c r="V55" i="51"/>
  <c r="V51" i="51"/>
  <c r="V47" i="51"/>
  <c r="V43" i="51"/>
  <c r="V39" i="51"/>
  <c r="V101" i="51"/>
  <c r="V74" i="51"/>
  <c r="V70" i="51"/>
  <c r="T57" i="51"/>
  <c r="V57" i="51" s="1"/>
  <c r="V108" i="51"/>
  <c r="V69" i="51"/>
  <c r="V65" i="51"/>
  <c r="V61" i="51"/>
  <c r="V112" i="51"/>
  <c r="V93" i="51"/>
  <c r="V76" i="51"/>
  <c r="V52" i="51"/>
  <c r="V48" i="51"/>
  <c r="V44" i="51"/>
  <c r="V40" i="51"/>
  <c r="V116" i="51"/>
  <c r="V96" i="51"/>
  <c r="V75" i="51"/>
  <c r="V71" i="51"/>
  <c r="V99" i="51"/>
  <c r="V90" i="51"/>
  <c r="V87" i="51"/>
  <c r="V78" i="51"/>
  <c r="V66" i="51"/>
  <c r="V62" i="51"/>
  <c r="V102" i="51"/>
  <c r="V77" i="51"/>
  <c r="V53" i="51"/>
  <c r="V49" i="51"/>
  <c r="V45" i="51"/>
  <c r="V41" i="51"/>
  <c r="V85" i="51"/>
  <c r="V82" i="51"/>
  <c r="V54" i="51"/>
  <c r="V50" i="51"/>
  <c r="V46" i="51"/>
  <c r="V42" i="51"/>
  <c r="V79" i="51"/>
  <c r="V72" i="51"/>
  <c r="V67" i="51"/>
  <c r="V80" i="51"/>
  <c r="V84" i="51"/>
  <c r="Z12" i="51"/>
  <c r="V63" i="51"/>
  <c r="T55" i="60"/>
  <c r="D95" i="45"/>
  <c r="L23" i="45"/>
  <c r="F23" i="45"/>
  <c r="R97" i="33"/>
  <c r="R82" i="33"/>
  <c r="R43" i="33"/>
  <c r="R38" i="33"/>
  <c r="R34" i="33"/>
  <c r="R103" i="33"/>
  <c r="R96" i="33"/>
  <c r="R90" i="33"/>
  <c r="R89" i="33"/>
  <c r="R58" i="33"/>
  <c r="R57" i="33"/>
  <c r="R53" i="33"/>
  <c r="R95" i="33"/>
  <c r="R77" i="33"/>
  <c r="R76" i="33"/>
  <c r="R69" i="33"/>
  <c r="R68" i="33"/>
  <c r="R94" i="33"/>
  <c r="R91" i="33"/>
  <c r="R83" i="33"/>
  <c r="R60" i="33"/>
  <c r="R59" i="33"/>
  <c r="R35" i="33"/>
  <c r="R93" i="33"/>
  <c r="R79" i="33"/>
  <c r="R78" i="33"/>
  <c r="R71" i="33"/>
  <c r="R70" i="33"/>
  <c r="R62" i="33"/>
  <c r="R61" i="33"/>
  <c r="R49" i="33"/>
  <c r="R45" i="33"/>
  <c r="R98" i="33"/>
  <c r="R88" i="33"/>
  <c r="R87" i="33"/>
  <c r="R75" i="33"/>
  <c r="R67" i="33"/>
  <c r="R52" i="33"/>
  <c r="R51" i="33"/>
  <c r="R47" i="33"/>
  <c r="R73" i="33"/>
  <c r="R65" i="33"/>
  <c r="R55" i="33"/>
  <c r="R50" i="33"/>
  <c r="R86" i="33"/>
  <c r="R84" i="33"/>
  <c r="R80" i="33"/>
  <c r="R99" i="33"/>
  <c r="R63" i="33"/>
  <c r="R48" i="33"/>
  <c r="R46" i="33"/>
  <c r="R33" i="33"/>
  <c r="R66" i="33"/>
  <c r="R36" i="33"/>
  <c r="R64" i="33"/>
  <c r="R44" i="33"/>
  <c r="R56" i="33"/>
  <c r="X12" i="33"/>
  <c r="Z12" i="33" s="1"/>
  <c r="R74" i="33"/>
  <c r="R54" i="33"/>
  <c r="R40" i="33"/>
  <c r="P40" i="33"/>
  <c r="R42" i="33"/>
  <c r="R81" i="33"/>
  <c r="R85" i="33"/>
  <c r="R37" i="33"/>
  <c r="R72" i="33"/>
  <c r="V103" i="33"/>
  <c r="V95" i="33"/>
  <c r="V89" i="33"/>
  <c r="V77" i="33"/>
  <c r="V69" i="33"/>
  <c r="V57" i="33"/>
  <c r="V53" i="33"/>
  <c r="T40" i="33"/>
  <c r="V94" i="33"/>
  <c r="V76" i="33"/>
  <c r="V68" i="33"/>
  <c r="V60" i="33"/>
  <c r="V93" i="33"/>
  <c r="V91" i="33"/>
  <c r="V83" i="33"/>
  <c r="V79" i="33"/>
  <c r="V71" i="33"/>
  <c r="V59" i="33"/>
  <c r="V78" i="33"/>
  <c r="V70" i="33"/>
  <c r="V62" i="33"/>
  <c r="V54" i="33"/>
  <c r="V73" i="33"/>
  <c r="V61" i="33"/>
  <c r="V84" i="33"/>
  <c r="V80" i="33"/>
  <c r="V72" i="33"/>
  <c r="V64" i="33"/>
  <c r="V36" i="33"/>
  <c r="V99" i="33"/>
  <c r="V85" i="33"/>
  <c r="V81" i="33"/>
  <c r="V96" i="33"/>
  <c r="V90" i="33"/>
  <c r="V82" i="33"/>
  <c r="V58" i="33"/>
  <c r="V42" i="33"/>
  <c r="V40" i="33"/>
  <c r="V38" i="33"/>
  <c r="V34" i="33"/>
  <c r="V86" i="33"/>
  <c r="V55" i="33"/>
  <c r="V50" i="33"/>
  <c r="V88" i="33"/>
  <c r="V75" i="33"/>
  <c r="V33" i="33"/>
  <c r="V66" i="33"/>
  <c r="V63" i="33"/>
  <c r="V48" i="33"/>
  <c r="V46" i="33"/>
  <c r="V44" i="33"/>
  <c r="V56" i="33"/>
  <c r="V97" i="33"/>
  <c r="V74" i="33"/>
  <c r="V51" i="33"/>
  <c r="V49" i="33"/>
  <c r="V87" i="33"/>
  <c r="V65" i="33"/>
  <c r="V43" i="33"/>
  <c r="V35" i="33"/>
  <c r="V98" i="33"/>
  <c r="V45" i="33"/>
  <c r="V52" i="33"/>
  <c r="V47" i="33"/>
  <c r="V37" i="33"/>
  <c r="V67" i="33"/>
  <c r="J126" i="39"/>
  <c r="T128" i="27"/>
  <c r="J96" i="21"/>
  <c r="J90" i="21"/>
  <c r="J86" i="21"/>
  <c r="J62" i="21"/>
  <c r="J52" i="21"/>
  <c r="J38" i="21"/>
  <c r="J34" i="21"/>
  <c r="J97" i="21"/>
  <c r="J73" i="21"/>
  <c r="J63" i="21"/>
  <c r="J53" i="21"/>
  <c r="J39" i="21"/>
  <c r="J25" i="21"/>
  <c r="J98" i="21"/>
  <c r="J80" i="21"/>
  <c r="J64" i="21"/>
  <c r="J44" i="21"/>
  <c r="J40" i="21"/>
  <c r="J30" i="21"/>
  <c r="N12" i="21"/>
  <c r="J99" i="21"/>
  <c r="J91" i="21"/>
  <c r="J87" i="21"/>
  <c r="J65" i="21"/>
  <c r="J35" i="21"/>
  <c r="J31" i="21"/>
  <c r="J29" i="21"/>
  <c r="J100" i="21"/>
  <c r="J74" i="21"/>
  <c r="J66" i="21"/>
  <c r="J54" i="21"/>
  <c r="H27" i="21"/>
  <c r="J27" i="21" s="1"/>
  <c r="J101" i="21"/>
  <c r="J81" i="21"/>
  <c r="J75" i="21"/>
  <c r="J67" i="21"/>
  <c r="J55" i="21"/>
  <c r="J45" i="21"/>
  <c r="J41" i="21"/>
  <c r="J92" i="21"/>
  <c r="J88" i="21"/>
  <c r="J82" i="21"/>
  <c r="J76" i="21"/>
  <c r="J68" i="21"/>
  <c r="J56" i="21"/>
  <c r="J46" i="21"/>
  <c r="J36" i="21"/>
  <c r="J32" i="21"/>
  <c r="J103" i="21"/>
  <c r="J83" i="21"/>
  <c r="J77" i="21"/>
  <c r="J69" i="21"/>
  <c r="J57" i="21"/>
  <c r="J47" i="21"/>
  <c r="J84" i="21"/>
  <c r="J78" i="21"/>
  <c r="J70" i="21"/>
  <c r="J58" i="21"/>
  <c r="J48" i="21"/>
  <c r="J42" i="21"/>
  <c r="J95" i="21"/>
  <c r="J79" i="21"/>
  <c r="J61" i="21"/>
  <c r="J51" i="21"/>
  <c r="J43" i="21"/>
  <c r="J93" i="21"/>
  <c r="J60" i="21"/>
  <c r="J24" i="21"/>
  <c r="J107" i="21"/>
  <c r="J49" i="21"/>
  <c r="J94" i="21"/>
  <c r="J72" i="21"/>
  <c r="J59" i="21"/>
  <c r="J23" i="21"/>
  <c r="J85" i="21"/>
  <c r="J37" i="21"/>
  <c r="J50" i="21"/>
  <c r="J89" i="21"/>
  <c r="J71" i="21"/>
  <c r="J33" i="21"/>
  <c r="N268" i="12"/>
  <c r="L27" i="21"/>
  <c r="D105" i="21"/>
  <c r="N259" i="15"/>
  <c r="J259" i="15"/>
  <c r="V263" i="15"/>
  <c r="V237" i="15"/>
  <c r="V225" i="15"/>
  <c r="V221" i="15"/>
  <c r="V213" i="15"/>
  <c r="V201" i="15"/>
  <c r="V185" i="15"/>
  <c r="V181" i="15"/>
  <c r="T164" i="15"/>
  <c r="V262" i="15"/>
  <c r="V256" i="15"/>
  <c r="V248" i="15"/>
  <c r="V232" i="15"/>
  <c r="V220" i="15"/>
  <c r="V212" i="15"/>
  <c r="V204" i="15"/>
  <c r="V188" i="15"/>
  <c r="V176" i="15"/>
  <c r="V172" i="15"/>
  <c r="V168" i="15"/>
  <c r="V261" i="15"/>
  <c r="V255" i="15"/>
  <c r="V243" i="15"/>
  <c r="V239" i="15"/>
  <c r="V227" i="15"/>
  <c r="V203" i="15"/>
  <c r="V195" i="15"/>
  <c r="V187" i="15"/>
  <c r="V159" i="15"/>
  <c r="V155" i="15"/>
  <c r="V151" i="15"/>
  <c r="V147" i="15"/>
  <c r="V143" i="15"/>
  <c r="V139" i="15"/>
  <c r="V135" i="15"/>
  <c r="V131" i="15"/>
  <c r="V127" i="15"/>
  <c r="V123" i="15"/>
  <c r="V119" i="15"/>
  <c r="V115" i="15"/>
  <c r="V111" i="15"/>
  <c r="V260" i="15"/>
  <c r="V250" i="15"/>
  <c r="V222" i="15"/>
  <c r="V214" i="15"/>
  <c r="V206" i="15"/>
  <c r="V182" i="15"/>
  <c r="V178" i="15"/>
  <c r="V252" i="15"/>
  <c r="V244" i="15"/>
  <c r="V240" i="15"/>
  <c r="V228" i="15"/>
  <c r="V196" i="15"/>
  <c r="V160" i="15"/>
  <c r="V156" i="15"/>
  <c r="V152" i="15"/>
  <c r="V148" i="15"/>
  <c r="V144" i="15"/>
  <c r="V140" i="15"/>
  <c r="V136" i="15"/>
  <c r="V132" i="15"/>
  <c r="V128" i="15"/>
  <c r="V124" i="15"/>
  <c r="V120" i="15"/>
  <c r="V116" i="15"/>
  <c r="V112" i="15"/>
  <c r="V251" i="15"/>
  <c r="V235" i="15"/>
  <c r="V223" i="15"/>
  <c r="V215" i="15"/>
  <c r="V207" i="15"/>
  <c r="V191" i="15"/>
  <c r="V183" i="15"/>
  <c r="V179" i="15"/>
  <c r="V268" i="15"/>
  <c r="V234" i="15"/>
  <c r="V230" i="15"/>
  <c r="V198" i="15"/>
  <c r="V190" i="15"/>
  <c r="V174" i="15"/>
  <c r="V170" i="15"/>
  <c r="V267" i="15"/>
  <c r="V253" i="15"/>
  <c r="V245" i="15"/>
  <c r="V241" i="15"/>
  <c r="V229" i="15"/>
  <c r="V217" i="15"/>
  <c r="V209" i="15"/>
  <c r="V193" i="15"/>
  <c r="V161" i="15"/>
  <c r="V157" i="15"/>
  <c r="V153" i="15"/>
  <c r="V149" i="15"/>
  <c r="V145" i="15"/>
  <c r="V141" i="15"/>
  <c r="V137" i="15"/>
  <c r="V133" i="15"/>
  <c r="V129" i="15"/>
  <c r="V125" i="15"/>
  <c r="V121" i="15"/>
  <c r="V117" i="15"/>
  <c r="V113" i="15"/>
  <c r="V266" i="15"/>
  <c r="V236" i="15"/>
  <c r="V224" i="15"/>
  <c r="V216" i="15"/>
  <c r="V208" i="15"/>
  <c r="V200" i="15"/>
  <c r="V192" i="15"/>
  <c r="V184" i="15"/>
  <c r="V180" i="15"/>
  <c r="V272" i="15"/>
  <c r="V264" i="15"/>
  <c r="V254" i="15"/>
  <c r="V246" i="15"/>
  <c r="V242" i="15"/>
  <c r="V238" i="15"/>
  <c r="V226" i="15"/>
  <c r="V218" i="15"/>
  <c r="V210" i="15"/>
  <c r="V202" i="15"/>
  <c r="V194" i="15"/>
  <c r="V186" i="15"/>
  <c r="V166" i="15"/>
  <c r="V164" i="15"/>
  <c r="V162" i="15"/>
  <c r="V158" i="15"/>
  <c r="V154" i="15"/>
  <c r="V150" i="15"/>
  <c r="V146" i="15"/>
  <c r="V142" i="15"/>
  <c r="V138" i="15"/>
  <c r="V134" i="15"/>
  <c r="V130" i="15"/>
  <c r="V126" i="15"/>
  <c r="V122" i="15"/>
  <c r="V249" i="15"/>
  <c r="V169" i="15"/>
  <c r="V233" i="15"/>
  <c r="V211" i="15"/>
  <c r="V205" i="15"/>
  <c r="V118" i="15"/>
  <c r="V259" i="15"/>
  <c r="V219" i="15"/>
  <c r="V171" i="15"/>
  <c r="X12" i="15"/>
  <c r="Z12" i="15" s="1"/>
  <c r="V173" i="15"/>
  <c r="V175" i="15"/>
  <c r="V257" i="15"/>
  <c r="V167" i="15"/>
  <c r="V247" i="15"/>
  <c r="V197" i="15"/>
  <c r="V177" i="15"/>
  <c r="V114" i="15"/>
  <c r="V265" i="15"/>
  <c r="V231" i="15"/>
  <c r="V199" i="15"/>
  <c r="V189" i="15"/>
  <c r="X12" i="3"/>
  <c r="Z12" i="3" s="1"/>
  <c r="R306" i="3"/>
  <c r="T27" i="99"/>
  <c r="Z18" i="99"/>
  <c r="H27" i="99"/>
  <c r="N18" i="99"/>
  <c r="L18" i="100"/>
  <c r="D27" i="100"/>
  <c r="T27" i="50"/>
  <c r="Z18" i="50"/>
  <c r="X18" i="37"/>
  <c r="P27" i="37"/>
  <c r="L18" i="41"/>
  <c r="D27" i="41"/>
  <c r="X18" i="23"/>
  <c r="P27" i="23"/>
  <c r="X18" i="17"/>
  <c r="P27" i="17"/>
  <c r="L18" i="16"/>
  <c r="D27" i="16"/>
  <c r="H27" i="22"/>
  <c r="N18" i="22"/>
  <c r="X18" i="7"/>
  <c r="P27" i="7"/>
  <c r="H27" i="10"/>
  <c r="N18" i="10"/>
  <c r="H27" i="7"/>
  <c r="N18" i="7"/>
  <c r="P83" i="90" l="1"/>
  <c r="X23" i="90"/>
  <c r="Z23" i="90" s="1"/>
  <c r="L27" i="10"/>
  <c r="D31" i="10"/>
  <c r="H274" i="15"/>
  <c r="J270" i="15"/>
  <c r="X81" i="24"/>
  <c r="P136" i="24"/>
  <c r="T31" i="10"/>
  <c r="Z27" i="10"/>
  <c r="H72" i="65"/>
  <c r="T101" i="33"/>
  <c r="N27" i="31"/>
  <c r="H31" i="31"/>
  <c r="H325" i="3"/>
  <c r="J321" i="3"/>
  <c r="D126" i="36"/>
  <c r="L28" i="36"/>
  <c r="N28" i="36" s="1"/>
  <c r="T65" i="59"/>
  <c r="N75" i="82"/>
  <c r="H79" i="82"/>
  <c r="H55" i="60"/>
  <c r="V21" i="75"/>
  <c r="L57" i="71"/>
  <c r="D114" i="71"/>
  <c r="H67" i="89"/>
  <c r="N27" i="25"/>
  <c r="H31" i="25"/>
  <c r="Z27" i="52"/>
  <c r="T31" i="52"/>
  <c r="D26" i="6"/>
  <c r="L22" i="6"/>
  <c r="H83" i="90"/>
  <c r="P31" i="25"/>
  <c r="X27" i="25"/>
  <c r="L33" i="70"/>
  <c r="N33" i="70" s="1"/>
  <c r="D86" i="70"/>
  <c r="Z27" i="22"/>
  <c r="T31" i="22"/>
  <c r="H125" i="64"/>
  <c r="L51" i="93"/>
  <c r="D55" i="93"/>
  <c r="L27" i="7"/>
  <c r="D31" i="7"/>
  <c r="P31" i="50"/>
  <c r="X27" i="50"/>
  <c r="D50" i="91"/>
  <c r="L46" i="91"/>
  <c r="N46" i="91" s="1"/>
  <c r="H88" i="95"/>
  <c r="L84" i="95"/>
  <c r="N84" i="95" s="1"/>
  <c r="N27" i="26"/>
  <c r="H31" i="26"/>
  <c r="P172" i="30"/>
  <c r="X168" i="30"/>
  <c r="R168" i="30"/>
  <c r="T88" i="68"/>
  <c r="Z52" i="68"/>
  <c r="X57" i="71"/>
  <c r="P114" i="71"/>
  <c r="H31" i="4"/>
  <c r="N27" i="4"/>
  <c r="H37" i="55"/>
  <c r="L27" i="16"/>
  <c r="D31" i="16"/>
  <c r="D31" i="100"/>
  <c r="L27" i="100"/>
  <c r="P62" i="63"/>
  <c r="X58" i="63"/>
  <c r="P34" i="78"/>
  <c r="X30" i="78"/>
  <c r="R30" i="78"/>
  <c r="P95" i="45"/>
  <c r="X23" i="45"/>
  <c r="Z23" i="45" s="1"/>
  <c r="P31" i="20"/>
  <c r="X27" i="20"/>
  <c r="P130" i="36"/>
  <c r="R126" i="36"/>
  <c r="P99" i="85"/>
  <c r="R96" i="85"/>
  <c r="Z27" i="28"/>
  <c r="T31" i="28"/>
  <c r="H31" i="49"/>
  <c r="N27" i="49"/>
  <c r="T72" i="65"/>
  <c r="V68" i="65"/>
  <c r="Z21" i="75"/>
  <c r="T27" i="75"/>
  <c r="Z27" i="4"/>
  <c r="T31" i="4"/>
  <c r="X27" i="98"/>
  <c r="P31" i="98"/>
  <c r="L81" i="24"/>
  <c r="N81" i="24" s="1"/>
  <c r="D136" i="24"/>
  <c r="L63" i="89"/>
  <c r="N63" i="89" s="1"/>
  <c r="D67" i="89"/>
  <c r="N27" i="13"/>
  <c r="H31" i="13"/>
  <c r="N27" i="28"/>
  <c r="H31" i="28"/>
  <c r="P31" i="32"/>
  <c r="X27" i="32"/>
  <c r="H95" i="45"/>
  <c r="N23" i="45"/>
  <c r="L82" i="76"/>
  <c r="N82" i="76" s="1"/>
  <c r="D86" i="76"/>
  <c r="D124" i="42"/>
  <c r="L28" i="42"/>
  <c r="N28" i="42" s="1"/>
  <c r="D79" i="82"/>
  <c r="L75" i="82"/>
  <c r="T57" i="87"/>
  <c r="V53" i="87"/>
  <c r="D31" i="5"/>
  <c r="L27" i="5"/>
  <c r="L63" i="27"/>
  <c r="D124" i="27"/>
  <c r="T80" i="58"/>
  <c r="H40" i="96"/>
  <c r="L40" i="96" s="1"/>
  <c r="N36" i="96"/>
  <c r="N27" i="11"/>
  <c r="H31" i="11"/>
  <c r="T31" i="31"/>
  <c r="Z27" i="31"/>
  <c r="P31" i="52"/>
  <c r="X27" i="52"/>
  <c r="T128" i="77"/>
  <c r="X128" i="77" s="1"/>
  <c r="Z59" i="77"/>
  <c r="Z27" i="98"/>
  <c r="T31" i="98"/>
  <c r="X87" i="86"/>
  <c r="P91" i="86"/>
  <c r="X27" i="47"/>
  <c r="P31" i="47"/>
  <c r="L27" i="8"/>
  <c r="D31" i="8"/>
  <c r="P31" i="75"/>
  <c r="X27" i="75"/>
  <c r="R27" i="75"/>
  <c r="T31" i="44"/>
  <c r="Z27" i="44"/>
  <c r="P114" i="51"/>
  <c r="X57" i="51"/>
  <c r="D74" i="57"/>
  <c r="L70" i="57"/>
  <c r="T121" i="64"/>
  <c r="T87" i="86"/>
  <c r="Z20" i="86"/>
  <c r="P31" i="11"/>
  <c r="X27" i="11"/>
  <c r="Z190" i="18"/>
  <c r="T299" i="18"/>
  <c r="V190" i="18"/>
  <c r="P124" i="27"/>
  <c r="X63" i="27"/>
  <c r="Z63" i="27" s="1"/>
  <c r="D55" i="60"/>
  <c r="L51" i="60"/>
  <c r="N51" i="60" s="1"/>
  <c r="P31" i="31"/>
  <c r="X27" i="31"/>
  <c r="D168" i="30"/>
  <c r="L88" i="30"/>
  <c r="N88" i="30" s="1"/>
  <c r="R81" i="24"/>
  <c r="P88" i="95"/>
  <c r="L27" i="11"/>
  <c r="D31" i="11"/>
  <c r="D31" i="99"/>
  <c r="L27" i="99"/>
  <c r="N20" i="80"/>
  <c r="H76" i="80"/>
  <c r="H101" i="33"/>
  <c r="N40" i="33"/>
  <c r="L27" i="35"/>
  <c r="D31" i="35"/>
  <c r="H62" i="63"/>
  <c r="X20" i="79"/>
  <c r="Z20" i="79" s="1"/>
  <c r="P83" i="79"/>
  <c r="N27" i="14"/>
  <c r="H31" i="14"/>
  <c r="D130" i="66"/>
  <c r="F127" i="66"/>
  <c r="P80" i="80"/>
  <c r="H85" i="92"/>
  <c r="L27" i="49"/>
  <c r="D31" i="49"/>
  <c r="H75" i="83"/>
  <c r="T31" i="25"/>
  <c r="Z27" i="25"/>
  <c r="L27" i="32"/>
  <c r="D31" i="32"/>
  <c r="Z27" i="47"/>
  <c r="T31" i="47"/>
  <c r="X27" i="99"/>
  <c r="P31" i="99"/>
  <c r="D55" i="61"/>
  <c r="L51" i="61"/>
  <c r="P31" i="10"/>
  <c r="X27" i="10"/>
  <c r="X27" i="100"/>
  <c r="P31" i="100"/>
  <c r="H124" i="42"/>
  <c r="V59" i="77"/>
  <c r="T50" i="88"/>
  <c r="P78" i="74"/>
  <c r="X74" i="74"/>
  <c r="H31" i="53"/>
  <c r="N27" i="53"/>
  <c r="P55" i="60"/>
  <c r="X51" i="60"/>
  <c r="Z51" i="60" s="1"/>
  <c r="L27" i="28"/>
  <c r="D31" i="28"/>
  <c r="H83" i="79"/>
  <c r="H172" i="30"/>
  <c r="J168" i="30"/>
  <c r="T172" i="30"/>
  <c r="Z168" i="30"/>
  <c r="V168" i="30"/>
  <c r="X27" i="22"/>
  <c r="P31" i="22"/>
  <c r="P31" i="17"/>
  <c r="X27" i="17"/>
  <c r="P101" i="33"/>
  <c r="X40" i="33"/>
  <c r="Z40" i="33" s="1"/>
  <c r="P92" i="68"/>
  <c r="X88" i="68"/>
  <c r="H299" i="18"/>
  <c r="P65" i="59"/>
  <c r="X61" i="59"/>
  <c r="Z61" i="59" s="1"/>
  <c r="X71" i="73"/>
  <c r="P75" i="73"/>
  <c r="R71" i="73"/>
  <c r="X53" i="87"/>
  <c r="Z53" i="87" s="1"/>
  <c r="P57" i="87"/>
  <c r="R53" i="87"/>
  <c r="T31" i="34"/>
  <c r="Z27" i="34"/>
  <c r="T105" i="21"/>
  <c r="P73" i="48"/>
  <c r="X69" i="48"/>
  <c r="R69" i="48"/>
  <c r="D72" i="65"/>
  <c r="L68" i="65"/>
  <c r="N68" i="65" s="1"/>
  <c r="Z27" i="14"/>
  <c r="T31" i="14"/>
  <c r="L27" i="53"/>
  <c r="D31" i="53"/>
  <c r="H31" i="32"/>
  <c r="N27" i="32"/>
  <c r="D79" i="67"/>
  <c r="L75" i="67"/>
  <c r="N75" i="67" s="1"/>
  <c r="P50" i="88"/>
  <c r="X46" i="88"/>
  <c r="Z46" i="88" s="1"/>
  <c r="H31" i="16"/>
  <c r="N27" i="16"/>
  <c r="H31" i="100"/>
  <c r="N27" i="100"/>
  <c r="L37" i="55"/>
  <c r="D40" i="55"/>
  <c r="D140" i="69"/>
  <c r="L79" i="69"/>
  <c r="P132" i="77"/>
  <c r="R128" i="77"/>
  <c r="H81" i="84"/>
  <c r="L27" i="20"/>
  <c r="D31" i="20"/>
  <c r="N27" i="8"/>
  <c r="H31" i="8"/>
  <c r="D75" i="73"/>
  <c r="L71" i="73"/>
  <c r="N71" i="73" s="1"/>
  <c r="H92" i="85"/>
  <c r="X27" i="4"/>
  <c r="P31" i="4"/>
  <c r="P31" i="28"/>
  <c r="X27" i="28"/>
  <c r="X27" i="21"/>
  <c r="Z27" i="21" s="1"/>
  <c r="H104" i="81"/>
  <c r="P31" i="38"/>
  <c r="X27" i="38"/>
  <c r="D114" i="51"/>
  <c r="L57" i="51"/>
  <c r="D96" i="85"/>
  <c r="L92" i="85"/>
  <c r="F92" i="85"/>
  <c r="Z27" i="100"/>
  <c r="T31" i="100"/>
  <c r="T74" i="56"/>
  <c r="T86" i="76"/>
  <c r="V82" i="76"/>
  <c r="H53" i="91"/>
  <c r="H31" i="99"/>
  <c r="N27" i="99"/>
  <c r="D75" i="83"/>
  <c r="L71" i="83"/>
  <c r="N71" i="83" s="1"/>
  <c r="N27" i="23"/>
  <c r="H31" i="23"/>
  <c r="L27" i="47"/>
  <c r="D31" i="47"/>
  <c r="H279" i="12"/>
  <c r="Z81" i="24"/>
  <c r="T136" i="24"/>
  <c r="H130" i="36"/>
  <c r="J126" i="36"/>
  <c r="H50" i="88"/>
  <c r="L27" i="29"/>
  <c r="D31" i="29"/>
  <c r="H69" i="48"/>
  <c r="L69" i="48" s="1"/>
  <c r="H65" i="72"/>
  <c r="P31" i="13"/>
  <c r="X27" i="13"/>
  <c r="D95" i="9"/>
  <c r="L91" i="9"/>
  <c r="L27" i="98"/>
  <c r="D31" i="98"/>
  <c r="X28" i="42"/>
  <c r="P124" i="42"/>
  <c r="L33" i="55"/>
  <c r="N33" i="55" s="1"/>
  <c r="D270" i="15"/>
  <c r="L164" i="15"/>
  <c r="N164" i="15" s="1"/>
  <c r="L27" i="75"/>
  <c r="N27" i="75" s="1"/>
  <c r="D31" i="75"/>
  <c r="F27" i="75"/>
  <c r="H124" i="27"/>
  <c r="N63" i="27"/>
  <c r="T76" i="97"/>
  <c r="V73" i="97"/>
  <c r="P31" i="8"/>
  <c r="X27" i="8"/>
  <c r="Z92" i="85"/>
  <c r="T96" i="85"/>
  <c r="X96" i="85" s="1"/>
  <c r="V92" i="85"/>
  <c r="T31" i="32"/>
  <c r="Z27" i="32"/>
  <c r="N27" i="43"/>
  <c r="H31" i="43"/>
  <c r="P109" i="21"/>
  <c r="R105" i="21"/>
  <c r="D31" i="17"/>
  <c r="L27" i="17"/>
  <c r="L20" i="85"/>
  <c r="N20" i="85" s="1"/>
  <c r="D325" i="3"/>
  <c r="L321" i="3"/>
  <c r="N321" i="3" s="1"/>
  <c r="F321" i="3"/>
  <c r="D50" i="88"/>
  <c r="L46" i="88"/>
  <c r="N46" i="88" s="1"/>
  <c r="Z27" i="50"/>
  <c r="T31" i="50"/>
  <c r="P31" i="26"/>
  <c r="X27" i="26"/>
  <c r="H31" i="75"/>
  <c r="J27" i="75"/>
  <c r="T321" i="3"/>
  <c r="X321" i="3" s="1"/>
  <c r="L27" i="46"/>
  <c r="D31" i="46"/>
  <c r="X27" i="23"/>
  <c r="P31" i="23"/>
  <c r="D109" i="21"/>
  <c r="F105" i="21"/>
  <c r="L27" i="34"/>
  <c r="D31" i="34"/>
  <c r="D31" i="52"/>
  <c r="L27" i="52"/>
  <c r="X74" i="64"/>
  <c r="Z74" i="64" s="1"/>
  <c r="P121" i="64"/>
  <c r="T75" i="67"/>
  <c r="X75" i="67" s="1"/>
  <c r="T78" i="74"/>
  <c r="Z74" i="74"/>
  <c r="V74" i="74"/>
  <c r="T31" i="41"/>
  <c r="Z27" i="41"/>
  <c r="D299" i="18"/>
  <c r="L190" i="18"/>
  <c r="N190" i="18" s="1"/>
  <c r="H55" i="61"/>
  <c r="N51" i="61"/>
  <c r="T86" i="70"/>
  <c r="T31" i="7"/>
  <c r="Z27" i="7"/>
  <c r="T31" i="49"/>
  <c r="Z27" i="49"/>
  <c r="T126" i="36"/>
  <c r="X126" i="36" s="1"/>
  <c r="Z28" i="36"/>
  <c r="N27" i="38"/>
  <c r="H31" i="38"/>
  <c r="H90" i="70"/>
  <c r="J86" i="70"/>
  <c r="L21" i="92"/>
  <c r="N21" i="92" s="1"/>
  <c r="D85" i="92"/>
  <c r="Z27" i="29"/>
  <c r="T31" i="29"/>
  <c r="N27" i="41"/>
  <c r="H31" i="41"/>
  <c r="R28" i="42"/>
  <c r="D73" i="48"/>
  <c r="F69" i="48"/>
  <c r="H78" i="74"/>
  <c r="H79" i="67"/>
  <c r="J75" i="67"/>
  <c r="X77" i="84"/>
  <c r="P81" i="84"/>
  <c r="R77" i="84"/>
  <c r="N22" i="6"/>
  <c r="H26" i="6"/>
  <c r="Z20" i="80"/>
  <c r="T76" i="80"/>
  <c r="X76" i="80" s="1"/>
  <c r="L23" i="90"/>
  <c r="N23" i="90" s="1"/>
  <c r="D83" i="90"/>
  <c r="N27" i="35"/>
  <c r="H31" i="35"/>
  <c r="D31" i="4"/>
  <c r="L27" i="4"/>
  <c r="X27" i="34"/>
  <c r="P31" i="34"/>
  <c r="Z27" i="46"/>
  <c r="T31" i="46"/>
  <c r="P31" i="6"/>
  <c r="D131" i="39"/>
  <c r="L34" i="39"/>
  <c r="N34" i="39" s="1"/>
  <c r="L24" i="72"/>
  <c r="N24" i="72" s="1"/>
  <c r="D65" i="72"/>
  <c r="X27" i="53"/>
  <c r="P31" i="53"/>
  <c r="Z27" i="40"/>
  <c r="T31" i="40"/>
  <c r="H128" i="77"/>
  <c r="N27" i="7"/>
  <c r="H31" i="7"/>
  <c r="Z27" i="99"/>
  <c r="T31" i="99"/>
  <c r="T270" i="15"/>
  <c r="X270" i="15" s="1"/>
  <c r="Z164" i="15"/>
  <c r="R57" i="71"/>
  <c r="H57" i="87"/>
  <c r="N53" i="87"/>
  <c r="X169" i="12"/>
  <c r="P279" i="12"/>
  <c r="P138" i="39"/>
  <c r="R135" i="39"/>
  <c r="X24" i="72"/>
  <c r="Z24" i="72" s="1"/>
  <c r="P65" i="72"/>
  <c r="P31" i="43"/>
  <c r="X27" i="43"/>
  <c r="H31" i="54"/>
  <c r="N26" i="54"/>
  <c r="L27" i="14"/>
  <c r="D31" i="14"/>
  <c r="Z169" i="12"/>
  <c r="T279" i="12"/>
  <c r="H86" i="76"/>
  <c r="P31" i="14"/>
  <c r="X27" i="14"/>
  <c r="L90" i="94"/>
  <c r="D94" i="94"/>
  <c r="F90" i="94"/>
  <c r="D31" i="23"/>
  <c r="L27" i="23"/>
  <c r="X27" i="41"/>
  <c r="P31" i="41"/>
  <c r="L17" i="48"/>
  <c r="N17" i="48" s="1"/>
  <c r="H140" i="69"/>
  <c r="N79" i="69"/>
  <c r="T85" i="92"/>
  <c r="T31" i="20"/>
  <c r="Z27" i="20"/>
  <c r="P79" i="67"/>
  <c r="T114" i="71"/>
  <c r="Z57" i="71"/>
  <c r="L53" i="87"/>
  <c r="D57" i="87"/>
  <c r="F53" i="87"/>
  <c r="D31" i="13"/>
  <c r="L27" i="13"/>
  <c r="X164" i="15"/>
  <c r="H77" i="56"/>
  <c r="N27" i="44"/>
  <c r="H31" i="44"/>
  <c r="X68" i="65"/>
  <c r="Z68" i="65" s="1"/>
  <c r="P72" i="65"/>
  <c r="Z27" i="37"/>
  <c r="T31" i="37"/>
  <c r="L27" i="19"/>
  <c r="D31" i="19"/>
  <c r="T26" i="54"/>
  <c r="X26" i="54" s="1"/>
  <c r="Z22" i="54"/>
  <c r="H77" i="58"/>
  <c r="N51" i="93"/>
  <c r="H55" i="93"/>
  <c r="Z21" i="95"/>
  <c r="T84" i="95"/>
  <c r="X84" i="95" s="1"/>
  <c r="P104" i="81"/>
  <c r="D88" i="68"/>
  <c r="L52" i="68"/>
  <c r="N52" i="68" s="1"/>
  <c r="L27" i="41"/>
  <c r="D31" i="41"/>
  <c r="T114" i="51"/>
  <c r="Z57" i="51"/>
  <c r="D74" i="56"/>
  <c r="L70" i="56"/>
  <c r="N70" i="56" s="1"/>
  <c r="T69" i="72"/>
  <c r="V65" i="72"/>
  <c r="P325" i="3"/>
  <c r="R321" i="3"/>
  <c r="L76" i="80"/>
  <c r="D80" i="80"/>
  <c r="N90" i="94"/>
  <c r="H94" i="94"/>
  <c r="N27" i="17"/>
  <c r="H31" i="17"/>
  <c r="T31" i="17"/>
  <c r="Z27" i="17"/>
  <c r="Z27" i="38"/>
  <c r="T31" i="38"/>
  <c r="P95" i="9"/>
  <c r="X91" i="9"/>
  <c r="Z91" i="9" s="1"/>
  <c r="P31" i="54"/>
  <c r="D101" i="81"/>
  <c r="L97" i="81"/>
  <c r="N97" i="81" s="1"/>
  <c r="N27" i="46"/>
  <c r="H31" i="46"/>
  <c r="H114" i="51"/>
  <c r="N57" i="51"/>
  <c r="P55" i="93"/>
  <c r="D31" i="22"/>
  <c r="L27" i="22"/>
  <c r="N27" i="98"/>
  <c r="H31" i="98"/>
  <c r="P40" i="55"/>
  <c r="Z77" i="84"/>
  <c r="T81" i="84"/>
  <c r="V77" i="84"/>
  <c r="H68" i="59"/>
  <c r="X24" i="67"/>
  <c r="Z24" i="67" s="1"/>
  <c r="H31" i="5"/>
  <c r="N27" i="5"/>
  <c r="P274" i="15"/>
  <c r="R270" i="15"/>
  <c r="H75" i="73"/>
  <c r="X20" i="83"/>
  <c r="P71" i="83"/>
  <c r="T90" i="94"/>
  <c r="Z21" i="94"/>
  <c r="L27" i="37"/>
  <c r="D31" i="37"/>
  <c r="X62" i="66"/>
  <c r="Z62" i="66" s="1"/>
  <c r="P123" i="66"/>
  <c r="R62" i="66"/>
  <c r="P31" i="46"/>
  <c r="X27" i="46"/>
  <c r="D112" i="62"/>
  <c r="X82" i="76"/>
  <c r="Z82" i="76" s="1"/>
  <c r="P86" i="76"/>
  <c r="D73" i="97"/>
  <c r="L69" i="97"/>
  <c r="N69" i="97" s="1"/>
  <c r="F69" i="97"/>
  <c r="X70" i="56"/>
  <c r="Z70" i="56" s="1"/>
  <c r="P74" i="56"/>
  <c r="T63" i="89"/>
  <c r="X20" i="89"/>
  <c r="Z20" i="89" s="1"/>
  <c r="N123" i="66"/>
  <c r="H127" i="66"/>
  <c r="L127" i="66" s="1"/>
  <c r="J123" i="66"/>
  <c r="T101" i="81"/>
  <c r="X101" i="81" s="1"/>
  <c r="Z97" i="81"/>
  <c r="N27" i="10"/>
  <c r="H31" i="10"/>
  <c r="T131" i="27"/>
  <c r="V128" i="27"/>
  <c r="T58" i="61"/>
  <c r="L59" i="77"/>
  <c r="N59" i="77" s="1"/>
  <c r="D128" i="77"/>
  <c r="D43" i="96"/>
  <c r="T31" i="13"/>
  <c r="Z27" i="13"/>
  <c r="X51" i="61"/>
  <c r="Z51" i="61" s="1"/>
  <c r="P55" i="61"/>
  <c r="N27" i="40"/>
  <c r="H31" i="40"/>
  <c r="X202" i="3"/>
  <c r="Z202" i="3" s="1"/>
  <c r="P70" i="89"/>
  <c r="N27" i="47"/>
  <c r="H31" i="47"/>
  <c r="T74" i="57"/>
  <c r="X70" i="57"/>
  <c r="Z70" i="57" s="1"/>
  <c r="T109" i="62"/>
  <c r="X105" i="62"/>
  <c r="Z105" i="62" s="1"/>
  <c r="T75" i="82"/>
  <c r="T51" i="93"/>
  <c r="X51" i="93" s="1"/>
  <c r="X190" i="18"/>
  <c r="P299" i="18"/>
  <c r="L22" i="54"/>
  <c r="D26" i="54"/>
  <c r="T144" i="69"/>
  <c r="V140" i="69"/>
  <c r="X21" i="93"/>
  <c r="Z21" i="93" s="1"/>
  <c r="D31" i="31"/>
  <c r="L27" i="31"/>
  <c r="D83" i="79"/>
  <c r="L20" i="79"/>
  <c r="N20" i="79" s="1"/>
  <c r="V21" i="92"/>
  <c r="Z27" i="26"/>
  <c r="T31" i="26"/>
  <c r="P85" i="92"/>
  <c r="X21" i="92"/>
  <c r="Z21" i="92" s="1"/>
  <c r="P31" i="16"/>
  <c r="X27" i="16"/>
  <c r="D77" i="58"/>
  <c r="L73" i="58"/>
  <c r="N73" i="58" s="1"/>
  <c r="T31" i="16"/>
  <c r="Z27" i="16"/>
  <c r="L27" i="40"/>
  <c r="D31" i="40"/>
  <c r="T31" i="43"/>
  <c r="Z27" i="43"/>
  <c r="D31" i="50"/>
  <c r="L27" i="50"/>
  <c r="H95" i="9"/>
  <c r="N91" i="9"/>
  <c r="T123" i="66"/>
  <c r="H91" i="86"/>
  <c r="H136" i="24"/>
  <c r="P31" i="7"/>
  <c r="X27" i="7"/>
  <c r="P31" i="37"/>
  <c r="X27" i="37"/>
  <c r="D99" i="45"/>
  <c r="L95" i="45"/>
  <c r="F95" i="45"/>
  <c r="P69" i="97"/>
  <c r="X17" i="97"/>
  <c r="Z17" i="97" s="1"/>
  <c r="L27" i="38"/>
  <c r="D31" i="38"/>
  <c r="X36" i="96"/>
  <c r="P40" i="96"/>
  <c r="P31" i="29"/>
  <c r="X27" i="29"/>
  <c r="Z22" i="6"/>
  <c r="T26" i="6"/>
  <c r="X26" i="6" s="1"/>
  <c r="Z34" i="39"/>
  <c r="T131" i="39"/>
  <c r="X34" i="39"/>
  <c r="Z33" i="55"/>
  <c r="T37" i="55"/>
  <c r="Z27" i="5"/>
  <c r="T31" i="5"/>
  <c r="N27" i="19"/>
  <c r="H31" i="19"/>
  <c r="N27" i="37"/>
  <c r="H31" i="37"/>
  <c r="L34" i="78"/>
  <c r="N34" i="78" s="1"/>
  <c r="D37" i="78"/>
  <c r="F34" i="78"/>
  <c r="T31" i="19"/>
  <c r="Z27" i="19"/>
  <c r="L27" i="44"/>
  <c r="D31" i="44"/>
  <c r="T75" i="73"/>
  <c r="Z71" i="73"/>
  <c r="V71" i="73"/>
  <c r="N27" i="50"/>
  <c r="H31" i="50"/>
  <c r="D91" i="86"/>
  <c r="L87" i="86"/>
  <c r="N87" i="86" s="1"/>
  <c r="T50" i="91"/>
  <c r="L58" i="63"/>
  <c r="N58" i="63" s="1"/>
  <c r="H92" i="68"/>
  <c r="J88" i="68"/>
  <c r="L20" i="74"/>
  <c r="N20" i="74" s="1"/>
  <c r="D74" i="74"/>
  <c r="Z27" i="8"/>
  <c r="T31" i="8"/>
  <c r="T34" i="78"/>
  <c r="Z30" i="78"/>
  <c r="V30" i="78"/>
  <c r="P75" i="82"/>
  <c r="X20" i="82"/>
  <c r="Z20" i="82" s="1"/>
  <c r="X27" i="40"/>
  <c r="P31" i="40"/>
  <c r="Z28" i="42"/>
  <c r="T124" i="42"/>
  <c r="N57" i="71"/>
  <c r="H114" i="71"/>
  <c r="D81" i="84"/>
  <c r="L77" i="84"/>
  <c r="N77" i="84" s="1"/>
  <c r="H74" i="57"/>
  <c r="N70" i="57"/>
  <c r="L27" i="25"/>
  <c r="D31" i="25"/>
  <c r="Z69" i="48"/>
  <c r="T73" i="48"/>
  <c r="V69" i="48"/>
  <c r="N27" i="34"/>
  <c r="H31" i="34"/>
  <c r="V62" i="66"/>
  <c r="Z20" i="83"/>
  <c r="T71" i="83"/>
  <c r="H31" i="22"/>
  <c r="N27" i="22"/>
  <c r="T87" i="90"/>
  <c r="V83" i="90"/>
  <c r="D279" i="12"/>
  <c r="L169" i="12"/>
  <c r="N169" i="12" s="1"/>
  <c r="L101" i="33"/>
  <c r="D105" i="33"/>
  <c r="F101" i="33"/>
  <c r="N27" i="21"/>
  <c r="H105" i="21"/>
  <c r="T58" i="60"/>
  <c r="N105" i="62"/>
  <c r="H109" i="62"/>
  <c r="L109" i="62" s="1"/>
  <c r="F59" i="77"/>
  <c r="T31" i="35"/>
  <c r="Z27" i="35"/>
  <c r="R23" i="45"/>
  <c r="H37" i="78"/>
  <c r="J169" i="12"/>
  <c r="R57" i="51"/>
  <c r="P90" i="94"/>
  <c r="X21" i="94"/>
  <c r="H73" i="97"/>
  <c r="J69" i="97"/>
  <c r="V27" i="21"/>
  <c r="P31" i="19"/>
  <c r="X27" i="19"/>
  <c r="L27" i="43"/>
  <c r="D31" i="43"/>
  <c r="F169" i="12"/>
  <c r="X77" i="58"/>
  <c r="Z77" i="58" s="1"/>
  <c r="P80" i="58"/>
  <c r="X80" i="58" s="1"/>
  <c r="N27" i="20"/>
  <c r="H31" i="20"/>
  <c r="L27" i="26"/>
  <c r="D31" i="26"/>
  <c r="P31" i="44"/>
  <c r="X27" i="44"/>
  <c r="T102" i="45"/>
  <c r="V99" i="45"/>
  <c r="L61" i="59"/>
  <c r="N61" i="59" s="1"/>
  <c r="D65" i="59"/>
  <c r="T40" i="96"/>
  <c r="Z36" i="96"/>
  <c r="Z27" i="11"/>
  <c r="T31" i="11"/>
  <c r="N27" i="29"/>
  <c r="H31" i="29"/>
  <c r="D65" i="63"/>
  <c r="L62" i="63"/>
  <c r="V57" i="71"/>
  <c r="X27" i="5"/>
  <c r="P31" i="5"/>
  <c r="H135" i="39"/>
  <c r="J131" i="39"/>
  <c r="N27" i="52"/>
  <c r="H31" i="52"/>
  <c r="X46" i="91"/>
  <c r="Z46" i="91" s="1"/>
  <c r="P50" i="91"/>
  <c r="T31" i="23"/>
  <c r="Z27" i="23"/>
  <c r="Z27" i="53"/>
  <c r="T31" i="53"/>
  <c r="X33" i="70"/>
  <c r="Z33" i="70" s="1"/>
  <c r="P86" i="70"/>
  <c r="P31" i="49"/>
  <c r="X27" i="49"/>
  <c r="T62" i="63"/>
  <c r="Z58" i="63"/>
  <c r="V83" i="79"/>
  <c r="T87" i="79"/>
  <c r="P31" i="35"/>
  <c r="X27" i="35"/>
  <c r="P140" i="69"/>
  <c r="X79" i="69"/>
  <c r="Z79" i="69" s="1"/>
  <c r="L74" i="64"/>
  <c r="N74" i="64" s="1"/>
  <c r="D121" i="64"/>
  <c r="V20" i="89"/>
  <c r="H36" i="22" l="1"/>
  <c r="N36" i="22" s="1"/>
  <c r="N31" i="22"/>
  <c r="T68" i="59"/>
  <c r="D125" i="64"/>
  <c r="L121" i="64"/>
  <c r="N121" i="64" s="1"/>
  <c r="P36" i="49"/>
  <c r="X31" i="49"/>
  <c r="H138" i="39"/>
  <c r="J135" i="39"/>
  <c r="T43" i="96"/>
  <c r="T53" i="91"/>
  <c r="T36" i="19"/>
  <c r="Z36" i="19" s="1"/>
  <c r="Z31" i="19"/>
  <c r="X69" i="97"/>
  <c r="Z69" i="97" s="1"/>
  <c r="P73" i="97"/>
  <c r="R69" i="97"/>
  <c r="L31" i="31"/>
  <c r="D36" i="31"/>
  <c r="T79" i="82"/>
  <c r="V75" i="82"/>
  <c r="N31" i="40"/>
  <c r="H36" i="40"/>
  <c r="N36" i="40" s="1"/>
  <c r="N31" i="98"/>
  <c r="H36" i="98"/>
  <c r="N36" i="98" s="1"/>
  <c r="D83" i="80"/>
  <c r="D36" i="41"/>
  <c r="L31" i="41"/>
  <c r="P69" i="72"/>
  <c r="X65" i="72"/>
  <c r="Z65" i="72" s="1"/>
  <c r="Z31" i="99"/>
  <c r="T36" i="99"/>
  <c r="Z36" i="99" s="1"/>
  <c r="L83" i="90"/>
  <c r="N83" i="90" s="1"/>
  <c r="D87" i="90"/>
  <c r="H81" i="74"/>
  <c r="T90" i="70"/>
  <c r="V86" i="70"/>
  <c r="P125" i="64"/>
  <c r="X121" i="64"/>
  <c r="R121" i="64"/>
  <c r="T36" i="32"/>
  <c r="Z36" i="32" s="1"/>
  <c r="Z31" i="32"/>
  <c r="L31" i="75"/>
  <c r="D34" i="75"/>
  <c r="F31" i="75"/>
  <c r="P36" i="13"/>
  <c r="X31" i="13"/>
  <c r="T140" i="24"/>
  <c r="V136" i="24"/>
  <c r="T175" i="30"/>
  <c r="V172" i="30"/>
  <c r="D58" i="61"/>
  <c r="L55" i="61"/>
  <c r="N62" i="63"/>
  <c r="H65" i="63"/>
  <c r="T303" i="18"/>
  <c r="V299" i="18"/>
  <c r="L86" i="76"/>
  <c r="N86" i="76" s="1"/>
  <c r="D89" i="76"/>
  <c r="L89" i="76" s="1"/>
  <c r="L136" i="24"/>
  <c r="N136" i="24" s="1"/>
  <c r="D140" i="24"/>
  <c r="H36" i="49"/>
  <c r="N36" i="49" s="1"/>
  <c r="N31" i="49"/>
  <c r="P99" i="45"/>
  <c r="X95" i="45"/>
  <c r="Z95" i="45" s="1"/>
  <c r="R95" i="45"/>
  <c r="H128" i="64"/>
  <c r="H75" i="65"/>
  <c r="P94" i="94"/>
  <c r="X90" i="94"/>
  <c r="Z90" i="94" s="1"/>
  <c r="R90" i="94"/>
  <c r="T31" i="54"/>
  <c r="Z26" i="54"/>
  <c r="H69" i="72"/>
  <c r="J65" i="72"/>
  <c r="D118" i="51"/>
  <c r="L114" i="51"/>
  <c r="F114" i="51"/>
  <c r="L140" i="69"/>
  <c r="D144" i="69"/>
  <c r="F140" i="69"/>
  <c r="H36" i="32"/>
  <c r="N36" i="32" s="1"/>
  <c r="N31" i="32"/>
  <c r="T109" i="21"/>
  <c r="V105" i="21"/>
  <c r="H303" i="18"/>
  <c r="J299" i="18"/>
  <c r="X78" i="74"/>
  <c r="P81" i="74"/>
  <c r="X31" i="99"/>
  <c r="P36" i="99"/>
  <c r="H89" i="92"/>
  <c r="J85" i="92"/>
  <c r="P91" i="95"/>
  <c r="T36" i="44"/>
  <c r="Z36" i="44" s="1"/>
  <c r="Z31" i="44"/>
  <c r="X31" i="5"/>
  <c r="P36" i="5"/>
  <c r="H109" i="21"/>
  <c r="J105" i="21"/>
  <c r="T75" i="83"/>
  <c r="V71" i="83"/>
  <c r="T37" i="78"/>
  <c r="V34" i="78"/>
  <c r="L37" i="78"/>
  <c r="N37" i="78" s="1"/>
  <c r="F37" i="78"/>
  <c r="X55" i="61"/>
  <c r="Z55" i="61" s="1"/>
  <c r="P58" i="61"/>
  <c r="X58" i="61" s="1"/>
  <c r="V131" i="27"/>
  <c r="L31" i="19"/>
  <c r="D36" i="19"/>
  <c r="D36" i="13"/>
  <c r="L31" i="13"/>
  <c r="H89" i="76"/>
  <c r="N31" i="7"/>
  <c r="H36" i="7"/>
  <c r="N36" i="7" s="1"/>
  <c r="T80" i="80"/>
  <c r="Z76" i="80"/>
  <c r="V76" i="80"/>
  <c r="H58" i="61"/>
  <c r="N55" i="61"/>
  <c r="D330" i="3"/>
  <c r="L325" i="3"/>
  <c r="F325" i="3"/>
  <c r="T99" i="85"/>
  <c r="Z96" i="85"/>
  <c r="V96" i="85"/>
  <c r="D78" i="73"/>
  <c r="L75" i="73"/>
  <c r="L31" i="53"/>
  <c r="D36" i="53"/>
  <c r="L31" i="35"/>
  <c r="D36" i="35"/>
  <c r="T132" i="77"/>
  <c r="Z128" i="77"/>
  <c r="V128" i="77"/>
  <c r="X31" i="98"/>
  <c r="P36" i="98"/>
  <c r="X114" i="71"/>
  <c r="P118" i="71"/>
  <c r="R114" i="71"/>
  <c r="H91" i="95"/>
  <c r="L88" i="95"/>
  <c r="N88" i="95" s="1"/>
  <c r="T36" i="10"/>
  <c r="Z36" i="10" s="1"/>
  <c r="Z31" i="10"/>
  <c r="D128" i="27"/>
  <c r="L124" i="27"/>
  <c r="F124" i="27"/>
  <c r="X140" i="69"/>
  <c r="Z140" i="69" s="1"/>
  <c r="P144" i="69"/>
  <c r="R140" i="69"/>
  <c r="Z31" i="53"/>
  <c r="T36" i="53"/>
  <c r="Z36" i="53" s="1"/>
  <c r="D84" i="84"/>
  <c r="L81" i="84"/>
  <c r="N81" i="84" s="1"/>
  <c r="Z31" i="8"/>
  <c r="T36" i="8"/>
  <c r="Z36" i="8" s="1"/>
  <c r="D94" i="86"/>
  <c r="L91" i="86"/>
  <c r="Z26" i="6"/>
  <c r="T31" i="6"/>
  <c r="D102" i="45"/>
  <c r="F99" i="45"/>
  <c r="H98" i="9"/>
  <c r="P36" i="16"/>
  <c r="X31" i="16"/>
  <c r="T112" i="62"/>
  <c r="X109" i="62"/>
  <c r="Z109" i="62" s="1"/>
  <c r="N31" i="10"/>
  <c r="H36" i="10"/>
  <c r="N36" i="10" s="1"/>
  <c r="L31" i="37"/>
  <c r="D36" i="37"/>
  <c r="H36" i="5"/>
  <c r="N36" i="5" s="1"/>
  <c r="N31" i="5"/>
  <c r="D36" i="22"/>
  <c r="L31" i="22"/>
  <c r="P98" i="9"/>
  <c r="X98" i="9" s="1"/>
  <c r="Z98" i="9" s="1"/>
  <c r="X95" i="9"/>
  <c r="Z95" i="9" s="1"/>
  <c r="P330" i="3"/>
  <c r="R325" i="3"/>
  <c r="D92" i="68"/>
  <c r="L88" i="68"/>
  <c r="N88" i="68" s="1"/>
  <c r="H144" i="69"/>
  <c r="N140" i="69"/>
  <c r="J140" i="69"/>
  <c r="R138" i="39"/>
  <c r="N31" i="38"/>
  <c r="H36" i="38"/>
  <c r="N36" i="38" s="1"/>
  <c r="D36" i="52"/>
  <c r="L31" i="52"/>
  <c r="L270" i="15"/>
  <c r="N270" i="15" s="1"/>
  <c r="D274" i="15"/>
  <c r="F270" i="15"/>
  <c r="H283" i="12"/>
  <c r="J279" i="12"/>
  <c r="P36" i="38"/>
  <c r="X31" i="38"/>
  <c r="N31" i="8"/>
  <c r="H36" i="8"/>
  <c r="N36" i="8" s="1"/>
  <c r="T36" i="34"/>
  <c r="Z36" i="34" s="1"/>
  <c r="Z31" i="34"/>
  <c r="P95" i="68"/>
  <c r="H175" i="30"/>
  <c r="J172" i="30"/>
  <c r="T53" i="88"/>
  <c r="T36" i="47"/>
  <c r="Z36" i="47" s="1"/>
  <c r="Z31" i="47"/>
  <c r="P83" i="80"/>
  <c r="P36" i="11"/>
  <c r="X31" i="11"/>
  <c r="N95" i="45"/>
  <c r="H99" i="45"/>
  <c r="J95" i="45"/>
  <c r="P37" i="78"/>
  <c r="X34" i="78"/>
  <c r="Z34" i="78" s="1"/>
  <c r="R34" i="78"/>
  <c r="L86" i="70"/>
  <c r="N86" i="70" s="1"/>
  <c r="D90" i="70"/>
  <c r="F86" i="70"/>
  <c r="L126" i="36"/>
  <c r="N126" i="36" s="1"/>
  <c r="D130" i="36"/>
  <c r="F126" i="36"/>
  <c r="P140" i="24"/>
  <c r="X136" i="24"/>
  <c r="Z136" i="24" s="1"/>
  <c r="R136" i="24"/>
  <c r="P90" i="70"/>
  <c r="X86" i="70"/>
  <c r="Z86" i="70" s="1"/>
  <c r="R86" i="70"/>
  <c r="D80" i="58"/>
  <c r="L77" i="58"/>
  <c r="Z31" i="22"/>
  <c r="T36" i="22"/>
  <c r="Z36" i="22" s="1"/>
  <c r="V102" i="45"/>
  <c r="L31" i="43"/>
  <c r="D36" i="43"/>
  <c r="H118" i="71"/>
  <c r="N114" i="71"/>
  <c r="J114" i="71"/>
  <c r="N31" i="50"/>
  <c r="H36" i="50"/>
  <c r="N36" i="50" s="1"/>
  <c r="N31" i="37"/>
  <c r="H36" i="37"/>
  <c r="N36" i="37" s="1"/>
  <c r="T147" i="69"/>
  <c r="V144" i="69"/>
  <c r="Z31" i="38"/>
  <c r="T36" i="38"/>
  <c r="Z36" i="38" s="1"/>
  <c r="X104" i="81"/>
  <c r="Z31" i="37"/>
  <c r="T36" i="37"/>
  <c r="Z36" i="37" s="1"/>
  <c r="D60" i="87"/>
  <c r="L57" i="87"/>
  <c r="F57" i="87"/>
  <c r="T283" i="12"/>
  <c r="V279" i="12"/>
  <c r="H132" i="77"/>
  <c r="Z31" i="46"/>
  <c r="T36" i="46"/>
  <c r="Z36" i="46" s="1"/>
  <c r="N26" i="6"/>
  <c r="H31" i="6"/>
  <c r="F73" i="48"/>
  <c r="D76" i="48"/>
  <c r="L299" i="18"/>
  <c r="N299" i="18" s="1"/>
  <c r="D303" i="18"/>
  <c r="F299" i="18"/>
  <c r="L31" i="34"/>
  <c r="D36" i="34"/>
  <c r="N31" i="75"/>
  <c r="H34" i="75"/>
  <c r="J31" i="75"/>
  <c r="H73" i="48"/>
  <c r="N69" i="48"/>
  <c r="J69" i="48"/>
  <c r="L31" i="47"/>
  <c r="D36" i="47"/>
  <c r="T89" i="76"/>
  <c r="V86" i="76"/>
  <c r="Z31" i="14"/>
  <c r="T36" i="14"/>
  <c r="Z36" i="14" s="1"/>
  <c r="L168" i="30"/>
  <c r="N168" i="30" s="1"/>
  <c r="D172" i="30"/>
  <c r="F168" i="30"/>
  <c r="P34" i="75"/>
  <c r="R31" i="75"/>
  <c r="P36" i="52"/>
  <c r="X31" i="52"/>
  <c r="D36" i="5"/>
  <c r="L31" i="5"/>
  <c r="Z31" i="4"/>
  <c r="T36" i="4"/>
  <c r="Z36" i="4" s="1"/>
  <c r="D53" i="91"/>
  <c r="L53" i="91" s="1"/>
  <c r="L50" i="91"/>
  <c r="N50" i="91" s="1"/>
  <c r="H70" i="89"/>
  <c r="T325" i="3"/>
  <c r="Z321" i="3"/>
  <c r="V321" i="3"/>
  <c r="P36" i="35"/>
  <c r="X31" i="35"/>
  <c r="D108" i="33"/>
  <c r="F105" i="33"/>
  <c r="N31" i="34"/>
  <c r="H36" i="34"/>
  <c r="N36" i="34" s="1"/>
  <c r="D78" i="74"/>
  <c r="L74" i="74"/>
  <c r="N74" i="74" s="1"/>
  <c r="P36" i="37"/>
  <c r="X31" i="37"/>
  <c r="D36" i="50"/>
  <c r="L31" i="50"/>
  <c r="X85" i="92"/>
  <c r="Z85" i="92" s="1"/>
  <c r="P89" i="92"/>
  <c r="R85" i="92"/>
  <c r="L26" i="54"/>
  <c r="D31" i="54"/>
  <c r="L31" i="54" s="1"/>
  <c r="N31" i="54" s="1"/>
  <c r="Z74" i="57"/>
  <c r="T77" i="57"/>
  <c r="X74" i="57"/>
  <c r="T36" i="13"/>
  <c r="Z36" i="13" s="1"/>
  <c r="Z31" i="13"/>
  <c r="L73" i="97"/>
  <c r="D76" i="97"/>
  <c r="F73" i="97"/>
  <c r="P58" i="93"/>
  <c r="X31" i="41"/>
  <c r="P36" i="41"/>
  <c r="P283" i="12"/>
  <c r="X279" i="12"/>
  <c r="Z279" i="12" s="1"/>
  <c r="R279" i="12"/>
  <c r="D36" i="17"/>
  <c r="L31" i="17"/>
  <c r="P36" i="8"/>
  <c r="X31" i="8"/>
  <c r="P128" i="42"/>
  <c r="X124" i="42"/>
  <c r="Z124" i="42" s="1"/>
  <c r="R124" i="42"/>
  <c r="L31" i="29"/>
  <c r="D36" i="29"/>
  <c r="T77" i="56"/>
  <c r="L31" i="20"/>
  <c r="D36" i="20"/>
  <c r="H36" i="100"/>
  <c r="N36" i="100" s="1"/>
  <c r="N31" i="100"/>
  <c r="X57" i="87"/>
  <c r="P60" i="87"/>
  <c r="R57" i="87"/>
  <c r="P105" i="33"/>
  <c r="X101" i="33"/>
  <c r="Z101" i="33" s="1"/>
  <c r="R101" i="33"/>
  <c r="H87" i="79"/>
  <c r="L31" i="32"/>
  <c r="D36" i="32"/>
  <c r="N101" i="33"/>
  <c r="H105" i="33"/>
  <c r="L105" i="33" s="1"/>
  <c r="J101" i="33"/>
  <c r="T91" i="86"/>
  <c r="Z87" i="86"/>
  <c r="V87" i="86"/>
  <c r="L31" i="8"/>
  <c r="D36" i="8"/>
  <c r="X31" i="32"/>
  <c r="P36" i="32"/>
  <c r="R99" i="85"/>
  <c r="X62" i="63"/>
  <c r="P65" i="63"/>
  <c r="Z88" i="68"/>
  <c r="T92" i="68"/>
  <c r="V88" i="68"/>
  <c r="L114" i="71"/>
  <c r="D118" i="71"/>
  <c r="F114" i="71"/>
  <c r="T135" i="39"/>
  <c r="V131" i="39"/>
  <c r="X131" i="39"/>
  <c r="Z131" i="39" s="1"/>
  <c r="P36" i="14"/>
  <c r="X31" i="14"/>
  <c r="N31" i="25"/>
  <c r="H36" i="25"/>
  <c r="N36" i="25" s="1"/>
  <c r="T90" i="79"/>
  <c r="V87" i="79"/>
  <c r="T36" i="23"/>
  <c r="Z36" i="23" s="1"/>
  <c r="Z31" i="23"/>
  <c r="L65" i="63"/>
  <c r="T128" i="42"/>
  <c r="V124" i="42"/>
  <c r="N31" i="19"/>
  <c r="H36" i="19"/>
  <c r="N36" i="19" s="1"/>
  <c r="P36" i="29"/>
  <c r="X31" i="29"/>
  <c r="Z31" i="26"/>
  <c r="T36" i="26"/>
  <c r="Z36" i="26" s="1"/>
  <c r="Z101" i="81"/>
  <c r="T104" i="81"/>
  <c r="P89" i="76"/>
  <c r="X89" i="76" s="1"/>
  <c r="X86" i="76"/>
  <c r="Z86" i="76" s="1"/>
  <c r="T94" i="94"/>
  <c r="V90" i="94"/>
  <c r="T88" i="95"/>
  <c r="Z84" i="95"/>
  <c r="V84" i="95"/>
  <c r="X72" i="65"/>
  <c r="P75" i="65"/>
  <c r="X75" i="65" s="1"/>
  <c r="L31" i="14"/>
  <c r="D36" i="14"/>
  <c r="Z31" i="40"/>
  <c r="T36" i="40"/>
  <c r="Z36" i="40" s="1"/>
  <c r="X31" i="34"/>
  <c r="P36" i="34"/>
  <c r="N31" i="41"/>
  <c r="H36" i="41"/>
  <c r="N36" i="41" s="1"/>
  <c r="Z126" i="36"/>
  <c r="T130" i="36"/>
  <c r="V126" i="36"/>
  <c r="T36" i="41"/>
  <c r="Z36" i="41" s="1"/>
  <c r="Z31" i="41"/>
  <c r="N31" i="23"/>
  <c r="H36" i="23"/>
  <c r="N36" i="23" s="1"/>
  <c r="L31" i="28"/>
  <c r="D36" i="28"/>
  <c r="H128" i="42"/>
  <c r="H80" i="80"/>
  <c r="L80" i="80" s="1"/>
  <c r="N76" i="80"/>
  <c r="P36" i="31"/>
  <c r="X31" i="31"/>
  <c r="Z121" i="64"/>
  <c r="T125" i="64"/>
  <c r="V121" i="64"/>
  <c r="T36" i="31"/>
  <c r="Z36" i="31" s="1"/>
  <c r="Z31" i="31"/>
  <c r="N31" i="28"/>
  <c r="H36" i="28"/>
  <c r="N36" i="28" s="1"/>
  <c r="T31" i="75"/>
  <c r="Z27" i="75"/>
  <c r="V27" i="75"/>
  <c r="P36" i="50"/>
  <c r="X31" i="50"/>
  <c r="P36" i="25"/>
  <c r="X31" i="25"/>
  <c r="H330" i="3"/>
  <c r="N325" i="3"/>
  <c r="J325" i="3"/>
  <c r="P127" i="66"/>
  <c r="X123" i="66"/>
  <c r="R123" i="66"/>
  <c r="X50" i="91"/>
  <c r="Z50" i="91" s="1"/>
  <c r="P53" i="91"/>
  <c r="X53" i="91" s="1"/>
  <c r="N31" i="29"/>
  <c r="H36" i="29"/>
  <c r="N36" i="29" s="1"/>
  <c r="P36" i="44"/>
  <c r="X31" i="44"/>
  <c r="P36" i="19"/>
  <c r="X31" i="19"/>
  <c r="X40" i="96"/>
  <c r="Z40" i="96" s="1"/>
  <c r="P43" i="96"/>
  <c r="X43" i="96" s="1"/>
  <c r="P36" i="7"/>
  <c r="X31" i="7"/>
  <c r="T36" i="43"/>
  <c r="Z36" i="43" s="1"/>
  <c r="Z31" i="43"/>
  <c r="P303" i="18"/>
  <c r="X299" i="18"/>
  <c r="Z299" i="18" s="1"/>
  <c r="R299" i="18"/>
  <c r="N31" i="47"/>
  <c r="H36" i="47"/>
  <c r="N36" i="47" s="1"/>
  <c r="P75" i="83"/>
  <c r="X71" i="83"/>
  <c r="Z71" i="83" s="1"/>
  <c r="H118" i="51"/>
  <c r="N114" i="51"/>
  <c r="J114" i="51"/>
  <c r="T36" i="17"/>
  <c r="Z36" i="17" s="1"/>
  <c r="Z31" i="17"/>
  <c r="T72" i="72"/>
  <c r="V69" i="72"/>
  <c r="T118" i="71"/>
  <c r="Z114" i="71"/>
  <c r="V114" i="71"/>
  <c r="P84" i="84"/>
  <c r="X81" i="84"/>
  <c r="R81" i="84"/>
  <c r="L105" i="21"/>
  <c r="N105" i="21" s="1"/>
  <c r="P36" i="26"/>
  <c r="X31" i="26"/>
  <c r="X109" i="21"/>
  <c r="P112" i="21"/>
  <c r="R109" i="21"/>
  <c r="V76" i="97"/>
  <c r="L31" i="98"/>
  <c r="D36" i="98"/>
  <c r="H53" i="88"/>
  <c r="Z31" i="100"/>
  <c r="T36" i="100"/>
  <c r="Z36" i="100" s="1"/>
  <c r="H36" i="16"/>
  <c r="N36" i="16" s="1"/>
  <c r="N31" i="16"/>
  <c r="P36" i="17"/>
  <c r="X31" i="17"/>
  <c r="X31" i="100"/>
  <c r="P36" i="100"/>
  <c r="F130" i="66"/>
  <c r="X31" i="47"/>
  <c r="P36" i="47"/>
  <c r="N31" i="11"/>
  <c r="H36" i="11"/>
  <c r="N36" i="11" s="1"/>
  <c r="Z57" i="87"/>
  <c r="T60" i="87"/>
  <c r="V57" i="87"/>
  <c r="D36" i="100"/>
  <c r="L31" i="100"/>
  <c r="L31" i="7"/>
  <c r="D36" i="7"/>
  <c r="H87" i="90"/>
  <c r="N31" i="31"/>
  <c r="H36" i="31"/>
  <c r="N36" i="31" s="1"/>
  <c r="H277" i="15"/>
  <c r="J274" i="15"/>
  <c r="T127" i="66"/>
  <c r="Z123" i="66"/>
  <c r="V123" i="66"/>
  <c r="P277" i="15"/>
  <c r="R274" i="15"/>
  <c r="T89" i="92"/>
  <c r="V85" i="92"/>
  <c r="H93" i="70"/>
  <c r="J90" i="70"/>
  <c r="N53" i="91"/>
  <c r="L31" i="26"/>
  <c r="D36" i="26"/>
  <c r="T36" i="35"/>
  <c r="Z36" i="35" s="1"/>
  <c r="Z31" i="35"/>
  <c r="L279" i="12"/>
  <c r="N279" i="12" s="1"/>
  <c r="D283" i="12"/>
  <c r="F279" i="12"/>
  <c r="T76" i="48"/>
  <c r="V73" i="48"/>
  <c r="X31" i="40"/>
  <c r="P36" i="40"/>
  <c r="T78" i="73"/>
  <c r="V75" i="73"/>
  <c r="Z31" i="5"/>
  <c r="T36" i="5"/>
  <c r="Z36" i="5" s="1"/>
  <c r="L31" i="40"/>
  <c r="D36" i="40"/>
  <c r="D132" i="77"/>
  <c r="L128" i="77"/>
  <c r="N128" i="77" s="1"/>
  <c r="F128" i="77"/>
  <c r="N127" i="66"/>
  <c r="H130" i="66"/>
  <c r="J127" i="66"/>
  <c r="Z81" i="84"/>
  <c r="T84" i="84"/>
  <c r="V81" i="84"/>
  <c r="N31" i="46"/>
  <c r="H36" i="46"/>
  <c r="N36" i="46" s="1"/>
  <c r="N31" i="17"/>
  <c r="H36" i="17"/>
  <c r="N36" i="17" s="1"/>
  <c r="H58" i="93"/>
  <c r="N31" i="44"/>
  <c r="H36" i="44"/>
  <c r="N36" i="44" s="1"/>
  <c r="D36" i="23"/>
  <c r="L31" i="23"/>
  <c r="H60" i="87"/>
  <c r="N57" i="87"/>
  <c r="X31" i="53"/>
  <c r="P36" i="53"/>
  <c r="Z31" i="29"/>
  <c r="T36" i="29"/>
  <c r="Z36" i="29" s="1"/>
  <c r="T36" i="49"/>
  <c r="Z36" i="49" s="1"/>
  <c r="Z31" i="49"/>
  <c r="L109" i="21"/>
  <c r="D112" i="21"/>
  <c r="F109" i="21"/>
  <c r="Z31" i="50"/>
  <c r="T36" i="50"/>
  <c r="Z36" i="50" s="1"/>
  <c r="X105" i="21"/>
  <c r="Z105" i="21" s="1"/>
  <c r="P36" i="28"/>
  <c r="X31" i="28"/>
  <c r="H84" i="84"/>
  <c r="D75" i="65"/>
  <c r="L75" i="65" s="1"/>
  <c r="L72" i="65"/>
  <c r="N72" i="65" s="1"/>
  <c r="X75" i="73"/>
  <c r="Z75" i="73" s="1"/>
  <c r="R75" i="73"/>
  <c r="P78" i="73"/>
  <c r="X31" i="22"/>
  <c r="P36" i="22"/>
  <c r="T36" i="25"/>
  <c r="Z36" i="25" s="1"/>
  <c r="Z31" i="25"/>
  <c r="N31" i="14"/>
  <c r="H36" i="14"/>
  <c r="N36" i="14" s="1"/>
  <c r="L55" i="60"/>
  <c r="D58" i="60"/>
  <c r="N31" i="13"/>
  <c r="H36" i="13"/>
  <c r="N36" i="13" s="1"/>
  <c r="P133" i="36"/>
  <c r="R130" i="36"/>
  <c r="L31" i="16"/>
  <c r="D36" i="16"/>
  <c r="L31" i="10"/>
  <c r="D36" i="10"/>
  <c r="L65" i="59"/>
  <c r="N65" i="59" s="1"/>
  <c r="D68" i="59"/>
  <c r="L68" i="59" s="1"/>
  <c r="N68" i="59" s="1"/>
  <c r="X31" i="54"/>
  <c r="Z31" i="28"/>
  <c r="T36" i="28"/>
  <c r="Z36" i="28" s="1"/>
  <c r="N31" i="52"/>
  <c r="H36" i="52"/>
  <c r="N36" i="52" s="1"/>
  <c r="Z31" i="11"/>
  <c r="T36" i="11"/>
  <c r="Z36" i="11" s="1"/>
  <c r="H95" i="68"/>
  <c r="J92" i="68"/>
  <c r="L31" i="44"/>
  <c r="D36" i="44"/>
  <c r="L31" i="38"/>
  <c r="D36" i="38"/>
  <c r="H140" i="24"/>
  <c r="J136" i="24"/>
  <c r="L74" i="56"/>
  <c r="N74" i="56" s="1"/>
  <c r="D77" i="56"/>
  <c r="L77" i="56" s="1"/>
  <c r="N77" i="56" s="1"/>
  <c r="P82" i="67"/>
  <c r="D36" i="4"/>
  <c r="L31" i="4"/>
  <c r="Z78" i="74"/>
  <c r="T81" i="74"/>
  <c r="V78" i="74"/>
  <c r="X31" i="23"/>
  <c r="P36" i="23"/>
  <c r="N31" i="43"/>
  <c r="H36" i="43"/>
  <c r="N36" i="43" s="1"/>
  <c r="L75" i="83"/>
  <c r="D78" i="83"/>
  <c r="P36" i="4"/>
  <c r="X31" i="4"/>
  <c r="X50" i="88"/>
  <c r="Z50" i="88" s="1"/>
  <c r="P53" i="88"/>
  <c r="X53" i="88" s="1"/>
  <c r="P58" i="60"/>
  <c r="X58" i="60" s="1"/>
  <c r="Z58" i="60" s="1"/>
  <c r="X55" i="60"/>
  <c r="Z55" i="60" s="1"/>
  <c r="D36" i="99"/>
  <c r="L31" i="99"/>
  <c r="L74" i="57"/>
  <c r="N74" i="57" s="1"/>
  <c r="D77" i="57"/>
  <c r="X91" i="86"/>
  <c r="P94" i="86"/>
  <c r="D82" i="82"/>
  <c r="L79" i="82"/>
  <c r="N79" i="82" s="1"/>
  <c r="Z72" i="65"/>
  <c r="T75" i="65"/>
  <c r="V72" i="65"/>
  <c r="P175" i="30"/>
  <c r="X172" i="30"/>
  <c r="Z172" i="30" s="1"/>
  <c r="R172" i="30"/>
  <c r="L55" i="93"/>
  <c r="N55" i="93" s="1"/>
  <c r="D58" i="93"/>
  <c r="N55" i="60"/>
  <c r="H58" i="60"/>
  <c r="T105" i="33"/>
  <c r="V101" i="33"/>
  <c r="L131" i="39"/>
  <c r="N131" i="39" s="1"/>
  <c r="D135" i="39"/>
  <c r="F131" i="39"/>
  <c r="Z62" i="63"/>
  <c r="T65" i="63"/>
  <c r="N109" i="62"/>
  <c r="H112" i="62"/>
  <c r="L31" i="25"/>
  <c r="D36" i="25"/>
  <c r="T40" i="55"/>
  <c r="D87" i="79"/>
  <c r="L83" i="79"/>
  <c r="N83" i="79" s="1"/>
  <c r="T55" i="93"/>
  <c r="Z51" i="93"/>
  <c r="V51" i="93"/>
  <c r="Z58" i="61"/>
  <c r="H78" i="73"/>
  <c r="N75" i="73"/>
  <c r="H97" i="94"/>
  <c r="L94" i="94"/>
  <c r="N94" i="94" s="1"/>
  <c r="D97" i="94"/>
  <c r="F94" i="94"/>
  <c r="L65" i="72"/>
  <c r="N65" i="72" s="1"/>
  <c r="D69" i="72"/>
  <c r="N31" i="35"/>
  <c r="H36" i="35"/>
  <c r="N36" i="35" s="1"/>
  <c r="H82" i="67"/>
  <c r="J79" i="67"/>
  <c r="L85" i="92"/>
  <c r="N85" i="92" s="1"/>
  <c r="D89" i="92"/>
  <c r="T36" i="7"/>
  <c r="Z36" i="7" s="1"/>
  <c r="Z31" i="7"/>
  <c r="H128" i="27"/>
  <c r="N124" i="27"/>
  <c r="J124" i="27"/>
  <c r="L95" i="9"/>
  <c r="N95" i="9" s="1"/>
  <c r="D98" i="9"/>
  <c r="X132" i="77"/>
  <c r="P135" i="77"/>
  <c r="R132" i="77"/>
  <c r="P36" i="10"/>
  <c r="X31" i="10"/>
  <c r="N75" i="83"/>
  <c r="H78" i="83"/>
  <c r="X83" i="79"/>
  <c r="Z83" i="79" s="1"/>
  <c r="P87" i="79"/>
  <c r="L31" i="11"/>
  <c r="D36" i="11"/>
  <c r="P128" i="27"/>
  <c r="X124" i="27"/>
  <c r="Z124" i="27" s="1"/>
  <c r="R124" i="27"/>
  <c r="H43" i="96"/>
  <c r="N40" i="96"/>
  <c r="L67" i="89"/>
  <c r="N67" i="89" s="1"/>
  <c r="D70" i="89"/>
  <c r="L70" i="89" s="1"/>
  <c r="P36" i="20"/>
  <c r="X31" i="20"/>
  <c r="N31" i="26"/>
  <c r="H36" i="26"/>
  <c r="N36" i="26" s="1"/>
  <c r="L26" i="6"/>
  <c r="D31" i="6"/>
  <c r="L31" i="6" s="1"/>
  <c r="H82" i="82"/>
  <c r="H77" i="57"/>
  <c r="X74" i="56"/>
  <c r="Z74" i="56" s="1"/>
  <c r="P77" i="56"/>
  <c r="X77" i="56" s="1"/>
  <c r="H36" i="4"/>
  <c r="N36" i="4" s="1"/>
  <c r="N31" i="4"/>
  <c r="N31" i="20"/>
  <c r="H36" i="20"/>
  <c r="N36" i="20" s="1"/>
  <c r="N73" i="97"/>
  <c r="H76" i="97"/>
  <c r="J73" i="97"/>
  <c r="T90" i="90"/>
  <c r="V87" i="90"/>
  <c r="P79" i="82"/>
  <c r="X75" i="82"/>
  <c r="Z75" i="82" s="1"/>
  <c r="H94" i="86"/>
  <c r="N91" i="86"/>
  <c r="T36" i="16"/>
  <c r="Z36" i="16" s="1"/>
  <c r="Z31" i="16"/>
  <c r="T67" i="89"/>
  <c r="X63" i="89"/>
  <c r="Z63" i="89" s="1"/>
  <c r="V63" i="89"/>
  <c r="P36" i="46"/>
  <c r="X31" i="46"/>
  <c r="X37" i="55"/>
  <c r="Z37" i="55" s="1"/>
  <c r="D104" i="81"/>
  <c r="L104" i="81" s="1"/>
  <c r="N104" i="81" s="1"/>
  <c r="L101" i="81"/>
  <c r="N101" i="81" s="1"/>
  <c r="T118" i="51"/>
  <c r="Z114" i="51"/>
  <c r="V114" i="51"/>
  <c r="H80" i="58"/>
  <c r="N77" i="58"/>
  <c r="T36" i="20"/>
  <c r="Z36" i="20" s="1"/>
  <c r="Z31" i="20"/>
  <c r="P36" i="43"/>
  <c r="X31" i="43"/>
  <c r="T274" i="15"/>
  <c r="Z270" i="15"/>
  <c r="V270" i="15"/>
  <c r="Z75" i="67"/>
  <c r="T79" i="67"/>
  <c r="V75" i="67"/>
  <c r="D36" i="46"/>
  <c r="L31" i="46"/>
  <c r="D53" i="88"/>
  <c r="L53" i="88" s="1"/>
  <c r="L50" i="88"/>
  <c r="N50" i="88" s="1"/>
  <c r="H133" i="36"/>
  <c r="J130" i="36"/>
  <c r="H36" i="99"/>
  <c r="N36" i="99" s="1"/>
  <c r="N31" i="99"/>
  <c r="D99" i="85"/>
  <c r="F96" i="85"/>
  <c r="H96" i="85"/>
  <c r="L96" i="85" s="1"/>
  <c r="N92" i="85"/>
  <c r="D82" i="67"/>
  <c r="L82" i="67" s="1"/>
  <c r="L79" i="67"/>
  <c r="N79" i="67" s="1"/>
  <c r="P76" i="48"/>
  <c r="X73" i="48"/>
  <c r="Z73" i="48" s="1"/>
  <c r="R73" i="48"/>
  <c r="P68" i="59"/>
  <c r="X68" i="59" s="1"/>
  <c r="X65" i="59"/>
  <c r="Z65" i="59" s="1"/>
  <c r="H36" i="53"/>
  <c r="N36" i="53" s="1"/>
  <c r="N31" i="53"/>
  <c r="L31" i="49"/>
  <c r="D36" i="49"/>
  <c r="X114" i="51"/>
  <c r="P118" i="51"/>
  <c r="R114" i="51"/>
  <c r="Z31" i="98"/>
  <c r="T36" i="98"/>
  <c r="Z36" i="98" s="1"/>
  <c r="Z80" i="58"/>
  <c r="L124" i="42"/>
  <c r="N124" i="42" s="1"/>
  <c r="D128" i="42"/>
  <c r="F124" i="42"/>
  <c r="H40" i="55"/>
  <c r="N37" i="55"/>
  <c r="Z31" i="52"/>
  <c r="T36" i="52"/>
  <c r="Z36" i="52" s="1"/>
  <c r="P87" i="90"/>
  <c r="X83" i="90"/>
  <c r="Z83" i="90" s="1"/>
  <c r="L84" i="84" l="1"/>
  <c r="L58" i="60"/>
  <c r="X36" i="17"/>
  <c r="X36" i="53"/>
  <c r="X36" i="46"/>
  <c r="X36" i="4"/>
  <c r="X36" i="47"/>
  <c r="X36" i="32"/>
  <c r="X36" i="22"/>
  <c r="L36" i="8"/>
  <c r="L36" i="49"/>
  <c r="X36" i="8"/>
  <c r="L36" i="40"/>
  <c r="L36" i="100"/>
  <c r="X36" i="10"/>
  <c r="L36" i="7"/>
  <c r="X36" i="100"/>
  <c r="X36" i="23"/>
  <c r="X36" i="44"/>
  <c r="L36" i="23"/>
  <c r="L36" i="44"/>
  <c r="L36" i="16"/>
  <c r="X36" i="99"/>
  <c r="L36" i="31"/>
  <c r="L36" i="98"/>
  <c r="X36" i="19"/>
  <c r="X36" i="25"/>
  <c r="X36" i="31"/>
  <c r="X36" i="43"/>
  <c r="L36" i="10"/>
  <c r="L36" i="11"/>
  <c r="L36" i="28"/>
  <c r="L36" i="47"/>
  <c r="L36" i="46"/>
  <c r="X36" i="40"/>
  <c r="L36" i="25"/>
  <c r="L36" i="22"/>
  <c r="L36" i="38"/>
  <c r="X36" i="50"/>
  <c r="L36" i="32"/>
  <c r="T121" i="51"/>
  <c r="V118" i="51"/>
  <c r="H143" i="24"/>
  <c r="J140" i="24"/>
  <c r="D121" i="71"/>
  <c r="L118" i="71"/>
  <c r="N118" i="71" s="1"/>
  <c r="F118" i="71"/>
  <c r="F99" i="85"/>
  <c r="T82" i="67"/>
  <c r="V79" i="67"/>
  <c r="P90" i="79"/>
  <c r="X90" i="79" s="1"/>
  <c r="X87" i="79"/>
  <c r="Z87" i="79" s="1"/>
  <c r="L36" i="99"/>
  <c r="R133" i="36"/>
  <c r="F112" i="21"/>
  <c r="V78" i="73"/>
  <c r="T128" i="64"/>
  <c r="V125" i="64"/>
  <c r="L36" i="29"/>
  <c r="X36" i="41"/>
  <c r="L172" i="30"/>
  <c r="N172" i="30" s="1"/>
  <c r="D175" i="30"/>
  <c r="F172" i="30"/>
  <c r="H76" i="48"/>
  <c r="J73" i="48"/>
  <c r="N31" i="6"/>
  <c r="Z53" i="88"/>
  <c r="X36" i="38"/>
  <c r="X36" i="16"/>
  <c r="L140" i="24"/>
  <c r="N140" i="24" s="1"/>
  <c r="D143" i="24"/>
  <c r="L143" i="24" s="1"/>
  <c r="T82" i="82"/>
  <c r="V79" i="82"/>
  <c r="X175" i="30"/>
  <c r="R175" i="30"/>
  <c r="R112" i="21"/>
  <c r="L36" i="53"/>
  <c r="L128" i="42"/>
  <c r="D131" i="42"/>
  <c r="F128" i="42"/>
  <c r="X36" i="20"/>
  <c r="L97" i="94"/>
  <c r="N97" i="94" s="1"/>
  <c r="F97" i="94"/>
  <c r="T58" i="93"/>
  <c r="V55" i="93"/>
  <c r="L135" i="39"/>
  <c r="N135" i="39" s="1"/>
  <c r="D138" i="39"/>
  <c r="F135" i="39"/>
  <c r="V81" i="74"/>
  <c r="Z60" i="87"/>
  <c r="V60" i="87"/>
  <c r="V72" i="72"/>
  <c r="Z90" i="79"/>
  <c r="V90" i="79"/>
  <c r="P108" i="33"/>
  <c r="X105" i="33"/>
  <c r="R105" i="33"/>
  <c r="X55" i="93"/>
  <c r="Z55" i="93" s="1"/>
  <c r="J34" i="75"/>
  <c r="H121" i="71"/>
  <c r="J118" i="71"/>
  <c r="X90" i="70"/>
  <c r="P93" i="70"/>
  <c r="R90" i="70"/>
  <c r="X37" i="78"/>
  <c r="Z37" i="78" s="1"/>
  <c r="R37" i="78"/>
  <c r="L144" i="69"/>
  <c r="D147" i="69"/>
  <c r="F144" i="69"/>
  <c r="P97" i="94"/>
  <c r="X94" i="94"/>
  <c r="R94" i="94"/>
  <c r="P128" i="64"/>
  <c r="X125" i="64"/>
  <c r="Z125" i="64" s="1"/>
  <c r="R125" i="64"/>
  <c r="J138" i="39"/>
  <c r="Z75" i="65"/>
  <c r="V75" i="65"/>
  <c r="J93" i="70"/>
  <c r="J277" i="15"/>
  <c r="P306" i="18"/>
  <c r="X303" i="18"/>
  <c r="R303" i="18"/>
  <c r="T133" i="36"/>
  <c r="V130" i="36"/>
  <c r="F108" i="33"/>
  <c r="J175" i="30"/>
  <c r="H286" i="12"/>
  <c r="J283" i="12"/>
  <c r="L40" i="55"/>
  <c r="N40" i="55" s="1"/>
  <c r="N109" i="21"/>
  <c r="H112" i="21"/>
  <c r="J109" i="21"/>
  <c r="X81" i="74"/>
  <c r="Z81" i="74" s="1"/>
  <c r="T143" i="24"/>
  <c r="V140" i="24"/>
  <c r="L36" i="41"/>
  <c r="T277" i="15"/>
  <c r="V274" i="15"/>
  <c r="X79" i="82"/>
  <c r="Z79" i="82" s="1"/>
  <c r="P82" i="82"/>
  <c r="D92" i="92"/>
  <c r="L89" i="92"/>
  <c r="L87" i="79"/>
  <c r="D90" i="79"/>
  <c r="V76" i="48"/>
  <c r="X36" i="26"/>
  <c r="X36" i="29"/>
  <c r="T95" i="68"/>
  <c r="V92" i="68"/>
  <c r="Z91" i="86"/>
  <c r="T94" i="86"/>
  <c r="V91" i="86"/>
  <c r="X60" i="87"/>
  <c r="R60" i="87"/>
  <c r="P131" i="42"/>
  <c r="X128" i="42"/>
  <c r="R128" i="42"/>
  <c r="X89" i="92"/>
  <c r="P92" i="92"/>
  <c r="R89" i="92"/>
  <c r="L36" i="34"/>
  <c r="L36" i="43"/>
  <c r="H102" i="45"/>
  <c r="L102" i="45" s="1"/>
  <c r="J99" i="45"/>
  <c r="N144" i="69"/>
  <c r="H147" i="69"/>
  <c r="J144" i="69"/>
  <c r="L36" i="37"/>
  <c r="F102" i="45"/>
  <c r="X118" i="71"/>
  <c r="P121" i="71"/>
  <c r="R118" i="71"/>
  <c r="T83" i="80"/>
  <c r="V80" i="80"/>
  <c r="X36" i="5"/>
  <c r="N75" i="65"/>
  <c r="X73" i="97"/>
  <c r="Z73" i="97" s="1"/>
  <c r="P76" i="97"/>
  <c r="R73" i="97"/>
  <c r="T130" i="66"/>
  <c r="V127" i="66"/>
  <c r="J133" i="36"/>
  <c r="L36" i="4"/>
  <c r="N84" i="84"/>
  <c r="D135" i="77"/>
  <c r="L132" i="77"/>
  <c r="N132" i="77" s="1"/>
  <c r="F132" i="77"/>
  <c r="H83" i="80"/>
  <c r="N80" i="80"/>
  <c r="T91" i="95"/>
  <c r="V88" i="95"/>
  <c r="L36" i="5"/>
  <c r="H135" i="77"/>
  <c r="P143" i="24"/>
  <c r="X140" i="24"/>
  <c r="Z140" i="24" s="1"/>
  <c r="R140" i="24"/>
  <c r="X92" i="68"/>
  <c r="Z92" i="68" s="1"/>
  <c r="D277" i="15"/>
  <c r="L274" i="15"/>
  <c r="N274" i="15" s="1"/>
  <c r="F274" i="15"/>
  <c r="L99" i="45"/>
  <c r="N99" i="45" s="1"/>
  <c r="X144" i="69"/>
  <c r="Z144" i="69" s="1"/>
  <c r="P147" i="69"/>
  <c r="R144" i="69"/>
  <c r="L78" i="73"/>
  <c r="Z90" i="70"/>
  <c r="T93" i="70"/>
  <c r="V90" i="70"/>
  <c r="L83" i="80"/>
  <c r="X36" i="49"/>
  <c r="J130" i="66"/>
  <c r="Z175" i="30"/>
  <c r="V175" i="30"/>
  <c r="X76" i="48"/>
  <c r="Z76" i="48" s="1"/>
  <c r="R76" i="48"/>
  <c r="V90" i="90"/>
  <c r="T108" i="33"/>
  <c r="Z105" i="33"/>
  <c r="V105" i="33"/>
  <c r="L82" i="82"/>
  <c r="N82" i="82" s="1"/>
  <c r="N53" i="88"/>
  <c r="T34" i="75"/>
  <c r="V31" i="75"/>
  <c r="X65" i="63"/>
  <c r="N105" i="33"/>
  <c r="H108" i="33"/>
  <c r="J105" i="33"/>
  <c r="L76" i="97"/>
  <c r="F76" i="97"/>
  <c r="X36" i="35"/>
  <c r="X95" i="68"/>
  <c r="L92" i="68"/>
  <c r="N92" i="68" s="1"/>
  <c r="D95" i="68"/>
  <c r="L95" i="68" s="1"/>
  <c r="X36" i="98"/>
  <c r="L118" i="51"/>
  <c r="N118" i="51" s="1"/>
  <c r="D121" i="51"/>
  <c r="F118" i="51"/>
  <c r="T306" i="18"/>
  <c r="Z303" i="18"/>
  <c r="V303" i="18"/>
  <c r="X36" i="13"/>
  <c r="R135" i="77"/>
  <c r="N82" i="67"/>
  <c r="J82" i="67"/>
  <c r="X40" i="55"/>
  <c r="Z40" i="55" s="1"/>
  <c r="N58" i="60"/>
  <c r="X94" i="86"/>
  <c r="L78" i="83"/>
  <c r="N78" i="83" s="1"/>
  <c r="X79" i="67"/>
  <c r="Z79" i="67" s="1"/>
  <c r="X36" i="28"/>
  <c r="L283" i="12"/>
  <c r="N283" i="12" s="1"/>
  <c r="D286" i="12"/>
  <c r="F283" i="12"/>
  <c r="Z89" i="92"/>
  <c r="T92" i="92"/>
  <c r="V89" i="92"/>
  <c r="H90" i="90"/>
  <c r="H121" i="51"/>
  <c r="J118" i="51"/>
  <c r="X36" i="7"/>
  <c r="N128" i="42"/>
  <c r="H131" i="42"/>
  <c r="X36" i="34"/>
  <c r="X36" i="14"/>
  <c r="L36" i="50"/>
  <c r="X36" i="52"/>
  <c r="Z89" i="76"/>
  <c r="V89" i="76"/>
  <c r="L303" i="18"/>
  <c r="N303" i="18" s="1"/>
  <c r="D306" i="18"/>
  <c r="F303" i="18"/>
  <c r="V147" i="69"/>
  <c r="L130" i="36"/>
  <c r="N130" i="36" s="1"/>
  <c r="D133" i="36"/>
  <c r="F130" i="36"/>
  <c r="X36" i="11"/>
  <c r="N89" i="76"/>
  <c r="H306" i="18"/>
  <c r="J303" i="18"/>
  <c r="N65" i="63"/>
  <c r="L125" i="64"/>
  <c r="N125" i="64" s="1"/>
  <c r="D128" i="64"/>
  <c r="L128" i="64" s="1"/>
  <c r="N128" i="64" s="1"/>
  <c r="X69" i="72"/>
  <c r="Z69" i="72" s="1"/>
  <c r="P72" i="72"/>
  <c r="X72" i="72" s="1"/>
  <c r="Z72" i="72" s="1"/>
  <c r="X87" i="90"/>
  <c r="Z87" i="90" s="1"/>
  <c r="P90" i="90"/>
  <c r="X90" i="90" s="1"/>
  <c r="Z90" i="90" s="1"/>
  <c r="X118" i="51"/>
  <c r="Z118" i="51" s="1"/>
  <c r="P121" i="51"/>
  <c r="R118" i="51"/>
  <c r="X82" i="67"/>
  <c r="N95" i="68"/>
  <c r="J95" i="68"/>
  <c r="X84" i="84"/>
  <c r="Z84" i="84" s="1"/>
  <c r="R84" i="84"/>
  <c r="X127" i="66"/>
  <c r="Z127" i="66" s="1"/>
  <c r="P130" i="66"/>
  <c r="R127" i="66"/>
  <c r="T97" i="94"/>
  <c r="Z94" i="94"/>
  <c r="V94" i="94"/>
  <c r="L36" i="20"/>
  <c r="L36" i="17"/>
  <c r="T286" i="12"/>
  <c r="V283" i="12"/>
  <c r="L36" i="52"/>
  <c r="R330" i="3"/>
  <c r="V99" i="85"/>
  <c r="X88" i="95"/>
  <c r="Z88" i="95" s="1"/>
  <c r="H72" i="72"/>
  <c r="J69" i="72"/>
  <c r="L34" i="75"/>
  <c r="N34" i="75" s="1"/>
  <c r="F34" i="75"/>
  <c r="L87" i="90"/>
  <c r="N87" i="90" s="1"/>
  <c r="D90" i="90"/>
  <c r="T70" i="89"/>
  <c r="V67" i="89"/>
  <c r="X67" i="89"/>
  <c r="Z67" i="89" s="1"/>
  <c r="N76" i="97"/>
  <c r="J76" i="97"/>
  <c r="P131" i="27"/>
  <c r="X128" i="27"/>
  <c r="Z128" i="27" s="1"/>
  <c r="R128" i="27"/>
  <c r="L98" i="9"/>
  <c r="N78" i="73"/>
  <c r="L58" i="93"/>
  <c r="N58" i="93" s="1"/>
  <c r="L77" i="57"/>
  <c r="N77" i="57" s="1"/>
  <c r="V84" i="84"/>
  <c r="X274" i="15"/>
  <c r="Z274" i="15" s="1"/>
  <c r="L130" i="66"/>
  <c r="N130" i="66" s="1"/>
  <c r="P78" i="83"/>
  <c r="X75" i="83"/>
  <c r="T131" i="42"/>
  <c r="Z128" i="42"/>
  <c r="V128" i="42"/>
  <c r="X99" i="85"/>
  <c r="Z99" i="85" s="1"/>
  <c r="X36" i="37"/>
  <c r="Z325" i="3"/>
  <c r="T330" i="3"/>
  <c r="V325" i="3"/>
  <c r="X34" i="75"/>
  <c r="R34" i="75"/>
  <c r="L73" i="48"/>
  <c r="N73" i="48" s="1"/>
  <c r="X80" i="80"/>
  <c r="Z80" i="80" s="1"/>
  <c r="X325" i="3"/>
  <c r="L94" i="86"/>
  <c r="N94" i="86" s="1"/>
  <c r="L128" i="27"/>
  <c r="D131" i="27"/>
  <c r="F128" i="27"/>
  <c r="V37" i="78"/>
  <c r="X91" i="95"/>
  <c r="T112" i="21"/>
  <c r="Z109" i="21"/>
  <c r="V109" i="21"/>
  <c r="X99" i="45"/>
  <c r="Z99" i="45" s="1"/>
  <c r="P102" i="45"/>
  <c r="R99" i="45"/>
  <c r="Z53" i="91"/>
  <c r="Z68" i="59"/>
  <c r="L91" i="95"/>
  <c r="N91" i="95" s="1"/>
  <c r="N96" i="85"/>
  <c r="H99" i="85"/>
  <c r="L99" i="85" s="1"/>
  <c r="N80" i="58"/>
  <c r="X277" i="15"/>
  <c r="R277" i="15"/>
  <c r="L43" i="96"/>
  <c r="N43" i="96" s="1"/>
  <c r="Z77" i="56"/>
  <c r="N70" i="89"/>
  <c r="X31" i="75"/>
  <c r="Z31" i="75" s="1"/>
  <c r="L76" i="48"/>
  <c r="F76" i="48"/>
  <c r="D93" i="70"/>
  <c r="L90" i="70"/>
  <c r="N90" i="70" s="1"/>
  <c r="F90" i="70"/>
  <c r="X112" i="62"/>
  <c r="Z112" i="62" s="1"/>
  <c r="Z132" i="77"/>
  <c r="T135" i="77"/>
  <c r="X135" i="77" s="1"/>
  <c r="V132" i="77"/>
  <c r="L36" i="13"/>
  <c r="L58" i="61"/>
  <c r="N58" i="61" s="1"/>
  <c r="N128" i="27"/>
  <c r="H131" i="27"/>
  <c r="J128" i="27"/>
  <c r="N98" i="9"/>
  <c r="L69" i="72"/>
  <c r="N69" i="72" s="1"/>
  <c r="D72" i="72"/>
  <c r="L72" i="72" s="1"/>
  <c r="Z65" i="63"/>
  <c r="X130" i="36"/>
  <c r="Z130" i="36" s="1"/>
  <c r="X78" i="73"/>
  <c r="Z78" i="73" s="1"/>
  <c r="R78" i="73"/>
  <c r="L112" i="62"/>
  <c r="N112" i="62" s="1"/>
  <c r="L36" i="26"/>
  <c r="T121" i="71"/>
  <c r="Z118" i="71"/>
  <c r="V118" i="71"/>
  <c r="N330" i="3"/>
  <c r="J330" i="3"/>
  <c r="L36" i="14"/>
  <c r="Z104" i="81"/>
  <c r="T138" i="39"/>
  <c r="Z135" i="39"/>
  <c r="V135" i="39"/>
  <c r="X135" i="39"/>
  <c r="H90" i="79"/>
  <c r="N87" i="79"/>
  <c r="P286" i="12"/>
  <c r="X283" i="12"/>
  <c r="Z283" i="12" s="1"/>
  <c r="R283" i="12"/>
  <c r="X77" i="57"/>
  <c r="Z77" i="57" s="1"/>
  <c r="D81" i="74"/>
  <c r="L81" i="74" s="1"/>
  <c r="N81" i="74" s="1"/>
  <c r="L78" i="74"/>
  <c r="N78" i="74" s="1"/>
  <c r="L60" i="87"/>
  <c r="N60" i="87" s="1"/>
  <c r="F60" i="87"/>
  <c r="L80" i="58"/>
  <c r="X31" i="6"/>
  <c r="Z31" i="6" s="1"/>
  <c r="L36" i="35"/>
  <c r="L330" i="3"/>
  <c r="F330" i="3"/>
  <c r="L36" i="19"/>
  <c r="Z75" i="83"/>
  <c r="T78" i="83"/>
  <c r="V75" i="83"/>
  <c r="N89" i="92"/>
  <c r="H92" i="92"/>
  <c r="J89" i="92"/>
  <c r="Z31" i="54"/>
  <c r="Z43" i="96"/>
  <c r="X82" i="82" l="1"/>
  <c r="L90" i="90"/>
  <c r="V78" i="83"/>
  <c r="X131" i="27"/>
  <c r="Z131" i="27" s="1"/>
  <c r="R131" i="27"/>
  <c r="V286" i="12"/>
  <c r="V83" i="80"/>
  <c r="Z94" i="86"/>
  <c r="V94" i="86"/>
  <c r="L92" i="92"/>
  <c r="N112" i="21"/>
  <c r="J112" i="21"/>
  <c r="V112" i="21"/>
  <c r="Z91" i="95"/>
  <c r="V91" i="95"/>
  <c r="V133" i="36"/>
  <c r="X93" i="70"/>
  <c r="Z93" i="70" s="1"/>
  <c r="R93" i="70"/>
  <c r="X112" i="21"/>
  <c r="Z112" i="21" s="1"/>
  <c r="N99" i="85"/>
  <c r="N72" i="72"/>
  <c r="J72" i="72"/>
  <c r="L306" i="18"/>
  <c r="F306" i="18"/>
  <c r="X121" i="71"/>
  <c r="Z121" i="71" s="1"/>
  <c r="R121" i="71"/>
  <c r="V58" i="93"/>
  <c r="N76" i="48"/>
  <c r="J76" i="48"/>
  <c r="V330" i="3"/>
  <c r="N121" i="51"/>
  <c r="J121" i="51"/>
  <c r="V108" i="33"/>
  <c r="L277" i="15"/>
  <c r="N277" i="15" s="1"/>
  <c r="F277" i="15"/>
  <c r="N83" i="80"/>
  <c r="V130" i="66"/>
  <c r="Z95" i="68"/>
  <c r="V95" i="68"/>
  <c r="X128" i="64"/>
  <c r="Z128" i="64" s="1"/>
  <c r="R128" i="64"/>
  <c r="L112" i="21"/>
  <c r="X286" i="12"/>
  <c r="Z286" i="12" s="1"/>
  <c r="R286" i="12"/>
  <c r="L93" i="70"/>
  <c r="N93" i="70" s="1"/>
  <c r="F93" i="70"/>
  <c r="X121" i="51"/>
  <c r="R121" i="51"/>
  <c r="N306" i="18"/>
  <c r="J306" i="18"/>
  <c r="V306" i="18"/>
  <c r="X92" i="92"/>
  <c r="Z92" i="92" s="1"/>
  <c r="R92" i="92"/>
  <c r="J286" i="12"/>
  <c r="X306" i="18"/>
  <c r="Z306" i="18" s="1"/>
  <c r="R306" i="18"/>
  <c r="V121" i="71"/>
  <c r="J131" i="27"/>
  <c r="V70" i="89"/>
  <c r="X70" i="89"/>
  <c r="Z70" i="89" s="1"/>
  <c r="N90" i="90"/>
  <c r="J108" i="33"/>
  <c r="V93" i="70"/>
  <c r="Z277" i="15"/>
  <c r="V277" i="15"/>
  <c r="J121" i="71"/>
  <c r="Z82" i="82"/>
  <c r="V82" i="82"/>
  <c r="L175" i="30"/>
  <c r="N175" i="30" s="1"/>
  <c r="F175" i="30"/>
  <c r="X133" i="36"/>
  <c r="Z133" i="36" s="1"/>
  <c r="L121" i="71"/>
  <c r="N121" i="71" s="1"/>
  <c r="F121" i="71"/>
  <c r="L131" i="27"/>
  <c r="N131" i="27" s="1"/>
  <c r="F131" i="27"/>
  <c r="Z97" i="94"/>
  <c r="V97" i="94"/>
  <c r="L121" i="51"/>
  <c r="F121" i="51"/>
  <c r="L135" i="77"/>
  <c r="N135" i="77" s="1"/>
  <c r="F135" i="77"/>
  <c r="X76" i="97"/>
  <c r="Z76" i="97" s="1"/>
  <c r="R76" i="97"/>
  <c r="X97" i="94"/>
  <c r="R97" i="94"/>
  <c r="V92" i="92"/>
  <c r="X143" i="24"/>
  <c r="Z143" i="24" s="1"/>
  <c r="R143" i="24"/>
  <c r="N143" i="24"/>
  <c r="J143" i="24"/>
  <c r="X330" i="3"/>
  <c r="Z330" i="3" s="1"/>
  <c r="X130" i="66"/>
  <c r="Z130" i="66" s="1"/>
  <c r="R130" i="66"/>
  <c r="J147" i="69"/>
  <c r="X131" i="42"/>
  <c r="Z131" i="42" s="1"/>
  <c r="R131" i="42"/>
  <c r="V143" i="24"/>
  <c r="L147" i="69"/>
  <c r="N147" i="69" s="1"/>
  <c r="F147" i="69"/>
  <c r="N92" i="92"/>
  <c r="J92" i="92"/>
  <c r="X102" i="45"/>
  <c r="Z102" i="45" s="1"/>
  <c r="R102" i="45"/>
  <c r="V131" i="42"/>
  <c r="L133" i="36"/>
  <c r="N133" i="36" s="1"/>
  <c r="F133" i="36"/>
  <c r="L90" i="79"/>
  <c r="N90" i="79" s="1"/>
  <c r="L108" i="33"/>
  <c r="N108" i="33" s="1"/>
  <c r="L131" i="42"/>
  <c r="N131" i="42" s="1"/>
  <c r="F131" i="42"/>
  <c r="Z138" i="39"/>
  <c r="V138" i="39"/>
  <c r="X138" i="39"/>
  <c r="Z135" i="77"/>
  <c r="V135" i="77"/>
  <c r="X83" i="80"/>
  <c r="Z83" i="80" s="1"/>
  <c r="L286" i="12"/>
  <c r="N286" i="12" s="1"/>
  <c r="F286" i="12"/>
  <c r="Z34" i="75"/>
  <c r="V34" i="75"/>
  <c r="X147" i="69"/>
  <c r="Z147" i="69" s="1"/>
  <c r="R147" i="69"/>
  <c r="X58" i="93"/>
  <c r="Z58" i="93" s="1"/>
  <c r="L138" i="39"/>
  <c r="N138" i="39" s="1"/>
  <c r="F138" i="39"/>
  <c r="V128" i="64"/>
  <c r="Z82" i="67"/>
  <c r="V82" i="67"/>
  <c r="Z121" i="51"/>
  <c r="V121" i="51"/>
  <c r="X78" i="83"/>
  <c r="Z78" i="83" s="1"/>
  <c r="N102" i="45"/>
  <c r="J102" i="45"/>
  <c r="X108" i="33"/>
  <c r="Z108" i="33" s="1"/>
  <c r="R108" i="33"/>
</calcChain>
</file>

<file path=xl/sharedStrings.xml><?xml version="1.0" encoding="utf-8"?>
<sst xmlns="http://schemas.openxmlformats.org/spreadsheetml/2006/main" count="2922" uniqueCount="314">
  <si>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</si>
  <si>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</si>
  <si>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</si>
  <si>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</si>
  <si>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</si>
  <si>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</si>
  <si>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</si>
  <si>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</si>
  <si>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</si>
  <si>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</si>
  <si>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</si>
  <si>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</si>
  <si>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</si>
  <si>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</si>
  <si>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</si>
  <si>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</si>
  <si>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</si>
  <si>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</si>
  <si>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</si>
  <si>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</si>
  <si>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</si>
  <si>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</si>
  <si>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</si>
  <si>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</si>
  <si>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</si>
  <si>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</si>
  <si>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</si>
  <si>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</si>
  <si>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</si>
  <si>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</si>
  <si>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</si>
  <si>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</si>
  <si>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</si>
  <si>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</si>
  <si>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</si>
  <si>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</si>
  <si>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</si>
  <si>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</si>
  <si>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</si>
  <si>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</si>
  <si>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</si>
  <si>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</si>
  <si>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</si>
  <si>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</si>
  <si>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</si>
  <si>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</si>
  <si>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</si>
  <si>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</si>
  <si>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</si>
  <si>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</si>
  <si>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</si>
  <si>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</si>
  <si>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</si>
  <si>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</si>
  <si>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</si>
  <si>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</si>
  <si>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</si>
  <si>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</si>
  <si>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</si>
  <si>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</si>
  <si>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</si>
  <si>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</si>
  <si>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</si>
  <si>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</si>
  <si>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</si>
  <si>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</si>
  <si>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</si>
  <si>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</si>
  <si>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</si>
  <si>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</si>
  <si>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</si>
  <si>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</si>
  <si>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</si>
  <si>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</si>
  <si>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</si>
  <si>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</si>
  <si>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</si>
  <si>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</si>
  <si>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</si>
  <si>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</si>
  <si>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</si>
  <si>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</si>
  <si>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</si>
  <si>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</si>
  <si>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</si>
  <si>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</si>
  <si>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</si>
  <si>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</si>
  <si>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</si>
  <si>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</si>
  <si>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</si>
  <si>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</si>
  <si>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</si>
  <si>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</si>
  <si>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</si>
  <si>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</si>
  <si>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</si>
  <si>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</si>
  <si>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</si>
  <si>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</si>
  <si>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</si>
  <si>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</si>
  <si>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</si>
  <si>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</si>
  <si>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</si>
  <si>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</si>
  <si>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</si>
  <si>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</si>
  <si>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</si>
  <si>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</si>
  <si>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</si>
  <si>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</si>
  <si>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</si>
  <si>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</si>
  <si>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</si>
  <si>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</si>
  <si>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</si>
  <si>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</si>
  <si>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</si>
  <si>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</si>
  <si>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</si>
  <si>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</si>
  <si>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</si>
  <si>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</si>
  <si>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</si>
  <si>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</si>
  <si>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</si>
  <si>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</si>
  <si>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</si>
  <si>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</si>
  <si>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</si>
  <si>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</si>
  <si>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</si>
  <si>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</si>
  <si>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</si>
  <si>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</si>
  <si>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</si>
  <si>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</si>
  <si>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</si>
  <si>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</si>
  <si>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</si>
  <si>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</si>
  <si>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</si>
  <si>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</si>
  <si>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</si>
  <si>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</si>
  <si>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</si>
  <si>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</si>
  <si>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</si>
  <si>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</si>
  <si>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</si>
  <si>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</si>
  <si>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</si>
  <si>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</si>
  <si>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</si>
  <si>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</si>
  <si>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</si>
  <si>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</si>
  <si>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</si>
  <si>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</si>
  <si>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</si>
  <si>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</si>
  <si>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</si>
  <si>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</si>
  <si>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</si>
  <si>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</si>
  <si>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</si>
  <si>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</si>
  <si>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</si>
  <si>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</si>
  <si>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</si>
  <si>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</si>
  <si>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</si>
  <si>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</si>
  <si>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</si>
  <si>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</si>
  <si>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</si>
  <si>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</si>
  <si>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</si>
  <si>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</si>
  <si>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</si>
  <si>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</si>
  <si>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</si>
  <si>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</si>
  <si>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</si>
  <si>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</si>
  <si>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</si>
  <si>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</si>
  <si>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</si>
  <si>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</si>
  <si>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</si>
  <si>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</si>
  <si>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</si>
  <si>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</si>
  <si>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</si>
  <si>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</si>
  <si>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</si>
  <si>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</si>
  <si>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</si>
  <si>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</si>
  <si>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</si>
  <si>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</si>
  <si>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</si>
  <si>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</si>
  <si>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</si>
  <si>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</si>
  <si>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</si>
  <si>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</si>
  <si>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</si>
  <si>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</si>
  <si>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</si>
  <si>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</si>
  <si>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</si>
  <si>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</si>
  <si>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</si>
  <si>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</si>
  <si>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</si>
  <si>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</si>
  <si>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</si>
  <si>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</si>
  <si>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</si>
  <si>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</si>
  <si>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</si>
  <si>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</si>
  <si>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</si>
  <si>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</si>
  <si>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</si>
  <si>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</si>
  <si>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</si>
  <si>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</si>
  <si>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</si>
  <si>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</si>
  <si>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</si>
  <si>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</si>
  <si>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</si>
  <si>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</si>
  <si>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</si>
  <si>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Prior Year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</si>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</sst>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1" fillId="0" borderId="0" xfId="0" applyFont="1" applyFill="1"/>
    <xf numFmtId="0" fontId="2" fillId="0" borderId="0" xfId="0" applyFont="1" applyFill="1"/>
    <xf numFmtId="0" fontId="0" fillId="0" borderId="0" xfId="0" applyFont="1" applyFill="1" applyBorder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0" fontId="1" fillId="0" borderId="0" xfId="0" applyFont="1"/>
    <xf numFmtId="0" fontId="2" fillId="0" borderId="0" xfId="0" applyFont="1"/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168" fontId="2" fillId="2" borderId="3" xfId="2" applyNumberFormat="1" applyFont="1" applyFill="1" applyBorder="1"/>
    <xf numFmtId="167" fontId="2" fillId="0" borderId="0" xfId="3" applyNumberFormat="1" applyFont="1" applyFill="1" applyBorder="1"/>
    <xf numFmtId="168" fontId="2" fillId="2" borderId="4" xfId="2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0" applyNumberFormat="1" applyFill="1"/>
    <xf numFmtId="164" fontId="2" fillId="0" borderId="0" xfId="1" applyNumberFormat="1" applyFont="1" applyAlignment="1">
      <alignment horizontal="left"/>
    </xf>
    <xf numFmtId="49" fontId="2" fillId="0" borderId="0" xfId="0" applyNumberFormat="1" applyFont="1" applyFill="1"/>
    <xf numFmtId="0" fontId="3" fillId="0" borderId="0" xfId="0" applyFont="1" applyAlignment="1">
      <alignment horizontal="left"/>
    </xf>
    <xf numFmtId="165" fontId="0" fillId="0" borderId="0" xfId="0" applyNumberFormat="1"/>
    <xf numFmtId="0" fontId="0" fillId="0" borderId="0" xfId="0" applyFill="1" applyAlignment="1">
      <alignment horizontal="centerContinuous"/>
    </xf>
    <xf numFmtId="0" fontId="4" fillId="0" borderId="0" xfId="0" applyFont="1"/>
    <xf numFmtId="164" fontId="2" fillId="0" borderId="0" xfId="1" applyNumberFormat="1" applyFont="1" applyFill="1" applyAlignment="1">
      <alignment horizontal="centerContinuous"/>
    </xf>
    <xf numFmtId="0" fontId="5" fillId="0" borderId="0" xfId="0" applyFont="1" applyFill="1"/>
    <xf numFmtId="0" fontId="2" fillId="0" borderId="0" xfId="0" applyFont="1" applyFill="1" applyBorder="1"/>
    <xf numFmtId="166" fontId="3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0" fillId="0" borderId="0" xfId="0" applyBorder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ustomXml" Target="../customXml/item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177</v>
      </c>
      <c r="B3" s="41" t="s">
        <v>195</v>
      </c>
      <c r="C3" s="41" t="s">
        <v>238</v>
      </c>
      <c r="D3" s="41" t="s">
        <v>98</v>
      </c>
      <c r="E3" s="41" t="s">
        <v>157</v>
      </c>
      <c r="F3" s="41" t="s">
        <v>0</v>
      </c>
      <c r="G3" s="41" t="s">
        <v>178</v>
      </c>
      <c r="H3" s="41" t="s">
        <v>53</v>
      </c>
      <c r="I3" s="41" t="s">
        <v>99</v>
      </c>
      <c r="J3" s="41" t="s">
        <v>213</v>
      </c>
      <c r="K3" s="41" t="s">
        <v>137</v>
      </c>
      <c r="L3" s="41" t="s">
        <v>214</v>
      </c>
      <c r="M3" s="41" t="s">
        <v>77</v>
      </c>
      <c r="N3" s="41" t="s">
        <v>78</v>
      </c>
      <c r="O3" s="41" t="s">
        <v>179</v>
      </c>
      <c r="P3" s="41" t="s">
        <v>196</v>
      </c>
      <c r="Q3" s="41" t="s">
        <v>17</v>
      </c>
      <c r="R3" s="41" t="s">
        <v>18</v>
      </c>
      <c r="S3" s="41" t="s">
        <v>54</v>
      </c>
      <c r="T3" s="41" t="s">
        <v>215</v>
      </c>
      <c r="U3" s="41" t="s">
        <v>270</v>
      </c>
      <c r="V3" s="41" t="s">
        <v>288</v>
      </c>
      <c r="W3" s="41" t="s">
        <v>180</v>
      </c>
      <c r="X3" s="41" t="s">
        <v>271</v>
      </c>
      <c r="Y3" s="41" t="s">
        <v>101</v>
      </c>
      <c r="Z3" s="41" t="s">
        <v>252</v>
      </c>
      <c r="AA3" s="41" t="s">
        <v>158</v>
      </c>
      <c r="AB3" s="41" t="s">
        <v>272</v>
      </c>
      <c r="AC3" s="41" t="s">
        <v>19</v>
      </c>
      <c r="AD3" s="41" t="s">
        <v>102</v>
      </c>
      <c r="AE3" s="41" t="s">
        <v>159</v>
      </c>
      <c r="AF3" s="41" t="s">
        <v>103</v>
      </c>
      <c r="AG3" s="41" t="s">
        <v>197</v>
      </c>
      <c r="AH3" s="41" t="s">
        <v>38</v>
      </c>
      <c r="AI3" s="41" t="s">
        <v>273</v>
      </c>
      <c r="AJ3" s="41" t="s">
        <v>274</v>
      </c>
      <c r="AK3" s="41" t="s">
        <v>79</v>
      </c>
      <c r="AL3" s="41" t="s">
        <v>253</v>
      </c>
      <c r="AM3" s="41" t="s">
        <v>254</v>
      </c>
      <c r="AN3" s="41" t="s">
        <v>234</v>
      </c>
      <c r="AO3" s="41" t="s">
        <v>310</v>
      </c>
      <c r="AP3" s="41" t="s">
        <v>311</v>
      </c>
      <c r="AQ3" s="41" t="s">
        <v>123</v>
      </c>
      <c r="AR3" s="41" t="s">
        <v>181</v>
      </c>
      <c r="AS3" s="41" t="s">
        <v>235</v>
      </c>
      <c r="AT3" s="41" t="s">
        <v>275</v>
      </c>
      <c r="AU3" s="41" t="s">
        <v>216</v>
      </c>
      <c r="AV3" s="41" t="s">
        <v>122</v>
      </c>
      <c r="AW3" s="41" t="s">
        <v>100</v>
      </c>
      <c r="AX3" s="41" t="s">
        <v>289</v>
      </c>
      <c r="AY3" s="41" t="s">
        <v>20</v>
      </c>
      <c r="AZ3" s="41" t="s">
        <v>290</v>
      </c>
      <c r="BA3" s="41" t="s">
        <v>277</v>
      </c>
      <c r="BB3" s="41" t="s">
        <v>109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106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e">
        <f ca="1">CONCATENATE("Department ",_xll.OneStop.ReportPlayer.OSRFunctions.OSRGet("d_dim0","Code"), " - ", _xll.OneStop.ReportPlayer.OSRFunctions.OSRGet("d_dim0","Description"))</f>
        <v>#NAME?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106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255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255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313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313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198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198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80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80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238</v>
      </c>
      <c r="B3" s="41" t="s">
        <v>295</v>
      </c>
      <c r="C3" s="41" t="s">
        <v>0</v>
      </c>
      <c r="D3" s="41" t="s">
        <v>58</v>
      </c>
      <c r="E3" s="41" t="s">
        <v>82</v>
      </c>
      <c r="F3" s="41" t="s">
        <v>24</v>
      </c>
      <c r="G3" s="41" t="s">
        <v>128</v>
      </c>
      <c r="H3" s="41" t="s">
        <v>160</v>
      </c>
      <c r="I3" s="41" t="s">
        <v>108</v>
      </c>
      <c r="J3" s="41" t="s">
        <v>239</v>
      </c>
      <c r="K3" s="41" t="s">
        <v>129</v>
      </c>
      <c r="L3" s="41" t="s">
        <v>25</v>
      </c>
      <c r="M3" s="41" t="s">
        <v>59</v>
      </c>
      <c r="N3" s="41" t="s">
        <v>41</v>
      </c>
      <c r="O3" s="41" t="s">
        <v>60</v>
      </c>
      <c r="P3" s="41" t="s">
        <v>161</v>
      </c>
      <c r="Q3" s="41" t="s">
        <v>26</v>
      </c>
      <c r="R3" s="41" t="s">
        <v>184</v>
      </c>
      <c r="S3" s="41" t="s">
        <v>185</v>
      </c>
      <c r="T3" s="41" t="s">
        <v>200</v>
      </c>
      <c r="U3" s="41" t="s">
        <v>27</v>
      </c>
      <c r="V3" s="41" t="s">
        <v>240</v>
      </c>
      <c r="W3" s="41" t="s">
        <v>258</v>
      </c>
      <c r="X3" s="41" t="s">
        <v>201</v>
      </c>
      <c r="Y3" s="41" t="s">
        <v>186</v>
      </c>
      <c r="Z3" s="41" t="s">
        <v>1</v>
      </c>
      <c r="AA3" s="41" t="s">
        <v>278</v>
      </c>
      <c r="AB3" s="41" t="s">
        <v>130</v>
      </c>
      <c r="AC3" s="41" t="s">
        <v>110</v>
      </c>
      <c r="AD3" s="41" t="s">
        <v>42</v>
      </c>
      <c r="AE3" s="41" t="s">
        <v>83</v>
      </c>
      <c r="AF3" s="41" t="s">
        <v>43</v>
      </c>
      <c r="AG3" s="41" t="s">
        <v>219</v>
      </c>
      <c r="AH3" s="41" t="s">
        <v>162</v>
      </c>
      <c r="AI3" s="41" t="s">
        <v>202</v>
      </c>
      <c r="AJ3" s="41" t="s">
        <v>62</v>
      </c>
      <c r="AK3" s="41" t="s">
        <v>131</v>
      </c>
      <c r="AL3" s="41" t="s">
        <v>296</v>
      </c>
      <c r="AM3" s="41" t="s">
        <v>203</v>
      </c>
      <c r="AN3" s="41" t="s">
        <v>63</v>
      </c>
      <c r="AO3" s="41" t="s">
        <v>28</v>
      </c>
      <c r="AP3" s="41" t="s">
        <v>204</v>
      </c>
      <c r="AQ3" s="41" t="s">
        <v>64</v>
      </c>
      <c r="AR3" s="41" t="s">
        <v>259</v>
      </c>
      <c r="AS3" s="41" t="s">
        <v>220</v>
      </c>
      <c r="AT3" s="41" t="s">
        <v>3</v>
      </c>
      <c r="AU3" s="41" t="s">
        <v>279</v>
      </c>
      <c r="AV3" s="41" t="s">
        <v>140</v>
      </c>
      <c r="AW3" s="41" t="s">
        <v>4</v>
      </c>
      <c r="AX3" s="41" t="s">
        <v>84</v>
      </c>
      <c r="AY3" s="41" t="s">
        <v>297</v>
      </c>
      <c r="AZ3" s="41" t="s">
        <v>65</v>
      </c>
      <c r="BA3" s="41" t="s">
        <v>221</v>
      </c>
      <c r="BB3" s="41" t="s">
        <v>66</v>
      </c>
      <c r="BC3" s="41" t="s">
        <v>241</v>
      </c>
      <c r="BD3" s="41" t="s">
        <v>280</v>
      </c>
      <c r="BE3" s="41" t="s">
        <v>141</v>
      </c>
      <c r="BF3" s="41" t="s">
        <v>298</v>
      </c>
      <c r="BG3" s="41" t="s">
        <v>111</v>
      </c>
      <c r="BH3" s="41" t="s">
        <v>112</v>
      </c>
      <c r="BI3" s="41" t="s">
        <v>242</v>
      </c>
      <c r="BJ3" s="41" t="s">
        <v>222</v>
      </c>
      <c r="BK3" s="41" t="s">
        <v>67</v>
      </c>
      <c r="BL3" s="41" t="s">
        <v>163</v>
      </c>
      <c r="BM3" s="41" t="s">
        <v>281</v>
      </c>
      <c r="BN3" s="41" t="s">
        <v>223</v>
      </c>
      <c r="BO3" s="41" t="s">
        <v>299</v>
      </c>
      <c r="BP3" s="41" t="s">
        <v>142</v>
      </c>
      <c r="BQ3" s="41" t="s">
        <v>224</v>
      </c>
      <c r="BR3" s="41" t="s">
        <v>132</v>
      </c>
      <c r="BS3" s="41" t="s">
        <v>205</v>
      </c>
      <c r="BT3" s="41" t="s">
        <v>68</v>
      </c>
      <c r="BU3" s="41" t="s">
        <v>225</v>
      </c>
      <c r="BV3" s="41" t="s">
        <v>260</v>
      </c>
      <c r="BW3" s="41" t="s">
        <v>300</v>
      </c>
      <c r="BX3" s="41" t="s">
        <v>164</v>
      </c>
      <c r="BY3" s="41" t="s">
        <v>282</v>
      </c>
      <c r="BZ3" s="41" t="s">
        <v>143</v>
      </c>
      <c r="CA3" s="41" t="s">
        <v>5</v>
      </c>
      <c r="CB3" s="41" t="s">
        <v>113</v>
      </c>
      <c r="CC3" s="41" t="s">
        <v>206</v>
      </c>
      <c r="CD3" s="41" t="s">
        <v>44</v>
      </c>
      <c r="CE3" s="41" t="s">
        <v>226</v>
      </c>
      <c r="CF3" s="41" t="s">
        <v>45</v>
      </c>
      <c r="CG3" s="41" t="s">
        <v>283</v>
      </c>
      <c r="CH3" s="41" t="s">
        <v>187</v>
      </c>
      <c r="CI3" s="41" t="s">
        <v>133</v>
      </c>
      <c r="CJ3" s="41" t="s">
        <v>301</v>
      </c>
      <c r="CK3" s="41" t="s">
        <v>114</v>
      </c>
      <c r="CL3" s="41" t="s">
        <v>144</v>
      </c>
      <c r="CM3" s="41" t="s">
        <v>145</v>
      </c>
      <c r="CN3" s="41" t="s">
        <v>207</v>
      </c>
      <c r="CO3" s="41" t="s">
        <v>85</v>
      </c>
      <c r="CP3" s="41" t="s">
        <v>165</v>
      </c>
      <c r="CQ3" s="41" t="s">
        <v>302</v>
      </c>
      <c r="CR3" s="41" t="s">
        <v>134</v>
      </c>
      <c r="CS3" s="41" t="s">
        <v>284</v>
      </c>
      <c r="CT3" s="41" t="s">
        <v>166</v>
      </c>
      <c r="CU3" s="41" t="s">
        <v>227</v>
      </c>
      <c r="CV3" s="41" t="s">
        <v>167</v>
      </c>
      <c r="CW3" s="41" t="s">
        <v>115</v>
      </c>
      <c r="CX3" s="41" t="s">
        <v>46</v>
      </c>
      <c r="CY3" s="41" t="s">
        <v>243</v>
      </c>
      <c r="CZ3" s="41" t="s">
        <v>261</v>
      </c>
      <c r="DA3" s="41" t="s">
        <v>6</v>
      </c>
      <c r="DB3" s="41" t="s">
        <v>86</v>
      </c>
      <c r="DC3" s="41" t="s">
        <v>146</v>
      </c>
      <c r="DD3" s="41" t="s">
        <v>7</v>
      </c>
      <c r="DE3" s="41" t="s">
        <v>8</v>
      </c>
      <c r="DF3" s="41" t="s">
        <v>188</v>
      </c>
      <c r="DG3" s="41" t="s">
        <v>47</v>
      </c>
      <c r="DH3" s="41" t="s">
        <v>228</v>
      </c>
      <c r="DI3" s="41" t="s">
        <v>87</v>
      </c>
      <c r="DJ3" s="41" t="s">
        <v>69</v>
      </c>
      <c r="DK3" s="41" t="s">
        <v>29</v>
      </c>
      <c r="DL3" s="41" t="s">
        <v>30</v>
      </c>
      <c r="DM3" s="41" t="s">
        <v>303</v>
      </c>
      <c r="DN3" s="41" t="s">
        <v>168</v>
      </c>
      <c r="DO3" s="41" t="s">
        <v>135</v>
      </c>
      <c r="DP3" s="41" t="s">
        <v>208</v>
      </c>
      <c r="DQ3" s="41" t="s">
        <v>9</v>
      </c>
      <c r="DR3" s="41" t="s">
        <v>70</v>
      </c>
      <c r="DS3" s="41" t="s">
        <v>244</v>
      </c>
      <c r="DT3" s="41" t="s">
        <v>169</v>
      </c>
      <c r="DU3" s="41" t="s">
        <v>71</v>
      </c>
      <c r="DV3" s="41" t="s">
        <v>304</v>
      </c>
      <c r="DW3" s="41" t="s">
        <v>170</v>
      </c>
      <c r="DX3" s="41" t="s">
        <v>147</v>
      </c>
      <c r="DY3" s="41" t="s">
        <v>31</v>
      </c>
      <c r="DZ3" s="41" t="s">
        <v>32</v>
      </c>
      <c r="EA3" s="41" t="s">
        <v>48</v>
      </c>
      <c r="EB3" s="41" t="s">
        <v>245</v>
      </c>
      <c r="EC3" s="41" t="s">
        <v>229</v>
      </c>
      <c r="ED3" s="41" t="s">
        <v>88</v>
      </c>
      <c r="EE3" s="41" t="s">
        <v>189</v>
      </c>
      <c r="EF3" s="41" t="s">
        <v>33</v>
      </c>
      <c r="EG3" s="41" t="s">
        <v>10</v>
      </c>
      <c r="EH3" s="41" t="s">
        <v>305</v>
      </c>
      <c r="EI3" s="41" t="s">
        <v>148</v>
      </c>
      <c r="EJ3" s="41" t="s">
        <v>49</v>
      </c>
      <c r="EK3" s="41" t="s">
        <v>11</v>
      </c>
      <c r="EL3" s="41" t="s">
        <v>89</v>
      </c>
      <c r="EM3" s="41" t="s">
        <v>72</v>
      </c>
      <c r="EN3" s="41" t="s">
        <v>209</v>
      </c>
      <c r="EO3" s="41" t="s">
        <v>230</v>
      </c>
      <c r="EP3" s="41" t="s">
        <v>285</v>
      </c>
      <c r="EQ3" s="41" t="s">
        <v>171</v>
      </c>
      <c r="ER3" s="41" t="s">
        <v>149</v>
      </c>
      <c r="ES3" s="41" t="s">
        <v>246</v>
      </c>
      <c r="ET3" s="41" t="s">
        <v>73</v>
      </c>
      <c r="EU3" s="41" t="s">
        <v>262</v>
      </c>
      <c r="EV3" s="41" t="s">
        <v>263</v>
      </c>
      <c r="EW3" s="41" t="s">
        <v>231</v>
      </c>
      <c r="EX3" s="41" t="s">
        <v>306</v>
      </c>
      <c r="EY3" s="41" t="s">
        <v>247</v>
      </c>
      <c r="EZ3" s="41" t="s">
        <v>248</v>
      </c>
      <c r="FA3" s="41" t="s">
        <v>34</v>
      </c>
      <c r="FB3" s="41" t="s">
        <v>307</v>
      </c>
      <c r="FC3" s="41" t="s">
        <v>50</v>
      </c>
      <c r="FD3" s="41" t="s">
        <v>90</v>
      </c>
      <c r="FE3" s="41" t="s">
        <v>232</v>
      </c>
      <c r="FF3" s="41" t="s">
        <v>116</v>
      </c>
      <c r="FG3" s="41" t="s">
        <v>91</v>
      </c>
      <c r="FH3" s="41" t="s">
        <v>92</v>
      </c>
      <c r="FI3" s="41" t="s">
        <v>264</v>
      </c>
      <c r="FJ3" s="41" t="s">
        <v>190</v>
      </c>
      <c r="FK3" s="41" t="s">
        <v>191</v>
      </c>
      <c r="FL3" s="41" t="s">
        <v>172</v>
      </c>
      <c r="FM3" s="41" t="s">
        <v>150</v>
      </c>
      <c r="FN3" s="41" t="s">
        <v>117</v>
      </c>
      <c r="FO3" s="41" t="s">
        <v>173</v>
      </c>
      <c r="FP3" s="41" t="s">
        <v>265</v>
      </c>
      <c r="FQ3" s="41" t="s">
        <v>249</v>
      </c>
      <c r="FR3" s="41" t="s">
        <v>210</v>
      </c>
      <c r="FS3" s="41" t="s">
        <v>286</v>
      </c>
      <c r="FT3" s="41" t="s">
        <v>151</v>
      </c>
      <c r="FU3" s="41" t="s">
        <v>12</v>
      </c>
      <c r="FV3" s="41" t="s">
        <v>192</v>
      </c>
      <c r="FW3" s="41" t="s">
        <v>93</v>
      </c>
      <c r="FX3" s="41" t="s">
        <v>152</v>
      </c>
      <c r="FY3" s="41" t="s">
        <v>174</v>
      </c>
      <c r="FZ3" s="41" t="s">
        <v>94</v>
      </c>
      <c r="GA3" s="41" t="s">
        <v>266</v>
      </c>
      <c r="GB3" s="41" t="s">
        <v>35</v>
      </c>
      <c r="GC3" s="41" t="s">
        <v>36</v>
      </c>
      <c r="GD3" s="41" t="s">
        <v>287</v>
      </c>
      <c r="GE3" s="41" t="s">
        <v>118</v>
      </c>
      <c r="GF3" s="41" t="s">
        <v>233</v>
      </c>
      <c r="GG3" s="41" t="s">
        <v>193</v>
      </c>
      <c r="GH3" s="41" t="s">
        <v>194</v>
      </c>
      <c r="GI3" s="41" t="s">
        <v>267</v>
      </c>
      <c r="GJ3" s="41" t="s">
        <v>136</v>
      </c>
      <c r="GK3" s="41" t="s">
        <v>37</v>
      </c>
      <c r="GL3" s="41" t="s">
        <v>74</v>
      </c>
      <c r="GM3" s="41" t="s">
        <v>119</v>
      </c>
      <c r="GN3" s="41" t="s">
        <v>13</v>
      </c>
      <c r="GO3" s="41" t="s">
        <v>308</v>
      </c>
      <c r="GP3" s="41" t="s">
        <v>211</v>
      </c>
      <c r="GQ3" s="41" t="s">
        <v>75</v>
      </c>
      <c r="GR3" s="41" t="s">
        <v>175</v>
      </c>
      <c r="GS3" s="41" t="s">
        <v>153</v>
      </c>
      <c r="GT3" s="41" t="s">
        <v>120</v>
      </c>
      <c r="GU3" s="41" t="s">
        <v>250</v>
      </c>
      <c r="GV3" s="41" t="s">
        <v>51</v>
      </c>
      <c r="GW3" s="41" t="s">
        <v>14</v>
      </c>
      <c r="GX3" s="41" t="s">
        <v>309</v>
      </c>
      <c r="GY3" s="41" t="s">
        <v>95</v>
      </c>
      <c r="GZ3" s="41" t="s">
        <v>268</v>
      </c>
      <c r="HA3" s="41" t="s">
        <v>176</v>
      </c>
      <c r="HB3" s="41" t="s">
        <v>212</v>
      </c>
      <c r="HC3" s="41" t="s">
        <v>251</v>
      </c>
      <c r="HD3" s="41" t="s">
        <v>154</v>
      </c>
      <c r="HE3" s="41" t="s">
        <v>15</v>
      </c>
      <c r="HF3" s="41" t="s">
        <v>96</v>
      </c>
      <c r="HG3" s="41" t="s">
        <v>97</v>
      </c>
      <c r="HH3" s="41" t="s">
        <v>52</v>
      </c>
      <c r="HI3" s="41" t="s">
        <v>121</v>
      </c>
      <c r="HJ3" s="41" t="s">
        <v>269</v>
      </c>
      <c r="HK3" s="41"/>
      <c r="HL3" s="41" t="s">
        <v>2</v>
      </c>
      <c r="HM3" s="65"/>
      <c r="HN3" s="41" t="s">
        <v>277</v>
      </c>
      <c r="HO3" s="41" t="s">
        <v>109</v>
      </c>
      <c r="HP3" t="s">
        <v>61</v>
      </c>
      <c r="JK3" s="41" t="s">
        <v>16</v>
      </c>
      <c r="JL3" s="41" t="s">
        <v>155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76</v>
      </c>
      <c r="JL10002" s="41" t="s">
        <v>156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21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21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22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22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124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124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199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199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55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55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35"/>
  <sheetViews>
    <sheetView tabSelected="1" zoomScale="80" workbookViewId="0">
      <pane xSplit="3" ySplit="10" topLeftCell="D329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312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1038672.75</v>
      </c>
      <c r="E12" s="4"/>
      <c r="F12" s="13"/>
      <c r="G12" s="4"/>
      <c r="H12" s="4">
        <f>SUM(OSRRefH13x_0)</f>
        <v>498207.83999999997</v>
      </c>
      <c r="I12" s="4"/>
      <c r="J12" s="13"/>
      <c r="K12" s="4"/>
      <c r="L12" s="4">
        <f t="shared" ref="L12:L137" si="0">+D12-H12</f>
        <v>540464.91</v>
      </c>
      <c r="M12" s="4"/>
      <c r="N12" s="13">
        <f t="shared" ref="N12:N137" si="1">IF(H12=0,0,L12/H12)</f>
        <v>1.0848181554108023</v>
      </c>
      <c r="O12" s="11"/>
      <c r="P12" s="4">
        <f>SUM(OSRRefP13x_0)</f>
        <v>9003825.4500000011</v>
      </c>
      <c r="Q12" s="4"/>
      <c r="R12" s="13"/>
      <c r="S12" s="4"/>
      <c r="T12" s="4">
        <f>SUM(OSRRefT13x_0)</f>
        <v>27543652.179999996</v>
      </c>
      <c r="U12" s="4"/>
      <c r="V12" s="13"/>
      <c r="W12" s="4"/>
      <c r="X12" s="4">
        <f t="shared" ref="X12:X137" si="2">+P12-T12</f>
        <v>-18539826.729999997</v>
      </c>
      <c r="Y12" s="4"/>
      <c r="Z12" s="13">
        <f t="shared" ref="Z12:Z137" si="3">IF(T12=0,0,X12/T12)</f>
        <v>-0.67310705961724793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-13346.89</f>
        <v>-13346.89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-13346.89</v>
      </c>
      <c r="M13" s="2"/>
      <c r="N13" s="19">
        <f t="shared" si="1"/>
        <v>0</v>
      </c>
      <c r="O13" s="10"/>
      <c r="P13" s="2">
        <f>-136003.3</f>
        <v>-136003.29999999999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-136003.29999999999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--31347.12</f>
        <v>31347.119999999999</v>
      </c>
      <c r="E14" s="2"/>
      <c r="F14" s="19"/>
      <c r="G14" s="2"/>
      <c r="H14" s="2">
        <f>--1084.45</f>
        <v>1084.45</v>
      </c>
      <c r="I14" s="2"/>
      <c r="J14" s="19"/>
      <c r="K14" s="2"/>
      <c r="L14" s="2">
        <f t="shared" si="0"/>
        <v>30262.67</v>
      </c>
      <c r="M14" s="2"/>
      <c r="N14" s="19">
        <f t="shared" si="1"/>
        <v>27.906007653649311</v>
      </c>
      <c r="O14" s="10"/>
      <c r="P14" s="2">
        <f>--1263810.36</f>
        <v>1263810.3600000001</v>
      </c>
      <c r="Q14" s="2"/>
      <c r="R14" s="19"/>
      <c r="S14" s="2"/>
      <c r="T14" s="2">
        <f>--2397977.73</f>
        <v>2397977.73</v>
      </c>
      <c r="U14" s="2"/>
      <c r="V14" s="19"/>
      <c r="W14" s="2"/>
      <c r="X14" s="2">
        <f t="shared" si="2"/>
        <v>-1134167.3699999999</v>
      </c>
      <c r="Y14" s="2"/>
      <c r="Z14" s="19">
        <f t="shared" si="3"/>
        <v>-0.47296826647343382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--1971.3</f>
        <v>1971.3</v>
      </c>
      <c r="E15" s="2"/>
      <c r="F15" s="19"/>
      <c r="G15" s="2"/>
      <c r="H15" s="2">
        <f>--602.5</f>
        <v>602.5</v>
      </c>
      <c r="I15" s="2"/>
      <c r="J15" s="19"/>
      <c r="K15" s="2"/>
      <c r="L15" s="2">
        <f t="shared" si="0"/>
        <v>1368.8</v>
      </c>
      <c r="M15" s="2"/>
      <c r="N15" s="19">
        <f t="shared" si="1"/>
        <v>2.2718672199170125</v>
      </c>
      <c r="O15" s="10"/>
      <c r="P15" s="2">
        <f>--578768.63</f>
        <v>578768.63</v>
      </c>
      <c r="Q15" s="2"/>
      <c r="R15" s="19"/>
      <c r="S15" s="2"/>
      <c r="T15" s="2">
        <f>--1244917.19</f>
        <v>1244917.19</v>
      </c>
      <c r="U15" s="2"/>
      <c r="V15" s="19"/>
      <c r="W15" s="2"/>
      <c r="X15" s="2">
        <f t="shared" si="2"/>
        <v>-666148.55999999994</v>
      </c>
      <c r="Y15" s="2"/>
      <c r="Z15" s="19">
        <f t="shared" si="3"/>
        <v>-0.53509467565469149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--20</f>
        <v>20</v>
      </c>
      <c r="E16" s="2"/>
      <c r="F16" s="19"/>
      <c r="G16" s="2"/>
      <c r="H16" s="2">
        <f t="shared" ref="H16:H18" si="4">0</f>
        <v>0</v>
      </c>
      <c r="I16" s="2"/>
      <c r="J16" s="19"/>
      <c r="K16" s="2"/>
      <c r="L16" s="2">
        <f t="shared" si="0"/>
        <v>20</v>
      </c>
      <c r="M16" s="2"/>
      <c r="N16" s="19">
        <f t="shared" si="1"/>
        <v>0</v>
      </c>
      <c r="O16" s="10"/>
      <c r="P16" s="2">
        <f>--17997.88</f>
        <v>17997.88</v>
      </c>
      <c r="Q16" s="2"/>
      <c r="R16" s="19"/>
      <c r="S16" s="2"/>
      <c r="T16" s="2">
        <f>--33694.89</f>
        <v>33694.89</v>
      </c>
      <c r="U16" s="2"/>
      <c r="V16" s="19"/>
      <c r="W16" s="2"/>
      <c r="X16" s="2">
        <f t="shared" si="2"/>
        <v>-15697.009999999998</v>
      </c>
      <c r="Y16" s="2"/>
      <c r="Z16" s="19">
        <f t="shared" si="3"/>
        <v>-0.46585728577834795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5"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5"/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--61.81</f>
        <v>61.81</v>
      </c>
      <c r="E19" s="2"/>
      <c r="F19" s="19"/>
      <c r="G19" s="2"/>
      <c r="H19" s="2">
        <f>--18.36</f>
        <v>18.36</v>
      </c>
      <c r="I19" s="2"/>
      <c r="J19" s="19"/>
      <c r="K19" s="2"/>
      <c r="L19" s="2">
        <f t="shared" si="0"/>
        <v>43.45</v>
      </c>
      <c r="M19" s="2"/>
      <c r="N19" s="19">
        <f t="shared" si="1"/>
        <v>2.3665577342047932</v>
      </c>
      <c r="O19" s="10"/>
      <c r="P19" s="2">
        <f>--1263.83</f>
        <v>1263.83</v>
      </c>
      <c r="Q19" s="2"/>
      <c r="R19" s="19"/>
      <c r="S19" s="2"/>
      <c r="T19" s="2">
        <f>--2713.36</f>
        <v>2713.36</v>
      </c>
      <c r="U19" s="2"/>
      <c r="V19" s="19"/>
      <c r="W19" s="2"/>
      <c r="X19" s="2">
        <f t="shared" si="2"/>
        <v>-1449.5300000000002</v>
      </c>
      <c r="Y19" s="2"/>
      <c r="Z19" s="19">
        <f t="shared" si="3"/>
        <v>-0.53421956540967663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--36.85</f>
        <v>36.85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36.85</v>
      </c>
      <c r="M20" s="2"/>
      <c r="N20" s="19">
        <f t="shared" si="1"/>
        <v>0</v>
      </c>
      <c r="O20" s="10"/>
      <c r="P20" s="2">
        <f>--484.55</f>
        <v>484.55</v>
      </c>
      <c r="Q20" s="2"/>
      <c r="R20" s="19"/>
      <c r="S20" s="2"/>
      <c r="T20" s="2">
        <f>--1219.18</f>
        <v>1219.18</v>
      </c>
      <c r="U20" s="2"/>
      <c r="V20" s="19"/>
      <c r="W20" s="2"/>
      <c r="X20" s="2">
        <f t="shared" si="2"/>
        <v>-734.63000000000011</v>
      </c>
      <c r="Y20" s="2"/>
      <c r="Z20" s="19">
        <f t="shared" si="3"/>
        <v>-0.60256073754490724</v>
      </c>
    </row>
    <row r="21" spans="1:26" s="23" customFormat="1" hidden="1" outlineLevel="1" x14ac:dyDescent="0.25">
      <c r="A21" s="44"/>
      <c r="B21" s="10" t="str">
        <f>CONCATENATE("          ", "4017", " - ", "TAXABLE SALES-DORM/HOUSEWARES")</f>
        <v xml:space="preserve">          4017 - TAXABLE SALES-DORM/HOUSEWARES</v>
      </c>
      <c r="C21" s="10"/>
      <c r="D21" s="2">
        <f>0</f>
        <v>0</v>
      </c>
      <c r="E21" s="2"/>
      <c r="F21" s="19"/>
      <c r="G21" s="2"/>
      <c r="H21" s="2">
        <f>--64.95</f>
        <v>64.95</v>
      </c>
      <c r="I21" s="2"/>
      <c r="J21" s="19"/>
      <c r="K21" s="2"/>
      <c r="L21" s="2">
        <f t="shared" si="0"/>
        <v>-64.95</v>
      </c>
      <c r="M21" s="2"/>
      <c r="N21" s="19">
        <f t="shared" si="1"/>
        <v>-1</v>
      </c>
      <c r="O21" s="10"/>
      <c r="P21" s="2">
        <f>0</f>
        <v>0</v>
      </c>
      <c r="Q21" s="2"/>
      <c r="R21" s="19"/>
      <c r="S21" s="2"/>
      <c r="T21" s="2">
        <f>--347.52</f>
        <v>347.52</v>
      </c>
      <c r="U21" s="2"/>
      <c r="V21" s="19"/>
      <c r="W21" s="2"/>
      <c r="X21" s="2">
        <f t="shared" si="2"/>
        <v>-347.52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"4018", " - ", "TAXABLE SALES-STUDY GUIDES")</f>
        <v xml:space="preserve">          4018 - TAXABLE SALES-STUDY GUIDES</v>
      </c>
      <c r="C22" s="10"/>
      <c r="D22" s="2">
        <f>--72.96</f>
        <v>72.959999999999994</v>
      </c>
      <c r="E22" s="2"/>
      <c r="F22" s="19"/>
      <c r="G22" s="2"/>
      <c r="H22" s="2">
        <f t="shared" ref="H22:H24" si="6">0</f>
        <v>0</v>
      </c>
      <c r="I22" s="2"/>
      <c r="J22" s="19"/>
      <c r="K22" s="2"/>
      <c r="L22" s="2">
        <f t="shared" si="0"/>
        <v>72.959999999999994</v>
      </c>
      <c r="M22" s="2"/>
      <c r="N22" s="19">
        <f t="shared" si="1"/>
        <v>0</v>
      </c>
      <c r="O22" s="10"/>
      <c r="P22" s="2">
        <f>--473.1</f>
        <v>473.1</v>
      </c>
      <c r="Q22" s="2"/>
      <c r="R22" s="19"/>
      <c r="S22" s="2"/>
      <c r="T22" s="2">
        <f>--4154.31</f>
        <v>4154.3100000000004</v>
      </c>
      <c r="U22" s="2"/>
      <c r="V22" s="19"/>
      <c r="W22" s="2"/>
      <c r="X22" s="2">
        <f t="shared" si="2"/>
        <v>-3681.2100000000005</v>
      </c>
      <c r="Y22" s="2"/>
      <c r="Z22" s="19">
        <f t="shared" si="3"/>
        <v>-0.88611827234847662</v>
      </c>
    </row>
    <row r="23" spans="1:26" s="23" customFormat="1" hidden="1" outlineLevel="1" x14ac:dyDescent="0.25">
      <c r="A23" s="44"/>
      <c r="B23" s="10" t="str">
        <f>CONCATENATE("          ", "4019", " - ", "TAXABLE SALES-BOOK RELATED")</f>
        <v xml:space="preserve">          4019 - TAXABLE SALES-BOOK RELATED</v>
      </c>
      <c r="C23" s="10"/>
      <c r="D23" s="2">
        <f t="shared" ref="D23:D24" si="7">0</f>
        <v>0</v>
      </c>
      <c r="E23" s="2"/>
      <c r="F23" s="19"/>
      <c r="G23" s="2"/>
      <c r="H23" s="2">
        <f t="shared" si="6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ref="P23:P24" si="8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"4025", " - ", "TAXABLE SALES-TEST FORMS")</f>
        <v xml:space="preserve">          4025 - TAXABLE SALES-TEST FORMS</v>
      </c>
      <c r="C24" s="10"/>
      <c r="D24" s="2">
        <f t="shared" si="7"/>
        <v>0</v>
      </c>
      <c r="E24" s="2"/>
      <c r="F24" s="19"/>
      <c r="G24" s="2"/>
      <c r="H24" s="2">
        <f t="shared" si="6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 t="shared" si="8"/>
        <v>0</v>
      </c>
      <c r="Q24" s="2"/>
      <c r="R24" s="19"/>
      <c r="S24" s="2"/>
      <c r="T24" s="2">
        <f>--54702.86</f>
        <v>54702.86</v>
      </c>
      <c r="U24" s="2"/>
      <c r="V24" s="19"/>
      <c r="W24" s="2"/>
      <c r="X24" s="2">
        <f t="shared" si="2"/>
        <v>-54702.86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"4026", " - ", "TAXABLE SALES-WRITING INSTRUME")</f>
        <v xml:space="preserve">          4026 - TAXABLE SALES-WRITING INSTRUME</v>
      </c>
      <c r="C25" s="10"/>
      <c r="D25" s="2">
        <f>--21.42</f>
        <v>21.42</v>
      </c>
      <c r="E25" s="2"/>
      <c r="F25" s="19"/>
      <c r="G25" s="2"/>
      <c r="H25" s="2">
        <f>--81.65</f>
        <v>81.650000000000006</v>
      </c>
      <c r="I25" s="2"/>
      <c r="J25" s="19"/>
      <c r="K25" s="2"/>
      <c r="L25" s="2">
        <f t="shared" si="0"/>
        <v>-60.230000000000004</v>
      </c>
      <c r="M25" s="2"/>
      <c r="N25" s="19">
        <f t="shared" si="1"/>
        <v>-0.73766074709124307</v>
      </c>
      <c r="O25" s="10"/>
      <c r="P25" s="2">
        <f>--486.17</f>
        <v>486.17</v>
      </c>
      <c r="Q25" s="2"/>
      <c r="R25" s="19"/>
      <c r="S25" s="2"/>
      <c r="T25" s="2">
        <f>--79949.71</f>
        <v>79949.710000000006</v>
      </c>
      <c r="U25" s="2"/>
      <c r="V25" s="19"/>
      <c r="W25" s="2"/>
      <c r="X25" s="2">
        <f t="shared" si="2"/>
        <v>-79463.540000000008</v>
      </c>
      <c r="Y25" s="2"/>
      <c r="Z25" s="19">
        <f t="shared" si="3"/>
        <v>-0.99391905236429257</v>
      </c>
    </row>
    <row r="26" spans="1:26" s="23" customFormat="1" hidden="1" outlineLevel="1" x14ac:dyDescent="0.25">
      <c r="A26" s="44"/>
      <c r="B26" s="10" t="str">
        <f>CONCATENATE("          ", "4027", " - ", "TAXABLE SALES-SCHOOL SUPPLIES")</f>
        <v xml:space="preserve">          4027 - TAXABLE SALES-SCHOOL SUPPLIES</v>
      </c>
      <c r="C26" s="10"/>
      <c r="D26" s="2">
        <f>--6558.65</f>
        <v>6558.65</v>
      </c>
      <c r="E26" s="2"/>
      <c r="F26" s="19"/>
      <c r="G26" s="2"/>
      <c r="H26" s="2">
        <f>--1399.98</f>
        <v>1399.98</v>
      </c>
      <c r="I26" s="2"/>
      <c r="J26" s="19"/>
      <c r="K26" s="2"/>
      <c r="L26" s="2">
        <f t="shared" si="0"/>
        <v>5158.67</v>
      </c>
      <c r="M26" s="2"/>
      <c r="N26" s="19">
        <f t="shared" si="1"/>
        <v>3.6848169259560852</v>
      </c>
      <c r="O26" s="10"/>
      <c r="P26" s="2">
        <f>--64070.97</f>
        <v>64070.97</v>
      </c>
      <c r="Q26" s="2"/>
      <c r="R26" s="19"/>
      <c r="S26" s="2"/>
      <c r="T26" s="2">
        <f>--271246.56</f>
        <v>271246.56</v>
      </c>
      <c r="U26" s="2"/>
      <c r="V26" s="19"/>
      <c r="W26" s="2"/>
      <c r="X26" s="2">
        <f t="shared" si="2"/>
        <v>-207175.59</v>
      </c>
      <c r="Y26" s="2"/>
      <c r="Z26" s="19">
        <f t="shared" si="3"/>
        <v>-0.76379066337283685</v>
      </c>
    </row>
    <row r="27" spans="1:26" s="23" customFormat="1" hidden="1" outlineLevel="1" x14ac:dyDescent="0.25">
      <c r="A27" s="44"/>
      <c r="B27" s="10" t="str">
        <f>CONCATENATE("          ", "4028", " - ", "TAXABLE SALES-ART/TECH")</f>
        <v xml:space="preserve">          4028 - TAXABLE SALES-ART/TECH</v>
      </c>
      <c r="C27" s="10"/>
      <c r="D27" s="2">
        <f>--2650.79</f>
        <v>2650.79</v>
      </c>
      <c r="E27" s="2"/>
      <c r="F27" s="19"/>
      <c r="G27" s="2"/>
      <c r="H27" s="2">
        <f>--168.82</f>
        <v>168.82</v>
      </c>
      <c r="I27" s="2"/>
      <c r="J27" s="19"/>
      <c r="K27" s="2"/>
      <c r="L27" s="2">
        <f t="shared" si="0"/>
        <v>2481.9699999999998</v>
      </c>
      <c r="M27" s="2"/>
      <c r="N27" s="19">
        <f t="shared" si="1"/>
        <v>14.701871816135528</v>
      </c>
      <c r="O27" s="10"/>
      <c r="P27" s="2">
        <f>--46900.17</f>
        <v>46900.17</v>
      </c>
      <c r="Q27" s="2"/>
      <c r="R27" s="19"/>
      <c r="S27" s="2"/>
      <c r="T27" s="2">
        <f>--292765.87</f>
        <v>292765.87</v>
      </c>
      <c r="U27" s="2"/>
      <c r="V27" s="19"/>
      <c r="W27" s="2"/>
      <c r="X27" s="2">
        <f t="shared" si="2"/>
        <v>-245865.7</v>
      </c>
      <c r="Y27" s="2"/>
      <c r="Z27" s="19">
        <f t="shared" si="3"/>
        <v>-0.83980315055166788</v>
      </c>
    </row>
    <row r="28" spans="1:26" s="23" customFormat="1" hidden="1" outlineLevel="1" x14ac:dyDescent="0.25">
      <c r="A28" s="44"/>
      <c r="B28" s="10" t="str">
        <f>CONCATENATE("          ", "4031", " - ", "TAXABLE SALES-FOOD")</f>
        <v xml:space="preserve">          4031 - TAXABLE SALES-FOOD</v>
      </c>
      <c r="C28" s="10"/>
      <c r="D28" s="2">
        <f>--595.72</f>
        <v>595.72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595.72</v>
      </c>
      <c r="M28" s="2"/>
      <c r="N28" s="19">
        <f t="shared" si="1"/>
        <v>0</v>
      </c>
      <c r="O28" s="10"/>
      <c r="P28" s="2">
        <f>--4210.59</f>
        <v>4210.59</v>
      </c>
      <c r="Q28" s="2"/>
      <c r="R28" s="19"/>
      <c r="S28" s="2"/>
      <c r="T28" s="2">
        <f>--486.34</f>
        <v>486.34</v>
      </c>
      <c r="U28" s="2"/>
      <c r="V28" s="19"/>
      <c r="W28" s="2"/>
      <c r="X28" s="2">
        <f t="shared" si="2"/>
        <v>3724.25</v>
      </c>
      <c r="Y28" s="2"/>
      <c r="Z28" s="19">
        <f t="shared" si="3"/>
        <v>7.6577085989225653</v>
      </c>
    </row>
    <row r="29" spans="1:26" s="23" customFormat="1" hidden="1" outlineLevel="1" x14ac:dyDescent="0.25">
      <c r="A29" s="44"/>
      <c r="B29" s="10" t="str">
        <f>CONCATENATE("          ", "4032", " - ", "TAXABLE SALES-JUICE")</f>
        <v xml:space="preserve">          4032 - TAXABLE SALES-JUICE</v>
      </c>
      <c r="C29" s="10"/>
      <c r="D29" s="2">
        <f t="shared" ref="D29:D33" si="9">0</f>
        <v>0</v>
      </c>
      <c r="E29" s="2"/>
      <c r="F29" s="19"/>
      <c r="G29" s="2"/>
      <c r="H29" s="2">
        <f>--1.35</f>
        <v>1.35</v>
      </c>
      <c r="I29" s="2"/>
      <c r="J29" s="19"/>
      <c r="K29" s="2"/>
      <c r="L29" s="2">
        <f t="shared" si="0"/>
        <v>-1.35</v>
      </c>
      <c r="M29" s="2"/>
      <c r="N29" s="19">
        <f t="shared" si="1"/>
        <v>-1</v>
      </c>
      <c r="O29" s="10"/>
      <c r="P29" s="2">
        <f>--444.59</f>
        <v>444.59</v>
      </c>
      <c r="Q29" s="2"/>
      <c r="R29" s="19"/>
      <c r="S29" s="2"/>
      <c r="T29" s="2">
        <f>--277654.52</f>
        <v>277654.52</v>
      </c>
      <c r="U29" s="2"/>
      <c r="V29" s="19"/>
      <c r="W29" s="2"/>
      <c r="X29" s="2">
        <f t="shared" si="2"/>
        <v>-277209.93</v>
      </c>
      <c r="Y29" s="2"/>
      <c r="Z29" s="19">
        <f t="shared" si="3"/>
        <v>-0.99839876548741213</v>
      </c>
    </row>
    <row r="30" spans="1:26" s="23" customFormat="1" hidden="1" outlineLevel="1" x14ac:dyDescent="0.25">
      <c r="A30" s="44"/>
      <c r="B30" s="10" t="str">
        <f>CONCATENATE("          ", "4033", " - ", "TAXABLE SALES-CANDY")</f>
        <v xml:space="preserve">          4033 - TAXABLE SALES-CANDY</v>
      </c>
      <c r="C30" s="10"/>
      <c r="D30" s="2">
        <f t="shared" si="9"/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0</f>
        <v>0</v>
      </c>
      <c r="Q30" s="2"/>
      <c r="R30" s="19"/>
      <c r="S30" s="2"/>
      <c r="T30" s="2">
        <f>--205.53</f>
        <v>205.53</v>
      </c>
      <c r="U30" s="2"/>
      <c r="V30" s="19"/>
      <c r="W30" s="2"/>
      <c r="X30" s="2">
        <f t="shared" si="2"/>
        <v>-205.53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"4034", " - ", "TAXABLE SALES-SODA")</f>
        <v xml:space="preserve">          4034 - TAXABLE SALES-SODA</v>
      </c>
      <c r="C31" s="10"/>
      <c r="D31" s="2">
        <f t="shared" si="9"/>
        <v>0</v>
      </c>
      <c r="E31" s="2"/>
      <c r="F31" s="19"/>
      <c r="G31" s="2"/>
      <c r="H31" s="2">
        <f>--3.4</f>
        <v>3.4</v>
      </c>
      <c r="I31" s="2"/>
      <c r="J31" s="19"/>
      <c r="K31" s="2"/>
      <c r="L31" s="2">
        <f t="shared" si="0"/>
        <v>-3.4</v>
      </c>
      <c r="M31" s="2"/>
      <c r="N31" s="19">
        <f t="shared" si="1"/>
        <v>-1</v>
      </c>
      <c r="O31" s="10"/>
      <c r="P31" s="2">
        <f>--6.78</f>
        <v>6.78</v>
      </c>
      <c r="Q31" s="2"/>
      <c r="R31" s="19"/>
      <c r="S31" s="2"/>
      <c r="T31" s="2">
        <f>--10925.46</f>
        <v>10925.46</v>
      </c>
      <c r="U31" s="2"/>
      <c r="V31" s="19"/>
      <c r="W31" s="2"/>
      <c r="X31" s="2">
        <f t="shared" si="2"/>
        <v>-10918.679999999998</v>
      </c>
      <c r="Y31" s="2"/>
      <c r="Z31" s="19">
        <f t="shared" si="3"/>
        <v>-0.999379431163539</v>
      </c>
    </row>
    <row r="32" spans="1:26" s="23" customFormat="1" hidden="1" outlineLevel="1" x14ac:dyDescent="0.25">
      <c r="A32" s="44"/>
      <c r="B32" s="10" t="str">
        <f>CONCATENATE("          ", "4035", " - ", "TAXABLE SALES-HEALTH &amp; BEAUTY")</f>
        <v xml:space="preserve">          4035 - TAXABLE SALES-HEALTH &amp; BEAUTY</v>
      </c>
      <c r="C32" s="10"/>
      <c r="D32" s="2">
        <f t="shared" si="9"/>
        <v>0</v>
      </c>
      <c r="E32" s="2"/>
      <c r="F32" s="19"/>
      <c r="G32" s="2"/>
      <c r="H32" s="2">
        <f t="shared" ref="H32:H33" si="10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ref="P32:P33" si="11">0</f>
        <v>0</v>
      </c>
      <c r="Q32" s="2"/>
      <c r="R32" s="19"/>
      <c r="S32" s="2"/>
      <c r="T32" s="2">
        <f>--1981.84</f>
        <v>1981.84</v>
      </c>
      <c r="U32" s="2"/>
      <c r="V32" s="19"/>
      <c r="W32" s="2"/>
      <c r="X32" s="2">
        <f t="shared" si="2"/>
        <v>-1981.84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"4037", " - ", "TAXABLE SALES-WATER")</f>
        <v xml:space="preserve">          4037 - TAXABLE SALES-WATER</v>
      </c>
      <c r="C33" s="10"/>
      <c r="D33" s="2">
        <f t="shared" si="9"/>
        <v>0</v>
      </c>
      <c r="E33" s="2"/>
      <c r="F33" s="19"/>
      <c r="G33" s="2"/>
      <c r="H33" s="2">
        <f t="shared" si="10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11"/>
        <v>0</v>
      </c>
      <c r="Q33" s="2"/>
      <c r="R33" s="19"/>
      <c r="S33" s="2"/>
      <c r="T33" s="2">
        <f>--513.51</f>
        <v>513.51</v>
      </c>
      <c r="U33" s="2"/>
      <c r="V33" s="19"/>
      <c r="W33" s="2"/>
      <c r="X33" s="2">
        <f t="shared" si="2"/>
        <v>-513.51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"4040", " - ", "TAXABLE SALES-LOGO CLOTHING")</f>
        <v xml:space="preserve">          4040 - TAXABLE SALES-LOGO CLOTHING</v>
      </c>
      <c r="C34" s="10"/>
      <c r="D34" s="2">
        <f>--159179.58</f>
        <v>159179.57999999999</v>
      </c>
      <c r="E34" s="2"/>
      <c r="F34" s="19"/>
      <c r="G34" s="2"/>
      <c r="H34" s="2">
        <f>--67974.91</f>
        <v>67974.91</v>
      </c>
      <c r="I34" s="2"/>
      <c r="J34" s="19"/>
      <c r="K34" s="2"/>
      <c r="L34" s="2">
        <f t="shared" si="0"/>
        <v>91204.669999999984</v>
      </c>
      <c r="M34" s="2"/>
      <c r="N34" s="19">
        <f t="shared" si="1"/>
        <v>1.3417402097332674</v>
      </c>
      <c r="O34" s="10"/>
      <c r="P34" s="2">
        <f>--913180.73</f>
        <v>913180.73</v>
      </c>
      <c r="Q34" s="2"/>
      <c r="R34" s="19"/>
      <c r="S34" s="2"/>
      <c r="T34" s="2">
        <f>--1844103.4</f>
        <v>1844103.4</v>
      </c>
      <c r="U34" s="2"/>
      <c r="V34" s="19"/>
      <c r="W34" s="2"/>
      <c r="X34" s="2">
        <f t="shared" si="2"/>
        <v>-930922.66999999993</v>
      </c>
      <c r="Y34" s="2"/>
      <c r="Z34" s="19">
        <f t="shared" si="3"/>
        <v>-0.50481045151806558</v>
      </c>
    </row>
    <row r="35" spans="1:26" s="23" customFormat="1" hidden="1" outlineLevel="1" x14ac:dyDescent="0.25">
      <c r="A35" s="44"/>
      <c r="B35" s="10" t="str">
        <f>CONCATENATE("          ", "4041", " - ", "TAXABLE SALES-LOGO GIFTS")</f>
        <v xml:space="preserve">          4041 - TAXABLE SALES-LOGO GIFTS</v>
      </c>
      <c r="C35" s="10"/>
      <c r="D35" s="2">
        <f>--116440.2</f>
        <v>116440.2</v>
      </c>
      <c r="E35" s="2"/>
      <c r="F35" s="19"/>
      <c r="G35" s="2"/>
      <c r="H35" s="2">
        <f>--14115.57</f>
        <v>14115.57</v>
      </c>
      <c r="I35" s="2"/>
      <c r="J35" s="19"/>
      <c r="K35" s="2"/>
      <c r="L35" s="2">
        <f t="shared" si="0"/>
        <v>102324.63</v>
      </c>
      <c r="M35" s="2"/>
      <c r="N35" s="19">
        <f t="shared" si="1"/>
        <v>7.2490611431206817</v>
      </c>
      <c r="O35" s="10"/>
      <c r="P35" s="2">
        <f>--440456.98</f>
        <v>440456.98</v>
      </c>
      <c r="Q35" s="2"/>
      <c r="R35" s="19"/>
      <c r="S35" s="2"/>
      <c r="T35" s="2">
        <f>--481133.29</f>
        <v>481133.29</v>
      </c>
      <c r="U35" s="2"/>
      <c r="V35" s="19"/>
      <c r="W35" s="2"/>
      <c r="X35" s="2">
        <f t="shared" si="2"/>
        <v>-40676.31</v>
      </c>
      <c r="Y35" s="2"/>
      <c r="Z35" s="19">
        <f t="shared" si="3"/>
        <v>-8.454270541121775E-2</v>
      </c>
    </row>
    <row r="36" spans="1:26" s="23" customFormat="1" hidden="1" outlineLevel="1" x14ac:dyDescent="0.25">
      <c r="A36" s="44"/>
      <c r="B36" s="10" t="str">
        <f>CONCATENATE("          ", "4042", " - ", "TAXABLE SALES-EVERYDAY GIFTS")</f>
        <v xml:space="preserve">          4042 - TAXABLE SALES-EVERYDAY GIFTS</v>
      </c>
      <c r="C36" s="10"/>
      <c r="D36" s="2">
        <f>--10630.32</f>
        <v>10630.32</v>
      </c>
      <c r="E36" s="2"/>
      <c r="F36" s="19"/>
      <c r="G36" s="2"/>
      <c r="H36" s="2">
        <f>--1721.77</f>
        <v>1721.77</v>
      </c>
      <c r="I36" s="2"/>
      <c r="J36" s="19"/>
      <c r="K36" s="2"/>
      <c r="L36" s="2">
        <f t="shared" si="0"/>
        <v>8908.5499999999993</v>
      </c>
      <c r="M36" s="2"/>
      <c r="N36" s="19">
        <f t="shared" si="1"/>
        <v>5.1740650609547147</v>
      </c>
      <c r="O36" s="10"/>
      <c r="P36" s="2">
        <f>--100678.52</f>
        <v>100678.52</v>
      </c>
      <c r="Q36" s="2"/>
      <c r="R36" s="19"/>
      <c r="S36" s="2"/>
      <c r="T36" s="2">
        <f>--279302.18</f>
        <v>279302.18</v>
      </c>
      <c r="U36" s="2"/>
      <c r="V36" s="19"/>
      <c r="W36" s="2"/>
      <c r="X36" s="2">
        <f t="shared" si="2"/>
        <v>-178623.65999999997</v>
      </c>
      <c r="Y36" s="2"/>
      <c r="Z36" s="19">
        <f t="shared" si="3"/>
        <v>-0.63953550237237666</v>
      </c>
    </row>
    <row r="37" spans="1:26" s="23" customFormat="1" hidden="1" outlineLevel="1" x14ac:dyDescent="0.25">
      <c r="A37" s="44"/>
      <c r="B37" s="10" t="str">
        <f>CONCATENATE("          ", "4043", " - ", "TAXABLE SALES-CARDS")</f>
        <v xml:space="preserve">          4043 - TAXABLE SALES-CARDS</v>
      </c>
      <c r="C37" s="10"/>
      <c r="D37" s="2">
        <f>--4423.21</f>
        <v>4423.21</v>
      </c>
      <c r="E37" s="2"/>
      <c r="F37" s="19"/>
      <c r="G37" s="2"/>
      <c r="H37" s="2">
        <f>--651</f>
        <v>651</v>
      </c>
      <c r="I37" s="2"/>
      <c r="J37" s="19"/>
      <c r="K37" s="2"/>
      <c r="L37" s="2">
        <f t="shared" si="0"/>
        <v>3772.21</v>
      </c>
      <c r="M37" s="2"/>
      <c r="N37" s="19">
        <f t="shared" si="1"/>
        <v>5.7944854070660519</v>
      </c>
      <c r="O37" s="10"/>
      <c r="P37" s="2">
        <f>--136859.38</f>
        <v>136859.38</v>
      </c>
      <c r="Q37" s="2"/>
      <c r="R37" s="19"/>
      <c r="S37" s="2"/>
      <c r="T37" s="2">
        <f>--77219.23</f>
        <v>77219.23</v>
      </c>
      <c r="U37" s="2"/>
      <c r="V37" s="19"/>
      <c r="W37" s="2"/>
      <c r="X37" s="2">
        <f t="shared" si="2"/>
        <v>59640.150000000009</v>
      </c>
      <c r="Y37" s="2"/>
      <c r="Z37" s="19">
        <f t="shared" si="3"/>
        <v>0.77234841632064977</v>
      </c>
    </row>
    <row r="38" spans="1:26" s="23" customFormat="1" hidden="1" outlineLevel="1" x14ac:dyDescent="0.25">
      <c r="A38" s="44"/>
      <c r="B38" s="10" t="str">
        <f>CONCATENATE("          ", "4044", " - ", "TAXABLE SALES-ACCESSORIES")</f>
        <v xml:space="preserve">          4044 - TAXABLE SALES-ACCESSORIES</v>
      </c>
      <c r="C38" s="10"/>
      <c r="D38" s="2">
        <f>--4745.38</f>
        <v>4745.38</v>
      </c>
      <c r="E38" s="2"/>
      <c r="F38" s="19"/>
      <c r="G38" s="2"/>
      <c r="H38" s="2">
        <f>--673.79</f>
        <v>673.79</v>
      </c>
      <c r="I38" s="2"/>
      <c r="J38" s="19"/>
      <c r="K38" s="2"/>
      <c r="L38" s="2">
        <f t="shared" si="0"/>
        <v>4071.59</v>
      </c>
      <c r="M38" s="2"/>
      <c r="N38" s="19">
        <f t="shared" si="1"/>
        <v>6.0428174950652283</v>
      </c>
      <c r="O38" s="10"/>
      <c r="P38" s="2">
        <f>--36092.23</f>
        <v>36092.230000000003</v>
      </c>
      <c r="Q38" s="2"/>
      <c r="R38" s="19"/>
      <c r="S38" s="2"/>
      <c r="T38" s="2">
        <f>--67340.52</f>
        <v>67340.52</v>
      </c>
      <c r="U38" s="2"/>
      <c r="V38" s="19"/>
      <c r="W38" s="2"/>
      <c r="X38" s="2">
        <f t="shared" si="2"/>
        <v>-31248.29</v>
      </c>
      <c r="Y38" s="2"/>
      <c r="Z38" s="19">
        <f t="shared" si="3"/>
        <v>-0.46403398726353762</v>
      </c>
    </row>
    <row r="39" spans="1:26" s="23" customFormat="1" hidden="1" outlineLevel="1" x14ac:dyDescent="0.25">
      <c r="A39" s="44"/>
      <c r="B39" s="10" t="str">
        <f>CONCATENATE("          ", "4045", " - ", "TAXABLE SALES-SPECIAL ORDERS")</f>
        <v xml:space="preserve">          4045 - TAXABLE SALES-SPECIAL ORDERS</v>
      </c>
      <c r="C39" s="10"/>
      <c r="D39" s="2">
        <f>--63044.9</f>
        <v>63044.9</v>
      </c>
      <c r="E39" s="2"/>
      <c r="F39" s="19"/>
      <c r="G39" s="2"/>
      <c r="H39" s="2">
        <f>--8913.15</f>
        <v>8913.15</v>
      </c>
      <c r="I39" s="2"/>
      <c r="J39" s="19"/>
      <c r="K39" s="2"/>
      <c r="L39" s="2">
        <f t="shared" si="0"/>
        <v>54131.75</v>
      </c>
      <c r="M39" s="2"/>
      <c r="N39" s="19">
        <f t="shared" si="1"/>
        <v>6.0732457099902959</v>
      </c>
      <c r="O39" s="10"/>
      <c r="P39" s="2">
        <f>--207242.34</f>
        <v>207242.34</v>
      </c>
      <c r="Q39" s="2"/>
      <c r="R39" s="19"/>
      <c r="S39" s="2"/>
      <c r="T39" s="2">
        <f>--83313.97</f>
        <v>83313.97</v>
      </c>
      <c r="U39" s="2"/>
      <c r="V39" s="19"/>
      <c r="W39" s="2"/>
      <c r="X39" s="2">
        <f t="shared" si="2"/>
        <v>123928.37</v>
      </c>
      <c r="Y39" s="2"/>
      <c r="Z39" s="19">
        <f t="shared" si="3"/>
        <v>1.4874860722637511</v>
      </c>
    </row>
    <row r="40" spans="1:26" s="23" customFormat="1" hidden="1" outlineLevel="1" x14ac:dyDescent="0.25">
      <c r="A40" s="44"/>
      <c r="B40" s="10" t="str">
        <f>CONCATENATE("          ", "4047", " - ", "TAXABLE SALES-MISC")</f>
        <v xml:space="preserve">          4047 - TAXABLE SALES-MISC</v>
      </c>
      <c r="C40" s="10"/>
      <c r="D40" s="2">
        <f>0</f>
        <v>0</v>
      </c>
      <c r="E40" s="2"/>
      <c r="F40" s="19"/>
      <c r="G40" s="2"/>
      <c r="H40" s="2">
        <f t="shared" ref="H40:H42" si="12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>0</f>
        <v>0</v>
      </c>
      <c r="Q40" s="2"/>
      <c r="R40" s="19"/>
      <c r="S40" s="2"/>
      <c r="T40" s="2">
        <f>--2676.14</f>
        <v>2676.14</v>
      </c>
      <c r="U40" s="2"/>
      <c r="V40" s="19"/>
      <c r="W40" s="2"/>
      <c r="X40" s="2">
        <f t="shared" si="2"/>
        <v>-2676.14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"4051", " - ", "TAXABLE SALES-FOOD")</f>
        <v xml:space="preserve">          4051 - TAXABLE SALES-FOOD</v>
      </c>
      <c r="C41" s="10"/>
      <c r="D41" s="2">
        <f>--6552.2</f>
        <v>6552.2</v>
      </c>
      <c r="E41" s="2"/>
      <c r="F41" s="19"/>
      <c r="G41" s="2"/>
      <c r="H41" s="2">
        <f t="shared" si="12"/>
        <v>0</v>
      </c>
      <c r="I41" s="2"/>
      <c r="J41" s="19"/>
      <c r="K41" s="2"/>
      <c r="L41" s="2">
        <f t="shared" si="0"/>
        <v>6552.2</v>
      </c>
      <c r="M41" s="2"/>
      <c r="N41" s="19">
        <f t="shared" si="1"/>
        <v>0</v>
      </c>
      <c r="O41" s="10"/>
      <c r="P41" s="2">
        <f>--32121.26</f>
        <v>32121.26</v>
      </c>
      <c r="Q41" s="2"/>
      <c r="R41" s="19"/>
      <c r="S41" s="2"/>
      <c r="T41" s="2">
        <f>--604143.21</f>
        <v>604143.21</v>
      </c>
      <c r="U41" s="2"/>
      <c r="V41" s="19"/>
      <c r="W41" s="2"/>
      <c r="X41" s="2">
        <f t="shared" si="2"/>
        <v>-572021.94999999995</v>
      </c>
      <c r="Y41" s="2"/>
      <c r="Z41" s="19">
        <f t="shared" si="3"/>
        <v>-0.94683171230212115</v>
      </c>
    </row>
    <row r="42" spans="1:26" s="23" customFormat="1" hidden="1" outlineLevel="1" x14ac:dyDescent="0.25">
      <c r="A42" s="44"/>
      <c r="B42" s="10" t="str">
        <f>CONCATENATE("          ", "4052", " - ", "TAXABLE SALES-FOOD")</f>
        <v xml:space="preserve">          4052 - TAXABLE SALES-FOOD</v>
      </c>
      <c r="C42" s="10"/>
      <c r="D42" s="2">
        <f>--48734.68</f>
        <v>48734.68</v>
      </c>
      <c r="E42" s="2"/>
      <c r="F42" s="19"/>
      <c r="G42" s="2"/>
      <c r="H42" s="2">
        <f t="shared" si="12"/>
        <v>0</v>
      </c>
      <c r="I42" s="2"/>
      <c r="J42" s="19"/>
      <c r="K42" s="2"/>
      <c r="L42" s="2">
        <f t="shared" si="0"/>
        <v>48734.68</v>
      </c>
      <c r="M42" s="2"/>
      <c r="N42" s="19">
        <f t="shared" si="1"/>
        <v>0</v>
      </c>
      <c r="O42" s="10"/>
      <c r="P42" s="2">
        <f>--380674.79</f>
        <v>380674.79</v>
      </c>
      <c r="Q42" s="2"/>
      <c r="R42" s="19"/>
      <c r="S42" s="2"/>
      <c r="T42" s="2">
        <f>--836487.29</f>
        <v>836487.29</v>
      </c>
      <c r="U42" s="2"/>
      <c r="V42" s="19"/>
      <c r="W42" s="2"/>
      <c r="X42" s="2">
        <f t="shared" si="2"/>
        <v>-455812.50000000006</v>
      </c>
      <c r="Y42" s="2"/>
      <c r="Z42" s="19">
        <f t="shared" si="3"/>
        <v>-0.54491264296436592</v>
      </c>
    </row>
    <row r="43" spans="1:26" s="23" customFormat="1" hidden="1" outlineLevel="1" x14ac:dyDescent="0.25">
      <c r="A43" s="44"/>
      <c r="B43" s="10" t="str">
        <f>CONCATENATE("          ", "4053", " - ", "TAXABLE SALES-FOOD")</f>
        <v xml:space="preserve">          4053 - TAXABLE SALES-FOOD</v>
      </c>
      <c r="C43" s="10"/>
      <c r="D43" s="2">
        <f>--161.18</f>
        <v>161.18</v>
      </c>
      <c r="E43" s="2"/>
      <c r="F43" s="19"/>
      <c r="G43" s="2"/>
      <c r="H43" s="2">
        <f>--46.54</f>
        <v>46.54</v>
      </c>
      <c r="I43" s="2"/>
      <c r="J43" s="19"/>
      <c r="K43" s="2"/>
      <c r="L43" s="2">
        <f t="shared" si="0"/>
        <v>114.64000000000001</v>
      </c>
      <c r="M43" s="2"/>
      <c r="N43" s="19">
        <f t="shared" si="1"/>
        <v>2.4632574129780838</v>
      </c>
      <c r="O43" s="10"/>
      <c r="P43" s="2">
        <f>--1084.9</f>
        <v>1084.9000000000001</v>
      </c>
      <c r="Q43" s="2"/>
      <c r="R43" s="19"/>
      <c r="S43" s="2"/>
      <c r="T43" s="2">
        <f>--279926.67</f>
        <v>279926.67</v>
      </c>
      <c r="U43" s="2"/>
      <c r="V43" s="19"/>
      <c r="W43" s="2"/>
      <c r="X43" s="2">
        <f t="shared" si="2"/>
        <v>-278841.76999999996</v>
      </c>
      <c r="Y43" s="2"/>
      <c r="Z43" s="19">
        <f t="shared" si="3"/>
        <v>-0.99612434213574563</v>
      </c>
    </row>
    <row r="44" spans="1:26" s="23" customFormat="1" hidden="1" outlineLevel="1" x14ac:dyDescent="0.25">
      <c r="A44" s="44"/>
      <c r="B44" s="10" t="str">
        <f>CONCATENATE("          ", "4055", " - ", "TAXABLE SALES-FOOD")</f>
        <v xml:space="preserve">          4055 - TAXABLE SALES-FOOD</v>
      </c>
      <c r="C44" s="10"/>
      <c r="D44" s="2">
        <f t="shared" ref="D44:D45" si="13">0</f>
        <v>0</v>
      </c>
      <c r="E44" s="2"/>
      <c r="F44" s="19"/>
      <c r="G44" s="2"/>
      <c r="H44" s="2">
        <f t="shared" ref="H44:H45" si="14"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>0</f>
        <v>0</v>
      </c>
      <c r="Q44" s="2"/>
      <c r="R44" s="19"/>
      <c r="S44" s="2"/>
      <c r="T44" s="2">
        <f>--382379.53</f>
        <v>382379.53</v>
      </c>
      <c r="U44" s="2"/>
      <c r="V44" s="19"/>
      <c r="W44" s="2"/>
      <c r="X44" s="2">
        <f t="shared" si="2"/>
        <v>-382379.53</v>
      </c>
      <c r="Y44" s="2"/>
      <c r="Z44" s="19">
        <f t="shared" si="3"/>
        <v>-1</v>
      </c>
    </row>
    <row r="45" spans="1:26" s="23" customFormat="1" hidden="1" outlineLevel="1" x14ac:dyDescent="0.25">
      <c r="A45" s="44"/>
      <c r="B45" s="10" t="str">
        <f>CONCATENATE("          ", "4058", " - ", "TAXABLE SALES-FOOD")</f>
        <v xml:space="preserve">          4058 - TAXABLE SALES-FOOD</v>
      </c>
      <c r="C45" s="10"/>
      <c r="D45" s="2">
        <f t="shared" si="13"/>
        <v>0</v>
      </c>
      <c r="E45" s="2"/>
      <c r="F45" s="19"/>
      <c r="G45" s="2"/>
      <c r="H45" s="2">
        <f t="shared" si="14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0"/>
      <c r="P45" s="2">
        <f>--974.91</f>
        <v>974.91</v>
      </c>
      <c r="Q45" s="2"/>
      <c r="R45" s="19"/>
      <c r="S45" s="2"/>
      <c r="T45" s="2">
        <f>--117077.57</f>
        <v>117077.57</v>
      </c>
      <c r="U45" s="2"/>
      <c r="V45" s="19"/>
      <c r="W45" s="2"/>
      <c r="X45" s="2">
        <f t="shared" si="2"/>
        <v>-116102.66</v>
      </c>
      <c r="Y45" s="2"/>
      <c r="Z45" s="19">
        <f t="shared" si="3"/>
        <v>-0.99167295665600164</v>
      </c>
    </row>
    <row r="46" spans="1:26" s="23" customFormat="1" hidden="1" outlineLevel="1" x14ac:dyDescent="0.25">
      <c r="A46" s="44"/>
      <c r="B46" s="10" t="str">
        <f>CONCATENATE("          ", "4081", " - ", "TAXABLE SALES-ELECTRONICS")</f>
        <v xml:space="preserve">          4081 - TAXABLE SALES-ELECTRONICS</v>
      </c>
      <c r="C46" s="10"/>
      <c r="D46" s="2">
        <f>--1628.82</f>
        <v>1628.82</v>
      </c>
      <c r="E46" s="2"/>
      <c r="F46" s="19"/>
      <c r="G46" s="2"/>
      <c r="H46" s="2">
        <f>--705.97</f>
        <v>705.97</v>
      </c>
      <c r="I46" s="2"/>
      <c r="J46" s="19"/>
      <c r="K46" s="2"/>
      <c r="L46" s="2">
        <f t="shared" si="0"/>
        <v>922.84999999999991</v>
      </c>
      <c r="M46" s="2"/>
      <c r="N46" s="19">
        <f t="shared" si="1"/>
        <v>1.3072085216085667</v>
      </c>
      <c r="O46" s="10"/>
      <c r="P46" s="2">
        <f>--62168.02</f>
        <v>62168.02</v>
      </c>
      <c r="Q46" s="2"/>
      <c r="R46" s="19"/>
      <c r="S46" s="2"/>
      <c r="T46" s="2">
        <f>--315078.02</f>
        <v>315078.02</v>
      </c>
      <c r="U46" s="2"/>
      <c r="V46" s="19"/>
      <c r="W46" s="2"/>
      <c r="X46" s="2">
        <f t="shared" si="2"/>
        <v>-252910.00000000003</v>
      </c>
      <c r="Y46" s="2"/>
      <c r="Z46" s="19">
        <f t="shared" si="3"/>
        <v>-0.80269007657214553</v>
      </c>
    </row>
    <row r="47" spans="1:26" s="23" customFormat="1" hidden="1" outlineLevel="1" x14ac:dyDescent="0.25">
      <c r="A47" s="44"/>
      <c r="B47" s="10" t="str">
        <f>CONCATENATE("          ", "4082", " - ", "TAXABLE SALES-COMPUTER HARDWAR")</f>
        <v xml:space="preserve">          4082 - TAXABLE SALES-COMPUTER HARDWAR</v>
      </c>
      <c r="C47" s="10"/>
      <c r="D47" s="2">
        <f>--354181.27</f>
        <v>354181.27</v>
      </c>
      <c r="E47" s="2"/>
      <c r="F47" s="19"/>
      <c r="G47" s="2"/>
      <c r="H47" s="2">
        <f>--265200.65</f>
        <v>265200.65000000002</v>
      </c>
      <c r="I47" s="2"/>
      <c r="J47" s="19"/>
      <c r="K47" s="2"/>
      <c r="L47" s="2">
        <f t="shared" si="0"/>
        <v>88980.62</v>
      </c>
      <c r="M47" s="2"/>
      <c r="N47" s="19">
        <f t="shared" si="1"/>
        <v>0.33552187749162754</v>
      </c>
      <c r="O47" s="10"/>
      <c r="P47" s="2">
        <f>--2012047.63</f>
        <v>2012047.63</v>
      </c>
      <c r="Q47" s="2"/>
      <c r="R47" s="19"/>
      <c r="S47" s="2"/>
      <c r="T47" s="2">
        <f>--1926673.62</f>
        <v>1926673.62</v>
      </c>
      <c r="U47" s="2"/>
      <c r="V47" s="19"/>
      <c r="W47" s="2"/>
      <c r="X47" s="2">
        <f t="shared" si="2"/>
        <v>85374.009999999776</v>
      </c>
      <c r="Y47" s="2"/>
      <c r="Z47" s="19">
        <f t="shared" si="3"/>
        <v>4.4311609975746576E-2</v>
      </c>
    </row>
    <row r="48" spans="1:26" s="23" customFormat="1" hidden="1" outlineLevel="1" x14ac:dyDescent="0.25">
      <c r="A48" s="44"/>
      <c r="B48" s="10" t="str">
        <f>CONCATENATE("          ", "4083", " - ", "TAXABLE SALES-COMPUTER EQUIPME")</f>
        <v xml:space="preserve">          4083 - TAXABLE SALES-COMPUTER EQUIPME</v>
      </c>
      <c r="C48" s="10"/>
      <c r="D48" s="2">
        <f>--7273.67</f>
        <v>7273.67</v>
      </c>
      <c r="E48" s="2"/>
      <c r="F48" s="19"/>
      <c r="G48" s="2"/>
      <c r="H48" s="2">
        <f>--2895.75</f>
        <v>2895.75</v>
      </c>
      <c r="I48" s="2"/>
      <c r="J48" s="19"/>
      <c r="K48" s="2"/>
      <c r="L48" s="2">
        <f t="shared" si="0"/>
        <v>4377.92</v>
      </c>
      <c r="M48" s="2"/>
      <c r="N48" s="19">
        <f t="shared" si="1"/>
        <v>1.5118432185098851</v>
      </c>
      <c r="O48" s="10"/>
      <c r="P48" s="2">
        <f>--126942.93</f>
        <v>126942.93</v>
      </c>
      <c r="Q48" s="2"/>
      <c r="R48" s="19"/>
      <c r="S48" s="2"/>
      <c r="T48" s="2">
        <f>--103778.4</f>
        <v>103778.4</v>
      </c>
      <c r="U48" s="2"/>
      <c r="V48" s="19"/>
      <c r="W48" s="2"/>
      <c r="X48" s="2">
        <f t="shared" si="2"/>
        <v>23164.53</v>
      </c>
      <c r="Y48" s="2"/>
      <c r="Z48" s="19">
        <f t="shared" si="3"/>
        <v>0.22321147753289702</v>
      </c>
    </row>
    <row r="49" spans="1:26" s="23" customFormat="1" hidden="1" outlineLevel="1" x14ac:dyDescent="0.25">
      <c r="A49" s="44"/>
      <c r="B49" s="10" t="str">
        <f>CONCATENATE("          ", "4084", " - ", "TAXABLE SALES-SOFTWARE LICENSE")</f>
        <v xml:space="preserve">          4084 - TAXABLE SALES-SOFTWARE LICENSE</v>
      </c>
      <c r="C49" s="10"/>
      <c r="D49" s="2">
        <f>0</f>
        <v>0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0"/>
      <c r="P49" s="2">
        <f>0</f>
        <v>0</v>
      </c>
      <c r="Q49" s="2"/>
      <c r="R49" s="19"/>
      <c r="S49" s="2"/>
      <c r="T49" s="2">
        <f>--129</f>
        <v>129</v>
      </c>
      <c r="U49" s="2"/>
      <c r="V49" s="19"/>
      <c r="W49" s="2"/>
      <c r="X49" s="2">
        <f t="shared" si="2"/>
        <v>-129</v>
      </c>
      <c r="Y49" s="2"/>
      <c r="Z49" s="19">
        <f t="shared" si="3"/>
        <v>-1</v>
      </c>
    </row>
    <row r="50" spans="1:26" s="23" customFormat="1" hidden="1" outlineLevel="1" x14ac:dyDescent="0.25">
      <c r="A50" s="44"/>
      <c r="B50" s="10" t="str">
        <f>CONCATENATE("          ", "4085", " - ", "TAXABLE SALES-SOFTWARE")</f>
        <v xml:space="preserve">          4085 - TAXABLE SALES-SOFTWARE</v>
      </c>
      <c r="C50" s="10"/>
      <c r="D50" s="2">
        <f>--1771.88</f>
        <v>1771.88</v>
      </c>
      <c r="E50" s="2"/>
      <c r="F50" s="19"/>
      <c r="G50" s="2"/>
      <c r="H50" s="2">
        <f>--10</f>
        <v>10</v>
      </c>
      <c r="I50" s="2"/>
      <c r="J50" s="19"/>
      <c r="K50" s="2"/>
      <c r="L50" s="2">
        <f t="shared" si="0"/>
        <v>1761.88</v>
      </c>
      <c r="M50" s="2"/>
      <c r="N50" s="19">
        <f t="shared" si="1"/>
        <v>176.18800000000002</v>
      </c>
      <c r="O50" s="10"/>
      <c r="P50" s="2">
        <f>--4870.79</f>
        <v>4870.79</v>
      </c>
      <c r="Q50" s="2"/>
      <c r="R50" s="19"/>
      <c r="S50" s="2"/>
      <c r="T50" s="2">
        <f>--4567.93</f>
        <v>4567.93</v>
      </c>
      <c r="U50" s="2"/>
      <c r="V50" s="19"/>
      <c r="W50" s="2"/>
      <c r="X50" s="2">
        <f t="shared" si="2"/>
        <v>302.85999999999967</v>
      </c>
      <c r="Y50" s="2"/>
      <c r="Z50" s="19">
        <f t="shared" si="3"/>
        <v>6.6301366264369124E-2</v>
      </c>
    </row>
    <row r="51" spans="1:26" s="23" customFormat="1" hidden="1" outlineLevel="1" x14ac:dyDescent="0.25">
      <c r="A51" s="44"/>
      <c r="B51" s="10" t="str">
        <f>CONCATENATE("          ", "4086", " - ", "TAXABLE SALES-COMPUTER SUPPLIE")</f>
        <v xml:space="preserve">          4086 - TAXABLE SALES-COMPUTER SUPPLIE</v>
      </c>
      <c r="C51" s="10"/>
      <c r="D51" s="2">
        <f>--5818.73</f>
        <v>5818.73</v>
      </c>
      <c r="E51" s="2"/>
      <c r="F51" s="19"/>
      <c r="G51" s="2"/>
      <c r="H51" s="2">
        <f>--91.96</f>
        <v>91.96</v>
      </c>
      <c r="I51" s="2"/>
      <c r="J51" s="19"/>
      <c r="K51" s="2"/>
      <c r="L51" s="2">
        <f t="shared" si="0"/>
        <v>5726.7699999999995</v>
      </c>
      <c r="M51" s="2"/>
      <c r="N51" s="19">
        <f t="shared" si="1"/>
        <v>62.274575902566333</v>
      </c>
      <c r="O51" s="10"/>
      <c r="P51" s="2">
        <f>--65269.63</f>
        <v>65269.63</v>
      </c>
      <c r="Q51" s="2"/>
      <c r="R51" s="19"/>
      <c r="S51" s="2"/>
      <c r="T51" s="2">
        <f>--49172.02</f>
        <v>49172.02</v>
      </c>
      <c r="U51" s="2"/>
      <c r="V51" s="19"/>
      <c r="W51" s="2"/>
      <c r="X51" s="2">
        <f t="shared" si="2"/>
        <v>16097.61</v>
      </c>
      <c r="Y51" s="2"/>
      <c r="Z51" s="19">
        <f t="shared" si="3"/>
        <v>0.32737337209250306</v>
      </c>
    </row>
    <row r="52" spans="1:26" s="23" customFormat="1" hidden="1" outlineLevel="1" x14ac:dyDescent="0.25">
      <c r="A52" s="44"/>
      <c r="B52" s="10" t="str">
        <f>CONCATENATE("          ", "4088", " - ", "TAXABLE SALES-MUSIC")</f>
        <v xml:space="preserve">          4088 - TAXABLE SALES-MUSIC</v>
      </c>
      <c r="C52" s="10"/>
      <c r="D52" s="2">
        <f t="shared" ref="D52:D53" si="15">0</f>
        <v>0</v>
      </c>
      <c r="E52" s="2"/>
      <c r="F52" s="19"/>
      <c r="G52" s="2"/>
      <c r="H52" s="2">
        <f>--379.98</f>
        <v>379.98</v>
      </c>
      <c r="I52" s="2"/>
      <c r="J52" s="19"/>
      <c r="K52" s="2"/>
      <c r="L52" s="2">
        <f t="shared" si="0"/>
        <v>-379.98</v>
      </c>
      <c r="M52" s="2"/>
      <c r="N52" s="19">
        <f t="shared" si="1"/>
        <v>-1</v>
      </c>
      <c r="O52" s="10"/>
      <c r="P52" s="2">
        <f t="shared" ref="P52:P53" si="16">0</f>
        <v>0</v>
      </c>
      <c r="Q52" s="2"/>
      <c r="R52" s="19"/>
      <c r="S52" s="2"/>
      <c r="T52" s="2">
        <f>--1674.81</f>
        <v>1674.81</v>
      </c>
      <c r="U52" s="2"/>
      <c r="V52" s="19"/>
      <c r="W52" s="2"/>
      <c r="X52" s="2">
        <f t="shared" si="2"/>
        <v>-1674.81</v>
      </c>
      <c r="Y52" s="2"/>
      <c r="Z52" s="19">
        <f t="shared" si="3"/>
        <v>-1</v>
      </c>
    </row>
    <row r="53" spans="1:26" s="23" customFormat="1" hidden="1" outlineLevel="1" x14ac:dyDescent="0.25">
      <c r="A53" s="44"/>
      <c r="B53" s="10" t="str">
        <f>CONCATENATE("          ", "4092", " - ", "TAXABLE SALES-GRAD MERCH")</f>
        <v xml:space="preserve">          4092 - TAXABLE SALES-GRAD MERCH</v>
      </c>
      <c r="C53" s="10"/>
      <c r="D53" s="2">
        <f t="shared" si="15"/>
        <v>0</v>
      </c>
      <c r="E53" s="2"/>
      <c r="F53" s="19"/>
      <c r="G53" s="2"/>
      <c r="H53" s="2">
        <f>--3214.15</f>
        <v>3214.15</v>
      </c>
      <c r="I53" s="2"/>
      <c r="J53" s="19"/>
      <c r="K53" s="2"/>
      <c r="L53" s="2">
        <f t="shared" si="0"/>
        <v>-3214.15</v>
      </c>
      <c r="M53" s="2"/>
      <c r="N53" s="19">
        <f t="shared" si="1"/>
        <v>-1</v>
      </c>
      <c r="O53" s="10"/>
      <c r="P53" s="2">
        <f t="shared" si="16"/>
        <v>0</v>
      </c>
      <c r="Q53" s="2"/>
      <c r="R53" s="19"/>
      <c r="S53" s="2"/>
      <c r="T53" s="2">
        <f>--21826.42</f>
        <v>21826.42</v>
      </c>
      <c r="U53" s="2"/>
      <c r="V53" s="19"/>
      <c r="W53" s="2"/>
      <c r="X53" s="2">
        <f t="shared" si="2"/>
        <v>-21826.42</v>
      </c>
      <c r="Y53" s="2"/>
      <c r="Z53" s="19">
        <f t="shared" si="3"/>
        <v>-1</v>
      </c>
    </row>
    <row r="54" spans="1:26" s="23" customFormat="1" hidden="1" outlineLevel="1" x14ac:dyDescent="0.25">
      <c r="A54" s="44"/>
      <c r="B54" s="10" t="str">
        <f>CONCATENATE("          ", "4095", " - ", "TAXABLE SALES-CUSTOMER SERVICE")</f>
        <v xml:space="preserve">          4095 - TAXABLE SALES-CUSTOMER SERVICE</v>
      </c>
      <c r="C54" s="10"/>
      <c r="D54" s="2">
        <f>--2119.46</f>
        <v>2119.46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2119.46</v>
      </c>
      <c r="M54" s="2"/>
      <c r="N54" s="19">
        <f t="shared" si="1"/>
        <v>0</v>
      </c>
      <c r="O54" s="10"/>
      <c r="P54" s="2">
        <f>--3034.59</f>
        <v>3034.59</v>
      </c>
      <c r="Q54" s="2"/>
      <c r="R54" s="19"/>
      <c r="S54" s="2"/>
      <c r="T54" s="2">
        <f>--309.26</f>
        <v>309.26</v>
      </c>
      <c r="U54" s="2"/>
      <c r="V54" s="19"/>
      <c r="W54" s="2"/>
      <c r="X54" s="2">
        <f t="shared" si="2"/>
        <v>2725.33</v>
      </c>
      <c r="Y54" s="2"/>
      <c r="Z54" s="19">
        <f t="shared" si="3"/>
        <v>8.812423203776758</v>
      </c>
    </row>
    <row r="55" spans="1:26" s="23" customFormat="1" hidden="1" outlineLevel="1" x14ac:dyDescent="0.25">
      <c r="A55" s="44"/>
      <c r="B55" s="10" t="str">
        <f>CONCATENATE("          ", "4100", " - ", "NON-TAXABLE SALES")</f>
        <v xml:space="preserve">          4100 - NON-TAXABLE SALES</v>
      </c>
      <c r="C55" s="10"/>
      <c r="D55" s="2">
        <f>--21288.67</f>
        <v>21288.67</v>
      </c>
      <c r="E55" s="2"/>
      <c r="F55" s="19"/>
      <c r="G55" s="2"/>
      <c r="H55" s="2">
        <f>--53311.82</f>
        <v>53311.82</v>
      </c>
      <c r="I55" s="2"/>
      <c r="J55" s="19"/>
      <c r="K55" s="2"/>
      <c r="L55" s="2">
        <f t="shared" si="0"/>
        <v>-32023.15</v>
      </c>
      <c r="M55" s="2"/>
      <c r="N55" s="19">
        <f t="shared" si="1"/>
        <v>-0.6006763603268469</v>
      </c>
      <c r="O55" s="10"/>
      <c r="P55" s="2">
        <f>--751391.77</f>
        <v>751391.77</v>
      </c>
      <c r="Q55" s="2"/>
      <c r="R55" s="19"/>
      <c r="S55" s="2"/>
      <c r="T55" s="2">
        <f>--1007124.47</f>
        <v>1007124.47</v>
      </c>
      <c r="U55" s="2"/>
      <c r="V55" s="19"/>
      <c r="W55" s="2"/>
      <c r="X55" s="2">
        <f t="shared" si="2"/>
        <v>-255732.69999999995</v>
      </c>
      <c r="Y55" s="2"/>
      <c r="Z55" s="19">
        <f t="shared" si="3"/>
        <v>-0.25392362872485857</v>
      </c>
    </row>
    <row r="56" spans="1:26" s="23" customFormat="1" hidden="1" outlineLevel="1" x14ac:dyDescent="0.25">
      <c r="A56" s="44"/>
      <c r="B56" s="10" t="str">
        <f>CONCATENATE("          ", "4101", " - ", "NON-TAXABLE SALES-NEW TEXT")</f>
        <v xml:space="preserve">          4101 - NON-TAXABLE SALES-NEW TEXT</v>
      </c>
      <c r="C56" s="10"/>
      <c r="D56" s="2">
        <f>--741.03</f>
        <v>741.03</v>
      </c>
      <c r="E56" s="2"/>
      <c r="F56" s="19"/>
      <c r="G56" s="2"/>
      <c r="H56" s="2">
        <f>--1972.02</f>
        <v>1972.02</v>
      </c>
      <c r="I56" s="2"/>
      <c r="J56" s="19"/>
      <c r="K56" s="2"/>
      <c r="L56" s="2">
        <f t="shared" si="0"/>
        <v>-1230.99</v>
      </c>
      <c r="M56" s="2"/>
      <c r="N56" s="19">
        <f t="shared" si="1"/>
        <v>-0.62422794900660239</v>
      </c>
      <c r="O56" s="10"/>
      <c r="P56" s="2">
        <f>--112796.74</f>
        <v>112796.74</v>
      </c>
      <c r="Q56" s="2"/>
      <c r="R56" s="19"/>
      <c r="S56" s="2"/>
      <c r="T56" s="2">
        <f>--144163.44</f>
        <v>144163.44</v>
      </c>
      <c r="U56" s="2"/>
      <c r="V56" s="19"/>
      <c r="W56" s="2"/>
      <c r="X56" s="2">
        <f t="shared" si="2"/>
        <v>-31366.699999999997</v>
      </c>
      <c r="Y56" s="2"/>
      <c r="Z56" s="19">
        <f t="shared" si="3"/>
        <v>-0.21757735525733846</v>
      </c>
    </row>
    <row r="57" spans="1:26" s="23" customFormat="1" hidden="1" outlineLevel="1" x14ac:dyDescent="0.25">
      <c r="A57" s="44"/>
      <c r="B57" s="10" t="str">
        <f>CONCATENATE("          ", "4102", " - ", "NON-TAXABLE SALES-USED TEXT")</f>
        <v xml:space="preserve">          4102 - NON-TAXABLE SALES-USED TEXT</v>
      </c>
      <c r="C57" s="10"/>
      <c r="D57" s="2">
        <f>--743.99</f>
        <v>743.99</v>
      </c>
      <c r="E57" s="2"/>
      <c r="F57" s="19"/>
      <c r="G57" s="2"/>
      <c r="H57" s="2">
        <f>--804.2</f>
        <v>804.2</v>
      </c>
      <c r="I57" s="2"/>
      <c r="J57" s="19"/>
      <c r="K57" s="2"/>
      <c r="L57" s="2">
        <f t="shared" si="0"/>
        <v>-60.210000000000036</v>
      </c>
      <c r="M57" s="2"/>
      <c r="N57" s="19">
        <f t="shared" si="1"/>
        <v>-7.4869435463815012E-2</v>
      </c>
      <c r="O57" s="10"/>
      <c r="P57" s="2">
        <f>--48703.42</f>
        <v>48703.42</v>
      </c>
      <c r="Q57" s="2"/>
      <c r="R57" s="19"/>
      <c r="S57" s="2"/>
      <c r="T57" s="2">
        <f>--69659.9</f>
        <v>69659.899999999994</v>
      </c>
      <c r="U57" s="2"/>
      <c r="V57" s="19"/>
      <c r="W57" s="2"/>
      <c r="X57" s="2">
        <f t="shared" si="2"/>
        <v>-20956.479999999996</v>
      </c>
      <c r="Y57" s="2"/>
      <c r="Z57" s="19">
        <f t="shared" si="3"/>
        <v>-0.3008399380418289</v>
      </c>
    </row>
    <row r="58" spans="1:26" s="23" customFormat="1" hidden="1" outlineLevel="1" x14ac:dyDescent="0.25">
      <c r="A58" s="44"/>
      <c r="B58" s="10" t="str">
        <f>CONCATENATE("          ", "4103", " - ", "NON-TAXABLE SALES-RENTAL TEXT")</f>
        <v xml:space="preserve">          4103 - NON-TAXABLE SALES-RENTAL TEXT</v>
      </c>
      <c r="C58" s="10"/>
      <c r="D58" s="2">
        <f>0</f>
        <v>0</v>
      </c>
      <c r="E58" s="2"/>
      <c r="F58" s="19"/>
      <c r="G58" s="2"/>
      <c r="H58" s="2">
        <f>0</f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0"/>
      <c r="P58" s="2">
        <f>--1138.95</f>
        <v>1138.95</v>
      </c>
      <c r="Q58" s="2"/>
      <c r="R58" s="19"/>
      <c r="S58" s="2"/>
      <c r="T58" s="2">
        <f>--664.97</f>
        <v>664.97</v>
      </c>
      <c r="U58" s="2"/>
      <c r="V58" s="19"/>
      <c r="W58" s="2"/>
      <c r="X58" s="2">
        <f t="shared" si="2"/>
        <v>473.98</v>
      </c>
      <c r="Y58" s="2"/>
      <c r="Z58" s="19">
        <f t="shared" si="3"/>
        <v>0.71278403537001667</v>
      </c>
    </row>
    <row r="59" spans="1:26" s="23" customFormat="1" hidden="1" outlineLevel="1" x14ac:dyDescent="0.25">
      <c r="A59" s="44"/>
      <c r="B59" s="10" t="str">
        <f>CONCATENATE("          ", "4104", " - ", "NON-TAXABLE SALES-DIGITAL TEXT")</f>
        <v xml:space="preserve">          4104 - NON-TAXABLE SALES-DIGITAL TEXT</v>
      </c>
      <c r="C59" s="10"/>
      <c r="D59" s="2">
        <f>--3431.99</f>
        <v>3431.99</v>
      </c>
      <c r="E59" s="2"/>
      <c r="F59" s="19"/>
      <c r="G59" s="2"/>
      <c r="H59" s="2">
        <f>--2502.44</f>
        <v>2502.44</v>
      </c>
      <c r="I59" s="2"/>
      <c r="J59" s="19"/>
      <c r="K59" s="2"/>
      <c r="L59" s="2">
        <f t="shared" si="0"/>
        <v>929.54999999999973</v>
      </c>
      <c r="M59" s="2"/>
      <c r="N59" s="19">
        <f t="shared" si="1"/>
        <v>0.37145745752145892</v>
      </c>
      <c r="O59" s="10"/>
      <c r="P59" s="2">
        <f>--480403.17</f>
        <v>480403.17</v>
      </c>
      <c r="Q59" s="2"/>
      <c r="R59" s="19"/>
      <c r="S59" s="2"/>
      <c r="T59" s="2">
        <f>--526854.09</f>
        <v>526854.09</v>
      </c>
      <c r="U59" s="2"/>
      <c r="V59" s="19"/>
      <c r="W59" s="2"/>
      <c r="X59" s="2">
        <f t="shared" si="2"/>
        <v>-46450.919999999984</v>
      </c>
      <c r="Y59" s="2"/>
      <c r="Z59" s="19">
        <f t="shared" si="3"/>
        <v>-8.8166573785163155E-2</v>
      </c>
    </row>
    <row r="60" spans="1:26" s="23" customFormat="1" hidden="1" outlineLevel="1" x14ac:dyDescent="0.25">
      <c r="A60" s="44"/>
      <c r="B60" s="10" t="str">
        <f>CONCATENATE("          ", "4111", " - ", "NON-TAXABLE SALES-NO VALUE TEX")</f>
        <v xml:space="preserve">          4111 - NON-TAXABLE SALES-NO VALUE TEX</v>
      </c>
      <c r="C60" s="10"/>
      <c r="D60" s="2">
        <f>0</f>
        <v>0</v>
      </c>
      <c r="E60" s="2"/>
      <c r="F60" s="19"/>
      <c r="G60" s="2"/>
      <c r="H60" s="2">
        <f>--593.67</f>
        <v>593.66999999999996</v>
      </c>
      <c r="I60" s="2"/>
      <c r="J60" s="19"/>
      <c r="K60" s="2"/>
      <c r="L60" s="2">
        <f t="shared" si="0"/>
        <v>-593.66999999999996</v>
      </c>
      <c r="M60" s="2"/>
      <c r="N60" s="19">
        <f t="shared" si="1"/>
        <v>-1</v>
      </c>
      <c r="O60" s="10"/>
      <c r="P60" s="2">
        <f>0</f>
        <v>0</v>
      </c>
      <c r="Q60" s="2"/>
      <c r="R60" s="19"/>
      <c r="S60" s="2"/>
      <c r="T60" s="2">
        <f>--15323</f>
        <v>15323</v>
      </c>
      <c r="U60" s="2"/>
      <c r="V60" s="19"/>
      <c r="W60" s="2"/>
      <c r="X60" s="2">
        <f t="shared" si="2"/>
        <v>-15323</v>
      </c>
      <c r="Y60" s="2"/>
      <c r="Z60" s="19">
        <f t="shared" si="3"/>
        <v>-1</v>
      </c>
    </row>
    <row r="61" spans="1:26" s="23" customFormat="1" hidden="1" outlineLevel="1" x14ac:dyDescent="0.25">
      <c r="A61" s="44"/>
      <c r="B61" s="10" t="str">
        <f>CONCATENATE("          ", "4113", " - ", "NON-TAXABLE SALES-TRADE BOOKS")</f>
        <v xml:space="preserve">          4113 - NON-TAXABLE SALES-TRADE BOOKS</v>
      </c>
      <c r="C61" s="10"/>
      <c r="D61" s="2">
        <f>--738</f>
        <v>738</v>
      </c>
      <c r="E61" s="2"/>
      <c r="F61" s="19"/>
      <c r="G61" s="2"/>
      <c r="H61" s="2">
        <f>--2440</f>
        <v>2440</v>
      </c>
      <c r="I61" s="2"/>
      <c r="J61" s="19"/>
      <c r="K61" s="2"/>
      <c r="L61" s="2">
        <f t="shared" si="0"/>
        <v>-1702</v>
      </c>
      <c r="M61" s="2"/>
      <c r="N61" s="19">
        <f t="shared" si="1"/>
        <v>-0.69754098360655736</v>
      </c>
      <c r="O61" s="10"/>
      <c r="P61" s="2">
        <f>--12127.25</f>
        <v>12127.25</v>
      </c>
      <c r="Q61" s="2"/>
      <c r="R61" s="19"/>
      <c r="S61" s="2"/>
      <c r="T61" s="2">
        <f>--8241.92</f>
        <v>8241.92</v>
      </c>
      <c r="U61" s="2"/>
      <c r="V61" s="19"/>
      <c r="W61" s="2"/>
      <c r="X61" s="2">
        <f t="shared" si="2"/>
        <v>3885.33</v>
      </c>
      <c r="Y61" s="2"/>
      <c r="Z61" s="19">
        <f t="shared" si="3"/>
        <v>0.4714107877776052</v>
      </c>
    </row>
    <row r="62" spans="1:26" s="23" customFormat="1" hidden="1" outlineLevel="1" x14ac:dyDescent="0.25">
      <c r="A62" s="44"/>
      <c r="B62" s="10" t="str">
        <f>CONCATENATE("          ", "4118", " - ", "NON-TAXABLE SALES-STUDY GUIDES")</f>
        <v xml:space="preserve">          4118 - NON-TAXABLE SALES-STUDY GUIDES</v>
      </c>
      <c r="C62" s="10"/>
      <c r="D62" s="2">
        <f t="shared" ref="D62:D64" si="17">0</f>
        <v>0</v>
      </c>
      <c r="E62" s="2"/>
      <c r="F62" s="19"/>
      <c r="G62" s="2"/>
      <c r="H62" s="2">
        <f>--7.02</f>
        <v>7.02</v>
      </c>
      <c r="I62" s="2"/>
      <c r="J62" s="19"/>
      <c r="K62" s="2"/>
      <c r="L62" s="2">
        <f t="shared" si="0"/>
        <v>-7.02</v>
      </c>
      <c r="M62" s="2"/>
      <c r="N62" s="19">
        <f t="shared" si="1"/>
        <v>-1</v>
      </c>
      <c r="O62" s="10"/>
      <c r="P62" s="2">
        <f>--771.73</f>
        <v>771.73</v>
      </c>
      <c r="Q62" s="2"/>
      <c r="R62" s="19"/>
      <c r="S62" s="2"/>
      <c r="T62" s="2">
        <f>--75.94</f>
        <v>75.94</v>
      </c>
      <c r="U62" s="2"/>
      <c r="V62" s="19"/>
      <c r="W62" s="2"/>
      <c r="X62" s="2">
        <f t="shared" si="2"/>
        <v>695.79</v>
      </c>
      <c r="Y62" s="2"/>
      <c r="Z62" s="19">
        <f t="shared" si="3"/>
        <v>9.1623650250197528</v>
      </c>
    </row>
    <row r="63" spans="1:26" s="23" customFormat="1" hidden="1" outlineLevel="1" x14ac:dyDescent="0.25">
      <c r="A63" s="44"/>
      <c r="B63" s="10" t="str">
        <f>CONCATENATE("          ", "4125", " - ", "NON-TAXABLE SALES-TEST FORMS")</f>
        <v xml:space="preserve">          4125 - NON-TAXABLE SALES-TEST FORMS</v>
      </c>
      <c r="C63" s="10"/>
      <c r="D63" s="2">
        <f t="shared" si="17"/>
        <v>0</v>
      </c>
      <c r="E63" s="2"/>
      <c r="F63" s="19"/>
      <c r="G63" s="2"/>
      <c r="H63" s="2">
        <f>0</f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0"/>
      <c r="P63" s="2">
        <f>0</f>
        <v>0</v>
      </c>
      <c r="Q63" s="2"/>
      <c r="R63" s="19"/>
      <c r="S63" s="2"/>
      <c r="T63" s="2">
        <f>--267.61</f>
        <v>267.61</v>
      </c>
      <c r="U63" s="2"/>
      <c r="V63" s="19"/>
      <c r="W63" s="2"/>
      <c r="X63" s="2">
        <f t="shared" si="2"/>
        <v>-267.61</v>
      </c>
      <c r="Y63" s="2"/>
      <c r="Z63" s="19">
        <f t="shared" si="3"/>
        <v>-1</v>
      </c>
    </row>
    <row r="64" spans="1:26" s="23" customFormat="1" hidden="1" outlineLevel="1" x14ac:dyDescent="0.25">
      <c r="A64" s="44"/>
      <c r="B64" s="10" t="str">
        <f>CONCATENATE("          ", "4126", " - ", "NON-TAXABLE SALES-WRITING INST")</f>
        <v xml:space="preserve">          4126 - NON-TAXABLE SALES-WRITING INST</v>
      </c>
      <c r="C64" s="10"/>
      <c r="D64" s="2">
        <f t="shared" si="17"/>
        <v>0</v>
      </c>
      <c r="E64" s="2"/>
      <c r="F64" s="19"/>
      <c r="G64" s="2"/>
      <c r="H64" s="2">
        <f>--5.57</f>
        <v>5.57</v>
      </c>
      <c r="I64" s="2"/>
      <c r="J64" s="19"/>
      <c r="K64" s="2"/>
      <c r="L64" s="2">
        <f t="shared" si="0"/>
        <v>-5.57</v>
      </c>
      <c r="M64" s="2"/>
      <c r="N64" s="19">
        <f t="shared" si="1"/>
        <v>-1</v>
      </c>
      <c r="O64" s="10"/>
      <c r="P64" s="2">
        <f>--52.68</f>
        <v>52.68</v>
      </c>
      <c r="Q64" s="2"/>
      <c r="R64" s="19"/>
      <c r="S64" s="2"/>
      <c r="T64" s="2">
        <f>--3022.86</f>
        <v>3022.86</v>
      </c>
      <c r="U64" s="2"/>
      <c r="V64" s="19"/>
      <c r="W64" s="2"/>
      <c r="X64" s="2">
        <f t="shared" si="2"/>
        <v>-2970.1800000000003</v>
      </c>
      <c r="Y64" s="2"/>
      <c r="Z64" s="19">
        <f t="shared" si="3"/>
        <v>-0.98257279529981545</v>
      </c>
    </row>
    <row r="65" spans="1:26" s="23" customFormat="1" hidden="1" outlineLevel="1" x14ac:dyDescent="0.25">
      <c r="A65" s="44"/>
      <c r="B65" s="10" t="str">
        <f>CONCATENATE("          ", "4127", " - ", "NON-TAXABLE SALES-SCHOOL SUPPL")</f>
        <v xml:space="preserve">          4127 - NON-TAXABLE SALES-SCHOOL SUPPL</v>
      </c>
      <c r="C65" s="10"/>
      <c r="D65" s="2">
        <f>--493.37</f>
        <v>493.37</v>
      </c>
      <c r="E65" s="2"/>
      <c r="F65" s="19"/>
      <c r="G65" s="2"/>
      <c r="H65" s="2">
        <f>--1430.65</f>
        <v>1430.65</v>
      </c>
      <c r="I65" s="2"/>
      <c r="J65" s="19"/>
      <c r="K65" s="2"/>
      <c r="L65" s="2">
        <f t="shared" si="0"/>
        <v>-937.28000000000009</v>
      </c>
      <c r="M65" s="2"/>
      <c r="N65" s="19">
        <f t="shared" si="1"/>
        <v>-0.65514276727361687</v>
      </c>
      <c r="O65" s="10"/>
      <c r="P65" s="2">
        <f>--7100.68</f>
        <v>7100.68</v>
      </c>
      <c r="Q65" s="2"/>
      <c r="R65" s="19"/>
      <c r="S65" s="2"/>
      <c r="T65" s="2">
        <f>--6146.87</f>
        <v>6146.87</v>
      </c>
      <c r="U65" s="2"/>
      <c r="V65" s="19"/>
      <c r="W65" s="2"/>
      <c r="X65" s="2">
        <f t="shared" si="2"/>
        <v>953.8100000000004</v>
      </c>
      <c r="Y65" s="2"/>
      <c r="Z65" s="19">
        <f t="shared" si="3"/>
        <v>0.15517002962483353</v>
      </c>
    </row>
    <row r="66" spans="1:26" s="23" customFormat="1" hidden="1" outlineLevel="1" x14ac:dyDescent="0.25">
      <c r="A66" s="44"/>
      <c r="B66" s="10" t="str">
        <f>CONCATENATE("          ", "4128", " - ", "NON-TAXABLE SALES-ART/TECH")</f>
        <v xml:space="preserve">          4128 - NON-TAXABLE SALES-ART/TECH</v>
      </c>
      <c r="C66" s="10"/>
      <c r="D66" s="2">
        <f>--31.37</f>
        <v>31.37</v>
      </c>
      <c r="E66" s="2"/>
      <c r="F66" s="19"/>
      <c r="G66" s="2"/>
      <c r="H66" s="2">
        <f>0</f>
        <v>0</v>
      </c>
      <c r="I66" s="2"/>
      <c r="J66" s="19"/>
      <c r="K66" s="2"/>
      <c r="L66" s="2">
        <f t="shared" si="0"/>
        <v>31.37</v>
      </c>
      <c r="M66" s="2"/>
      <c r="N66" s="19">
        <f t="shared" si="1"/>
        <v>0</v>
      </c>
      <c r="O66" s="10"/>
      <c r="P66" s="2">
        <f>--69.95</f>
        <v>69.95</v>
      </c>
      <c r="Q66" s="2"/>
      <c r="R66" s="19"/>
      <c r="S66" s="2"/>
      <c r="T66" s="2">
        <f>--730.62</f>
        <v>730.62</v>
      </c>
      <c r="U66" s="2"/>
      <c r="V66" s="19"/>
      <c r="W66" s="2"/>
      <c r="X66" s="2">
        <f t="shared" si="2"/>
        <v>-660.67</v>
      </c>
      <c r="Y66" s="2"/>
      <c r="Z66" s="19">
        <f t="shared" si="3"/>
        <v>-0.90425939612931472</v>
      </c>
    </row>
    <row r="67" spans="1:26" s="23" customFormat="1" hidden="1" outlineLevel="1" x14ac:dyDescent="0.25">
      <c r="A67" s="44"/>
      <c r="B67" s="10" t="str">
        <f>CONCATENATE("          ", "4131", " - ", "NON-TAXABLE SALES-FOOD")</f>
        <v xml:space="preserve">          4131 - NON-TAXABLE SALES-FOOD</v>
      </c>
      <c r="C67" s="10"/>
      <c r="D67" s="2">
        <f>--975.93</f>
        <v>975.93</v>
      </c>
      <c r="E67" s="2"/>
      <c r="F67" s="19"/>
      <c r="G67" s="2"/>
      <c r="H67" s="2">
        <f>--3.97</f>
        <v>3.97</v>
      </c>
      <c r="I67" s="2"/>
      <c r="J67" s="19"/>
      <c r="K67" s="2"/>
      <c r="L67" s="2">
        <f t="shared" si="0"/>
        <v>971.95999999999992</v>
      </c>
      <c r="M67" s="2"/>
      <c r="N67" s="19">
        <f t="shared" si="1"/>
        <v>244.82619647355162</v>
      </c>
      <c r="O67" s="10"/>
      <c r="P67" s="2">
        <f>--11380.36</f>
        <v>11380.36</v>
      </c>
      <c r="Q67" s="2"/>
      <c r="R67" s="19"/>
      <c r="S67" s="2"/>
      <c r="T67" s="2">
        <f>--57887.54</f>
        <v>57887.54</v>
      </c>
      <c r="U67" s="2"/>
      <c r="V67" s="19"/>
      <c r="W67" s="2"/>
      <c r="X67" s="2">
        <f t="shared" si="2"/>
        <v>-46507.18</v>
      </c>
      <c r="Y67" s="2"/>
      <c r="Z67" s="19">
        <f t="shared" si="3"/>
        <v>-0.80340570699670433</v>
      </c>
    </row>
    <row r="68" spans="1:26" s="23" customFormat="1" hidden="1" outlineLevel="1" x14ac:dyDescent="0.25">
      <c r="A68" s="44"/>
      <c r="B68" s="10" t="str">
        <f>CONCATENATE("          ", "4132", " - ", "NON-TAXABLE SALES-JUICE")</f>
        <v xml:space="preserve">          4132 - NON-TAXABLE SALES-JUICE</v>
      </c>
      <c r="C68" s="10"/>
      <c r="D68" s="2">
        <f t="shared" ref="D68:D72" si="18">0</f>
        <v>0</v>
      </c>
      <c r="E68" s="2"/>
      <c r="F68" s="19"/>
      <c r="G68" s="2"/>
      <c r="H68" s="2">
        <f>--0.05</f>
        <v>0.05</v>
      </c>
      <c r="I68" s="2"/>
      <c r="J68" s="19"/>
      <c r="K68" s="2"/>
      <c r="L68" s="2">
        <f t="shared" si="0"/>
        <v>-0.05</v>
      </c>
      <c r="M68" s="2"/>
      <c r="N68" s="19">
        <f t="shared" si="1"/>
        <v>-1</v>
      </c>
      <c r="O68" s="10"/>
      <c r="P68" s="2">
        <f>--2054.37</f>
        <v>2054.37</v>
      </c>
      <c r="Q68" s="2"/>
      <c r="R68" s="19"/>
      <c r="S68" s="2"/>
      <c r="T68" s="2">
        <f>--1109977.78</f>
        <v>1109977.78</v>
      </c>
      <c r="U68" s="2"/>
      <c r="V68" s="19"/>
      <c r="W68" s="2"/>
      <c r="X68" s="2">
        <f t="shared" si="2"/>
        <v>-1107923.4099999999</v>
      </c>
      <c r="Y68" s="2"/>
      <c r="Z68" s="19">
        <f t="shared" si="3"/>
        <v>-0.99814917916645129</v>
      </c>
    </row>
    <row r="69" spans="1:26" s="23" customFormat="1" hidden="1" outlineLevel="1" x14ac:dyDescent="0.25">
      <c r="A69" s="44"/>
      <c r="B69" s="10" t="str">
        <f>CONCATENATE("          ", "4133", " - ", "NON-TAXABLE SALES-CANDY")</f>
        <v xml:space="preserve">          4133 - NON-TAXABLE SALES-CANDY</v>
      </c>
      <c r="C69" s="10"/>
      <c r="D69" s="2">
        <f t="shared" si="18"/>
        <v>0</v>
      </c>
      <c r="E69" s="2"/>
      <c r="F69" s="19"/>
      <c r="G69" s="2"/>
      <c r="H69" s="2">
        <f>--4.17</f>
        <v>4.17</v>
      </c>
      <c r="I69" s="2"/>
      <c r="J69" s="19"/>
      <c r="K69" s="2"/>
      <c r="L69" s="2">
        <f t="shared" si="0"/>
        <v>-4.17</v>
      </c>
      <c r="M69" s="2"/>
      <c r="N69" s="19">
        <f t="shared" si="1"/>
        <v>-1</v>
      </c>
      <c r="O69" s="10"/>
      <c r="P69" s="2">
        <f>--80.71</f>
        <v>80.709999999999994</v>
      </c>
      <c r="Q69" s="2"/>
      <c r="R69" s="19"/>
      <c r="S69" s="2"/>
      <c r="T69" s="2">
        <f>--18090.05</f>
        <v>18090.05</v>
      </c>
      <c r="U69" s="2"/>
      <c r="V69" s="19"/>
      <c r="W69" s="2"/>
      <c r="X69" s="2">
        <f t="shared" si="2"/>
        <v>-18009.34</v>
      </c>
      <c r="Y69" s="2"/>
      <c r="Z69" s="19">
        <f t="shared" si="3"/>
        <v>-0.99553843134761932</v>
      </c>
    </row>
    <row r="70" spans="1:26" s="23" customFormat="1" hidden="1" outlineLevel="1" x14ac:dyDescent="0.25">
      <c r="A70" s="44"/>
      <c r="B70" s="10" t="str">
        <f>CONCATENATE("          ", "4134", " - ", "NON-TAXABLE SALES-SODA")</f>
        <v xml:space="preserve">          4134 - NON-TAXABLE SALES-SODA</v>
      </c>
      <c r="C70" s="10"/>
      <c r="D70" s="2">
        <f t="shared" si="18"/>
        <v>0</v>
      </c>
      <c r="E70" s="2"/>
      <c r="F70" s="19"/>
      <c r="G70" s="2"/>
      <c r="H70" s="2">
        <f>--35.86</f>
        <v>35.86</v>
      </c>
      <c r="I70" s="2"/>
      <c r="J70" s="19"/>
      <c r="K70" s="2"/>
      <c r="L70" s="2">
        <f t="shared" si="0"/>
        <v>-35.86</v>
      </c>
      <c r="M70" s="2"/>
      <c r="N70" s="19">
        <f t="shared" si="1"/>
        <v>-1</v>
      </c>
      <c r="O70" s="10"/>
      <c r="P70" s="2">
        <f>--45.53</f>
        <v>45.53</v>
      </c>
      <c r="Q70" s="2"/>
      <c r="R70" s="19"/>
      <c r="S70" s="2"/>
      <c r="T70" s="2">
        <f>--73.09</f>
        <v>73.09</v>
      </c>
      <c r="U70" s="2"/>
      <c r="V70" s="19"/>
      <c r="W70" s="2"/>
      <c r="X70" s="2">
        <f t="shared" si="2"/>
        <v>-27.560000000000002</v>
      </c>
      <c r="Y70" s="2"/>
      <c r="Z70" s="19">
        <f t="shared" si="3"/>
        <v>-0.37706936653440964</v>
      </c>
    </row>
    <row r="71" spans="1:26" s="23" customFormat="1" hidden="1" outlineLevel="1" x14ac:dyDescent="0.25">
      <c r="A71" s="44"/>
      <c r="B71" s="10" t="str">
        <f>CONCATENATE("          ", "4135", " - ", "NON-TAXABLE SALES")</f>
        <v xml:space="preserve">          4135 - NON-TAXABLE SALES</v>
      </c>
      <c r="C71" s="10"/>
      <c r="D71" s="2">
        <f t="shared" si="18"/>
        <v>0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0"/>
      <c r="P71" s="2">
        <f>0</f>
        <v>0</v>
      </c>
      <c r="Q71" s="2"/>
      <c r="R71" s="19"/>
      <c r="S71" s="2"/>
      <c r="T71" s="2">
        <f>--161.4</f>
        <v>161.4</v>
      </c>
      <c r="U71" s="2"/>
      <c r="V71" s="19"/>
      <c r="W71" s="2"/>
      <c r="X71" s="2">
        <f t="shared" si="2"/>
        <v>-161.4</v>
      </c>
      <c r="Y71" s="2"/>
      <c r="Z71" s="19">
        <f t="shared" si="3"/>
        <v>-1</v>
      </c>
    </row>
    <row r="72" spans="1:26" s="23" customFormat="1" hidden="1" outlineLevel="1" x14ac:dyDescent="0.25">
      <c r="A72" s="44"/>
      <c r="B72" s="10" t="str">
        <f>CONCATENATE("          ", "4137", " - ", "NON-TAXABLE SALES-WATER")</f>
        <v xml:space="preserve">          4137 - NON-TAXABLE SALES-WATER</v>
      </c>
      <c r="C72" s="10"/>
      <c r="D72" s="2">
        <f t="shared" si="18"/>
        <v>0</v>
      </c>
      <c r="E72" s="2"/>
      <c r="F72" s="19"/>
      <c r="G72" s="2"/>
      <c r="H72" s="2">
        <f>--4.65</f>
        <v>4.6500000000000004</v>
      </c>
      <c r="I72" s="2"/>
      <c r="J72" s="19"/>
      <c r="K72" s="2"/>
      <c r="L72" s="2">
        <f t="shared" si="0"/>
        <v>-4.6500000000000004</v>
      </c>
      <c r="M72" s="2"/>
      <c r="N72" s="19">
        <f t="shared" si="1"/>
        <v>-1</v>
      </c>
      <c r="O72" s="10"/>
      <c r="P72" s="2">
        <f>--68.25</f>
        <v>68.25</v>
      </c>
      <c r="Q72" s="2"/>
      <c r="R72" s="19"/>
      <c r="S72" s="2"/>
      <c r="T72" s="2">
        <f>--10092.5</f>
        <v>10092.5</v>
      </c>
      <c r="U72" s="2"/>
      <c r="V72" s="19"/>
      <c r="W72" s="2"/>
      <c r="X72" s="2">
        <f t="shared" si="2"/>
        <v>-10024.25</v>
      </c>
      <c r="Y72" s="2"/>
      <c r="Z72" s="19">
        <f t="shared" si="3"/>
        <v>-0.99323755263809754</v>
      </c>
    </row>
    <row r="73" spans="1:26" s="23" customFormat="1" hidden="1" outlineLevel="1" x14ac:dyDescent="0.25">
      <c r="A73" s="44"/>
      <c r="B73" s="10" t="str">
        <f>CONCATENATE("          ", "4140", " - ", "NON-TAXABLE SALES-LOGO CLOTHIN")</f>
        <v xml:space="preserve">          4140 - NON-TAXABLE SALES-LOGO CLOTHIN</v>
      </c>
      <c r="C73" s="10"/>
      <c r="D73" s="2">
        <f>--23040.7</f>
        <v>23040.7</v>
      </c>
      <c r="E73" s="2"/>
      <c r="F73" s="19"/>
      <c r="G73" s="2"/>
      <c r="H73" s="2">
        <f>--30875.73</f>
        <v>30875.73</v>
      </c>
      <c r="I73" s="2"/>
      <c r="J73" s="19"/>
      <c r="K73" s="2"/>
      <c r="L73" s="2">
        <f t="shared" si="0"/>
        <v>-7835.0299999999988</v>
      </c>
      <c r="M73" s="2"/>
      <c r="N73" s="19">
        <f t="shared" si="1"/>
        <v>-0.25376015401093349</v>
      </c>
      <c r="O73" s="10"/>
      <c r="P73" s="2">
        <f>--154792.39</f>
        <v>154792.39000000001</v>
      </c>
      <c r="Q73" s="2"/>
      <c r="R73" s="19"/>
      <c r="S73" s="2"/>
      <c r="T73" s="2">
        <f>--78924.71</f>
        <v>78924.710000000006</v>
      </c>
      <c r="U73" s="2"/>
      <c r="V73" s="19"/>
      <c r="W73" s="2"/>
      <c r="X73" s="2">
        <f t="shared" si="2"/>
        <v>75867.680000000008</v>
      </c>
      <c r="Y73" s="2"/>
      <c r="Z73" s="19">
        <f t="shared" si="3"/>
        <v>0.96126650322820317</v>
      </c>
    </row>
    <row r="74" spans="1:26" s="23" customFormat="1" hidden="1" outlineLevel="1" x14ac:dyDescent="0.25">
      <c r="A74" s="44"/>
      <c r="B74" s="10" t="str">
        <f>CONCATENATE("          ", "4141", " - ", "NON-TAXABLE SALES-LOGO GIFTS")</f>
        <v xml:space="preserve">          4141 - NON-TAXABLE SALES-LOGO GIFTS</v>
      </c>
      <c r="C74" s="10"/>
      <c r="D74" s="2">
        <f>--27228.57</f>
        <v>27228.57</v>
      </c>
      <c r="E74" s="2"/>
      <c r="F74" s="19"/>
      <c r="G74" s="2"/>
      <c r="H74" s="2">
        <f>--1860.77</f>
        <v>1860.77</v>
      </c>
      <c r="I74" s="2"/>
      <c r="J74" s="19"/>
      <c r="K74" s="2"/>
      <c r="L74" s="2">
        <f t="shared" si="0"/>
        <v>25367.8</v>
      </c>
      <c r="M74" s="2"/>
      <c r="N74" s="19">
        <f t="shared" si="1"/>
        <v>13.632958398942373</v>
      </c>
      <c r="O74" s="10"/>
      <c r="P74" s="2">
        <f>--36796.81</f>
        <v>36796.81</v>
      </c>
      <c r="Q74" s="2"/>
      <c r="R74" s="19"/>
      <c r="S74" s="2"/>
      <c r="T74" s="2">
        <f>--12775.33</f>
        <v>12775.33</v>
      </c>
      <c r="U74" s="2"/>
      <c r="V74" s="19"/>
      <c r="W74" s="2"/>
      <c r="X74" s="2">
        <f t="shared" si="2"/>
        <v>24021.479999999996</v>
      </c>
      <c r="Y74" s="2"/>
      <c r="Z74" s="19">
        <f t="shared" si="3"/>
        <v>1.8803021135266169</v>
      </c>
    </row>
    <row r="75" spans="1:26" s="23" customFormat="1" hidden="1" outlineLevel="1" x14ac:dyDescent="0.25">
      <c r="A75" s="44"/>
      <c r="B75" s="10" t="str">
        <f>CONCATENATE("          ", "4142", " - ", "NON-TAXABLE SALES-EVERYDAY GIF")</f>
        <v xml:space="preserve">          4142 - NON-TAXABLE SALES-EVERYDAY GIF</v>
      </c>
      <c r="C75" s="10"/>
      <c r="D75" s="2">
        <f>--306.73</f>
        <v>306.73</v>
      </c>
      <c r="E75" s="2"/>
      <c r="F75" s="19"/>
      <c r="G75" s="2"/>
      <c r="H75" s="2">
        <f>--386.65</f>
        <v>386.65</v>
      </c>
      <c r="I75" s="2"/>
      <c r="J75" s="19"/>
      <c r="K75" s="2"/>
      <c r="L75" s="2">
        <f t="shared" si="0"/>
        <v>-79.919999999999959</v>
      </c>
      <c r="M75" s="2"/>
      <c r="N75" s="19">
        <f t="shared" si="1"/>
        <v>-0.20669856459330135</v>
      </c>
      <c r="O75" s="10"/>
      <c r="P75" s="2">
        <f>--2588.1</f>
        <v>2588.1</v>
      </c>
      <c r="Q75" s="2"/>
      <c r="R75" s="19"/>
      <c r="S75" s="2"/>
      <c r="T75" s="2">
        <f>--14128.08</f>
        <v>14128.08</v>
      </c>
      <c r="U75" s="2"/>
      <c r="V75" s="19"/>
      <c r="W75" s="2"/>
      <c r="X75" s="2">
        <f t="shared" si="2"/>
        <v>-11539.98</v>
      </c>
      <c r="Y75" s="2"/>
      <c r="Z75" s="19">
        <f t="shared" si="3"/>
        <v>-0.81681162620823211</v>
      </c>
    </row>
    <row r="76" spans="1:26" s="23" customFormat="1" hidden="1" outlineLevel="1" x14ac:dyDescent="0.25">
      <c r="A76" s="44"/>
      <c r="B76" s="10" t="str">
        <f>CONCATENATE("          ", "4143", " - ", "NON-TAXABLE SALES-CARDS")</f>
        <v xml:space="preserve">          4143 - NON-TAXABLE SALES-CARDS</v>
      </c>
      <c r="C76" s="10"/>
      <c r="D76" s="2">
        <f>--49.97</f>
        <v>49.97</v>
      </c>
      <c r="E76" s="2"/>
      <c r="F76" s="19"/>
      <c r="G76" s="2"/>
      <c r="H76" s="2">
        <f>-9.99</f>
        <v>-9.99</v>
      </c>
      <c r="I76" s="2"/>
      <c r="J76" s="19"/>
      <c r="K76" s="2"/>
      <c r="L76" s="2">
        <f t="shared" si="0"/>
        <v>59.96</v>
      </c>
      <c r="M76" s="2"/>
      <c r="N76" s="19">
        <f t="shared" si="1"/>
        <v>-6.0020020020020022</v>
      </c>
      <c r="O76" s="10"/>
      <c r="P76" s="2">
        <f>--2431.45</f>
        <v>2431.4499999999998</v>
      </c>
      <c r="Q76" s="2"/>
      <c r="R76" s="19"/>
      <c r="S76" s="2"/>
      <c r="T76" s="2">
        <f>0</f>
        <v>0</v>
      </c>
      <c r="U76" s="2"/>
      <c r="V76" s="19"/>
      <c r="W76" s="2"/>
      <c r="X76" s="2">
        <f t="shared" si="2"/>
        <v>2431.4499999999998</v>
      </c>
      <c r="Y76" s="2"/>
      <c r="Z76" s="19">
        <f t="shared" si="3"/>
        <v>0</v>
      </c>
    </row>
    <row r="77" spans="1:26" s="23" customFormat="1" hidden="1" outlineLevel="1" x14ac:dyDescent="0.25">
      <c r="A77" s="44"/>
      <c r="B77" s="10" t="str">
        <f>CONCATENATE("          ", "4144", " - ", "NON-TAXABLE SALES-ACCESSORIES")</f>
        <v xml:space="preserve">          4144 - NON-TAXABLE SALES-ACCESSORIES</v>
      </c>
      <c r="C77" s="10"/>
      <c r="D77" s="2">
        <f>--29.85</f>
        <v>29.85</v>
      </c>
      <c r="E77" s="2"/>
      <c r="F77" s="19"/>
      <c r="G77" s="2"/>
      <c r="H77" s="2">
        <f>--299.4</f>
        <v>299.39999999999998</v>
      </c>
      <c r="I77" s="2"/>
      <c r="J77" s="19"/>
      <c r="K77" s="2"/>
      <c r="L77" s="2">
        <f t="shared" si="0"/>
        <v>-269.54999999999995</v>
      </c>
      <c r="M77" s="2"/>
      <c r="N77" s="19">
        <f t="shared" si="1"/>
        <v>-0.90030060120240474</v>
      </c>
      <c r="O77" s="10"/>
      <c r="P77" s="2">
        <f>--709.1</f>
        <v>709.1</v>
      </c>
      <c r="Q77" s="2"/>
      <c r="R77" s="19"/>
      <c r="S77" s="2"/>
      <c r="T77" s="2">
        <f>--2339.67</f>
        <v>2339.67</v>
      </c>
      <c r="U77" s="2"/>
      <c r="V77" s="19"/>
      <c r="W77" s="2"/>
      <c r="X77" s="2">
        <f t="shared" si="2"/>
        <v>-1630.5700000000002</v>
      </c>
      <c r="Y77" s="2"/>
      <c r="Z77" s="19">
        <f t="shared" si="3"/>
        <v>-0.69692307034752765</v>
      </c>
    </row>
    <row r="78" spans="1:26" s="23" customFormat="1" hidden="1" outlineLevel="1" x14ac:dyDescent="0.25">
      <c r="A78" s="44"/>
      <c r="B78" s="10" t="str">
        <f>CONCATENATE("          ", "4145", " - ", "NON-TAXABLE SALES-SPECIAL ORDE")</f>
        <v xml:space="preserve">          4145 - NON-TAXABLE SALES-SPECIAL ORDE</v>
      </c>
      <c r="C78" s="10"/>
      <c r="D78" s="2">
        <f>--20350.8</f>
        <v>20350.8</v>
      </c>
      <c r="E78" s="2"/>
      <c r="F78" s="19"/>
      <c r="G78" s="2"/>
      <c r="H78" s="2">
        <f>0</f>
        <v>0</v>
      </c>
      <c r="I78" s="2"/>
      <c r="J78" s="19"/>
      <c r="K78" s="2"/>
      <c r="L78" s="2">
        <f t="shared" si="0"/>
        <v>20350.8</v>
      </c>
      <c r="M78" s="2"/>
      <c r="N78" s="19">
        <f t="shared" si="1"/>
        <v>0</v>
      </c>
      <c r="O78" s="10"/>
      <c r="P78" s="2">
        <f>--74066.89</f>
        <v>74066.89</v>
      </c>
      <c r="Q78" s="2"/>
      <c r="R78" s="19"/>
      <c r="S78" s="2"/>
      <c r="T78" s="2">
        <f>--140</f>
        <v>140</v>
      </c>
      <c r="U78" s="2"/>
      <c r="V78" s="19"/>
      <c r="W78" s="2"/>
      <c r="X78" s="2">
        <f t="shared" si="2"/>
        <v>73926.89</v>
      </c>
      <c r="Y78" s="2"/>
      <c r="Z78" s="19">
        <f t="shared" si="3"/>
        <v>528.04921428571424</v>
      </c>
    </row>
    <row r="79" spans="1:26" s="23" customFormat="1" hidden="1" outlineLevel="1" x14ac:dyDescent="0.25">
      <c r="A79" s="44"/>
      <c r="B79" s="10" t="str">
        <f>CONCATENATE("          ", "4146", " - ", "NON-TAXABLE SALES-COIN OP MACH")</f>
        <v xml:space="preserve">          4146 - NON-TAXABLE SALES-COIN OP MACH</v>
      </c>
      <c r="C79" s="10"/>
      <c r="D79" s="2">
        <f>--30.2</f>
        <v>30.2</v>
      </c>
      <c r="E79" s="2"/>
      <c r="F79" s="19"/>
      <c r="G79" s="2"/>
      <c r="H79" s="2">
        <f>--121.7</f>
        <v>121.7</v>
      </c>
      <c r="I79" s="2"/>
      <c r="J79" s="19"/>
      <c r="K79" s="2"/>
      <c r="L79" s="2">
        <f t="shared" si="0"/>
        <v>-91.5</v>
      </c>
      <c r="M79" s="2"/>
      <c r="N79" s="19">
        <f t="shared" si="1"/>
        <v>-0.75184880854560387</v>
      </c>
      <c r="O79" s="10"/>
      <c r="P79" s="2">
        <f>--329.3</f>
        <v>329.3</v>
      </c>
      <c r="Q79" s="2"/>
      <c r="R79" s="19"/>
      <c r="S79" s="2"/>
      <c r="T79" s="2">
        <f>--205908.65</f>
        <v>205908.65</v>
      </c>
      <c r="U79" s="2"/>
      <c r="V79" s="19"/>
      <c r="W79" s="2"/>
      <c r="X79" s="2">
        <f t="shared" si="2"/>
        <v>-205579.35</v>
      </c>
      <c r="Y79" s="2"/>
      <c r="Z79" s="19">
        <f t="shared" si="3"/>
        <v>-0.99840074712742766</v>
      </c>
    </row>
    <row r="80" spans="1:26" s="23" customFormat="1" hidden="1" outlineLevel="1" x14ac:dyDescent="0.25">
      <c r="A80" s="44"/>
      <c r="B80" s="10" t="str">
        <f>CONCATENATE("          ", "4147", " - ", "NON-TAXABLE SALES-MISC")</f>
        <v xml:space="preserve">          4147 - NON-TAXABLE SALES-MISC</v>
      </c>
      <c r="C80" s="10"/>
      <c r="D80" s="2">
        <f>--11</f>
        <v>11</v>
      </c>
      <c r="E80" s="2"/>
      <c r="F80" s="19"/>
      <c r="G80" s="2"/>
      <c r="H80" s="2">
        <f>0</f>
        <v>0</v>
      </c>
      <c r="I80" s="2"/>
      <c r="J80" s="19"/>
      <c r="K80" s="2"/>
      <c r="L80" s="2">
        <f t="shared" si="0"/>
        <v>11</v>
      </c>
      <c r="M80" s="2"/>
      <c r="N80" s="19">
        <f t="shared" si="1"/>
        <v>0</v>
      </c>
      <c r="O80" s="10"/>
      <c r="P80" s="2">
        <f>--154.5</f>
        <v>154.5</v>
      </c>
      <c r="Q80" s="2"/>
      <c r="R80" s="19"/>
      <c r="S80" s="2"/>
      <c r="T80" s="2">
        <f>--3436.37</f>
        <v>3436.37</v>
      </c>
      <c r="U80" s="2"/>
      <c r="V80" s="19"/>
      <c r="W80" s="2"/>
      <c r="X80" s="2">
        <f t="shared" si="2"/>
        <v>-3281.87</v>
      </c>
      <c r="Y80" s="2"/>
      <c r="Z80" s="19">
        <f t="shared" si="3"/>
        <v>-0.95503976579937555</v>
      </c>
    </row>
    <row r="81" spans="1:26" s="23" customFormat="1" hidden="1" outlineLevel="1" x14ac:dyDescent="0.25">
      <c r="A81" s="44"/>
      <c r="B81" s="10" t="str">
        <f>CONCATENATE("          ", "4151", " - ", "NON-TAXABLE SALES-FOOD")</f>
        <v xml:space="preserve">          4151 - NON-TAXABLE SALES-FOOD</v>
      </c>
      <c r="C81" s="10"/>
      <c r="D81" s="2">
        <f>--91787.27</f>
        <v>91787.27</v>
      </c>
      <c r="E81" s="2"/>
      <c r="F81" s="19"/>
      <c r="G81" s="2"/>
      <c r="H81" s="2">
        <f>--1200</f>
        <v>1200</v>
      </c>
      <c r="I81" s="2"/>
      <c r="J81" s="19"/>
      <c r="K81" s="2"/>
      <c r="L81" s="2">
        <f t="shared" si="0"/>
        <v>90587.27</v>
      </c>
      <c r="M81" s="2"/>
      <c r="N81" s="19">
        <f t="shared" si="1"/>
        <v>75.489391666666677</v>
      </c>
      <c r="O81" s="10"/>
      <c r="P81" s="2">
        <f>--924097.12</f>
        <v>924097.12</v>
      </c>
      <c r="Q81" s="2"/>
      <c r="R81" s="19"/>
      <c r="S81" s="2"/>
      <c r="T81" s="2">
        <f>--10905580.56</f>
        <v>10905580.560000001</v>
      </c>
      <c r="U81" s="2"/>
      <c r="V81" s="19"/>
      <c r="W81" s="2"/>
      <c r="X81" s="2">
        <f t="shared" si="2"/>
        <v>-9981483.4400000013</v>
      </c>
      <c r="Y81" s="2"/>
      <c r="Z81" s="19">
        <f t="shared" si="3"/>
        <v>-0.91526383075932283</v>
      </c>
    </row>
    <row r="82" spans="1:26" s="23" customFormat="1" hidden="1" outlineLevel="1" x14ac:dyDescent="0.25">
      <c r="A82" s="44"/>
      <c r="B82" s="10" t="str">
        <f>CONCATENATE("          ", "4152", " - ", "NON-TAXABLE SALES-FOOD")</f>
        <v xml:space="preserve">          4152 - NON-TAXABLE SALES-FOOD</v>
      </c>
      <c r="C82" s="10"/>
      <c r="D82" s="2">
        <f>--11580.95</f>
        <v>11580.95</v>
      </c>
      <c r="E82" s="2"/>
      <c r="F82" s="19"/>
      <c r="G82" s="2"/>
      <c r="H82" s="2">
        <f>0</f>
        <v>0</v>
      </c>
      <c r="I82" s="2"/>
      <c r="J82" s="19"/>
      <c r="K82" s="2"/>
      <c r="L82" s="2">
        <f t="shared" si="0"/>
        <v>11580.95</v>
      </c>
      <c r="M82" s="2"/>
      <c r="N82" s="19">
        <f t="shared" si="1"/>
        <v>0</v>
      </c>
      <c r="O82" s="10"/>
      <c r="P82" s="2">
        <f>--11580.95</f>
        <v>11580.95</v>
      </c>
      <c r="Q82" s="2"/>
      <c r="R82" s="19"/>
      <c r="S82" s="2"/>
      <c r="T82" s="2">
        <f>--51415.27</f>
        <v>51415.27</v>
      </c>
      <c r="U82" s="2"/>
      <c r="V82" s="19"/>
      <c r="W82" s="2"/>
      <c r="X82" s="2">
        <f t="shared" si="2"/>
        <v>-39834.319999999992</v>
      </c>
      <c r="Y82" s="2"/>
      <c r="Z82" s="19">
        <f t="shared" si="3"/>
        <v>-0.77475660440954597</v>
      </c>
    </row>
    <row r="83" spans="1:26" s="23" customFormat="1" hidden="1" outlineLevel="1" x14ac:dyDescent="0.25">
      <c r="A83" s="44"/>
      <c r="B83" s="10" t="str">
        <f>CONCATENATE("          ", "4153", " - ", "NON-TAXABLE SALES-FOOD")</f>
        <v xml:space="preserve">          4153 - NON-TAXABLE SALES-FOOD</v>
      </c>
      <c r="C83" s="10"/>
      <c r="D83" s="2">
        <f>--4488.82</f>
        <v>4488.82</v>
      </c>
      <c r="E83" s="2"/>
      <c r="F83" s="19"/>
      <c r="G83" s="2"/>
      <c r="H83" s="2">
        <f>--3102.16</f>
        <v>3102.16</v>
      </c>
      <c r="I83" s="2"/>
      <c r="J83" s="19"/>
      <c r="K83" s="2"/>
      <c r="L83" s="2">
        <f t="shared" si="0"/>
        <v>1386.6599999999999</v>
      </c>
      <c r="M83" s="2"/>
      <c r="N83" s="19">
        <f t="shared" si="1"/>
        <v>0.44699822059468242</v>
      </c>
      <c r="O83" s="10"/>
      <c r="P83" s="2">
        <f>--47838.73</f>
        <v>47838.73</v>
      </c>
      <c r="Q83" s="2"/>
      <c r="R83" s="19"/>
      <c r="S83" s="2"/>
      <c r="T83" s="2">
        <f>--316432.68</f>
        <v>316432.68</v>
      </c>
      <c r="U83" s="2"/>
      <c r="V83" s="19"/>
      <c r="W83" s="2"/>
      <c r="X83" s="2">
        <f t="shared" si="2"/>
        <v>-268593.95</v>
      </c>
      <c r="Y83" s="2"/>
      <c r="Z83" s="19">
        <f t="shared" si="3"/>
        <v>-0.84881861759664023</v>
      </c>
    </row>
    <row r="84" spans="1:26" s="23" customFormat="1" hidden="1" outlineLevel="1" x14ac:dyDescent="0.25">
      <c r="A84" s="44"/>
      <c r="B84" s="10" t="str">
        <f>CONCATENATE("          ", "4155", " - ", "NON-TAXABLE SALES-FOOD")</f>
        <v xml:space="preserve">          4155 - NON-TAXABLE SALES-FOOD</v>
      </c>
      <c r="C84" s="10"/>
      <c r="D84" s="2">
        <f t="shared" ref="D84:D85" si="19">0</f>
        <v>0</v>
      </c>
      <c r="E84" s="2"/>
      <c r="F84" s="19"/>
      <c r="G84" s="2"/>
      <c r="H84" s="2">
        <f t="shared" ref="H84:H85" si="20">0</f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0"/>
      <c r="P84" s="2">
        <f t="shared" ref="P84:P85" si="21">0</f>
        <v>0</v>
      </c>
      <c r="Q84" s="2"/>
      <c r="R84" s="19"/>
      <c r="S84" s="2"/>
      <c r="T84" s="2">
        <f>--691123.63</f>
        <v>691123.63</v>
      </c>
      <c r="U84" s="2"/>
      <c r="V84" s="19"/>
      <c r="W84" s="2"/>
      <c r="X84" s="2">
        <f t="shared" si="2"/>
        <v>-691123.63</v>
      </c>
      <c r="Y84" s="2"/>
      <c r="Z84" s="19">
        <f t="shared" si="3"/>
        <v>-1</v>
      </c>
    </row>
    <row r="85" spans="1:26" s="23" customFormat="1" hidden="1" outlineLevel="1" x14ac:dyDescent="0.25">
      <c r="A85" s="44"/>
      <c r="B85" s="10" t="str">
        <f>CONCATENATE("          ", "4158", " - ", "NON-TAXABLE SALES-FOOD")</f>
        <v xml:space="preserve">          4158 - NON-TAXABLE SALES-FOOD</v>
      </c>
      <c r="C85" s="10"/>
      <c r="D85" s="2">
        <f t="shared" si="19"/>
        <v>0</v>
      </c>
      <c r="E85" s="2"/>
      <c r="F85" s="19"/>
      <c r="G85" s="2"/>
      <c r="H85" s="2">
        <f t="shared" si="20"/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0"/>
      <c r="P85" s="2">
        <f t="shared" si="21"/>
        <v>0</v>
      </c>
      <c r="Q85" s="2"/>
      <c r="R85" s="19"/>
      <c r="S85" s="2"/>
      <c r="T85" s="2">
        <f>--474853.67</f>
        <v>474853.67</v>
      </c>
      <c r="U85" s="2"/>
      <c r="V85" s="19"/>
      <c r="W85" s="2"/>
      <c r="X85" s="2">
        <f t="shared" si="2"/>
        <v>-474853.67</v>
      </c>
      <c r="Y85" s="2"/>
      <c r="Z85" s="19">
        <f t="shared" si="3"/>
        <v>-1</v>
      </c>
    </row>
    <row r="86" spans="1:26" s="23" customFormat="1" hidden="1" outlineLevel="1" x14ac:dyDescent="0.25">
      <c r="A86" s="44"/>
      <c r="B86" s="10" t="str">
        <f>CONCATENATE("          ", "4181", " - ", "NON-TAXABLE SALES-ELECTRONICS")</f>
        <v xml:space="preserve">          4181 - NON-TAXABLE SALES-ELECTRONICS</v>
      </c>
      <c r="C86" s="10"/>
      <c r="D86" s="2">
        <f>--29.99</f>
        <v>29.99</v>
      </c>
      <c r="E86" s="2"/>
      <c r="F86" s="19"/>
      <c r="G86" s="2"/>
      <c r="H86" s="2">
        <f>--154.96</f>
        <v>154.96</v>
      </c>
      <c r="I86" s="2"/>
      <c r="J86" s="19"/>
      <c r="K86" s="2"/>
      <c r="L86" s="2">
        <f t="shared" si="0"/>
        <v>-124.97000000000001</v>
      </c>
      <c r="M86" s="2"/>
      <c r="N86" s="19">
        <f t="shared" si="1"/>
        <v>-0.80646618482188959</v>
      </c>
      <c r="O86" s="10"/>
      <c r="P86" s="2">
        <f>--12508.62</f>
        <v>12508.62</v>
      </c>
      <c r="Q86" s="2"/>
      <c r="R86" s="19"/>
      <c r="S86" s="2"/>
      <c r="T86" s="2">
        <f>--2233.33</f>
        <v>2233.33</v>
      </c>
      <c r="U86" s="2"/>
      <c r="V86" s="19"/>
      <c r="W86" s="2"/>
      <c r="X86" s="2">
        <f t="shared" si="2"/>
        <v>10275.290000000001</v>
      </c>
      <c r="Y86" s="2"/>
      <c r="Z86" s="19">
        <f t="shared" si="3"/>
        <v>4.6008829863925174</v>
      </c>
    </row>
    <row r="87" spans="1:26" s="23" customFormat="1" hidden="1" outlineLevel="1" x14ac:dyDescent="0.25">
      <c r="A87" s="44"/>
      <c r="B87" s="10" t="str">
        <f>CONCATENATE("          ", "4182", " - ", "NON-TAXABLE SALES-COMPUTER HAR")</f>
        <v xml:space="preserve">          4182 - NON-TAXABLE SALES-COMPUTER HAR</v>
      </c>
      <c r="C87" s="10"/>
      <c r="D87" s="2">
        <f>--61075.64</f>
        <v>61075.64</v>
      </c>
      <c r="E87" s="2"/>
      <c r="F87" s="19"/>
      <c r="G87" s="2"/>
      <c r="H87" s="2">
        <f>--30055.98</f>
        <v>30055.98</v>
      </c>
      <c r="I87" s="2"/>
      <c r="J87" s="19"/>
      <c r="K87" s="2"/>
      <c r="L87" s="2">
        <f t="shared" si="0"/>
        <v>31019.66</v>
      </c>
      <c r="M87" s="2"/>
      <c r="N87" s="19">
        <f t="shared" si="1"/>
        <v>1.0320628374120557</v>
      </c>
      <c r="O87" s="10"/>
      <c r="P87" s="2">
        <f>--314490.47</f>
        <v>314490.46999999997</v>
      </c>
      <c r="Q87" s="2"/>
      <c r="R87" s="19"/>
      <c r="S87" s="2"/>
      <c r="T87" s="2">
        <f>--148066.94</f>
        <v>148066.94</v>
      </c>
      <c r="U87" s="2"/>
      <c r="V87" s="19"/>
      <c r="W87" s="2"/>
      <c r="X87" s="2">
        <f t="shared" si="2"/>
        <v>166423.52999999997</v>
      </c>
      <c r="Y87" s="2"/>
      <c r="Z87" s="19">
        <f t="shared" si="3"/>
        <v>1.1239749399832262</v>
      </c>
    </row>
    <row r="88" spans="1:26" s="23" customFormat="1" hidden="1" outlineLevel="1" x14ac:dyDescent="0.25">
      <c r="A88" s="44"/>
      <c r="B88" s="10" t="str">
        <f>CONCATENATE("          ", "4183", " - ", "NON-TAXABLE SALES-COMPUTER EQU")</f>
        <v xml:space="preserve">          4183 - NON-TAXABLE SALES-COMPUTER EQU</v>
      </c>
      <c r="C88" s="10"/>
      <c r="D88" s="2">
        <f>--2879.59</f>
        <v>2879.59</v>
      </c>
      <c r="E88" s="2"/>
      <c r="F88" s="19"/>
      <c r="G88" s="2"/>
      <c r="H88" s="2">
        <f>--2769.8</f>
        <v>2769.8</v>
      </c>
      <c r="I88" s="2"/>
      <c r="J88" s="19"/>
      <c r="K88" s="2"/>
      <c r="L88" s="2">
        <f t="shared" si="0"/>
        <v>109.78999999999996</v>
      </c>
      <c r="M88" s="2"/>
      <c r="N88" s="19">
        <f t="shared" si="1"/>
        <v>3.9638241028233066E-2</v>
      </c>
      <c r="O88" s="10"/>
      <c r="P88" s="2">
        <f>--19486.02</f>
        <v>19486.02</v>
      </c>
      <c r="Q88" s="2"/>
      <c r="R88" s="19"/>
      <c r="S88" s="2"/>
      <c r="T88" s="2">
        <f>--9532.02</f>
        <v>9532.02</v>
      </c>
      <c r="U88" s="2"/>
      <c r="V88" s="19"/>
      <c r="W88" s="2"/>
      <c r="X88" s="2">
        <f t="shared" si="2"/>
        <v>9954</v>
      </c>
      <c r="Y88" s="2"/>
      <c r="Z88" s="19">
        <f t="shared" si="3"/>
        <v>1.0442697350614034</v>
      </c>
    </row>
    <row r="89" spans="1:26" s="23" customFormat="1" hidden="1" outlineLevel="1" x14ac:dyDescent="0.25">
      <c r="A89" s="44"/>
      <c r="B89" s="10" t="str">
        <f>CONCATENATE("          ", "4184", " - ", "NON-TAXABLE SALES-SOFTWARE LIC")</f>
        <v xml:space="preserve">          4184 - NON-TAXABLE SALES-SOFTWARE LIC</v>
      </c>
      <c r="C89" s="10"/>
      <c r="D89" s="2">
        <f>0</f>
        <v>0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0"/>
      <c r="P89" s="2">
        <f>0</f>
        <v>0</v>
      </c>
      <c r="Q89" s="2"/>
      <c r="R89" s="19"/>
      <c r="S89" s="2"/>
      <c r="T89" s="2">
        <f>--2728</f>
        <v>2728</v>
      </c>
      <c r="U89" s="2"/>
      <c r="V89" s="19"/>
      <c r="W89" s="2"/>
      <c r="X89" s="2">
        <f t="shared" si="2"/>
        <v>-2728</v>
      </c>
      <c r="Y89" s="2"/>
      <c r="Z89" s="19">
        <f t="shared" si="3"/>
        <v>-1</v>
      </c>
    </row>
    <row r="90" spans="1:26" s="23" customFormat="1" hidden="1" outlineLevel="1" x14ac:dyDescent="0.25">
      <c r="A90" s="44"/>
      <c r="B90" s="10" t="str">
        <f>CONCATENATE("          ", "4185", " - ", "NON-TAXABLE SALES-SOFTWARE")</f>
        <v xml:space="preserve">          4185 - NON-TAXABLE SALES-SOFTWARE</v>
      </c>
      <c r="C90" s="10"/>
      <c r="D90" s="2">
        <f>--11345.61</f>
        <v>11345.61</v>
      </c>
      <c r="E90" s="2"/>
      <c r="F90" s="19"/>
      <c r="G90" s="2"/>
      <c r="H90" s="2">
        <f>--3224.87</f>
        <v>3224.87</v>
      </c>
      <c r="I90" s="2"/>
      <c r="J90" s="19"/>
      <c r="K90" s="2"/>
      <c r="L90" s="2">
        <f t="shared" si="0"/>
        <v>8120.7400000000007</v>
      </c>
      <c r="M90" s="2"/>
      <c r="N90" s="19">
        <f t="shared" si="1"/>
        <v>2.5181604219704985</v>
      </c>
      <c r="O90" s="10"/>
      <c r="P90" s="2">
        <f>--50032.39</f>
        <v>50032.39</v>
      </c>
      <c r="Q90" s="2"/>
      <c r="R90" s="19"/>
      <c r="S90" s="2"/>
      <c r="T90" s="2">
        <f>--16347.61</f>
        <v>16347.61</v>
      </c>
      <c r="U90" s="2"/>
      <c r="V90" s="19"/>
      <c r="W90" s="2"/>
      <c r="X90" s="2">
        <f t="shared" si="2"/>
        <v>33684.78</v>
      </c>
      <c r="Y90" s="2"/>
      <c r="Z90" s="19">
        <f t="shared" si="3"/>
        <v>2.0605323958670412</v>
      </c>
    </row>
    <row r="91" spans="1:26" s="23" customFormat="1" hidden="1" outlineLevel="1" x14ac:dyDescent="0.25">
      <c r="A91" s="44"/>
      <c r="B91" s="10" t="str">
        <f>CONCATENATE("          ", "4186", " - ", "NON-TAXABLE SALES-COMPUTER SUP")</f>
        <v xml:space="preserve">          4186 - NON-TAXABLE SALES-COMPUTER SUP</v>
      </c>
      <c r="C91" s="10"/>
      <c r="D91" s="2">
        <f>--89.97</f>
        <v>89.97</v>
      </c>
      <c r="E91" s="2"/>
      <c r="F91" s="19"/>
      <c r="G91" s="2"/>
      <c r="H91" s="2">
        <f>--189.97</f>
        <v>189.97</v>
      </c>
      <c r="I91" s="2"/>
      <c r="J91" s="19"/>
      <c r="K91" s="2"/>
      <c r="L91" s="2">
        <f t="shared" si="0"/>
        <v>-100</v>
      </c>
      <c r="M91" s="2"/>
      <c r="N91" s="19">
        <f t="shared" si="1"/>
        <v>-0.52639890509027742</v>
      </c>
      <c r="O91" s="10"/>
      <c r="P91" s="2">
        <f>--3345.17</f>
        <v>3345.17</v>
      </c>
      <c r="Q91" s="2"/>
      <c r="R91" s="19"/>
      <c r="S91" s="2"/>
      <c r="T91" s="2">
        <f>--2809.16</f>
        <v>2809.16</v>
      </c>
      <c r="U91" s="2"/>
      <c r="V91" s="19"/>
      <c r="W91" s="2"/>
      <c r="X91" s="2">
        <f t="shared" si="2"/>
        <v>536.01000000000022</v>
      </c>
      <c r="Y91" s="2"/>
      <c r="Z91" s="19">
        <f t="shared" si="3"/>
        <v>0.19080792834868796</v>
      </c>
    </row>
    <row r="92" spans="1:26" s="23" customFormat="1" hidden="1" outlineLevel="1" x14ac:dyDescent="0.25">
      <c r="A92" s="44"/>
      <c r="B92" s="10" t="str">
        <f>CONCATENATE("          ", "4188", " - ", "NON-TAXABLE SALES-MUSIC")</f>
        <v xml:space="preserve">          4188 - NON-TAXABLE SALES-MUSIC</v>
      </c>
      <c r="C92" s="10"/>
      <c r="D92" s="2">
        <f>0</f>
        <v>0</v>
      </c>
      <c r="E92" s="2"/>
      <c r="F92" s="19"/>
      <c r="G92" s="2"/>
      <c r="H92" s="2">
        <f>0</f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0"/>
      <c r="P92" s="2">
        <f>0</f>
        <v>0</v>
      </c>
      <c r="Q92" s="2"/>
      <c r="R92" s="19"/>
      <c r="S92" s="2"/>
      <c r="T92" s="2">
        <f>--219.96</f>
        <v>219.96</v>
      </c>
      <c r="U92" s="2"/>
      <c r="V92" s="19"/>
      <c r="W92" s="2"/>
      <c r="X92" s="2">
        <f t="shared" si="2"/>
        <v>-219.96</v>
      </c>
      <c r="Y92" s="2"/>
      <c r="Z92" s="19">
        <f t="shared" si="3"/>
        <v>-1</v>
      </c>
    </row>
    <row r="93" spans="1:26" s="23" customFormat="1" hidden="1" outlineLevel="1" x14ac:dyDescent="0.25">
      <c r="A93" s="44"/>
      <c r="B93" s="10" t="str">
        <f>CONCATENATE("          ", "4201", " - ", "SALES RETURN TAXABLE-NEW TEXT")</f>
        <v xml:space="preserve">          4201 - SALES RETURN TAXABLE-NEW TEXT</v>
      </c>
      <c r="C93" s="10"/>
      <c r="D93" s="2">
        <f>-376.85</f>
        <v>-376.85</v>
      </c>
      <c r="E93" s="2"/>
      <c r="F93" s="19"/>
      <c r="G93" s="2"/>
      <c r="H93" s="2">
        <f>-62.3</f>
        <v>-62.3</v>
      </c>
      <c r="I93" s="2"/>
      <c r="J93" s="19"/>
      <c r="K93" s="2"/>
      <c r="L93" s="2">
        <f t="shared" si="0"/>
        <v>-314.55</v>
      </c>
      <c r="M93" s="2"/>
      <c r="N93" s="19">
        <f t="shared" si="1"/>
        <v>5.048956661316212</v>
      </c>
      <c r="O93" s="10"/>
      <c r="P93" s="2">
        <f>-51638.02</f>
        <v>-51638.02</v>
      </c>
      <c r="Q93" s="2"/>
      <c r="R93" s="19"/>
      <c r="S93" s="2"/>
      <c r="T93" s="2">
        <f>-121223.01</f>
        <v>-121223.01</v>
      </c>
      <c r="U93" s="2"/>
      <c r="V93" s="19"/>
      <c r="W93" s="2"/>
      <c r="X93" s="2">
        <f t="shared" si="2"/>
        <v>69584.989999999991</v>
      </c>
      <c r="Y93" s="2"/>
      <c r="Z93" s="19">
        <f t="shared" si="3"/>
        <v>-0.57402460143499157</v>
      </c>
    </row>
    <row r="94" spans="1:26" s="23" customFormat="1" hidden="1" outlineLevel="1" x14ac:dyDescent="0.25">
      <c r="A94" s="44"/>
      <c r="B94" s="10" t="str">
        <f>CONCATENATE("          ", "4202", " - ", "SALES RETURN TAXABLE-USED TEXT")</f>
        <v xml:space="preserve">          4202 - SALES RETURN TAXABLE-USED TEXT</v>
      </c>
      <c r="C94" s="10"/>
      <c r="D94" s="2">
        <f>-206.95</f>
        <v>-206.95</v>
      </c>
      <c r="E94" s="2"/>
      <c r="F94" s="19"/>
      <c r="G94" s="2"/>
      <c r="H94" s="2">
        <f>-31.95</f>
        <v>-31.95</v>
      </c>
      <c r="I94" s="2"/>
      <c r="J94" s="19"/>
      <c r="K94" s="2"/>
      <c r="L94" s="2">
        <f t="shared" si="0"/>
        <v>-175</v>
      </c>
      <c r="M94" s="2"/>
      <c r="N94" s="19">
        <f t="shared" si="1"/>
        <v>5.4773082942097027</v>
      </c>
      <c r="O94" s="10"/>
      <c r="P94" s="2">
        <f>-20096.26</f>
        <v>-20096.259999999998</v>
      </c>
      <c r="Q94" s="2"/>
      <c r="R94" s="19"/>
      <c r="S94" s="2"/>
      <c r="T94" s="2">
        <f>-45552.71</f>
        <v>-45552.71</v>
      </c>
      <c r="U94" s="2"/>
      <c r="V94" s="19"/>
      <c r="W94" s="2"/>
      <c r="X94" s="2">
        <f t="shared" si="2"/>
        <v>25456.45</v>
      </c>
      <c r="Y94" s="2"/>
      <c r="Z94" s="19">
        <f t="shared" si="3"/>
        <v>-0.55883502869532897</v>
      </c>
    </row>
    <row r="95" spans="1:26" s="23" customFormat="1" hidden="1" outlineLevel="1" x14ac:dyDescent="0.25">
      <c r="A95" s="44"/>
      <c r="B95" s="10" t="str">
        <f>CONCATENATE("          ", "4203", " - ", "SALES RETURN TAXABLE-RENTAL TE")</f>
        <v xml:space="preserve">          4203 - SALES RETURN TAXABLE-RENTAL TE</v>
      </c>
      <c r="C95" s="10"/>
      <c r="D95" s="2">
        <f t="shared" ref="D95:D102" si="22">0</f>
        <v>0</v>
      </c>
      <c r="E95" s="2"/>
      <c r="F95" s="19"/>
      <c r="G95" s="2"/>
      <c r="H95" s="2">
        <f t="shared" ref="H95:H96" si="23">0</f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0"/>
      <c r="P95" s="2">
        <f>0</f>
        <v>0</v>
      </c>
      <c r="Q95" s="2"/>
      <c r="R95" s="19"/>
      <c r="S95" s="2"/>
      <c r="T95" s="2">
        <f>-144.99</f>
        <v>-144.99</v>
      </c>
      <c r="U95" s="2"/>
      <c r="V95" s="19"/>
      <c r="W95" s="2"/>
      <c r="X95" s="2">
        <f t="shared" si="2"/>
        <v>144.99</v>
      </c>
      <c r="Y95" s="2"/>
      <c r="Z95" s="19">
        <f t="shared" si="3"/>
        <v>-1</v>
      </c>
    </row>
    <row r="96" spans="1:26" s="23" customFormat="1" hidden="1" outlineLevel="1" x14ac:dyDescent="0.25">
      <c r="A96" s="44"/>
      <c r="B96" s="10" t="str">
        <f>CONCATENATE("          ", "4204", " - ", "SALES RETURN TAXABLE-DIGITAL T")</f>
        <v xml:space="preserve">          4204 - SALES RETURN TAXABLE-DIGITAL T</v>
      </c>
      <c r="C96" s="10"/>
      <c r="D96" s="2">
        <f t="shared" si="22"/>
        <v>0</v>
      </c>
      <c r="E96" s="2"/>
      <c r="F96" s="19"/>
      <c r="G96" s="2"/>
      <c r="H96" s="2">
        <f t="shared" si="23"/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0"/>
      <c r="P96" s="2">
        <f>-1763.1</f>
        <v>-1763.1</v>
      </c>
      <c r="Q96" s="2"/>
      <c r="R96" s="19"/>
      <c r="S96" s="2"/>
      <c r="T96" s="2">
        <f>-17255.33</f>
        <v>-17255.330000000002</v>
      </c>
      <c r="U96" s="2"/>
      <c r="V96" s="19"/>
      <c r="W96" s="2"/>
      <c r="X96" s="2">
        <f t="shared" si="2"/>
        <v>15492.230000000001</v>
      </c>
      <c r="Y96" s="2"/>
      <c r="Z96" s="19">
        <f t="shared" si="3"/>
        <v>-0.89782287559843832</v>
      </c>
    </row>
    <row r="97" spans="1:26" s="23" customFormat="1" hidden="1" outlineLevel="1" x14ac:dyDescent="0.25">
      <c r="A97" s="44"/>
      <c r="B97" s="10" t="str">
        <f>CONCATENATE("          ", "4213", " - ", "NON-TAXABLE SALES-TRADE BOOKS")</f>
        <v xml:space="preserve">          4213 - NON-TAXABLE SALES-TRADE BOOKS</v>
      </c>
      <c r="C97" s="10"/>
      <c r="D97" s="2">
        <f t="shared" si="22"/>
        <v>0</v>
      </c>
      <c r="E97" s="2"/>
      <c r="F97" s="19"/>
      <c r="G97" s="2"/>
      <c r="H97" s="2">
        <f>-2173.76</f>
        <v>-2173.7600000000002</v>
      </c>
      <c r="I97" s="2"/>
      <c r="J97" s="19"/>
      <c r="K97" s="2"/>
      <c r="L97" s="2">
        <f t="shared" si="0"/>
        <v>2173.7600000000002</v>
      </c>
      <c r="M97" s="2"/>
      <c r="N97" s="19">
        <f t="shared" si="1"/>
        <v>-1</v>
      </c>
      <c r="O97" s="10"/>
      <c r="P97" s="2">
        <f>-69.93</f>
        <v>-69.930000000000007</v>
      </c>
      <c r="Q97" s="2"/>
      <c r="R97" s="19"/>
      <c r="S97" s="2"/>
      <c r="T97" s="2">
        <f>-2768.67</f>
        <v>-2768.67</v>
      </c>
      <c r="U97" s="2"/>
      <c r="V97" s="19"/>
      <c r="W97" s="2"/>
      <c r="X97" s="2">
        <f t="shared" si="2"/>
        <v>2698.7400000000002</v>
      </c>
      <c r="Y97" s="2"/>
      <c r="Z97" s="19">
        <f t="shared" si="3"/>
        <v>-0.97474238533303004</v>
      </c>
    </row>
    <row r="98" spans="1:26" s="23" customFormat="1" hidden="1" outlineLevel="1" x14ac:dyDescent="0.25">
      <c r="A98" s="44"/>
      <c r="B98" s="10" t="str">
        <f>CONCATENATE("          ", "4214", " - ", "SALES RETURN TAXABLE-REMAINDER")</f>
        <v xml:space="preserve">          4214 - SALES RETURN TAXABLE-REMAINDER</v>
      </c>
      <c r="C98" s="10"/>
      <c r="D98" s="2">
        <f t="shared" si="22"/>
        <v>0</v>
      </c>
      <c r="E98" s="2"/>
      <c r="F98" s="19"/>
      <c r="G98" s="2"/>
      <c r="H98" s="2">
        <f t="shared" ref="H98:H105" si="24"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0"/>
      <c r="P98" s="2">
        <f t="shared" ref="P98:P99" si="25">0</f>
        <v>0</v>
      </c>
      <c r="Q98" s="2"/>
      <c r="R98" s="19"/>
      <c r="S98" s="2"/>
      <c r="T98" s="2">
        <f>-11.94</f>
        <v>-11.94</v>
      </c>
      <c r="U98" s="2"/>
      <c r="V98" s="19"/>
      <c r="W98" s="2"/>
      <c r="X98" s="2">
        <f t="shared" si="2"/>
        <v>11.94</v>
      </c>
      <c r="Y98" s="2"/>
      <c r="Z98" s="19">
        <f t="shared" si="3"/>
        <v>-1</v>
      </c>
    </row>
    <row r="99" spans="1:26" s="23" customFormat="1" hidden="1" outlineLevel="1" x14ac:dyDescent="0.25">
      <c r="A99" s="44"/>
      <c r="B99" s="10" t="str">
        <f>CONCATENATE("          ", "4217", " - ", "NON-TAXABLE SALES-DORM/HOUSEWA")</f>
        <v xml:space="preserve">          4217 - NON-TAXABLE SALES-DORM/HOUSEWA</v>
      </c>
      <c r="C99" s="10"/>
      <c r="D99" s="2">
        <f t="shared" si="22"/>
        <v>0</v>
      </c>
      <c r="E99" s="2"/>
      <c r="F99" s="19"/>
      <c r="G99" s="2"/>
      <c r="H99" s="2">
        <f t="shared" si="24"/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0"/>
      <c r="P99" s="2">
        <f t="shared" si="25"/>
        <v>0</v>
      </c>
      <c r="Q99" s="2"/>
      <c r="R99" s="19"/>
      <c r="S99" s="2"/>
      <c r="T99" s="2">
        <f>-2.98</f>
        <v>-2.98</v>
      </c>
      <c r="U99" s="2"/>
      <c r="V99" s="19"/>
      <c r="W99" s="2"/>
      <c r="X99" s="2">
        <f t="shared" si="2"/>
        <v>2.98</v>
      </c>
      <c r="Y99" s="2"/>
      <c r="Z99" s="19">
        <f t="shared" si="3"/>
        <v>-1</v>
      </c>
    </row>
    <row r="100" spans="1:26" s="23" customFormat="1" hidden="1" outlineLevel="1" x14ac:dyDescent="0.25">
      <c r="A100" s="44"/>
      <c r="B100" s="10" t="str">
        <f>CONCATENATE("          ", "4218", " - ", "SALES RETURN TAXABLE-STUDY GUI")</f>
        <v xml:space="preserve">          4218 - SALES RETURN TAXABLE-STUDY GUI</v>
      </c>
      <c r="C100" s="10"/>
      <c r="D100" s="2">
        <f t="shared" si="22"/>
        <v>0</v>
      </c>
      <c r="E100" s="2"/>
      <c r="F100" s="19"/>
      <c r="G100" s="2"/>
      <c r="H100" s="2">
        <f t="shared" si="24"/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0"/>
      <c r="P100" s="2">
        <f>-5.21</f>
        <v>-5.21</v>
      </c>
      <c r="Q100" s="2"/>
      <c r="R100" s="19"/>
      <c r="S100" s="2"/>
      <c r="T100" s="2">
        <f>-39.25</f>
        <v>-39.25</v>
      </c>
      <c r="U100" s="2"/>
      <c r="V100" s="19"/>
      <c r="W100" s="2"/>
      <c r="X100" s="2">
        <f t="shared" si="2"/>
        <v>34.04</v>
      </c>
      <c r="Y100" s="2"/>
      <c r="Z100" s="19">
        <f t="shared" si="3"/>
        <v>-0.86726114649681529</v>
      </c>
    </row>
    <row r="101" spans="1:26" s="23" customFormat="1" hidden="1" outlineLevel="1" x14ac:dyDescent="0.25">
      <c r="A101" s="44"/>
      <c r="B101" s="10" t="str">
        <f>CONCATENATE("          ", "4225", " - ", "SALES RETURN TAXABLE-TEST FORM")</f>
        <v xml:space="preserve">          4225 - SALES RETURN TAXABLE-TEST FORM</v>
      </c>
      <c r="C101" s="10"/>
      <c r="D101" s="2">
        <f t="shared" si="22"/>
        <v>0</v>
      </c>
      <c r="E101" s="2"/>
      <c r="F101" s="19"/>
      <c r="G101" s="2"/>
      <c r="H101" s="2">
        <f t="shared" si="24"/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0"/>
      <c r="P101" s="2">
        <f>0</f>
        <v>0</v>
      </c>
      <c r="Q101" s="2"/>
      <c r="R101" s="19"/>
      <c r="S101" s="2"/>
      <c r="T101" s="2">
        <f>-176.41</f>
        <v>-176.41</v>
      </c>
      <c r="U101" s="2"/>
      <c r="V101" s="19"/>
      <c r="W101" s="2"/>
      <c r="X101" s="2">
        <f t="shared" si="2"/>
        <v>176.41</v>
      </c>
      <c r="Y101" s="2"/>
      <c r="Z101" s="19">
        <f t="shared" si="3"/>
        <v>-1</v>
      </c>
    </row>
    <row r="102" spans="1:26" s="23" customFormat="1" hidden="1" outlineLevel="1" x14ac:dyDescent="0.25">
      <c r="A102" s="44"/>
      <c r="B102" s="10" t="str">
        <f>CONCATENATE("          ", "4226", " - ", "SALES RETURN TAXABLE-WRITING I")</f>
        <v xml:space="preserve">          4226 - SALES RETURN TAXABLE-WRITING I</v>
      </c>
      <c r="C102" s="10"/>
      <c r="D102" s="2">
        <f t="shared" si="22"/>
        <v>0</v>
      </c>
      <c r="E102" s="2"/>
      <c r="F102" s="19"/>
      <c r="G102" s="2"/>
      <c r="H102" s="2">
        <f t="shared" si="24"/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0"/>
      <c r="P102" s="2">
        <f>-34.23</f>
        <v>-34.229999999999997</v>
      </c>
      <c r="Q102" s="2"/>
      <c r="R102" s="19"/>
      <c r="S102" s="2"/>
      <c r="T102" s="2">
        <f>-765.04</f>
        <v>-765.04</v>
      </c>
      <c r="U102" s="2"/>
      <c r="V102" s="19"/>
      <c r="W102" s="2"/>
      <c r="X102" s="2">
        <f t="shared" si="2"/>
        <v>730.81</v>
      </c>
      <c r="Y102" s="2"/>
      <c r="Z102" s="19">
        <f t="shared" si="3"/>
        <v>-0.95525724145142732</v>
      </c>
    </row>
    <row r="103" spans="1:26" s="23" customFormat="1" hidden="1" outlineLevel="1" x14ac:dyDescent="0.25">
      <c r="A103" s="44"/>
      <c r="B103" s="10" t="str">
        <f>CONCATENATE("          ", "4227", " - ", "SALES RETURN TAXABLE-SCHOOL SU")</f>
        <v xml:space="preserve">          4227 - SALES RETURN TAXABLE-SCHOOL SU</v>
      </c>
      <c r="C103" s="10"/>
      <c r="D103" s="2">
        <f>-500.54</f>
        <v>-500.54</v>
      </c>
      <c r="E103" s="2"/>
      <c r="F103" s="19"/>
      <c r="G103" s="2"/>
      <c r="H103" s="2">
        <f t="shared" si="24"/>
        <v>0</v>
      </c>
      <c r="I103" s="2"/>
      <c r="J103" s="19"/>
      <c r="K103" s="2"/>
      <c r="L103" s="2">
        <f t="shared" si="0"/>
        <v>-500.54</v>
      </c>
      <c r="M103" s="2"/>
      <c r="N103" s="19">
        <f t="shared" si="1"/>
        <v>0</v>
      </c>
      <c r="O103" s="10"/>
      <c r="P103" s="2">
        <f>-1346.66</f>
        <v>-1346.66</v>
      </c>
      <c r="Q103" s="2"/>
      <c r="R103" s="19"/>
      <c r="S103" s="2"/>
      <c r="T103" s="2">
        <f>-8593.61</f>
        <v>-8593.61</v>
      </c>
      <c r="U103" s="2"/>
      <c r="V103" s="19"/>
      <c r="W103" s="2"/>
      <c r="X103" s="2">
        <f t="shared" si="2"/>
        <v>7246.9500000000007</v>
      </c>
      <c r="Y103" s="2"/>
      <c r="Z103" s="19">
        <f t="shared" si="3"/>
        <v>-0.8432951925907739</v>
      </c>
    </row>
    <row r="104" spans="1:26" s="23" customFormat="1" hidden="1" outlineLevel="1" x14ac:dyDescent="0.25">
      <c r="A104" s="44"/>
      <c r="B104" s="10" t="str">
        <f>CONCATENATE("          ", "4228", " - ", "SALES RETURN TAXABLE-ART/TECH")</f>
        <v xml:space="preserve">          4228 - SALES RETURN TAXABLE-ART/TECH</v>
      </c>
      <c r="C104" s="10"/>
      <c r="D104" s="2">
        <f>-136.11</f>
        <v>-136.11000000000001</v>
      </c>
      <c r="E104" s="2"/>
      <c r="F104" s="19"/>
      <c r="G104" s="2"/>
      <c r="H104" s="2">
        <f t="shared" si="24"/>
        <v>0</v>
      </c>
      <c r="I104" s="2"/>
      <c r="J104" s="19"/>
      <c r="K104" s="2"/>
      <c r="L104" s="2">
        <f t="shared" si="0"/>
        <v>-136.11000000000001</v>
      </c>
      <c r="M104" s="2"/>
      <c r="N104" s="19">
        <f t="shared" si="1"/>
        <v>0</v>
      </c>
      <c r="O104" s="10"/>
      <c r="P104" s="2">
        <f>-12973.73</f>
        <v>-12973.73</v>
      </c>
      <c r="Q104" s="2"/>
      <c r="R104" s="19"/>
      <c r="S104" s="2"/>
      <c r="T104" s="2">
        <f>-4739.1</f>
        <v>-4739.1000000000004</v>
      </c>
      <c r="U104" s="2"/>
      <c r="V104" s="19"/>
      <c r="W104" s="2"/>
      <c r="X104" s="2">
        <f t="shared" si="2"/>
        <v>-8234.6299999999992</v>
      </c>
      <c r="Y104" s="2"/>
      <c r="Z104" s="19">
        <f t="shared" si="3"/>
        <v>1.7375936359224322</v>
      </c>
    </row>
    <row r="105" spans="1:26" s="23" customFormat="1" hidden="1" outlineLevel="1" x14ac:dyDescent="0.25">
      <c r="A105" s="44"/>
      <c r="B105" s="10" t="str">
        <f>CONCATENATE("          ", "4233", " - ", "SALES RETURN TAXABLE-CANDY")</f>
        <v xml:space="preserve">          4233 - SALES RETURN TAXABLE-CANDY</v>
      </c>
      <c r="C105" s="10"/>
      <c r="D105" s="2">
        <f>0</f>
        <v>0</v>
      </c>
      <c r="E105" s="2"/>
      <c r="F105" s="19"/>
      <c r="G105" s="2"/>
      <c r="H105" s="2">
        <f t="shared" si="24"/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0"/>
      <c r="P105" s="2">
        <f>0</f>
        <v>0</v>
      </c>
      <c r="Q105" s="2"/>
      <c r="R105" s="19"/>
      <c r="S105" s="2"/>
      <c r="T105" s="2">
        <f>-8.25</f>
        <v>-8.25</v>
      </c>
      <c r="U105" s="2"/>
      <c r="V105" s="19"/>
      <c r="W105" s="2"/>
      <c r="X105" s="2">
        <f t="shared" si="2"/>
        <v>8.25</v>
      </c>
      <c r="Y105" s="2"/>
      <c r="Z105" s="19">
        <f t="shared" si="3"/>
        <v>-1</v>
      </c>
    </row>
    <row r="106" spans="1:26" s="23" customFormat="1" hidden="1" outlineLevel="1" x14ac:dyDescent="0.25">
      <c r="A106" s="44"/>
      <c r="B106" s="10" t="str">
        <f>CONCATENATE("          ", "4240", " - ", "SALES RETURN TAXABLE-LOGO CLOT")</f>
        <v xml:space="preserve">          4240 - SALES RETURN TAXABLE-LOGO CLOT</v>
      </c>
      <c r="C106" s="10"/>
      <c r="D106" s="2">
        <f>-5611.92</f>
        <v>-5611.92</v>
      </c>
      <c r="E106" s="2"/>
      <c r="F106" s="19"/>
      <c r="G106" s="2"/>
      <c r="H106" s="2">
        <f>-1642.96</f>
        <v>-1642.96</v>
      </c>
      <c r="I106" s="2"/>
      <c r="J106" s="19"/>
      <c r="K106" s="2"/>
      <c r="L106" s="2">
        <f t="shared" si="0"/>
        <v>-3968.96</v>
      </c>
      <c r="M106" s="2"/>
      <c r="N106" s="19">
        <f t="shared" si="1"/>
        <v>2.4157374494814237</v>
      </c>
      <c r="O106" s="10"/>
      <c r="P106" s="2">
        <f>-40666.27</f>
        <v>-40666.269999999997</v>
      </c>
      <c r="Q106" s="2"/>
      <c r="R106" s="19"/>
      <c r="S106" s="2"/>
      <c r="T106" s="2">
        <f>-74455.19</f>
        <v>-74455.19</v>
      </c>
      <c r="U106" s="2"/>
      <c r="V106" s="19"/>
      <c r="W106" s="2"/>
      <c r="X106" s="2">
        <f t="shared" si="2"/>
        <v>33788.920000000006</v>
      </c>
      <c r="Y106" s="2"/>
      <c r="Z106" s="19">
        <f t="shared" si="3"/>
        <v>-0.45381550970456197</v>
      </c>
    </row>
    <row r="107" spans="1:26" s="23" customFormat="1" hidden="1" outlineLevel="1" x14ac:dyDescent="0.25">
      <c r="A107" s="44"/>
      <c r="B107" s="10" t="str">
        <f>CONCATENATE("          ", "4241", " - ", "SALES RETURN TAXABLE-LOGO GIFT")</f>
        <v xml:space="preserve">          4241 - SALES RETURN TAXABLE-LOGO GIFT</v>
      </c>
      <c r="C107" s="10"/>
      <c r="D107" s="2">
        <f>-5656.91</f>
        <v>-5656.91</v>
      </c>
      <c r="E107" s="2"/>
      <c r="F107" s="19"/>
      <c r="G107" s="2"/>
      <c r="H107" s="2">
        <f>-190.5</f>
        <v>-190.5</v>
      </c>
      <c r="I107" s="2"/>
      <c r="J107" s="19"/>
      <c r="K107" s="2"/>
      <c r="L107" s="2">
        <f t="shared" si="0"/>
        <v>-5466.41</v>
      </c>
      <c r="M107" s="2"/>
      <c r="N107" s="19">
        <f t="shared" si="1"/>
        <v>28.695065616797901</v>
      </c>
      <c r="O107" s="10"/>
      <c r="P107" s="2">
        <f>-12175.25</f>
        <v>-12175.25</v>
      </c>
      <c r="Q107" s="2"/>
      <c r="R107" s="19"/>
      <c r="S107" s="2"/>
      <c r="T107" s="2">
        <f>-6331.88</f>
        <v>-6331.88</v>
      </c>
      <c r="U107" s="2"/>
      <c r="V107" s="19"/>
      <c r="W107" s="2"/>
      <c r="X107" s="2">
        <f t="shared" si="2"/>
        <v>-5843.37</v>
      </c>
      <c r="Y107" s="2"/>
      <c r="Z107" s="19">
        <f t="shared" si="3"/>
        <v>0.92284913801272284</v>
      </c>
    </row>
    <row r="108" spans="1:26" s="23" customFormat="1" hidden="1" outlineLevel="1" x14ac:dyDescent="0.25">
      <c r="A108" s="44"/>
      <c r="B108" s="10" t="str">
        <f>CONCATENATE("          ", "4242", " - ", "SALES RETURN TAXABLE-EVERYDAY")</f>
        <v xml:space="preserve">          4242 - SALES RETURN TAXABLE-EVERYDAY</v>
      </c>
      <c r="C108" s="10"/>
      <c r="D108" s="2">
        <f>-332.27</f>
        <v>-332.27</v>
      </c>
      <c r="E108" s="2"/>
      <c r="F108" s="19"/>
      <c r="G108" s="2"/>
      <c r="H108" s="2">
        <f>-3</f>
        <v>-3</v>
      </c>
      <c r="I108" s="2"/>
      <c r="J108" s="19"/>
      <c r="K108" s="2"/>
      <c r="L108" s="2">
        <f t="shared" si="0"/>
        <v>-329.27</v>
      </c>
      <c r="M108" s="2"/>
      <c r="N108" s="19">
        <f t="shared" si="1"/>
        <v>109.75666666666666</v>
      </c>
      <c r="O108" s="10"/>
      <c r="P108" s="2">
        <f>-2636.09</f>
        <v>-2636.09</v>
      </c>
      <c r="Q108" s="2"/>
      <c r="R108" s="19"/>
      <c r="S108" s="2"/>
      <c r="T108" s="2">
        <f>-4181.41</f>
        <v>-4181.41</v>
      </c>
      <c r="U108" s="2"/>
      <c r="V108" s="19"/>
      <c r="W108" s="2"/>
      <c r="X108" s="2">
        <f t="shared" si="2"/>
        <v>1545.3199999999997</v>
      </c>
      <c r="Y108" s="2"/>
      <c r="Z108" s="19">
        <f t="shared" si="3"/>
        <v>-0.36956911663768915</v>
      </c>
    </row>
    <row r="109" spans="1:26" s="23" customFormat="1" hidden="1" outlineLevel="1" x14ac:dyDescent="0.25">
      <c r="A109" s="44"/>
      <c r="B109" s="10" t="str">
        <f>CONCATENATE("          ", "4243", " - ", "SALES RETURN TAXABLE-CARDS")</f>
        <v xml:space="preserve">          4243 - SALES RETURN TAXABLE-CARDS</v>
      </c>
      <c r="C109" s="10"/>
      <c r="D109" s="2">
        <f>-199.86</f>
        <v>-199.86</v>
      </c>
      <c r="E109" s="2"/>
      <c r="F109" s="19"/>
      <c r="G109" s="2"/>
      <c r="H109" s="2">
        <f>-13</f>
        <v>-13</v>
      </c>
      <c r="I109" s="2"/>
      <c r="J109" s="19"/>
      <c r="K109" s="2"/>
      <c r="L109" s="2">
        <f t="shared" si="0"/>
        <v>-186.86</v>
      </c>
      <c r="M109" s="2"/>
      <c r="N109" s="19">
        <f t="shared" si="1"/>
        <v>14.373846153846156</v>
      </c>
      <c r="O109" s="10"/>
      <c r="P109" s="2">
        <f>-6142.09</f>
        <v>-6142.09</v>
      </c>
      <c r="Q109" s="2"/>
      <c r="R109" s="19"/>
      <c r="S109" s="2"/>
      <c r="T109" s="2">
        <f>-3006.31</f>
        <v>-3006.31</v>
      </c>
      <c r="U109" s="2"/>
      <c r="V109" s="19"/>
      <c r="W109" s="2"/>
      <c r="X109" s="2">
        <f t="shared" si="2"/>
        <v>-3135.78</v>
      </c>
      <c r="Y109" s="2"/>
      <c r="Z109" s="19">
        <f t="shared" si="3"/>
        <v>1.0430660843359467</v>
      </c>
    </row>
    <row r="110" spans="1:26" s="23" customFormat="1" hidden="1" outlineLevel="1" x14ac:dyDescent="0.25">
      <c r="A110" s="44"/>
      <c r="B110" s="10" t="str">
        <f>CONCATENATE("          ", "4244", " - ", "SALES RETURN TAXABLE-ACCESSORI")</f>
        <v xml:space="preserve">          4244 - SALES RETURN TAXABLE-ACCESSORI</v>
      </c>
      <c r="C110" s="10"/>
      <c r="D110" s="2">
        <f>-8.24</f>
        <v>-8.24</v>
      </c>
      <c r="E110" s="2"/>
      <c r="F110" s="19"/>
      <c r="G110" s="2"/>
      <c r="H110" s="2">
        <f t="shared" ref="H110:H112" si="26">0</f>
        <v>0</v>
      </c>
      <c r="I110" s="2"/>
      <c r="J110" s="19"/>
      <c r="K110" s="2"/>
      <c r="L110" s="2">
        <f t="shared" si="0"/>
        <v>-8.24</v>
      </c>
      <c r="M110" s="2"/>
      <c r="N110" s="19">
        <f t="shared" si="1"/>
        <v>0</v>
      </c>
      <c r="O110" s="10"/>
      <c r="P110" s="2">
        <f>-1243.5</f>
        <v>-1243.5</v>
      </c>
      <c r="Q110" s="2"/>
      <c r="R110" s="19"/>
      <c r="S110" s="2"/>
      <c r="T110" s="2">
        <f>-2470.7</f>
        <v>-2470.6999999999998</v>
      </c>
      <c r="U110" s="2"/>
      <c r="V110" s="19"/>
      <c r="W110" s="2"/>
      <c r="X110" s="2">
        <f t="shared" si="2"/>
        <v>1227.1999999999998</v>
      </c>
      <c r="Y110" s="2"/>
      <c r="Z110" s="19">
        <f t="shared" si="3"/>
        <v>-0.4967013397012992</v>
      </c>
    </row>
    <row r="111" spans="1:26" s="23" customFormat="1" hidden="1" outlineLevel="1" x14ac:dyDescent="0.25">
      <c r="A111" s="44"/>
      <c r="B111" s="10" t="str">
        <f>CONCATENATE("          ", "4245", " - ", "SALES RETURN TAXABLE-SPECIAL O")</f>
        <v xml:space="preserve">          4245 - SALES RETURN TAXABLE-SPECIAL O</v>
      </c>
      <c r="C111" s="10"/>
      <c r="D111" s="2">
        <f>-4071.14</f>
        <v>-4071.14</v>
      </c>
      <c r="E111" s="2"/>
      <c r="F111" s="19"/>
      <c r="G111" s="2"/>
      <c r="H111" s="2">
        <f t="shared" si="26"/>
        <v>0</v>
      </c>
      <c r="I111" s="2"/>
      <c r="J111" s="19"/>
      <c r="K111" s="2"/>
      <c r="L111" s="2">
        <f t="shared" si="0"/>
        <v>-4071.14</v>
      </c>
      <c r="M111" s="2"/>
      <c r="N111" s="19">
        <f t="shared" si="1"/>
        <v>0</v>
      </c>
      <c r="O111" s="10"/>
      <c r="P111" s="2">
        <f>-15424.73</f>
        <v>-15424.73</v>
      </c>
      <c r="Q111" s="2"/>
      <c r="R111" s="19"/>
      <c r="S111" s="2"/>
      <c r="T111" s="2">
        <f>-1735.03</f>
        <v>-1735.03</v>
      </c>
      <c r="U111" s="2"/>
      <c r="V111" s="19"/>
      <c r="W111" s="2"/>
      <c r="X111" s="2">
        <f t="shared" si="2"/>
        <v>-13689.699999999999</v>
      </c>
      <c r="Y111" s="2"/>
      <c r="Z111" s="19">
        <f t="shared" si="3"/>
        <v>7.890180573246572</v>
      </c>
    </row>
    <row r="112" spans="1:26" s="23" customFormat="1" hidden="1" outlineLevel="1" x14ac:dyDescent="0.25">
      <c r="A112" s="44"/>
      <c r="B112" s="10" t="str">
        <f>CONCATENATE("          ", "4281", " - ", "SALES RETURN TAXABLE-ELECTRONI")</f>
        <v xml:space="preserve">          4281 - SALES RETURN TAXABLE-ELECTRONI</v>
      </c>
      <c r="C112" s="10"/>
      <c r="D112" s="2">
        <f>0</f>
        <v>0</v>
      </c>
      <c r="E112" s="2"/>
      <c r="F112" s="19"/>
      <c r="G112" s="2"/>
      <c r="H112" s="2">
        <f t="shared" si="26"/>
        <v>0</v>
      </c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0"/>
      <c r="P112" s="2">
        <f>-14762.14</f>
        <v>-14762.14</v>
      </c>
      <c r="Q112" s="2"/>
      <c r="R112" s="19"/>
      <c r="S112" s="2"/>
      <c r="T112" s="2">
        <f>-7836.67</f>
        <v>-7836.67</v>
      </c>
      <c r="U112" s="2"/>
      <c r="V112" s="19"/>
      <c r="W112" s="2"/>
      <c r="X112" s="2">
        <f t="shared" si="2"/>
        <v>-6925.4699999999993</v>
      </c>
      <c r="Y112" s="2"/>
      <c r="Z112" s="19">
        <f t="shared" si="3"/>
        <v>0.88372612346825874</v>
      </c>
    </row>
    <row r="113" spans="1:26" s="23" customFormat="1" hidden="1" outlineLevel="1" x14ac:dyDescent="0.25">
      <c r="A113" s="44"/>
      <c r="B113" s="10" t="str">
        <f>CONCATENATE("          ", "4282", " - ", "SALES RETURN TAXABLE-COMPUTER")</f>
        <v xml:space="preserve">          4282 - SALES RETURN TAXABLE-COMPUTER</v>
      </c>
      <c r="C113" s="10"/>
      <c r="D113" s="2">
        <f>-42380</f>
        <v>-42380</v>
      </c>
      <c r="E113" s="2"/>
      <c r="F113" s="19"/>
      <c r="G113" s="2"/>
      <c r="H113" s="2">
        <f>-1954.65</f>
        <v>-1954.65</v>
      </c>
      <c r="I113" s="2"/>
      <c r="J113" s="19"/>
      <c r="K113" s="2"/>
      <c r="L113" s="2">
        <f t="shared" si="0"/>
        <v>-40425.35</v>
      </c>
      <c r="M113" s="2"/>
      <c r="N113" s="19">
        <f t="shared" si="1"/>
        <v>20.681630982528841</v>
      </c>
      <c r="O113" s="10"/>
      <c r="P113" s="2">
        <f>-215145.16</f>
        <v>-215145.16</v>
      </c>
      <c r="Q113" s="2"/>
      <c r="R113" s="19"/>
      <c r="S113" s="2"/>
      <c r="T113" s="2">
        <f>-215445.8</f>
        <v>-215445.8</v>
      </c>
      <c r="U113" s="2"/>
      <c r="V113" s="19"/>
      <c r="W113" s="2"/>
      <c r="X113" s="2">
        <f t="shared" si="2"/>
        <v>300.63999999998487</v>
      </c>
      <c r="Y113" s="2"/>
      <c r="Z113" s="19">
        <f t="shared" si="3"/>
        <v>-1.3954321690187736E-3</v>
      </c>
    </row>
    <row r="114" spans="1:26" s="23" customFormat="1" hidden="1" outlineLevel="1" x14ac:dyDescent="0.25">
      <c r="A114" s="44"/>
      <c r="B114" s="10" t="str">
        <f>CONCATENATE("          ", "4283", " - ", "SALES RETURN TAXABLE-COMPUTER")</f>
        <v xml:space="preserve">          4283 - SALES RETURN TAXABLE-COMPUTER</v>
      </c>
      <c r="C114" s="10"/>
      <c r="D114" s="2">
        <f>-197.95</f>
        <v>-197.95</v>
      </c>
      <c r="E114" s="2"/>
      <c r="F114" s="19"/>
      <c r="G114" s="2"/>
      <c r="H114" s="2">
        <f>-135.96</f>
        <v>-135.96</v>
      </c>
      <c r="I114" s="2"/>
      <c r="J114" s="19"/>
      <c r="K114" s="2"/>
      <c r="L114" s="2">
        <f t="shared" si="0"/>
        <v>-61.989999999999981</v>
      </c>
      <c r="M114" s="2"/>
      <c r="N114" s="19">
        <f t="shared" si="1"/>
        <v>0.45594292438952616</v>
      </c>
      <c r="O114" s="10"/>
      <c r="P114" s="2">
        <f>-3947.2</f>
        <v>-3947.2</v>
      </c>
      <c r="Q114" s="2"/>
      <c r="R114" s="19"/>
      <c r="S114" s="2"/>
      <c r="T114" s="2">
        <f>-6589.02</f>
        <v>-6589.02</v>
      </c>
      <c r="U114" s="2"/>
      <c r="V114" s="19"/>
      <c r="W114" s="2"/>
      <c r="X114" s="2">
        <f t="shared" si="2"/>
        <v>2641.8200000000006</v>
      </c>
      <c r="Y114" s="2"/>
      <c r="Z114" s="19">
        <f t="shared" si="3"/>
        <v>-0.40094278056524346</v>
      </c>
    </row>
    <row r="115" spans="1:26" s="23" customFormat="1" hidden="1" outlineLevel="1" x14ac:dyDescent="0.25">
      <c r="A115" s="44"/>
      <c r="B115" s="10" t="str">
        <f>CONCATENATE("          ", "4284", " - ", "SALES RETURN TAXABLE-SOFTWARE")</f>
        <v xml:space="preserve">          4284 - SALES RETURN TAXABLE-SOFTWARE</v>
      </c>
      <c r="C115" s="10"/>
      <c r="D115" s="2">
        <f>0</f>
        <v>0</v>
      </c>
      <c r="E115" s="2"/>
      <c r="F115" s="19"/>
      <c r="G115" s="2"/>
      <c r="H115" s="2">
        <f t="shared" ref="H115:H120" si="27">0</f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0"/>
      <c r="P115" s="2">
        <f>0</f>
        <v>0</v>
      </c>
      <c r="Q115" s="2"/>
      <c r="R115" s="19"/>
      <c r="S115" s="2"/>
      <c r="T115" s="2">
        <f>-129</f>
        <v>-129</v>
      </c>
      <c r="U115" s="2"/>
      <c r="V115" s="19"/>
      <c r="W115" s="2"/>
      <c r="X115" s="2">
        <f t="shared" si="2"/>
        <v>129</v>
      </c>
      <c r="Y115" s="2"/>
      <c r="Z115" s="19">
        <f t="shared" si="3"/>
        <v>-1</v>
      </c>
    </row>
    <row r="116" spans="1:26" s="23" customFormat="1" hidden="1" outlineLevel="1" x14ac:dyDescent="0.25">
      <c r="A116" s="44"/>
      <c r="B116" s="10" t="str">
        <f>CONCATENATE("          ", "4285", " - ", "SALES RETURN TAXABLE-SOFTWARE")</f>
        <v xml:space="preserve">          4285 - SALES RETURN TAXABLE-SOFTWARE</v>
      </c>
      <c r="C116" s="10"/>
      <c r="D116" s="2">
        <f>-99.83</f>
        <v>-99.83</v>
      </c>
      <c r="E116" s="2"/>
      <c r="F116" s="19"/>
      <c r="G116" s="2"/>
      <c r="H116" s="2">
        <f t="shared" si="27"/>
        <v>0</v>
      </c>
      <c r="I116" s="2"/>
      <c r="J116" s="19"/>
      <c r="K116" s="2"/>
      <c r="L116" s="2">
        <f t="shared" si="0"/>
        <v>-99.83</v>
      </c>
      <c r="M116" s="2"/>
      <c r="N116" s="19">
        <f t="shared" si="1"/>
        <v>0</v>
      </c>
      <c r="O116" s="10"/>
      <c r="P116" s="2">
        <f>-1091.79</f>
        <v>-1091.79</v>
      </c>
      <c r="Q116" s="2"/>
      <c r="R116" s="19"/>
      <c r="S116" s="2"/>
      <c r="T116" s="2">
        <f>-805.97</f>
        <v>-805.97</v>
      </c>
      <c r="U116" s="2"/>
      <c r="V116" s="19"/>
      <c r="W116" s="2"/>
      <c r="X116" s="2">
        <f t="shared" si="2"/>
        <v>-285.81999999999994</v>
      </c>
      <c r="Y116" s="2"/>
      <c r="Z116" s="19">
        <f t="shared" si="3"/>
        <v>0.35462858419047844</v>
      </c>
    </row>
    <row r="117" spans="1:26" s="23" customFormat="1" hidden="1" outlineLevel="1" x14ac:dyDescent="0.25">
      <c r="A117" s="44"/>
      <c r="B117" s="10" t="str">
        <f>CONCATENATE("          ", "4286", " - ", "SALES RETURN TAXABLE-COMPUTER")</f>
        <v xml:space="preserve">          4286 - SALES RETURN TAXABLE-COMPUTER</v>
      </c>
      <c r="C117" s="10"/>
      <c r="D117" s="2">
        <f t="shared" ref="D117:D120" si="28">0</f>
        <v>0</v>
      </c>
      <c r="E117" s="2"/>
      <c r="F117" s="19"/>
      <c r="G117" s="2"/>
      <c r="H117" s="2">
        <f t="shared" si="27"/>
        <v>0</v>
      </c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0"/>
      <c r="P117" s="2">
        <f>-4802.29</f>
        <v>-4802.29</v>
      </c>
      <c r="Q117" s="2"/>
      <c r="R117" s="19"/>
      <c r="S117" s="2"/>
      <c r="T117" s="2">
        <f>-3660.86</f>
        <v>-3660.86</v>
      </c>
      <c r="U117" s="2"/>
      <c r="V117" s="19"/>
      <c r="W117" s="2"/>
      <c r="X117" s="2">
        <f t="shared" si="2"/>
        <v>-1141.4299999999998</v>
      </c>
      <c r="Y117" s="2"/>
      <c r="Z117" s="19">
        <f t="shared" si="3"/>
        <v>0.31179285741601692</v>
      </c>
    </row>
    <row r="118" spans="1:26" s="23" customFormat="1" hidden="1" outlineLevel="1" x14ac:dyDescent="0.25">
      <c r="A118" s="44"/>
      <c r="B118" s="10" t="str">
        <f>CONCATENATE("          ", "4288", " - ", "TAXABLE SALES RETURN-MUSIC")</f>
        <v xml:space="preserve">          4288 - TAXABLE SALES RETURN-MUSIC</v>
      </c>
      <c r="C118" s="10"/>
      <c r="D118" s="2">
        <f t="shared" si="28"/>
        <v>0</v>
      </c>
      <c r="E118" s="2"/>
      <c r="F118" s="19"/>
      <c r="G118" s="2"/>
      <c r="H118" s="2">
        <f t="shared" si="27"/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0"/>
      <c r="P118" s="2">
        <f t="shared" ref="P118:P120" si="29">0</f>
        <v>0</v>
      </c>
      <c r="Q118" s="2"/>
      <c r="R118" s="19"/>
      <c r="S118" s="2"/>
      <c r="T118" s="2">
        <f>-3.99</f>
        <v>-3.99</v>
      </c>
      <c r="U118" s="2"/>
      <c r="V118" s="19"/>
      <c r="W118" s="2"/>
      <c r="X118" s="2">
        <f t="shared" si="2"/>
        <v>3.99</v>
      </c>
      <c r="Y118" s="2"/>
      <c r="Z118" s="19">
        <f t="shared" si="3"/>
        <v>-1</v>
      </c>
    </row>
    <row r="119" spans="1:26" s="23" customFormat="1" hidden="1" outlineLevel="1" x14ac:dyDescent="0.25">
      <c r="A119" s="44"/>
      <c r="B119" s="10" t="str">
        <f>CONCATENATE("          ", "4292", " - ", "SALES RETURN TAXABLE-GRAD MERC")</f>
        <v xml:space="preserve">          4292 - SALES RETURN TAXABLE-GRAD MERC</v>
      </c>
      <c r="C119" s="10"/>
      <c r="D119" s="2">
        <f t="shared" si="28"/>
        <v>0</v>
      </c>
      <c r="E119" s="2"/>
      <c r="F119" s="19"/>
      <c r="G119" s="2"/>
      <c r="H119" s="2">
        <f t="shared" si="27"/>
        <v>0</v>
      </c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0"/>
      <c r="P119" s="2">
        <f t="shared" si="29"/>
        <v>0</v>
      </c>
      <c r="Q119" s="2"/>
      <c r="R119" s="19"/>
      <c r="S119" s="2"/>
      <c r="T119" s="2">
        <f>-513.95</f>
        <v>-513.95000000000005</v>
      </c>
      <c r="U119" s="2"/>
      <c r="V119" s="19"/>
      <c r="W119" s="2"/>
      <c r="X119" s="2">
        <f t="shared" si="2"/>
        <v>513.95000000000005</v>
      </c>
      <c r="Y119" s="2"/>
      <c r="Z119" s="19">
        <f t="shared" si="3"/>
        <v>-1</v>
      </c>
    </row>
    <row r="120" spans="1:26" s="23" customFormat="1" hidden="1" outlineLevel="1" x14ac:dyDescent="0.25">
      <c r="A120" s="44"/>
      <c r="B120" s="10" t="str">
        <f>CONCATENATE("          ", "4295", " - ", "SALES RETURN TAXABLE-CUSTOMER")</f>
        <v xml:space="preserve">          4295 - SALES RETURN TAXABLE-CUSTOMER</v>
      </c>
      <c r="C120" s="10"/>
      <c r="D120" s="2">
        <f t="shared" si="28"/>
        <v>0</v>
      </c>
      <c r="E120" s="2"/>
      <c r="F120" s="19"/>
      <c r="G120" s="2"/>
      <c r="H120" s="2">
        <f t="shared" si="27"/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0"/>
      <c r="P120" s="2">
        <f t="shared" si="29"/>
        <v>0</v>
      </c>
      <c r="Q120" s="2"/>
      <c r="R120" s="19"/>
      <c r="S120" s="2"/>
      <c r="T120" s="2">
        <f>--0.99</f>
        <v>0.99</v>
      </c>
      <c r="U120" s="2"/>
      <c r="V120" s="19"/>
      <c r="W120" s="2"/>
      <c r="X120" s="2">
        <f t="shared" si="2"/>
        <v>-0.99</v>
      </c>
      <c r="Y120" s="2"/>
      <c r="Z120" s="19">
        <f t="shared" si="3"/>
        <v>-1</v>
      </c>
    </row>
    <row r="121" spans="1:26" s="23" customFormat="1" hidden="1" outlineLevel="1" x14ac:dyDescent="0.25">
      <c r="A121" s="44"/>
      <c r="B121" s="10" t="str">
        <f>CONCATENATE("          ", "4301", " - ", "SALES RETURN NON TAXABLE-NEW T")</f>
        <v xml:space="preserve">          4301 - SALES RETURN NON TAXABLE-NEW T</v>
      </c>
      <c r="C121" s="10"/>
      <c r="D121" s="2">
        <f>-225.91</f>
        <v>-225.91</v>
      </c>
      <c r="E121" s="2"/>
      <c r="F121" s="19"/>
      <c r="G121" s="2"/>
      <c r="H121" s="2">
        <f>-357.81</f>
        <v>-357.81</v>
      </c>
      <c r="I121" s="2"/>
      <c r="J121" s="19"/>
      <c r="K121" s="2"/>
      <c r="L121" s="2">
        <f t="shared" si="0"/>
        <v>131.9</v>
      </c>
      <c r="M121" s="2"/>
      <c r="N121" s="19">
        <f t="shared" si="1"/>
        <v>-0.36863139655124227</v>
      </c>
      <c r="O121" s="10"/>
      <c r="P121" s="2">
        <f>-3463.2</f>
        <v>-3463.2</v>
      </c>
      <c r="Q121" s="2"/>
      <c r="R121" s="19"/>
      <c r="S121" s="2"/>
      <c r="T121" s="2">
        <f>-15579.43</f>
        <v>-15579.43</v>
      </c>
      <c r="U121" s="2"/>
      <c r="V121" s="19"/>
      <c r="W121" s="2"/>
      <c r="X121" s="2">
        <f t="shared" si="2"/>
        <v>12116.23</v>
      </c>
      <c r="Y121" s="2"/>
      <c r="Z121" s="19">
        <f t="shared" si="3"/>
        <v>-0.77770688658057452</v>
      </c>
    </row>
    <row r="122" spans="1:26" s="23" customFormat="1" hidden="1" outlineLevel="1" x14ac:dyDescent="0.25">
      <c r="A122" s="44"/>
      <c r="B122" s="10" t="str">
        <f>CONCATENATE("          ", "4302", " - ", "SALES RETURN NON TAXABLE-TEXT")</f>
        <v xml:space="preserve">          4302 - SALES RETURN NON TAXABLE-TEXT</v>
      </c>
      <c r="C122" s="10"/>
      <c r="D122" s="2">
        <f>-98.97</f>
        <v>-98.97</v>
      </c>
      <c r="E122" s="2"/>
      <c r="F122" s="19"/>
      <c r="G122" s="2"/>
      <c r="H122" s="2">
        <f t="shared" ref="H122:H124" si="30">0</f>
        <v>0</v>
      </c>
      <c r="I122" s="2"/>
      <c r="J122" s="19"/>
      <c r="K122" s="2"/>
      <c r="L122" s="2">
        <f t="shared" si="0"/>
        <v>-98.97</v>
      </c>
      <c r="M122" s="2"/>
      <c r="N122" s="19">
        <f t="shared" si="1"/>
        <v>0</v>
      </c>
      <c r="O122" s="10"/>
      <c r="P122" s="2">
        <f>-2443.32</f>
        <v>-2443.3200000000002</v>
      </c>
      <c r="Q122" s="2"/>
      <c r="R122" s="19"/>
      <c r="S122" s="2"/>
      <c r="T122" s="2">
        <f>-1312.37</f>
        <v>-1312.37</v>
      </c>
      <c r="U122" s="2"/>
      <c r="V122" s="19"/>
      <c r="W122" s="2"/>
      <c r="X122" s="2">
        <f t="shared" si="2"/>
        <v>-1130.9500000000003</v>
      </c>
      <c r="Y122" s="2"/>
      <c r="Z122" s="19">
        <f t="shared" si="3"/>
        <v>0.86176154590549947</v>
      </c>
    </row>
    <row r="123" spans="1:26" s="23" customFormat="1" hidden="1" outlineLevel="1" x14ac:dyDescent="0.25">
      <c r="A123" s="44"/>
      <c r="B123" s="10" t="str">
        <f>CONCATENATE("          ", "4303", " - ", "SALES RETURN NON-TAXABLE-RENTA")</f>
        <v xml:space="preserve">          4303 - SALES RETURN NON-TAXABLE-RENTA</v>
      </c>
      <c r="C123" s="10"/>
      <c r="D123" s="2">
        <f t="shared" ref="D123:D129" si="31">0</f>
        <v>0</v>
      </c>
      <c r="E123" s="2"/>
      <c r="F123" s="19"/>
      <c r="G123" s="2"/>
      <c r="H123" s="2">
        <f t="shared" si="30"/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0"/>
      <c r="P123" s="2">
        <f>0</f>
        <v>0</v>
      </c>
      <c r="Q123" s="2"/>
      <c r="R123" s="19"/>
      <c r="S123" s="2"/>
      <c r="T123" s="2">
        <f>-184.99</f>
        <v>-184.99</v>
      </c>
      <c r="U123" s="2"/>
      <c r="V123" s="19"/>
      <c r="W123" s="2"/>
      <c r="X123" s="2">
        <f t="shared" si="2"/>
        <v>184.99</v>
      </c>
      <c r="Y123" s="2"/>
      <c r="Z123" s="19">
        <f t="shared" si="3"/>
        <v>-1</v>
      </c>
    </row>
    <row r="124" spans="1:26" s="23" customFormat="1" hidden="1" outlineLevel="1" x14ac:dyDescent="0.25">
      <c r="A124" s="44"/>
      <c r="B124" s="10" t="str">
        <f>CONCATENATE("          ", "4304", " - ", "SALES RETURN NON TAXABLE-DIGIT")</f>
        <v xml:space="preserve">          4304 - SALES RETURN NON TAXABLE-DIGIT</v>
      </c>
      <c r="C124" s="10"/>
      <c r="D124" s="2">
        <f t="shared" si="31"/>
        <v>0</v>
      </c>
      <c r="E124" s="2"/>
      <c r="F124" s="19"/>
      <c r="G124" s="2"/>
      <c r="H124" s="2">
        <f t="shared" si="30"/>
        <v>0</v>
      </c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0"/>
      <c r="P124" s="2">
        <f>-27543.76</f>
        <v>-27543.759999999998</v>
      </c>
      <c r="Q124" s="2"/>
      <c r="R124" s="19"/>
      <c r="S124" s="2"/>
      <c r="T124" s="2">
        <f>-19036.13</f>
        <v>-19036.13</v>
      </c>
      <c r="U124" s="2"/>
      <c r="V124" s="19"/>
      <c r="W124" s="2"/>
      <c r="X124" s="2">
        <f t="shared" si="2"/>
        <v>-8507.6299999999974</v>
      </c>
      <c r="Y124" s="2"/>
      <c r="Z124" s="19">
        <f t="shared" si="3"/>
        <v>0.44692014605909902</v>
      </c>
    </row>
    <row r="125" spans="1:26" s="23" customFormat="1" hidden="1" outlineLevel="1" x14ac:dyDescent="0.25">
      <c r="A125" s="44"/>
      <c r="B125" s="10" t="str">
        <f>CONCATENATE("          ", "4311", " - ", "SALES RETURN NON TAXABLE-NO VA")</f>
        <v xml:space="preserve">          4311 - SALES RETURN NON TAXABLE-NO VA</v>
      </c>
      <c r="C125" s="10"/>
      <c r="D125" s="2">
        <f t="shared" si="31"/>
        <v>0</v>
      </c>
      <c r="E125" s="2"/>
      <c r="F125" s="19"/>
      <c r="G125" s="2"/>
      <c r="H125" s="2">
        <f>-88.62</f>
        <v>-88.62</v>
      </c>
      <c r="I125" s="2"/>
      <c r="J125" s="19"/>
      <c r="K125" s="2"/>
      <c r="L125" s="2">
        <f t="shared" si="0"/>
        <v>88.62</v>
      </c>
      <c r="M125" s="2"/>
      <c r="N125" s="19">
        <f t="shared" si="1"/>
        <v>-1</v>
      </c>
      <c r="O125" s="10"/>
      <c r="P125" s="2">
        <f t="shared" ref="P125:P129" si="32">0</f>
        <v>0</v>
      </c>
      <c r="Q125" s="2"/>
      <c r="R125" s="19"/>
      <c r="S125" s="2"/>
      <c r="T125" s="2">
        <f>-941.28</f>
        <v>-941.28</v>
      </c>
      <c r="U125" s="2"/>
      <c r="V125" s="19"/>
      <c r="W125" s="2"/>
      <c r="X125" s="2">
        <f t="shared" si="2"/>
        <v>941.28</v>
      </c>
      <c r="Y125" s="2"/>
      <c r="Z125" s="19">
        <f t="shared" si="3"/>
        <v>-1</v>
      </c>
    </row>
    <row r="126" spans="1:26" s="23" customFormat="1" hidden="1" outlineLevel="1" x14ac:dyDescent="0.25">
      <c r="A126" s="44"/>
      <c r="B126" s="10" t="str">
        <f>CONCATENATE("          ", "4313", " - ", "SALES RETURN NON TAXABLE-TRADE")</f>
        <v xml:space="preserve">          4313 - SALES RETURN NON TAXABLE-TRADE</v>
      </c>
      <c r="C126" s="10"/>
      <c r="D126" s="2">
        <f t="shared" si="31"/>
        <v>0</v>
      </c>
      <c r="E126" s="2"/>
      <c r="F126" s="19"/>
      <c r="G126" s="2"/>
      <c r="H126" s="2">
        <f>-2481.44</f>
        <v>-2481.44</v>
      </c>
      <c r="I126" s="2"/>
      <c r="J126" s="19"/>
      <c r="K126" s="2"/>
      <c r="L126" s="2">
        <f t="shared" si="0"/>
        <v>2481.44</v>
      </c>
      <c r="M126" s="2"/>
      <c r="N126" s="19">
        <f t="shared" si="1"/>
        <v>-1</v>
      </c>
      <c r="O126" s="10"/>
      <c r="P126" s="2">
        <f t="shared" si="32"/>
        <v>0</v>
      </c>
      <c r="Q126" s="2"/>
      <c r="R126" s="19"/>
      <c r="S126" s="2"/>
      <c r="T126" s="2">
        <f>-2481.44</f>
        <v>-2481.44</v>
      </c>
      <c r="U126" s="2"/>
      <c r="V126" s="19"/>
      <c r="W126" s="2"/>
      <c r="X126" s="2">
        <f t="shared" si="2"/>
        <v>2481.44</v>
      </c>
      <c r="Y126" s="2"/>
      <c r="Z126" s="19">
        <f t="shared" si="3"/>
        <v>-1</v>
      </c>
    </row>
    <row r="127" spans="1:26" s="23" customFormat="1" hidden="1" outlineLevel="1" x14ac:dyDescent="0.25">
      <c r="A127" s="44"/>
      <c r="B127" s="10" t="str">
        <f>CONCATENATE("          ", "4327", " - ", "SALES RETURN NON TAXABLE-SCHOO")</f>
        <v xml:space="preserve">          4327 - SALES RETURN NON TAXABLE-SCHOO</v>
      </c>
      <c r="C127" s="10"/>
      <c r="D127" s="2">
        <f t="shared" si="31"/>
        <v>0</v>
      </c>
      <c r="E127" s="2"/>
      <c r="F127" s="19"/>
      <c r="G127" s="2"/>
      <c r="H127" s="2">
        <f t="shared" ref="H127:H129" si="33">0</f>
        <v>0</v>
      </c>
      <c r="I127" s="2"/>
      <c r="J127" s="19"/>
      <c r="K127" s="2"/>
      <c r="L127" s="2">
        <f t="shared" si="0"/>
        <v>0</v>
      </c>
      <c r="M127" s="2"/>
      <c r="N127" s="19">
        <f t="shared" si="1"/>
        <v>0</v>
      </c>
      <c r="O127" s="10"/>
      <c r="P127" s="2">
        <f t="shared" si="32"/>
        <v>0</v>
      </c>
      <c r="Q127" s="2"/>
      <c r="R127" s="19"/>
      <c r="S127" s="2"/>
      <c r="T127" s="2">
        <f>-21.87</f>
        <v>-21.87</v>
      </c>
      <c r="U127" s="2"/>
      <c r="V127" s="19"/>
      <c r="W127" s="2"/>
      <c r="X127" s="2">
        <f t="shared" si="2"/>
        <v>21.87</v>
      </c>
      <c r="Y127" s="2"/>
      <c r="Z127" s="19">
        <f t="shared" si="3"/>
        <v>-1</v>
      </c>
    </row>
    <row r="128" spans="1:26" s="23" customFormat="1" hidden="1" outlineLevel="1" x14ac:dyDescent="0.25">
      <c r="A128" s="44"/>
      <c r="B128" s="10" t="str">
        <f>CONCATENATE("          ", "4331", " - ", "SALES RETURN NON TAXABLE-FOOD")</f>
        <v xml:space="preserve">          4331 - SALES RETURN NON TAXABLE-FOOD</v>
      </c>
      <c r="C128" s="10"/>
      <c r="D128" s="2">
        <f t="shared" si="31"/>
        <v>0</v>
      </c>
      <c r="E128" s="2"/>
      <c r="F128" s="19"/>
      <c r="G128" s="2"/>
      <c r="H128" s="2">
        <f t="shared" si="33"/>
        <v>0</v>
      </c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0"/>
      <c r="P128" s="2">
        <f t="shared" si="32"/>
        <v>0</v>
      </c>
      <c r="Q128" s="2"/>
      <c r="R128" s="19"/>
      <c r="S128" s="2"/>
      <c r="T128" s="2">
        <f>-12.57</f>
        <v>-12.57</v>
      </c>
      <c r="U128" s="2"/>
      <c r="V128" s="19"/>
      <c r="W128" s="2"/>
      <c r="X128" s="2">
        <f t="shared" si="2"/>
        <v>12.57</v>
      </c>
      <c r="Y128" s="2"/>
      <c r="Z128" s="19">
        <f t="shared" si="3"/>
        <v>-1</v>
      </c>
    </row>
    <row r="129" spans="1:26" s="23" customFormat="1" hidden="1" outlineLevel="1" x14ac:dyDescent="0.25">
      <c r="A129" s="44"/>
      <c r="B129" s="10" t="str">
        <f>CONCATENATE("          ", "4332", " - ", "SALES RETURN NON TAXABLE-JUICE")</f>
        <v xml:space="preserve">          4332 - SALES RETURN NON TAXABLE-JUICE</v>
      </c>
      <c r="C129" s="10"/>
      <c r="D129" s="2">
        <f t="shared" si="31"/>
        <v>0</v>
      </c>
      <c r="E129" s="2"/>
      <c r="F129" s="19"/>
      <c r="G129" s="2"/>
      <c r="H129" s="2">
        <f t="shared" si="33"/>
        <v>0</v>
      </c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0"/>
      <c r="P129" s="2">
        <f t="shared" si="32"/>
        <v>0</v>
      </c>
      <c r="Q129" s="2"/>
      <c r="R129" s="19"/>
      <c r="S129" s="2"/>
      <c r="T129" s="2">
        <f>-2.79</f>
        <v>-2.79</v>
      </c>
      <c r="U129" s="2"/>
      <c r="V129" s="19"/>
      <c r="W129" s="2"/>
      <c r="X129" s="2">
        <f t="shared" si="2"/>
        <v>2.79</v>
      </c>
      <c r="Y129" s="2"/>
      <c r="Z129" s="19">
        <f t="shared" si="3"/>
        <v>-1</v>
      </c>
    </row>
    <row r="130" spans="1:26" s="23" customFormat="1" hidden="1" outlineLevel="1" x14ac:dyDescent="0.25">
      <c r="A130" s="44"/>
      <c r="B130" s="10" t="str">
        <f>CONCATENATE("          ", "4340", " - ", "SALES RETURN NON TAXABLE-LOGO")</f>
        <v xml:space="preserve">          4340 - SALES RETURN NON TAXABLE-LOGO</v>
      </c>
      <c r="C130" s="10"/>
      <c r="D130" s="2">
        <f>-664.13</f>
        <v>-664.13</v>
      </c>
      <c r="E130" s="2"/>
      <c r="F130" s="19"/>
      <c r="G130" s="2"/>
      <c r="H130" s="2">
        <f>-24.95</f>
        <v>-24.95</v>
      </c>
      <c r="I130" s="2"/>
      <c r="J130" s="19"/>
      <c r="K130" s="2"/>
      <c r="L130" s="2">
        <f t="shared" si="0"/>
        <v>-639.17999999999995</v>
      </c>
      <c r="M130" s="2"/>
      <c r="N130" s="19">
        <f t="shared" si="1"/>
        <v>25.618436873747495</v>
      </c>
      <c r="O130" s="10"/>
      <c r="P130" s="2">
        <f>-3307.52</f>
        <v>-3307.52</v>
      </c>
      <c r="Q130" s="2"/>
      <c r="R130" s="19"/>
      <c r="S130" s="2"/>
      <c r="T130" s="2">
        <f>-1020.4</f>
        <v>-1020.4</v>
      </c>
      <c r="U130" s="2"/>
      <c r="V130" s="19"/>
      <c r="W130" s="2"/>
      <c r="X130" s="2">
        <f t="shared" si="2"/>
        <v>-2287.12</v>
      </c>
      <c r="Y130" s="2"/>
      <c r="Z130" s="19">
        <f t="shared" si="3"/>
        <v>2.2413955311642493</v>
      </c>
    </row>
    <row r="131" spans="1:26" s="23" customFormat="1" hidden="1" outlineLevel="1" x14ac:dyDescent="0.25">
      <c r="A131" s="44"/>
      <c r="B131" s="10" t="str">
        <f>CONCATENATE("          ", "4341", " - ", "SALES RETURN NON TAXABLE-LOGO")</f>
        <v xml:space="preserve">          4341 - SALES RETURN NON TAXABLE-LOGO</v>
      </c>
      <c r="C131" s="10"/>
      <c r="D131" s="2">
        <f>-9.9</f>
        <v>-9.9</v>
      </c>
      <c r="E131" s="2"/>
      <c r="F131" s="19"/>
      <c r="G131" s="2"/>
      <c r="H131" s="2">
        <f t="shared" ref="H131:H137" si="34">0</f>
        <v>0</v>
      </c>
      <c r="I131" s="2"/>
      <c r="J131" s="19"/>
      <c r="K131" s="2"/>
      <c r="L131" s="2">
        <f t="shared" si="0"/>
        <v>-9.9</v>
      </c>
      <c r="M131" s="2"/>
      <c r="N131" s="19">
        <f t="shared" si="1"/>
        <v>0</v>
      </c>
      <c r="O131" s="10"/>
      <c r="P131" s="2">
        <f>-402.44</f>
        <v>-402.44</v>
      </c>
      <c r="Q131" s="2"/>
      <c r="R131" s="19"/>
      <c r="S131" s="2"/>
      <c r="T131" s="2">
        <f>-245.5</f>
        <v>-245.5</v>
      </c>
      <c r="U131" s="2"/>
      <c r="V131" s="19"/>
      <c r="W131" s="2"/>
      <c r="X131" s="2">
        <f t="shared" si="2"/>
        <v>-156.94</v>
      </c>
      <c r="Y131" s="2"/>
      <c r="Z131" s="19">
        <f t="shared" si="3"/>
        <v>0.63926680244399181</v>
      </c>
    </row>
    <row r="132" spans="1:26" s="23" customFormat="1" hidden="1" outlineLevel="1" x14ac:dyDescent="0.25">
      <c r="A132" s="44"/>
      <c r="B132" s="10" t="str">
        <f>CONCATENATE("          ", "4342", " - ", "SALES RETURN NON TAXABLE-EVERY")</f>
        <v xml:space="preserve">          4342 - SALES RETURN NON TAXABLE-EVERY</v>
      </c>
      <c r="C132" s="10"/>
      <c r="D132" s="2">
        <f t="shared" ref="D132:D135" si="35">0</f>
        <v>0</v>
      </c>
      <c r="E132" s="2"/>
      <c r="F132" s="19"/>
      <c r="G132" s="2"/>
      <c r="H132" s="2">
        <f t="shared" si="34"/>
        <v>0</v>
      </c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0"/>
      <c r="P132" s="2">
        <f>-118.7</f>
        <v>-118.7</v>
      </c>
      <c r="Q132" s="2"/>
      <c r="R132" s="19"/>
      <c r="S132" s="2"/>
      <c r="T132" s="2">
        <f>-149.22</f>
        <v>-149.22</v>
      </c>
      <c r="U132" s="2"/>
      <c r="V132" s="19"/>
      <c r="W132" s="2"/>
      <c r="X132" s="2">
        <f t="shared" si="2"/>
        <v>30.519999999999996</v>
      </c>
      <c r="Y132" s="2"/>
      <c r="Z132" s="19">
        <f t="shared" si="3"/>
        <v>-0.20453022383058569</v>
      </c>
    </row>
    <row r="133" spans="1:26" s="23" customFormat="1" hidden="1" outlineLevel="1" x14ac:dyDescent="0.25">
      <c r="A133" s="44"/>
      <c r="B133" s="10" t="str">
        <f>CONCATENATE("          ", "4346", " - ", "SALES RETURN NON TAXABLE-COIN-")</f>
        <v xml:space="preserve">          4346 - SALES RETURN NON TAXABLE-COIN-</v>
      </c>
      <c r="C133" s="10"/>
      <c r="D133" s="2">
        <f t="shared" si="35"/>
        <v>0</v>
      </c>
      <c r="E133" s="2"/>
      <c r="F133" s="19"/>
      <c r="G133" s="2"/>
      <c r="H133" s="2">
        <f t="shared" si="34"/>
        <v>0</v>
      </c>
      <c r="I133" s="2"/>
      <c r="J133" s="19"/>
      <c r="K133" s="2"/>
      <c r="L133" s="2">
        <f t="shared" si="0"/>
        <v>0</v>
      </c>
      <c r="M133" s="2"/>
      <c r="N133" s="19">
        <f t="shared" si="1"/>
        <v>0</v>
      </c>
      <c r="O133" s="10"/>
      <c r="P133" s="2">
        <f t="shared" ref="P133:P134" si="36">0</f>
        <v>0</v>
      </c>
      <c r="Q133" s="2"/>
      <c r="R133" s="19"/>
      <c r="S133" s="2"/>
      <c r="T133" s="2">
        <f>-8.15</f>
        <v>-8.15</v>
      </c>
      <c r="U133" s="2"/>
      <c r="V133" s="19"/>
      <c r="W133" s="2"/>
      <c r="X133" s="2">
        <f t="shared" si="2"/>
        <v>8.15</v>
      </c>
      <c r="Y133" s="2"/>
      <c r="Z133" s="19">
        <f t="shared" si="3"/>
        <v>-1</v>
      </c>
    </row>
    <row r="134" spans="1:26" s="23" customFormat="1" hidden="1" outlineLevel="1" x14ac:dyDescent="0.25">
      <c r="A134" s="44"/>
      <c r="B134" s="10" t="str">
        <f>CONCATENATE("          ", "4347", " - ", "SALES RETURN NON TAXABLE-MISC")</f>
        <v xml:space="preserve">          4347 - SALES RETURN NON TAXABLE-MISC</v>
      </c>
      <c r="C134" s="10"/>
      <c r="D134" s="2">
        <f t="shared" si="35"/>
        <v>0</v>
      </c>
      <c r="E134" s="2"/>
      <c r="F134" s="19"/>
      <c r="G134" s="2"/>
      <c r="H134" s="2">
        <f t="shared" si="34"/>
        <v>0</v>
      </c>
      <c r="I134" s="2"/>
      <c r="J134" s="19"/>
      <c r="K134" s="2"/>
      <c r="L134" s="2">
        <f t="shared" si="0"/>
        <v>0</v>
      </c>
      <c r="M134" s="2"/>
      <c r="N134" s="19">
        <f t="shared" si="1"/>
        <v>0</v>
      </c>
      <c r="O134" s="10"/>
      <c r="P134" s="2">
        <f t="shared" si="36"/>
        <v>0</v>
      </c>
      <c r="Q134" s="2"/>
      <c r="R134" s="19"/>
      <c r="S134" s="2"/>
      <c r="T134" s="2">
        <f>-84</f>
        <v>-84</v>
      </c>
      <c r="U134" s="2"/>
      <c r="V134" s="19"/>
      <c r="W134" s="2"/>
      <c r="X134" s="2">
        <f t="shared" si="2"/>
        <v>84</v>
      </c>
      <c r="Y134" s="2"/>
      <c r="Z134" s="19">
        <f t="shared" si="3"/>
        <v>-1</v>
      </c>
    </row>
    <row r="135" spans="1:26" s="23" customFormat="1" hidden="1" outlineLevel="1" x14ac:dyDescent="0.25">
      <c r="A135" s="44"/>
      <c r="B135" s="10" t="str">
        <f>CONCATENATE("          ", "4381", " - ", "SALES RETURN NON TAXABLE-ELECT")</f>
        <v xml:space="preserve">          4381 - SALES RETURN NON TAXABLE-ELECT</v>
      </c>
      <c r="C135" s="10"/>
      <c r="D135" s="2">
        <f t="shared" si="35"/>
        <v>0</v>
      </c>
      <c r="E135" s="2"/>
      <c r="F135" s="19"/>
      <c r="G135" s="2"/>
      <c r="H135" s="2">
        <f t="shared" si="34"/>
        <v>0</v>
      </c>
      <c r="I135" s="2"/>
      <c r="J135" s="19"/>
      <c r="K135" s="2"/>
      <c r="L135" s="2">
        <f t="shared" si="0"/>
        <v>0</v>
      </c>
      <c r="M135" s="2"/>
      <c r="N135" s="19">
        <f t="shared" si="1"/>
        <v>0</v>
      </c>
      <c r="O135" s="10"/>
      <c r="P135" s="2">
        <f>-5624.15</f>
        <v>-5624.15</v>
      </c>
      <c r="Q135" s="2"/>
      <c r="R135" s="19"/>
      <c r="S135" s="2"/>
      <c r="T135" s="2">
        <f>-1279.84</f>
        <v>-1279.8399999999999</v>
      </c>
      <c r="U135" s="2"/>
      <c r="V135" s="19"/>
      <c r="W135" s="2"/>
      <c r="X135" s="2">
        <f t="shared" si="2"/>
        <v>-4344.3099999999995</v>
      </c>
      <c r="Y135" s="2"/>
      <c r="Z135" s="19">
        <f t="shared" si="3"/>
        <v>3.3944164895611948</v>
      </c>
    </row>
    <row r="136" spans="1:26" s="23" customFormat="1" hidden="1" outlineLevel="1" x14ac:dyDescent="0.25">
      <c r="A136" s="44"/>
      <c r="B136" s="10" t="str">
        <f>CONCATENATE("          ", "4383", " - ", "SALES RETURN NON TAXABLE-COMPU")</f>
        <v xml:space="preserve">          4383 - SALES RETURN NON TAXABLE-COMPU</v>
      </c>
      <c r="C136" s="10"/>
      <c r="D136" s="2">
        <f>-14.99</f>
        <v>-14.99</v>
      </c>
      <c r="E136" s="2"/>
      <c r="F136" s="19"/>
      <c r="G136" s="2"/>
      <c r="H136" s="2">
        <f t="shared" si="34"/>
        <v>0</v>
      </c>
      <c r="I136" s="2"/>
      <c r="J136" s="19"/>
      <c r="K136" s="2"/>
      <c r="L136" s="2">
        <f t="shared" si="0"/>
        <v>-14.99</v>
      </c>
      <c r="M136" s="2"/>
      <c r="N136" s="19">
        <f t="shared" si="1"/>
        <v>0</v>
      </c>
      <c r="O136" s="10"/>
      <c r="P136" s="2">
        <f>-14.99</f>
        <v>-14.99</v>
      </c>
      <c r="Q136" s="2"/>
      <c r="R136" s="19"/>
      <c r="S136" s="2"/>
      <c r="T136" s="2">
        <f>-49.98</f>
        <v>-49.98</v>
      </c>
      <c r="U136" s="2"/>
      <c r="V136" s="19"/>
      <c r="W136" s="2"/>
      <c r="X136" s="2">
        <f t="shared" si="2"/>
        <v>34.989999999999995</v>
      </c>
      <c r="Y136" s="2"/>
      <c r="Z136" s="19">
        <f t="shared" si="3"/>
        <v>-0.70008003201280511</v>
      </c>
    </row>
    <row r="137" spans="1:26" s="23" customFormat="1" hidden="1" outlineLevel="1" x14ac:dyDescent="0.25">
      <c r="A137" s="44"/>
      <c r="B137" s="10" t="str">
        <f>CONCATENATE("          ", "4386", " - ", "SALES RETURN NON TAXABLE-COMPU")</f>
        <v xml:space="preserve">          4386 - SALES RETURN NON TAXABLE-COMPU</v>
      </c>
      <c r="C137" s="10"/>
      <c r="D137" s="2">
        <f>0</f>
        <v>0</v>
      </c>
      <c r="E137" s="2"/>
      <c r="F137" s="19"/>
      <c r="G137" s="2"/>
      <c r="H137" s="2">
        <f t="shared" si="34"/>
        <v>0</v>
      </c>
      <c r="I137" s="2"/>
      <c r="J137" s="19"/>
      <c r="K137" s="2"/>
      <c r="L137" s="2">
        <f t="shared" si="0"/>
        <v>0</v>
      </c>
      <c r="M137" s="2"/>
      <c r="N137" s="19">
        <f t="shared" si="1"/>
        <v>0</v>
      </c>
      <c r="O137" s="10"/>
      <c r="P137" s="2">
        <f>0</f>
        <v>0</v>
      </c>
      <c r="Q137" s="2"/>
      <c r="R137" s="19"/>
      <c r="S137" s="2"/>
      <c r="T137" s="2">
        <f>-104.96</f>
        <v>-104.96</v>
      </c>
      <c r="U137" s="2"/>
      <c r="V137" s="19"/>
      <c r="W137" s="2"/>
      <c r="X137" s="2">
        <f t="shared" si="2"/>
        <v>104.96</v>
      </c>
      <c r="Y137" s="2"/>
      <c r="Z137" s="19">
        <f t="shared" si="3"/>
        <v>-1</v>
      </c>
    </row>
    <row r="138" spans="1:26" x14ac:dyDescent="0.25">
      <c r="A138" s="9"/>
      <c r="B138" s="11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4" customFormat="1" collapsed="1" x14ac:dyDescent="0.25">
      <c r="A139" s="11"/>
      <c r="B139" s="28" t="s">
        <v>256</v>
      </c>
      <c r="C139" s="11"/>
      <c r="D139" s="4">
        <f>SUM(OSRRefD16x_0)</f>
        <v>643578.63</v>
      </c>
      <c r="E139" s="4"/>
      <c r="F139" s="13">
        <f t="shared" ref="F139:F200" si="37">IF(D$12=0,0,D139/D$12)</f>
        <v>0.61961636136116982</v>
      </c>
      <c r="G139" s="4"/>
      <c r="H139" s="4">
        <f>SUM(OSRRefH16x_0)</f>
        <v>529974.31999999983</v>
      </c>
      <c r="I139" s="4"/>
      <c r="J139" s="13">
        <f t="shared" ref="J139:J200" si="38">IF(H$12=0,0,H139/H$12)</f>
        <v>1.063761501625506</v>
      </c>
      <c r="K139" s="4"/>
      <c r="L139" s="4">
        <f t="shared" ref="L139:L200" si="39">+D139-H139</f>
        <v>113604.31000000017</v>
      </c>
      <c r="M139" s="4"/>
      <c r="N139" s="13">
        <f t="shared" ref="N139:N200" si="40">IF(H139=0,0,L139/H139)</f>
        <v>0.21435814097558578</v>
      </c>
      <c r="O139" s="11"/>
      <c r="P139" s="4">
        <f>SUM(OSRRefP16x_0)</f>
        <v>5635922.9100000001</v>
      </c>
      <c r="Q139" s="4"/>
      <c r="R139" s="13">
        <f t="shared" ref="R139:R200" si="41">IF(P$12=0,0,P139/P$12)</f>
        <v>0.62594759764028962</v>
      </c>
      <c r="S139" s="4"/>
      <c r="T139" s="4">
        <f>SUM(OSRRefT16x_0)</f>
        <v>12154914.630000001</v>
      </c>
      <c r="U139" s="4"/>
      <c r="V139" s="13">
        <f t="shared" ref="V139:V200" si="42">IF(T$12=0,0,T139/T$12)</f>
        <v>0.44129640290861394</v>
      </c>
      <c r="W139" s="4"/>
      <c r="X139" s="4">
        <f t="shared" ref="X139:X200" si="43">+P139-T139</f>
        <v>-6518991.7200000007</v>
      </c>
      <c r="Y139" s="4"/>
      <c r="Z139" s="13">
        <f t="shared" ref="Z139:Z200" si="44">IF(T139=0,0,X139/T139)</f>
        <v>-0.5363255866816401</v>
      </c>
    </row>
    <row r="140" spans="1:26" s="23" customFormat="1" hidden="1" outlineLevel="1" x14ac:dyDescent="0.25">
      <c r="A140" s="44"/>
      <c r="B140" s="10" t="str">
        <f>CONCATENATE("          ", "5000", " - ", "PURCHASES @ COST")</f>
        <v xml:space="preserve">          5000 - PURCHASES @ COST</v>
      </c>
      <c r="C140" s="10"/>
      <c r="D140" s="2"/>
      <c r="E140" s="2"/>
      <c r="F140" s="19">
        <f t="shared" si="37"/>
        <v>0</v>
      </c>
      <c r="G140" s="2"/>
      <c r="H140" s="2">
        <v>0</v>
      </c>
      <c r="I140" s="2"/>
      <c r="J140" s="19">
        <f t="shared" si="38"/>
        <v>0</v>
      </c>
      <c r="K140" s="2"/>
      <c r="L140" s="2">
        <f t="shared" si="39"/>
        <v>0</v>
      </c>
      <c r="M140" s="2"/>
      <c r="N140" s="19">
        <f t="shared" si="40"/>
        <v>0</v>
      </c>
      <c r="O140" s="10"/>
      <c r="P140" s="2">
        <v>0</v>
      </c>
      <c r="Q140" s="2"/>
      <c r="R140" s="19">
        <f t="shared" si="41"/>
        <v>0</v>
      </c>
      <c r="S140" s="2"/>
      <c r="T140" s="2">
        <v>0</v>
      </c>
      <c r="U140" s="2"/>
      <c r="V140" s="19">
        <f t="shared" si="42"/>
        <v>0</v>
      </c>
      <c r="W140" s="2"/>
      <c r="X140" s="2">
        <f t="shared" si="43"/>
        <v>0</v>
      </c>
      <c r="Y140" s="2"/>
      <c r="Z140" s="19">
        <f t="shared" si="44"/>
        <v>0</v>
      </c>
    </row>
    <row r="141" spans="1:26" s="23" customFormat="1" hidden="1" outlineLevel="1" x14ac:dyDescent="0.25">
      <c r="A141" s="44"/>
      <c r="B141" s="10" t="str">
        <f>CONCATENATE("          ", "5001", " - ", "PURCHASES @ COST-NEW TEXT")</f>
        <v xml:space="preserve">          5001 - PURCHASES @ COST-NEW TEXT</v>
      </c>
      <c r="C141" s="10"/>
      <c r="D141" s="2">
        <v>-28969.93</v>
      </c>
      <c r="E141" s="2"/>
      <c r="F141" s="19">
        <f t="shared" si="37"/>
        <v>-2.7891296849753687E-2</v>
      </c>
      <c r="G141" s="2"/>
      <c r="H141" s="2">
        <v>-24912.87</v>
      </c>
      <c r="I141" s="2"/>
      <c r="J141" s="19">
        <f t="shared" si="38"/>
        <v>-5.0004973827790428E-2</v>
      </c>
      <c r="K141" s="2"/>
      <c r="L141" s="2">
        <f t="shared" si="39"/>
        <v>-4057.0600000000013</v>
      </c>
      <c r="M141" s="2"/>
      <c r="N141" s="19">
        <f t="shared" si="40"/>
        <v>0.16284996469696192</v>
      </c>
      <c r="O141" s="10"/>
      <c r="P141" s="2">
        <v>1006546.47</v>
      </c>
      <c r="Q141" s="2"/>
      <c r="R141" s="19">
        <f t="shared" si="41"/>
        <v>0.11179097991065562</v>
      </c>
      <c r="S141" s="2"/>
      <c r="T141" s="2">
        <v>1569752.25</v>
      </c>
      <c r="U141" s="2"/>
      <c r="V141" s="19">
        <f t="shared" si="42"/>
        <v>5.6991434532412115E-2</v>
      </c>
      <c r="W141" s="2"/>
      <c r="X141" s="2">
        <f t="shared" si="43"/>
        <v>-563205.78</v>
      </c>
      <c r="Y141" s="2"/>
      <c r="Z141" s="19">
        <f t="shared" si="44"/>
        <v>-0.35878641358851376</v>
      </c>
    </row>
    <row r="142" spans="1:26" s="23" customFormat="1" hidden="1" outlineLevel="1" x14ac:dyDescent="0.25">
      <c r="A142" s="44"/>
      <c r="B142" s="10" t="str">
        <f>CONCATENATE("          ", "5002", " - ", "PURCHASES @ COST-USED TEXT")</f>
        <v xml:space="preserve">          5002 - PURCHASES @ COST-USED TEXT</v>
      </c>
      <c r="C142" s="10"/>
      <c r="D142" s="2">
        <v>-122091.65</v>
      </c>
      <c r="E142" s="2"/>
      <c r="F142" s="19">
        <f t="shared" si="37"/>
        <v>-0.11754582952137715</v>
      </c>
      <c r="G142" s="2"/>
      <c r="H142" s="2">
        <v>-3117.33</v>
      </c>
      <c r="I142" s="2"/>
      <c r="J142" s="19">
        <f t="shared" si="38"/>
        <v>-6.2570874035221928E-3</v>
      </c>
      <c r="K142" s="2"/>
      <c r="L142" s="2">
        <f t="shared" si="39"/>
        <v>-118974.31999999999</v>
      </c>
      <c r="M142" s="2"/>
      <c r="N142" s="19">
        <f t="shared" si="40"/>
        <v>38.165455694456469</v>
      </c>
      <c r="O142" s="10"/>
      <c r="P142" s="2">
        <v>274961.02</v>
      </c>
      <c r="Q142" s="2"/>
      <c r="R142" s="19">
        <f t="shared" si="41"/>
        <v>3.0538244163762635E-2</v>
      </c>
      <c r="S142" s="2"/>
      <c r="T142" s="2">
        <v>595582.78</v>
      </c>
      <c r="U142" s="2"/>
      <c r="V142" s="19">
        <f t="shared" si="42"/>
        <v>2.1623231955872024E-2</v>
      </c>
      <c r="W142" s="2"/>
      <c r="X142" s="2">
        <f t="shared" si="43"/>
        <v>-320621.76</v>
      </c>
      <c r="Y142" s="2"/>
      <c r="Z142" s="19">
        <f t="shared" si="44"/>
        <v>-0.53833282419615958</v>
      </c>
    </row>
    <row r="143" spans="1:26" s="23" customFormat="1" hidden="1" outlineLevel="1" x14ac:dyDescent="0.25">
      <c r="A143" s="44"/>
      <c r="B143" s="10" t="str">
        <f>CONCATENATE("          ", "5003", " - ", "PURCHASES @ COST-RENTAL TEXT")</f>
        <v xml:space="preserve">          5003 - PURCHASES @ COST-RENTAL TEXT</v>
      </c>
      <c r="C143" s="10"/>
      <c r="D143" s="2"/>
      <c r="E143" s="2"/>
      <c r="F143" s="19">
        <f t="shared" si="37"/>
        <v>0</v>
      </c>
      <c r="G143" s="2"/>
      <c r="H143" s="2"/>
      <c r="I143" s="2"/>
      <c r="J143" s="19">
        <f t="shared" si="38"/>
        <v>0</v>
      </c>
      <c r="K143" s="2"/>
      <c r="L143" s="2">
        <f t="shared" si="39"/>
        <v>0</v>
      </c>
      <c r="M143" s="2"/>
      <c r="N143" s="19">
        <f t="shared" si="40"/>
        <v>0</v>
      </c>
      <c r="O143" s="10"/>
      <c r="P143" s="2">
        <v>32.520000000000003</v>
      </c>
      <c r="Q143" s="2"/>
      <c r="R143" s="19">
        <f t="shared" si="41"/>
        <v>3.6117981385345491E-6</v>
      </c>
      <c r="S143" s="2"/>
      <c r="T143" s="2">
        <v>-78.400000000000006</v>
      </c>
      <c r="U143" s="2"/>
      <c r="V143" s="19">
        <f t="shared" si="42"/>
        <v>-2.8463908666740947E-6</v>
      </c>
      <c r="W143" s="2"/>
      <c r="X143" s="2">
        <f t="shared" si="43"/>
        <v>110.92000000000002</v>
      </c>
      <c r="Y143" s="2"/>
      <c r="Z143" s="19">
        <f t="shared" si="44"/>
        <v>-1.4147959183673471</v>
      </c>
    </row>
    <row r="144" spans="1:26" s="23" customFormat="1" hidden="1" outlineLevel="1" x14ac:dyDescent="0.25">
      <c r="A144" s="44"/>
      <c r="B144" s="10" t="str">
        <f>CONCATENATE("          ", "5004", " - ", "PURCHASES @ COST-DIGITAL TEXT")</f>
        <v xml:space="preserve">          5004 - PURCHASES @ COST-DIGITAL TEXT</v>
      </c>
      <c r="C144" s="10"/>
      <c r="D144" s="2">
        <v>887.88</v>
      </c>
      <c r="E144" s="2"/>
      <c r="F144" s="19">
        <f t="shared" si="37"/>
        <v>8.5482169432094944E-4</v>
      </c>
      <c r="G144" s="2"/>
      <c r="H144" s="2">
        <v>54465.03</v>
      </c>
      <c r="I144" s="2"/>
      <c r="J144" s="19">
        <f t="shared" si="38"/>
        <v>0.10932190468941637</v>
      </c>
      <c r="K144" s="2"/>
      <c r="L144" s="2">
        <f t="shared" si="39"/>
        <v>-53577.15</v>
      </c>
      <c r="M144" s="2"/>
      <c r="N144" s="19">
        <f t="shared" si="40"/>
        <v>-0.98369816375755237</v>
      </c>
      <c r="O144" s="10"/>
      <c r="P144" s="2">
        <v>207450.38</v>
      </c>
      <c r="Q144" s="2"/>
      <c r="R144" s="19">
        <f t="shared" si="41"/>
        <v>2.3040248964399903E-2</v>
      </c>
      <c r="S144" s="2"/>
      <c r="T144" s="2">
        <v>492787.91</v>
      </c>
      <c r="U144" s="2"/>
      <c r="V144" s="19">
        <f t="shared" si="42"/>
        <v>1.7891160793768054E-2</v>
      </c>
      <c r="W144" s="2"/>
      <c r="X144" s="2">
        <f t="shared" si="43"/>
        <v>-285337.52999999997</v>
      </c>
      <c r="Y144" s="2"/>
      <c r="Z144" s="19">
        <f t="shared" si="44"/>
        <v>-0.57902705039983626</v>
      </c>
    </row>
    <row r="145" spans="1:26" s="23" customFormat="1" hidden="1" outlineLevel="1" x14ac:dyDescent="0.25">
      <c r="A145" s="44"/>
      <c r="B145" s="10" t="str">
        <f>CONCATENATE("          ", "5011", " - ", "PURCHASES @ COST-NO VALUE TEXT")</f>
        <v xml:space="preserve">          5011 - PURCHASES @ COST-NO VALUE TEXT</v>
      </c>
      <c r="C145" s="10"/>
      <c r="D145" s="2"/>
      <c r="E145" s="2"/>
      <c r="F145" s="19">
        <f t="shared" si="37"/>
        <v>0</v>
      </c>
      <c r="G145" s="2"/>
      <c r="H145" s="2">
        <v>42</v>
      </c>
      <c r="I145" s="2"/>
      <c r="J145" s="19">
        <f t="shared" si="38"/>
        <v>8.4302165939419981E-5</v>
      </c>
      <c r="K145" s="2"/>
      <c r="L145" s="2">
        <f t="shared" si="39"/>
        <v>-42</v>
      </c>
      <c r="M145" s="2"/>
      <c r="N145" s="19">
        <f t="shared" si="40"/>
        <v>-1</v>
      </c>
      <c r="O145" s="10"/>
      <c r="P145" s="2">
        <v>67.17</v>
      </c>
      <c r="Q145" s="2"/>
      <c r="R145" s="19">
        <f t="shared" si="41"/>
        <v>7.4601623913089068E-6</v>
      </c>
      <c r="S145" s="2"/>
      <c r="T145" s="2">
        <v>6363</v>
      </c>
      <c r="U145" s="2"/>
      <c r="V145" s="19">
        <f t="shared" si="42"/>
        <v>2.3101511587560284E-4</v>
      </c>
      <c r="W145" s="2"/>
      <c r="X145" s="2">
        <f t="shared" si="43"/>
        <v>-6295.83</v>
      </c>
      <c r="Y145" s="2"/>
      <c r="Z145" s="19">
        <f t="shared" si="44"/>
        <v>-0.98944365865157946</v>
      </c>
    </row>
    <row r="146" spans="1:26" s="23" customFormat="1" hidden="1" outlineLevel="1" x14ac:dyDescent="0.25">
      <c r="A146" s="44"/>
      <c r="B146" s="10" t="str">
        <f>CONCATENATE("          ", "5013", " - ", "PURCHASES @ COST-TRADE BOOKS")</f>
        <v xml:space="preserve">          5013 - PURCHASES @ COST-TRADE BOOKS</v>
      </c>
      <c r="C146" s="10"/>
      <c r="D146" s="2">
        <v>800</v>
      </c>
      <c r="E146" s="2"/>
      <c r="F146" s="19">
        <f t="shared" si="37"/>
        <v>7.7021371745816954E-4</v>
      </c>
      <c r="G146" s="2"/>
      <c r="H146" s="2">
        <v>-3150.69</v>
      </c>
      <c r="I146" s="2"/>
      <c r="J146" s="19">
        <f t="shared" si="38"/>
        <v>-6.3240474096112184E-3</v>
      </c>
      <c r="K146" s="2"/>
      <c r="L146" s="2">
        <f t="shared" si="39"/>
        <v>3950.69</v>
      </c>
      <c r="M146" s="2"/>
      <c r="N146" s="19">
        <f t="shared" si="40"/>
        <v>-1.2539126350101089</v>
      </c>
      <c r="O146" s="10"/>
      <c r="P146" s="2">
        <v>9670.02</v>
      </c>
      <c r="Q146" s="2"/>
      <c r="R146" s="19">
        <f t="shared" si="41"/>
        <v>1.0739901671461211E-3</v>
      </c>
      <c r="S146" s="2"/>
      <c r="T146" s="2">
        <v>3197.85</v>
      </c>
      <c r="U146" s="2"/>
      <c r="V146" s="19">
        <f t="shared" si="42"/>
        <v>1.161011611351244E-4</v>
      </c>
      <c r="W146" s="2"/>
      <c r="X146" s="2">
        <f t="shared" si="43"/>
        <v>6472.17</v>
      </c>
      <c r="Y146" s="2"/>
      <c r="Z146" s="19">
        <f t="shared" si="44"/>
        <v>2.0239129415075756</v>
      </c>
    </row>
    <row r="147" spans="1:26" s="23" customFormat="1" hidden="1" outlineLevel="1" x14ac:dyDescent="0.25">
      <c r="A147" s="44"/>
      <c r="B147" s="10" t="str">
        <f>CONCATENATE("          ", "5014", " - ", "PURCHASES @ COST-REMAINDERS")</f>
        <v xml:space="preserve">          5014 - PURCHASES @ COST-REMAINDERS</v>
      </c>
      <c r="C147" s="10"/>
      <c r="D147" s="2"/>
      <c r="E147" s="2"/>
      <c r="F147" s="19">
        <f t="shared" si="37"/>
        <v>0</v>
      </c>
      <c r="G147" s="2"/>
      <c r="H147" s="2"/>
      <c r="I147" s="2"/>
      <c r="J147" s="19">
        <f t="shared" si="38"/>
        <v>0</v>
      </c>
      <c r="K147" s="2"/>
      <c r="L147" s="2">
        <f t="shared" si="39"/>
        <v>0</v>
      </c>
      <c r="M147" s="2"/>
      <c r="N147" s="19">
        <f t="shared" si="40"/>
        <v>0</v>
      </c>
      <c r="O147" s="10"/>
      <c r="P147" s="2">
        <v>111.57</v>
      </c>
      <c r="Q147" s="2"/>
      <c r="R147" s="19">
        <f t="shared" si="41"/>
        <v>1.2391399702223234E-5</v>
      </c>
      <c r="S147" s="2"/>
      <c r="T147" s="2">
        <v>615.07000000000005</v>
      </c>
      <c r="U147" s="2"/>
      <c r="V147" s="19">
        <f t="shared" si="42"/>
        <v>2.2330735081189228E-5</v>
      </c>
      <c r="W147" s="2"/>
      <c r="X147" s="2">
        <f t="shared" si="43"/>
        <v>-503.50000000000006</v>
      </c>
      <c r="Y147" s="2"/>
      <c r="Z147" s="19">
        <f t="shared" si="44"/>
        <v>-0.81860601232380059</v>
      </c>
    </row>
    <row r="148" spans="1:26" s="23" customFormat="1" hidden="1" outlineLevel="1" x14ac:dyDescent="0.25">
      <c r="A148" s="44"/>
      <c r="B148" s="10" t="str">
        <f>CONCATENATE("          ", "5017", " - ", "PURCHASES @ COST-DORM/HOUSEWAR")</f>
        <v xml:space="preserve">          5017 - PURCHASES @ COST-DORM/HOUSEWAR</v>
      </c>
      <c r="C148" s="10"/>
      <c r="D148" s="2"/>
      <c r="E148" s="2"/>
      <c r="F148" s="19">
        <f t="shared" si="37"/>
        <v>0</v>
      </c>
      <c r="G148" s="2"/>
      <c r="H148" s="2"/>
      <c r="I148" s="2"/>
      <c r="J148" s="19">
        <f t="shared" si="38"/>
        <v>0</v>
      </c>
      <c r="K148" s="2"/>
      <c r="L148" s="2">
        <f t="shared" si="39"/>
        <v>0</v>
      </c>
      <c r="M148" s="2"/>
      <c r="N148" s="19">
        <f t="shared" si="40"/>
        <v>0</v>
      </c>
      <c r="O148" s="10"/>
      <c r="P148" s="2"/>
      <c r="Q148" s="2"/>
      <c r="R148" s="19">
        <f t="shared" si="41"/>
        <v>0</v>
      </c>
      <c r="S148" s="2"/>
      <c r="T148" s="2">
        <v>14.46</v>
      </c>
      <c r="U148" s="2"/>
      <c r="V148" s="19">
        <f t="shared" si="42"/>
        <v>5.249848460727986E-7</v>
      </c>
      <c r="W148" s="2"/>
      <c r="X148" s="2">
        <f t="shared" si="43"/>
        <v>-14.46</v>
      </c>
      <c r="Y148" s="2"/>
      <c r="Z148" s="19">
        <f t="shared" si="44"/>
        <v>-1</v>
      </c>
    </row>
    <row r="149" spans="1:26" s="23" customFormat="1" hidden="1" outlineLevel="1" x14ac:dyDescent="0.25">
      <c r="A149" s="44"/>
      <c r="B149" s="10" t="str">
        <f>CONCATENATE("          ", "5018", " - ", "PURCHASES @ COST-STUDY GUIDES")</f>
        <v xml:space="preserve">          5018 - PURCHASES @ COST-STUDY GUIDES</v>
      </c>
      <c r="C149" s="10"/>
      <c r="D149" s="2"/>
      <c r="E149" s="2"/>
      <c r="F149" s="19">
        <f t="shared" si="37"/>
        <v>0</v>
      </c>
      <c r="G149" s="2"/>
      <c r="H149" s="2">
        <v>-2582.4699999999998</v>
      </c>
      <c r="I149" s="2"/>
      <c r="J149" s="19">
        <f t="shared" si="38"/>
        <v>-5.1835193922279508E-3</v>
      </c>
      <c r="K149" s="2"/>
      <c r="L149" s="2">
        <f t="shared" si="39"/>
        <v>2582.4699999999998</v>
      </c>
      <c r="M149" s="2"/>
      <c r="N149" s="19">
        <f t="shared" si="40"/>
        <v>-1</v>
      </c>
      <c r="O149" s="10"/>
      <c r="P149" s="2">
        <v>967.21</v>
      </c>
      <c r="Q149" s="2"/>
      <c r="R149" s="19">
        <f t="shared" si="41"/>
        <v>1.074221180065191E-4</v>
      </c>
      <c r="S149" s="2"/>
      <c r="T149" s="2">
        <v>-205.14</v>
      </c>
      <c r="U149" s="2"/>
      <c r="V149" s="19">
        <f t="shared" si="42"/>
        <v>-7.4478140610908639E-6</v>
      </c>
      <c r="W149" s="2"/>
      <c r="X149" s="2">
        <f t="shared" si="43"/>
        <v>1172.3499999999999</v>
      </c>
      <c r="Y149" s="2"/>
      <c r="Z149" s="19">
        <f t="shared" si="44"/>
        <v>-5.7148776445354388</v>
      </c>
    </row>
    <row r="150" spans="1:26" s="23" customFormat="1" hidden="1" outlineLevel="1" x14ac:dyDescent="0.25">
      <c r="A150" s="44"/>
      <c r="B150" s="10" t="str">
        <f>CONCATENATE("          ", "5025", " - ", "PURCHASES @ COST-TEST FORMS")</f>
        <v xml:space="preserve">          5025 - PURCHASES @ COST-TEST FORMS</v>
      </c>
      <c r="C150" s="10"/>
      <c r="D150" s="2"/>
      <c r="E150" s="2"/>
      <c r="F150" s="19">
        <f t="shared" si="37"/>
        <v>0</v>
      </c>
      <c r="G150" s="2"/>
      <c r="H150" s="2"/>
      <c r="I150" s="2"/>
      <c r="J150" s="19">
        <f t="shared" si="38"/>
        <v>0</v>
      </c>
      <c r="K150" s="2"/>
      <c r="L150" s="2">
        <f t="shared" si="39"/>
        <v>0</v>
      </c>
      <c r="M150" s="2"/>
      <c r="N150" s="19">
        <f t="shared" si="40"/>
        <v>0</v>
      </c>
      <c r="O150" s="10"/>
      <c r="P150" s="2">
        <v>599.29</v>
      </c>
      <c r="Q150" s="2"/>
      <c r="R150" s="19">
        <f t="shared" si="41"/>
        <v>6.6559486667969539E-5</v>
      </c>
      <c r="S150" s="2"/>
      <c r="T150" s="2">
        <v>26400.39</v>
      </c>
      <c r="U150" s="2"/>
      <c r="V150" s="19">
        <f t="shared" si="42"/>
        <v>9.5849271648767976E-4</v>
      </c>
      <c r="W150" s="2"/>
      <c r="X150" s="2">
        <f t="shared" si="43"/>
        <v>-25801.1</v>
      </c>
      <c r="Y150" s="2"/>
      <c r="Z150" s="19">
        <f t="shared" si="44"/>
        <v>-0.97729995655367208</v>
      </c>
    </row>
    <row r="151" spans="1:26" s="23" customFormat="1" hidden="1" outlineLevel="1" x14ac:dyDescent="0.25">
      <c r="A151" s="44"/>
      <c r="B151" s="10" t="str">
        <f>CONCATENATE("          ", "5026", " - ", "PURCHASES @ COST-WRITING INSTR")</f>
        <v xml:space="preserve">          5026 - PURCHASES @ COST-WRITING INSTR</v>
      </c>
      <c r="C151" s="10"/>
      <c r="D151" s="2"/>
      <c r="E151" s="2"/>
      <c r="F151" s="19">
        <f t="shared" si="37"/>
        <v>0</v>
      </c>
      <c r="G151" s="2"/>
      <c r="H151" s="2">
        <v>2463.3000000000002</v>
      </c>
      <c r="I151" s="2"/>
      <c r="J151" s="19">
        <f t="shared" si="38"/>
        <v>4.9443220323469829E-3</v>
      </c>
      <c r="K151" s="2"/>
      <c r="L151" s="2">
        <f t="shared" si="39"/>
        <v>-2463.3000000000002</v>
      </c>
      <c r="M151" s="2"/>
      <c r="N151" s="19">
        <f t="shared" si="40"/>
        <v>-1</v>
      </c>
      <c r="O151" s="10"/>
      <c r="P151" s="2">
        <v>584.54999999999995</v>
      </c>
      <c r="Q151" s="2"/>
      <c r="R151" s="19">
        <f t="shared" si="41"/>
        <v>6.4922404731868706E-5</v>
      </c>
      <c r="S151" s="2"/>
      <c r="T151" s="2">
        <v>51434.57</v>
      </c>
      <c r="U151" s="2"/>
      <c r="V151" s="19">
        <f t="shared" si="42"/>
        <v>1.8673838045830278E-3</v>
      </c>
      <c r="W151" s="2"/>
      <c r="X151" s="2">
        <f t="shared" si="43"/>
        <v>-50850.02</v>
      </c>
      <c r="Y151" s="2"/>
      <c r="Z151" s="19">
        <f t="shared" si="44"/>
        <v>-0.98863507559215513</v>
      </c>
    </row>
    <row r="152" spans="1:26" s="23" customFormat="1" hidden="1" outlineLevel="1" x14ac:dyDescent="0.25">
      <c r="A152" s="44"/>
      <c r="B152" s="10" t="str">
        <f>CONCATENATE("          ", "5027", " - ", "PURCHASES @ COST-SCHOOL SUPPLI")</f>
        <v xml:space="preserve">          5027 - PURCHASES @ COST-SCHOOL SUPPLI</v>
      </c>
      <c r="C152" s="10"/>
      <c r="D152" s="2">
        <v>1838.72</v>
      </c>
      <c r="E152" s="2"/>
      <c r="F152" s="19">
        <f t="shared" si="37"/>
        <v>1.770259208205857E-3</v>
      </c>
      <c r="G152" s="2"/>
      <c r="H152" s="2">
        <v>6003.13</v>
      </c>
      <c r="I152" s="2"/>
      <c r="J152" s="19">
        <f t="shared" si="38"/>
        <v>1.2049449081331197E-2</v>
      </c>
      <c r="K152" s="2"/>
      <c r="L152" s="2">
        <f t="shared" si="39"/>
        <v>-4164.41</v>
      </c>
      <c r="M152" s="2"/>
      <c r="N152" s="19">
        <f t="shared" si="40"/>
        <v>-0.6937064498020199</v>
      </c>
      <c r="O152" s="10"/>
      <c r="P152" s="2">
        <v>23734.6</v>
      </c>
      <c r="Q152" s="2"/>
      <c r="R152" s="19">
        <f t="shared" si="41"/>
        <v>2.6360573216132254E-3</v>
      </c>
      <c r="S152" s="2"/>
      <c r="T152" s="2">
        <v>143608.17000000001</v>
      </c>
      <c r="U152" s="2"/>
      <c r="V152" s="19">
        <f t="shared" si="42"/>
        <v>5.2138390748441418E-3</v>
      </c>
      <c r="W152" s="2"/>
      <c r="X152" s="2">
        <f t="shared" si="43"/>
        <v>-119873.57</v>
      </c>
      <c r="Y152" s="2"/>
      <c r="Z152" s="19">
        <f t="shared" si="44"/>
        <v>-0.83472667328049643</v>
      </c>
    </row>
    <row r="153" spans="1:26" s="23" customFormat="1" hidden="1" outlineLevel="1" x14ac:dyDescent="0.25">
      <c r="A153" s="44"/>
      <c r="B153" s="10" t="str">
        <f>CONCATENATE("          ", "5028", " - ", "PURCHASES @ COST-ART/TECH")</f>
        <v xml:space="preserve">          5028 - PURCHASES @ COST-ART/TECH</v>
      </c>
      <c r="C153" s="10"/>
      <c r="D153" s="2">
        <v>1371.26</v>
      </c>
      <c r="E153" s="2"/>
      <c r="F153" s="19">
        <f t="shared" si="37"/>
        <v>1.320204077752112E-3</v>
      </c>
      <c r="G153" s="2"/>
      <c r="H153" s="2">
        <v>8617.84</v>
      </c>
      <c r="I153" s="2"/>
      <c r="J153" s="19">
        <f t="shared" si="38"/>
        <v>1.729768042188979E-2</v>
      </c>
      <c r="K153" s="2"/>
      <c r="L153" s="2">
        <f t="shared" si="39"/>
        <v>-7246.58</v>
      </c>
      <c r="M153" s="2"/>
      <c r="N153" s="19">
        <f t="shared" si="40"/>
        <v>-0.8408812417032574</v>
      </c>
      <c r="O153" s="10"/>
      <c r="P153" s="2">
        <v>47006.62</v>
      </c>
      <c r="Q153" s="2"/>
      <c r="R153" s="19">
        <f t="shared" si="41"/>
        <v>5.220738702792156E-3</v>
      </c>
      <c r="S153" s="2"/>
      <c r="T153" s="2">
        <v>159687.99</v>
      </c>
      <c r="U153" s="2"/>
      <c r="V153" s="19">
        <f t="shared" si="42"/>
        <v>5.797633115478879E-3</v>
      </c>
      <c r="W153" s="2"/>
      <c r="X153" s="2">
        <f t="shared" si="43"/>
        <v>-112681.37</v>
      </c>
      <c r="Y153" s="2"/>
      <c r="Z153" s="19">
        <f t="shared" si="44"/>
        <v>-0.70563459406058027</v>
      </c>
    </row>
    <row r="154" spans="1:26" s="23" customFormat="1" hidden="1" outlineLevel="1" x14ac:dyDescent="0.25">
      <c r="A154" s="44"/>
      <c r="B154" s="10" t="str">
        <f>CONCATENATE("          ", "5031", " - ", "PURCHASES @ COST-FOOD")</f>
        <v xml:space="preserve">          5031 - PURCHASES @ COST-FOOD</v>
      </c>
      <c r="C154" s="10"/>
      <c r="D154" s="2"/>
      <c r="E154" s="2"/>
      <c r="F154" s="19">
        <f t="shared" si="37"/>
        <v>0</v>
      </c>
      <c r="G154" s="2"/>
      <c r="H154" s="2"/>
      <c r="I154" s="2"/>
      <c r="J154" s="19">
        <f t="shared" si="38"/>
        <v>0</v>
      </c>
      <c r="K154" s="2"/>
      <c r="L154" s="2">
        <f t="shared" si="39"/>
        <v>0</v>
      </c>
      <c r="M154" s="2"/>
      <c r="N154" s="19">
        <f t="shared" si="40"/>
        <v>0</v>
      </c>
      <c r="O154" s="10"/>
      <c r="P154" s="2">
        <v>7785.72</v>
      </c>
      <c r="Q154" s="2"/>
      <c r="R154" s="19">
        <f t="shared" si="41"/>
        <v>8.6471245397143934E-4</v>
      </c>
      <c r="S154" s="2"/>
      <c r="T154" s="2">
        <v>33239.879999999997</v>
      </c>
      <c r="U154" s="2"/>
      <c r="V154" s="19">
        <f t="shared" si="42"/>
        <v>1.2068072811395776E-3</v>
      </c>
      <c r="W154" s="2"/>
      <c r="X154" s="2">
        <f t="shared" si="43"/>
        <v>-25454.159999999996</v>
      </c>
      <c r="Y154" s="2"/>
      <c r="Z154" s="19">
        <f t="shared" si="44"/>
        <v>-0.76577171758742801</v>
      </c>
    </row>
    <row r="155" spans="1:26" s="23" customFormat="1" hidden="1" outlineLevel="1" x14ac:dyDescent="0.25">
      <c r="A155" s="44"/>
      <c r="B155" s="10" t="str">
        <f>CONCATENATE("          ", "5032", " - ", "PURCHASES @ COST-JUICE")</f>
        <v xml:space="preserve">          5032 - PURCHASES @ COST-JUICE</v>
      </c>
      <c r="C155" s="10"/>
      <c r="D155" s="2"/>
      <c r="E155" s="2"/>
      <c r="F155" s="19">
        <f t="shared" si="37"/>
        <v>0</v>
      </c>
      <c r="G155" s="2"/>
      <c r="H155" s="2"/>
      <c r="I155" s="2"/>
      <c r="J155" s="19">
        <f t="shared" si="38"/>
        <v>0</v>
      </c>
      <c r="K155" s="2"/>
      <c r="L155" s="2">
        <f t="shared" si="39"/>
        <v>0</v>
      </c>
      <c r="M155" s="2"/>
      <c r="N155" s="19">
        <f t="shared" si="40"/>
        <v>0</v>
      </c>
      <c r="O155" s="10"/>
      <c r="P155" s="2"/>
      <c r="Q155" s="2"/>
      <c r="R155" s="19">
        <f t="shared" si="41"/>
        <v>0</v>
      </c>
      <c r="S155" s="2"/>
      <c r="T155" s="2">
        <v>7802.45</v>
      </c>
      <c r="U155" s="2"/>
      <c r="V155" s="19">
        <f t="shared" si="42"/>
        <v>2.8327579614389396E-4</v>
      </c>
      <c r="W155" s="2"/>
      <c r="X155" s="2">
        <f t="shared" si="43"/>
        <v>-7802.45</v>
      </c>
      <c r="Y155" s="2"/>
      <c r="Z155" s="19">
        <f t="shared" si="44"/>
        <v>-1</v>
      </c>
    </row>
    <row r="156" spans="1:26" s="23" customFormat="1" hidden="1" outlineLevel="1" x14ac:dyDescent="0.25">
      <c r="A156" s="44"/>
      <c r="B156" s="10" t="str">
        <f>CONCATENATE("          ", "5033", " - ", "PURCHASES @ COST-CANDY")</f>
        <v xml:space="preserve">          5033 - PURCHASES @ COST-CANDY</v>
      </c>
      <c r="C156" s="10"/>
      <c r="D156" s="2"/>
      <c r="E156" s="2"/>
      <c r="F156" s="19">
        <f t="shared" si="37"/>
        <v>0</v>
      </c>
      <c r="G156" s="2"/>
      <c r="H156" s="2">
        <v>-25.2</v>
      </c>
      <c r="I156" s="2"/>
      <c r="J156" s="19">
        <f t="shared" si="38"/>
        <v>-5.058129956365199E-5</v>
      </c>
      <c r="K156" s="2"/>
      <c r="L156" s="2">
        <f t="shared" si="39"/>
        <v>25.2</v>
      </c>
      <c r="M156" s="2"/>
      <c r="N156" s="19">
        <f t="shared" si="40"/>
        <v>-1</v>
      </c>
      <c r="O156" s="10"/>
      <c r="P156" s="2"/>
      <c r="Q156" s="2"/>
      <c r="R156" s="19">
        <f t="shared" si="41"/>
        <v>0</v>
      </c>
      <c r="S156" s="2"/>
      <c r="T156" s="2">
        <v>9998.41</v>
      </c>
      <c r="U156" s="2"/>
      <c r="V156" s="19">
        <f t="shared" si="42"/>
        <v>3.6300233297529249E-4</v>
      </c>
      <c r="W156" s="2"/>
      <c r="X156" s="2">
        <f t="shared" si="43"/>
        <v>-9998.41</v>
      </c>
      <c r="Y156" s="2"/>
      <c r="Z156" s="19">
        <f t="shared" si="44"/>
        <v>-1</v>
      </c>
    </row>
    <row r="157" spans="1:26" s="23" customFormat="1" hidden="1" outlineLevel="1" x14ac:dyDescent="0.25">
      <c r="A157" s="44"/>
      <c r="B157" s="10" t="str">
        <f>CONCATENATE("          ", "5034", " - ", "PURCHASES @ COST-SODA")</f>
        <v xml:space="preserve">          5034 - PURCHASES @ COST-SODA</v>
      </c>
      <c r="C157" s="10"/>
      <c r="D157" s="2"/>
      <c r="E157" s="2"/>
      <c r="F157" s="19">
        <f t="shared" si="37"/>
        <v>0</v>
      </c>
      <c r="G157" s="2"/>
      <c r="H157" s="2"/>
      <c r="I157" s="2"/>
      <c r="J157" s="19">
        <f t="shared" si="38"/>
        <v>0</v>
      </c>
      <c r="K157" s="2"/>
      <c r="L157" s="2">
        <f t="shared" si="39"/>
        <v>0</v>
      </c>
      <c r="M157" s="2"/>
      <c r="N157" s="19">
        <f t="shared" si="40"/>
        <v>0</v>
      </c>
      <c r="O157" s="10"/>
      <c r="P157" s="2"/>
      <c r="Q157" s="2"/>
      <c r="R157" s="19">
        <f t="shared" si="41"/>
        <v>0</v>
      </c>
      <c r="S157" s="2"/>
      <c r="T157" s="2">
        <v>4033.88</v>
      </c>
      <c r="U157" s="2"/>
      <c r="V157" s="19">
        <f t="shared" si="42"/>
        <v>1.4645407129157265E-4</v>
      </c>
      <c r="W157" s="2"/>
      <c r="X157" s="2">
        <f t="shared" si="43"/>
        <v>-4033.88</v>
      </c>
      <c r="Y157" s="2"/>
      <c r="Z157" s="19">
        <f t="shared" si="44"/>
        <v>-1</v>
      </c>
    </row>
    <row r="158" spans="1:26" s="23" customFormat="1" hidden="1" outlineLevel="1" x14ac:dyDescent="0.25">
      <c r="A158" s="44"/>
      <c r="B158" s="10" t="str">
        <f>CONCATENATE("          ", "5035", " - ", "PURCHASES @ COST-HEALTH &amp; BEAU")</f>
        <v xml:space="preserve">          5035 - PURCHASES @ COST-HEALTH &amp; BEAU</v>
      </c>
      <c r="C158" s="10"/>
      <c r="D158" s="2"/>
      <c r="E158" s="2"/>
      <c r="F158" s="19">
        <f t="shared" si="37"/>
        <v>0</v>
      </c>
      <c r="G158" s="2"/>
      <c r="H158" s="2"/>
      <c r="I158" s="2"/>
      <c r="J158" s="19">
        <f t="shared" si="38"/>
        <v>0</v>
      </c>
      <c r="K158" s="2"/>
      <c r="L158" s="2">
        <f t="shared" si="39"/>
        <v>0</v>
      </c>
      <c r="M158" s="2"/>
      <c r="N158" s="19">
        <f t="shared" si="40"/>
        <v>0</v>
      </c>
      <c r="O158" s="10"/>
      <c r="P158" s="2"/>
      <c r="Q158" s="2"/>
      <c r="R158" s="19">
        <f t="shared" si="41"/>
        <v>0</v>
      </c>
      <c r="S158" s="2"/>
      <c r="T158" s="2">
        <v>1117.6500000000001</v>
      </c>
      <c r="U158" s="2"/>
      <c r="V158" s="19">
        <f t="shared" si="42"/>
        <v>4.0577407552784463E-5</v>
      </c>
      <c r="W158" s="2"/>
      <c r="X158" s="2">
        <f t="shared" si="43"/>
        <v>-1117.6500000000001</v>
      </c>
      <c r="Y158" s="2"/>
      <c r="Z158" s="19">
        <f t="shared" si="44"/>
        <v>-1</v>
      </c>
    </row>
    <row r="159" spans="1:26" s="23" customFormat="1" hidden="1" outlineLevel="1" x14ac:dyDescent="0.25">
      <c r="A159" s="44"/>
      <c r="B159" s="10" t="str">
        <f>CONCATENATE("          ", "5037", " - ", "PURCHASES @ COST-WATER")</f>
        <v xml:space="preserve">          5037 - PURCHASES @ COST-WATER</v>
      </c>
      <c r="C159" s="10"/>
      <c r="D159" s="2"/>
      <c r="E159" s="2"/>
      <c r="F159" s="19">
        <f t="shared" si="37"/>
        <v>0</v>
      </c>
      <c r="G159" s="2"/>
      <c r="H159" s="2"/>
      <c r="I159" s="2"/>
      <c r="J159" s="19">
        <f t="shared" si="38"/>
        <v>0</v>
      </c>
      <c r="K159" s="2"/>
      <c r="L159" s="2">
        <f t="shared" si="39"/>
        <v>0</v>
      </c>
      <c r="M159" s="2"/>
      <c r="N159" s="19">
        <f t="shared" si="40"/>
        <v>0</v>
      </c>
      <c r="O159" s="10"/>
      <c r="P159" s="2"/>
      <c r="Q159" s="2"/>
      <c r="R159" s="19">
        <f t="shared" si="41"/>
        <v>0</v>
      </c>
      <c r="S159" s="2"/>
      <c r="T159" s="2">
        <v>5693.57</v>
      </c>
      <c r="U159" s="2"/>
      <c r="V159" s="19">
        <f t="shared" si="42"/>
        <v>2.0671078631083703E-4</v>
      </c>
      <c r="W159" s="2"/>
      <c r="X159" s="2">
        <f t="shared" si="43"/>
        <v>-5693.57</v>
      </c>
      <c r="Y159" s="2"/>
      <c r="Z159" s="19">
        <f t="shared" si="44"/>
        <v>-1</v>
      </c>
    </row>
    <row r="160" spans="1:26" s="23" customFormat="1" hidden="1" outlineLevel="1" x14ac:dyDescent="0.25">
      <c r="A160" s="44"/>
      <c r="B160" s="10" t="str">
        <f>CONCATENATE("          ", "5040", " - ", "PURCHASES @ COST-LOGO CLOTHING")</f>
        <v xml:space="preserve">          5040 - PURCHASES @ COST-LOGO CLOTHING</v>
      </c>
      <c r="C160" s="10"/>
      <c r="D160" s="2">
        <v>39218.65</v>
      </c>
      <c r="E160" s="2"/>
      <c r="F160" s="19">
        <f t="shared" si="37"/>
        <v>3.7758427762738557E-2</v>
      </c>
      <c r="G160" s="2"/>
      <c r="H160" s="2">
        <v>8012.9</v>
      </c>
      <c r="I160" s="2"/>
      <c r="J160" s="19">
        <f t="shared" si="38"/>
        <v>1.6083448225142342E-2</v>
      </c>
      <c r="K160" s="2"/>
      <c r="L160" s="2">
        <f t="shared" si="39"/>
        <v>31205.75</v>
      </c>
      <c r="M160" s="2"/>
      <c r="N160" s="19">
        <f t="shared" si="40"/>
        <v>3.894438967165446</v>
      </c>
      <c r="O160" s="10"/>
      <c r="P160" s="2">
        <v>279090.25</v>
      </c>
      <c r="Q160" s="2"/>
      <c r="R160" s="19">
        <f t="shared" si="41"/>
        <v>3.0996852565594767E-2</v>
      </c>
      <c r="S160" s="2"/>
      <c r="T160" s="2">
        <v>974911.44</v>
      </c>
      <c r="U160" s="2"/>
      <c r="V160" s="19">
        <f t="shared" si="42"/>
        <v>3.5395140543776647E-2</v>
      </c>
      <c r="W160" s="2"/>
      <c r="X160" s="2">
        <f t="shared" si="43"/>
        <v>-695821.19</v>
      </c>
      <c r="Y160" s="2"/>
      <c r="Z160" s="19">
        <f t="shared" si="44"/>
        <v>-0.71372758740014375</v>
      </c>
    </row>
    <row r="161" spans="1:26" s="23" customFormat="1" hidden="1" outlineLevel="1" x14ac:dyDescent="0.25">
      <c r="A161" s="44"/>
      <c r="B161" s="10" t="str">
        <f>CONCATENATE("          ", "5041", " - ", "PURCHASES @ COST-LOGO GIFTS")</f>
        <v xml:space="preserve">          5041 - PURCHASES @ COST-LOGO GIFTS</v>
      </c>
      <c r="C161" s="10"/>
      <c r="D161" s="2">
        <v>15798.51</v>
      </c>
      <c r="E161" s="2"/>
      <c r="F161" s="19">
        <f t="shared" si="37"/>
        <v>1.5210286396750084E-2</v>
      </c>
      <c r="G161" s="2"/>
      <c r="H161" s="2">
        <v>-4050.7</v>
      </c>
      <c r="I161" s="2"/>
      <c r="J161" s="19">
        <f t="shared" si="38"/>
        <v>-8.1305424659716321E-3</v>
      </c>
      <c r="K161" s="2"/>
      <c r="L161" s="2">
        <f t="shared" si="39"/>
        <v>19849.21</v>
      </c>
      <c r="M161" s="2"/>
      <c r="N161" s="19">
        <f t="shared" si="40"/>
        <v>-4.9001925593107361</v>
      </c>
      <c r="O161" s="10"/>
      <c r="P161" s="2">
        <v>84261.95</v>
      </c>
      <c r="Q161" s="2"/>
      <c r="R161" s="19">
        <f t="shared" si="41"/>
        <v>9.3584610750089541E-3</v>
      </c>
      <c r="S161" s="2"/>
      <c r="T161" s="2">
        <v>145460.03</v>
      </c>
      <c r="U161" s="2"/>
      <c r="V161" s="19">
        <f t="shared" si="42"/>
        <v>5.281072715027293E-3</v>
      </c>
      <c r="W161" s="2"/>
      <c r="X161" s="2">
        <f t="shared" si="43"/>
        <v>-61198.080000000002</v>
      </c>
      <c r="Y161" s="2"/>
      <c r="Z161" s="19">
        <f t="shared" si="44"/>
        <v>-0.42072093619119977</v>
      </c>
    </row>
    <row r="162" spans="1:26" s="23" customFormat="1" hidden="1" outlineLevel="1" x14ac:dyDescent="0.25">
      <c r="A162" s="44"/>
      <c r="B162" s="10" t="str">
        <f>CONCATENATE("          ", "5042", " - ", "PURCHASES @ COST-EVERYDAY GIFT")</f>
        <v xml:space="preserve">          5042 - PURCHASES @ COST-EVERYDAY GIFT</v>
      </c>
      <c r="C162" s="10"/>
      <c r="D162" s="2"/>
      <c r="E162" s="2"/>
      <c r="F162" s="19">
        <f t="shared" si="37"/>
        <v>0</v>
      </c>
      <c r="G162" s="2"/>
      <c r="H162" s="2">
        <v>521.79999999999995</v>
      </c>
      <c r="I162" s="2"/>
      <c r="J162" s="19">
        <f t="shared" si="38"/>
        <v>1.0473540520759368E-3</v>
      </c>
      <c r="K162" s="2"/>
      <c r="L162" s="2">
        <f t="shared" si="39"/>
        <v>-521.79999999999995</v>
      </c>
      <c r="M162" s="2"/>
      <c r="N162" s="19">
        <f t="shared" si="40"/>
        <v>-1</v>
      </c>
      <c r="O162" s="10"/>
      <c r="P162" s="2">
        <v>18748.18</v>
      </c>
      <c r="Q162" s="2"/>
      <c r="R162" s="19">
        <f t="shared" si="41"/>
        <v>2.0822460524265269E-3</v>
      </c>
      <c r="S162" s="2"/>
      <c r="T162" s="2">
        <v>115885.04</v>
      </c>
      <c r="U162" s="2"/>
      <c r="V162" s="19">
        <f t="shared" si="42"/>
        <v>4.2073229520428841E-3</v>
      </c>
      <c r="W162" s="2"/>
      <c r="X162" s="2">
        <f t="shared" si="43"/>
        <v>-97136.859999999986</v>
      </c>
      <c r="Y162" s="2"/>
      <c r="Z162" s="19">
        <f t="shared" si="44"/>
        <v>-0.83821742651165321</v>
      </c>
    </row>
    <row r="163" spans="1:26" s="23" customFormat="1" hidden="1" outlineLevel="1" x14ac:dyDescent="0.25">
      <c r="A163" s="44"/>
      <c r="B163" s="10" t="str">
        <f>CONCATENATE("          ", "5043", " - ", "PURCHASES @ COST-CARDS")</f>
        <v xml:space="preserve">          5043 - PURCHASES @ COST-CARDS</v>
      </c>
      <c r="C163" s="10"/>
      <c r="D163" s="2">
        <v>41</v>
      </c>
      <c r="E163" s="2"/>
      <c r="F163" s="19">
        <f t="shared" si="37"/>
        <v>3.9473453019731191E-5</v>
      </c>
      <c r="G163" s="2"/>
      <c r="H163" s="2">
        <v>6137.75</v>
      </c>
      <c r="I163" s="2"/>
      <c r="J163" s="19">
        <f t="shared" si="38"/>
        <v>1.231965759511131E-2</v>
      </c>
      <c r="K163" s="2"/>
      <c r="L163" s="2">
        <f t="shared" si="39"/>
        <v>-6096.75</v>
      </c>
      <c r="M163" s="2"/>
      <c r="N163" s="19">
        <f t="shared" si="40"/>
        <v>-0.9933200276974461</v>
      </c>
      <c r="O163" s="10"/>
      <c r="P163" s="2">
        <v>55405.33</v>
      </c>
      <c r="Q163" s="2"/>
      <c r="R163" s="19">
        <f t="shared" si="41"/>
        <v>6.1535322189081301E-3</v>
      </c>
      <c r="S163" s="2"/>
      <c r="T163" s="2">
        <v>30914.66</v>
      </c>
      <c r="U163" s="2"/>
      <c r="V163" s="19">
        <f t="shared" si="42"/>
        <v>1.1223878299787622E-3</v>
      </c>
      <c r="W163" s="2"/>
      <c r="X163" s="2">
        <f t="shared" si="43"/>
        <v>24490.670000000002</v>
      </c>
      <c r="Y163" s="2"/>
      <c r="Z163" s="19">
        <f t="shared" si="44"/>
        <v>0.7922024696373825</v>
      </c>
    </row>
    <row r="164" spans="1:26" s="23" customFormat="1" hidden="1" outlineLevel="1" x14ac:dyDescent="0.25">
      <c r="A164" s="44"/>
      <c r="B164" s="10" t="str">
        <f>CONCATENATE("          ", "5044", " - ", "PURCHASES @ COST-ACCESSORIES")</f>
        <v xml:space="preserve">          5044 - PURCHASES @ COST-ACCESSORIES</v>
      </c>
      <c r="C164" s="10"/>
      <c r="D164" s="2">
        <v>1490.88</v>
      </c>
      <c r="E164" s="2"/>
      <c r="F164" s="19">
        <f t="shared" si="37"/>
        <v>1.435370283855045E-3</v>
      </c>
      <c r="G164" s="2"/>
      <c r="H164" s="2">
        <v>4380</v>
      </c>
      <c r="I164" s="2"/>
      <c r="J164" s="19">
        <f t="shared" si="38"/>
        <v>8.7915115908252274E-3</v>
      </c>
      <c r="K164" s="2"/>
      <c r="L164" s="2">
        <f t="shared" si="39"/>
        <v>-2889.12</v>
      </c>
      <c r="M164" s="2"/>
      <c r="N164" s="19">
        <f t="shared" si="40"/>
        <v>-0.65961643835616435</v>
      </c>
      <c r="O164" s="10"/>
      <c r="P164" s="2">
        <v>2555.71</v>
      </c>
      <c r="Q164" s="2"/>
      <c r="R164" s="19">
        <f t="shared" si="41"/>
        <v>2.838471285557851E-4</v>
      </c>
      <c r="S164" s="2"/>
      <c r="T164" s="2">
        <v>36474.03</v>
      </c>
      <c r="U164" s="2"/>
      <c r="V164" s="19">
        <f t="shared" si="42"/>
        <v>1.324226350290777E-3</v>
      </c>
      <c r="W164" s="2"/>
      <c r="X164" s="2">
        <f t="shared" si="43"/>
        <v>-33918.32</v>
      </c>
      <c r="Y164" s="2"/>
      <c r="Z164" s="19">
        <f t="shared" si="44"/>
        <v>-0.92993069315345744</v>
      </c>
    </row>
    <row r="165" spans="1:26" s="23" customFormat="1" hidden="1" outlineLevel="1" x14ac:dyDescent="0.25">
      <c r="A165" s="44"/>
      <c r="B165" s="10" t="str">
        <f>CONCATENATE("          ", "5045", " - ", "PURCHASES @ COST-SPECIAL ORDER")</f>
        <v xml:space="preserve">          5045 - PURCHASES @ COST-SPECIAL ORDER</v>
      </c>
      <c r="C165" s="10"/>
      <c r="D165" s="2">
        <v>5771.38</v>
      </c>
      <c r="E165" s="2"/>
      <c r="F165" s="19">
        <f t="shared" si="37"/>
        <v>5.5564950558296636E-3</v>
      </c>
      <c r="G165" s="2"/>
      <c r="H165" s="2">
        <v>4221.8999999999996</v>
      </c>
      <c r="I165" s="2"/>
      <c r="J165" s="19">
        <f t="shared" si="38"/>
        <v>8.4741741518961234E-3</v>
      </c>
      <c r="K165" s="2"/>
      <c r="L165" s="2">
        <f t="shared" si="39"/>
        <v>1549.4800000000005</v>
      </c>
      <c r="M165" s="2"/>
      <c r="N165" s="19">
        <f t="shared" si="40"/>
        <v>0.36701011392974742</v>
      </c>
      <c r="O165" s="10"/>
      <c r="P165" s="2">
        <v>114998.07</v>
      </c>
      <c r="Q165" s="2"/>
      <c r="R165" s="19">
        <f t="shared" si="41"/>
        <v>1.2772134537548148E-2</v>
      </c>
      <c r="S165" s="2"/>
      <c r="T165" s="2">
        <v>61923.15</v>
      </c>
      <c r="U165" s="2"/>
      <c r="V165" s="19">
        <f t="shared" si="42"/>
        <v>2.2481822524960454E-3</v>
      </c>
      <c r="W165" s="2"/>
      <c r="X165" s="2">
        <f t="shared" si="43"/>
        <v>53074.920000000006</v>
      </c>
      <c r="Y165" s="2"/>
      <c r="Z165" s="19">
        <f t="shared" si="44"/>
        <v>0.85710949782108958</v>
      </c>
    </row>
    <row r="166" spans="1:26" s="23" customFormat="1" hidden="1" outlineLevel="1" x14ac:dyDescent="0.25">
      <c r="A166" s="44"/>
      <c r="B166" s="10" t="str">
        <f>CONCATENATE("          ", "5053", " - ", "PURCHASES @ COST-FOOD")</f>
        <v xml:space="preserve">          5053 - PURCHASES @ COST-FOOD</v>
      </c>
      <c r="C166" s="10"/>
      <c r="D166" s="2">
        <v>50330.63</v>
      </c>
      <c r="E166" s="2"/>
      <c r="F166" s="19">
        <f t="shared" si="37"/>
        <v>4.8456677042889591E-2</v>
      </c>
      <c r="G166" s="2"/>
      <c r="H166" s="2">
        <v>24302.03</v>
      </c>
      <c r="I166" s="2"/>
      <c r="J166" s="19">
        <f t="shared" si="38"/>
        <v>4.8778899183922919E-2</v>
      </c>
      <c r="K166" s="2"/>
      <c r="L166" s="2">
        <f t="shared" si="39"/>
        <v>26028.6</v>
      </c>
      <c r="M166" s="2"/>
      <c r="N166" s="19">
        <f t="shared" si="40"/>
        <v>1.0710463282285472</v>
      </c>
      <c r="O166" s="10"/>
      <c r="P166" s="2">
        <v>425336.02</v>
      </c>
      <c r="Q166" s="2"/>
      <c r="R166" s="19">
        <f t="shared" si="41"/>
        <v>4.7239478637382953E-2</v>
      </c>
      <c r="S166" s="2"/>
      <c r="T166" s="2">
        <v>4915632.9400000004</v>
      </c>
      <c r="U166" s="2"/>
      <c r="V166" s="19">
        <f t="shared" si="42"/>
        <v>0.17846699877982561</v>
      </c>
      <c r="W166" s="2"/>
      <c r="X166" s="2">
        <f t="shared" si="43"/>
        <v>-4490296.92</v>
      </c>
      <c r="Y166" s="2"/>
      <c r="Z166" s="19">
        <f t="shared" si="44"/>
        <v>-0.91347278668044718</v>
      </c>
    </row>
    <row r="167" spans="1:26" s="23" customFormat="1" hidden="1" outlineLevel="1" x14ac:dyDescent="0.25">
      <c r="A167" s="44"/>
      <c r="B167" s="10" t="str">
        <f>CONCATENATE("          ", "5059", " - ", "PURCHASES @ COST-FOOD")</f>
        <v xml:space="preserve">          5059 - PURCHASES @ COST-FOOD</v>
      </c>
      <c r="C167" s="10"/>
      <c r="D167" s="2">
        <v>653.01</v>
      </c>
      <c r="E167" s="2"/>
      <c r="F167" s="19">
        <f t="shared" si="37"/>
        <v>6.2869657454669916E-4</v>
      </c>
      <c r="G167" s="2"/>
      <c r="H167" s="2">
        <v>169142.95</v>
      </c>
      <c r="I167" s="2"/>
      <c r="J167" s="19">
        <f t="shared" si="38"/>
        <v>0.33950278662816713</v>
      </c>
      <c r="K167" s="2"/>
      <c r="L167" s="2">
        <f t="shared" si="39"/>
        <v>-168489.94</v>
      </c>
      <c r="M167" s="2"/>
      <c r="N167" s="19">
        <f t="shared" si="40"/>
        <v>-0.99613930110595794</v>
      </c>
      <c r="O167" s="10"/>
      <c r="P167" s="2">
        <v>32494.3</v>
      </c>
      <c r="Q167" s="2"/>
      <c r="R167" s="19">
        <f t="shared" si="41"/>
        <v>3.6089437962171949E-3</v>
      </c>
      <c r="S167" s="2"/>
      <c r="T167" s="2">
        <v>114633.53</v>
      </c>
      <c r="U167" s="2"/>
      <c r="V167" s="19">
        <f t="shared" si="42"/>
        <v>4.1618856225333007E-3</v>
      </c>
      <c r="W167" s="2"/>
      <c r="X167" s="2">
        <f t="shared" si="43"/>
        <v>-82139.23</v>
      </c>
      <c r="Y167" s="2"/>
      <c r="Z167" s="19">
        <f t="shared" si="44"/>
        <v>-0.71653756104343991</v>
      </c>
    </row>
    <row r="168" spans="1:26" s="23" customFormat="1" hidden="1" outlineLevel="1" x14ac:dyDescent="0.25">
      <c r="A168" s="44"/>
      <c r="B168" s="10" t="str">
        <f>CONCATENATE("          ", "5081", " - ", "PURCHASES @ COST-ELECTRONICS")</f>
        <v xml:space="preserve">          5081 - PURCHASES @ COST-ELECTRONICS</v>
      </c>
      <c r="C168" s="10"/>
      <c r="D168" s="2">
        <v>-19.5</v>
      </c>
      <c r="E168" s="2"/>
      <c r="F168" s="19">
        <f t="shared" si="37"/>
        <v>-1.8773959363042883E-5</v>
      </c>
      <c r="G168" s="2"/>
      <c r="H168" s="2">
        <v>-6200.47</v>
      </c>
      <c r="I168" s="2"/>
      <c r="J168" s="19">
        <f t="shared" si="38"/>
        <v>-1.2445548829580844E-2</v>
      </c>
      <c r="K168" s="2"/>
      <c r="L168" s="2">
        <f t="shared" si="39"/>
        <v>6180.97</v>
      </c>
      <c r="M168" s="2"/>
      <c r="N168" s="19">
        <f t="shared" si="40"/>
        <v>-0.99685507711512189</v>
      </c>
      <c r="O168" s="10"/>
      <c r="P168" s="2">
        <v>32448.37</v>
      </c>
      <c r="Q168" s="2"/>
      <c r="R168" s="19">
        <f t="shared" si="41"/>
        <v>3.6038426311340802E-3</v>
      </c>
      <c r="S168" s="2"/>
      <c r="T168" s="2">
        <v>258832.17</v>
      </c>
      <c r="U168" s="2"/>
      <c r="V168" s="19">
        <f t="shared" si="42"/>
        <v>9.3971623047122022E-3</v>
      </c>
      <c r="W168" s="2"/>
      <c r="X168" s="2">
        <f t="shared" si="43"/>
        <v>-226383.80000000002</v>
      </c>
      <c r="Y168" s="2"/>
      <c r="Z168" s="19">
        <f t="shared" si="44"/>
        <v>-0.8746354829077081</v>
      </c>
    </row>
    <row r="169" spans="1:26" s="23" customFormat="1" hidden="1" outlineLevel="1" x14ac:dyDescent="0.25">
      <c r="A169" s="44"/>
      <c r="B169" s="10" t="str">
        <f>CONCATENATE("          ", "5082", " - ", "PURCHASES @ COST-COMPUTER HARD")</f>
        <v xml:space="preserve">          5082 - PURCHASES @ COST-COMPUTER HARD</v>
      </c>
      <c r="C169" s="10"/>
      <c r="D169" s="2">
        <v>277047.03999999998</v>
      </c>
      <c r="E169" s="2"/>
      <c r="F169" s="19">
        <f t="shared" si="37"/>
        <v>0.26673178823647775</v>
      </c>
      <c r="G169" s="2"/>
      <c r="H169" s="2">
        <v>119657.48</v>
      </c>
      <c r="I169" s="2"/>
      <c r="J169" s="19">
        <f t="shared" si="38"/>
        <v>0.24017582702030543</v>
      </c>
      <c r="K169" s="2"/>
      <c r="L169" s="2">
        <f t="shared" si="39"/>
        <v>157389.56</v>
      </c>
      <c r="M169" s="2"/>
      <c r="N169" s="19">
        <f t="shared" si="40"/>
        <v>1.315334068542978</v>
      </c>
      <c r="O169" s="10"/>
      <c r="P169" s="2">
        <v>1673340.8</v>
      </c>
      <c r="Q169" s="2"/>
      <c r="R169" s="19">
        <f t="shared" si="41"/>
        <v>0.18584776096475747</v>
      </c>
      <c r="S169" s="2"/>
      <c r="T169" s="2">
        <v>1500831.87</v>
      </c>
      <c r="U169" s="2"/>
      <c r="V169" s="19">
        <f t="shared" si="42"/>
        <v>5.448921080588523E-2</v>
      </c>
      <c r="W169" s="2"/>
      <c r="X169" s="2">
        <f t="shared" si="43"/>
        <v>172508.92999999993</v>
      </c>
      <c r="Y169" s="2"/>
      <c r="Z169" s="19">
        <f t="shared" si="44"/>
        <v>0.11494220868324173</v>
      </c>
    </row>
    <row r="170" spans="1:26" s="23" customFormat="1" hidden="1" outlineLevel="1" x14ac:dyDescent="0.25">
      <c r="A170" s="44"/>
      <c r="B170" s="10" t="str">
        <f>CONCATENATE("          ", "5083", " - ", "PURCHASES @ COST-COMPUTER EQUI")</f>
        <v xml:space="preserve">          5083 - PURCHASES @ COST-COMPUTER EQUI</v>
      </c>
      <c r="C170" s="10"/>
      <c r="D170" s="2">
        <v>14312.16</v>
      </c>
      <c r="E170" s="2"/>
      <c r="F170" s="19">
        <f t="shared" si="37"/>
        <v>1.3779277448070145E-2</v>
      </c>
      <c r="G170" s="2"/>
      <c r="H170" s="2">
        <v>2539.54</v>
      </c>
      <c r="I170" s="2"/>
      <c r="J170" s="19">
        <f t="shared" si="38"/>
        <v>5.0973505354713006E-3</v>
      </c>
      <c r="K170" s="2"/>
      <c r="L170" s="2">
        <f t="shared" si="39"/>
        <v>11772.619999999999</v>
      </c>
      <c r="M170" s="2"/>
      <c r="N170" s="19">
        <f t="shared" si="40"/>
        <v>4.6357293053072599</v>
      </c>
      <c r="O170" s="10"/>
      <c r="P170" s="2">
        <v>119515.49</v>
      </c>
      <c r="Q170" s="2"/>
      <c r="R170" s="19">
        <f t="shared" si="41"/>
        <v>1.3273856836040729E-2</v>
      </c>
      <c r="S170" s="2"/>
      <c r="T170" s="2">
        <v>80412.33</v>
      </c>
      <c r="U170" s="2"/>
      <c r="V170" s="19">
        <f t="shared" si="42"/>
        <v>2.91945053163244E-3</v>
      </c>
      <c r="W170" s="2"/>
      <c r="X170" s="2">
        <f t="shared" si="43"/>
        <v>39103.160000000003</v>
      </c>
      <c r="Y170" s="2"/>
      <c r="Z170" s="19">
        <f t="shared" si="44"/>
        <v>0.48628313593201444</v>
      </c>
    </row>
    <row r="171" spans="1:26" s="23" customFormat="1" hidden="1" outlineLevel="1" x14ac:dyDescent="0.25">
      <c r="A171" s="44"/>
      <c r="B171" s="10" t="str">
        <f>CONCATENATE("          ", "5084", " - ", "PURCHASES @ COST-SOFTWARE LICE")</f>
        <v xml:space="preserve">          5084 - PURCHASES @ COST-SOFTWARE LICE</v>
      </c>
      <c r="C171" s="10"/>
      <c r="D171" s="2"/>
      <c r="E171" s="2"/>
      <c r="F171" s="19">
        <f t="shared" si="37"/>
        <v>0</v>
      </c>
      <c r="G171" s="2"/>
      <c r="H171" s="2"/>
      <c r="I171" s="2"/>
      <c r="J171" s="19">
        <f t="shared" si="38"/>
        <v>0</v>
      </c>
      <c r="K171" s="2"/>
      <c r="L171" s="2">
        <f t="shared" si="39"/>
        <v>0</v>
      </c>
      <c r="M171" s="2"/>
      <c r="N171" s="19">
        <f t="shared" si="40"/>
        <v>0</v>
      </c>
      <c r="O171" s="10"/>
      <c r="P171" s="2"/>
      <c r="Q171" s="2"/>
      <c r="R171" s="19">
        <f t="shared" si="41"/>
        <v>0</v>
      </c>
      <c r="S171" s="2"/>
      <c r="T171" s="2">
        <v>2728</v>
      </c>
      <c r="U171" s="2"/>
      <c r="V171" s="19">
        <f t="shared" si="42"/>
        <v>9.9042784238353692E-5</v>
      </c>
      <c r="W171" s="2"/>
      <c r="X171" s="2">
        <f t="shared" si="43"/>
        <v>-2728</v>
      </c>
      <c r="Y171" s="2"/>
      <c r="Z171" s="19">
        <f t="shared" si="44"/>
        <v>-1</v>
      </c>
    </row>
    <row r="172" spans="1:26" s="23" customFormat="1" hidden="1" outlineLevel="1" x14ac:dyDescent="0.25">
      <c r="A172" s="44"/>
      <c r="B172" s="10" t="str">
        <f>CONCATENATE("          ", "5085", " - ", "PURCHASES @ COST-SOFTWARE")</f>
        <v xml:space="preserve">          5085 - PURCHASES @ COST-SOFTWARE</v>
      </c>
      <c r="C172" s="10"/>
      <c r="D172" s="2">
        <v>4012.17</v>
      </c>
      <c r="E172" s="2"/>
      <c r="F172" s="19">
        <f t="shared" si="37"/>
        <v>3.8627854634676801E-3</v>
      </c>
      <c r="G172" s="2"/>
      <c r="H172" s="2">
        <v>2504.11</v>
      </c>
      <c r="I172" s="2"/>
      <c r="J172" s="19">
        <f t="shared" si="38"/>
        <v>5.0262356369181194E-3</v>
      </c>
      <c r="K172" s="2"/>
      <c r="L172" s="2">
        <f t="shared" si="39"/>
        <v>1508.06</v>
      </c>
      <c r="M172" s="2"/>
      <c r="N172" s="19">
        <f t="shared" si="40"/>
        <v>0.60223392742331605</v>
      </c>
      <c r="O172" s="10"/>
      <c r="P172" s="2">
        <v>37910.879999999997</v>
      </c>
      <c r="Q172" s="2"/>
      <c r="R172" s="19">
        <f t="shared" si="41"/>
        <v>4.210530314089995E-3</v>
      </c>
      <c r="S172" s="2"/>
      <c r="T172" s="2">
        <v>11666.5</v>
      </c>
      <c r="U172" s="2"/>
      <c r="V172" s="19">
        <f t="shared" si="42"/>
        <v>4.235640184445577E-4</v>
      </c>
      <c r="W172" s="2"/>
      <c r="X172" s="2">
        <f t="shared" si="43"/>
        <v>26244.379999999997</v>
      </c>
      <c r="Y172" s="2"/>
      <c r="Z172" s="19">
        <f t="shared" si="44"/>
        <v>2.2495504221488876</v>
      </c>
    </row>
    <row r="173" spans="1:26" s="23" customFormat="1" hidden="1" outlineLevel="1" x14ac:dyDescent="0.25">
      <c r="A173" s="44"/>
      <c r="B173" s="10" t="str">
        <f>CONCATENATE("          ", "5086", " - ", "PURCHASES @ COST-COMPUTER SUPP")</f>
        <v xml:space="preserve">          5086 - PURCHASES @ COST-COMPUTER SUPP</v>
      </c>
      <c r="C173" s="10"/>
      <c r="D173" s="2">
        <v>28.4</v>
      </c>
      <c r="E173" s="2"/>
      <c r="F173" s="19">
        <f t="shared" si="37"/>
        <v>2.7342586969765019E-5</v>
      </c>
      <c r="G173" s="2"/>
      <c r="H173" s="2">
        <v>0</v>
      </c>
      <c r="I173" s="2"/>
      <c r="J173" s="19">
        <f t="shared" si="38"/>
        <v>0</v>
      </c>
      <c r="K173" s="2"/>
      <c r="L173" s="2">
        <f t="shared" si="39"/>
        <v>28.4</v>
      </c>
      <c r="M173" s="2"/>
      <c r="N173" s="19">
        <f t="shared" si="40"/>
        <v>0</v>
      </c>
      <c r="O173" s="10"/>
      <c r="P173" s="2">
        <v>23692.6</v>
      </c>
      <c r="Q173" s="2"/>
      <c r="R173" s="19">
        <f t="shared" si="41"/>
        <v>2.6313926376704687E-3</v>
      </c>
      <c r="S173" s="2"/>
      <c r="T173" s="2">
        <v>30376.77</v>
      </c>
      <c r="U173" s="2"/>
      <c r="V173" s="19">
        <f t="shared" si="42"/>
        <v>1.1028591924369851E-3</v>
      </c>
      <c r="W173" s="2"/>
      <c r="X173" s="2">
        <f t="shared" si="43"/>
        <v>-6684.1700000000019</v>
      </c>
      <c r="Y173" s="2"/>
      <c r="Z173" s="19">
        <f t="shared" si="44"/>
        <v>-0.22004215721421341</v>
      </c>
    </row>
    <row r="174" spans="1:26" s="23" customFormat="1" hidden="1" outlineLevel="1" x14ac:dyDescent="0.25">
      <c r="A174" s="44"/>
      <c r="B174" s="10" t="str">
        <f>CONCATENATE("          ", "5088", " - ", "PURCHASES @ COST-MUSIC")</f>
        <v xml:space="preserve">          5088 - PURCHASES @ COST-MUSIC</v>
      </c>
      <c r="C174" s="10"/>
      <c r="D174" s="2"/>
      <c r="E174" s="2"/>
      <c r="F174" s="19">
        <f t="shared" si="37"/>
        <v>0</v>
      </c>
      <c r="G174" s="2"/>
      <c r="H174" s="2"/>
      <c r="I174" s="2"/>
      <c r="J174" s="19">
        <f t="shared" si="38"/>
        <v>0</v>
      </c>
      <c r="K174" s="2"/>
      <c r="L174" s="2">
        <f t="shared" si="39"/>
        <v>0</v>
      </c>
      <c r="M174" s="2"/>
      <c r="N174" s="19">
        <f t="shared" si="40"/>
        <v>0</v>
      </c>
      <c r="O174" s="10"/>
      <c r="P174" s="2"/>
      <c r="Q174" s="2"/>
      <c r="R174" s="19">
        <f t="shared" si="41"/>
        <v>0</v>
      </c>
      <c r="S174" s="2"/>
      <c r="T174" s="2">
        <v>95.65</v>
      </c>
      <c r="U174" s="2"/>
      <c r="V174" s="19">
        <f t="shared" si="42"/>
        <v>3.4726694693543002E-6</v>
      </c>
      <c r="W174" s="2"/>
      <c r="X174" s="2">
        <f t="shared" si="43"/>
        <v>-95.65</v>
      </c>
      <c r="Y174" s="2"/>
      <c r="Z174" s="19">
        <f t="shared" si="44"/>
        <v>-1</v>
      </c>
    </row>
    <row r="175" spans="1:26" s="23" customFormat="1" hidden="1" outlineLevel="1" x14ac:dyDescent="0.25">
      <c r="A175" s="44"/>
      <c r="B175" s="10" t="str">
        <f>CONCATENATE("          ", "5092", " - ", "PURCHASES @ COST-GRAD MERCH")</f>
        <v xml:space="preserve">          5092 - PURCHASES @ COST-GRAD MERCH</v>
      </c>
      <c r="C175" s="10"/>
      <c r="D175" s="2"/>
      <c r="E175" s="2"/>
      <c r="F175" s="19">
        <f t="shared" si="37"/>
        <v>0</v>
      </c>
      <c r="G175" s="2"/>
      <c r="H175" s="2">
        <v>5539.35</v>
      </c>
      <c r="I175" s="2"/>
      <c r="J175" s="19">
        <f t="shared" si="38"/>
        <v>1.1118552449917289E-2</v>
      </c>
      <c r="K175" s="2"/>
      <c r="L175" s="2">
        <f t="shared" si="39"/>
        <v>-5539.35</v>
      </c>
      <c r="M175" s="2"/>
      <c r="N175" s="19">
        <f t="shared" si="40"/>
        <v>-1</v>
      </c>
      <c r="O175" s="10"/>
      <c r="P175" s="2">
        <v>0</v>
      </c>
      <c r="Q175" s="2"/>
      <c r="R175" s="19">
        <f t="shared" si="41"/>
        <v>0</v>
      </c>
      <c r="S175" s="2"/>
      <c r="T175" s="2">
        <v>8485.48</v>
      </c>
      <c r="U175" s="2"/>
      <c r="V175" s="19">
        <f t="shared" si="42"/>
        <v>3.0807388738961347E-4</v>
      </c>
      <c r="W175" s="2"/>
      <c r="X175" s="2">
        <f t="shared" si="43"/>
        <v>-8485.48</v>
      </c>
      <c r="Y175" s="2"/>
      <c r="Z175" s="19">
        <f t="shared" si="44"/>
        <v>-1</v>
      </c>
    </row>
    <row r="176" spans="1:26" s="23" customFormat="1" hidden="1" outlineLevel="1" x14ac:dyDescent="0.25">
      <c r="A176" s="44"/>
      <c r="B176" s="10" t="str">
        <f>CONCATENATE("          ", "5095", " - ", "PURCHASES @ COST-CUSTOMER SERV")</f>
        <v xml:space="preserve">          5095 - PURCHASES @ COST-CUSTOMER SERV</v>
      </c>
      <c r="C176" s="10"/>
      <c r="D176" s="2"/>
      <c r="E176" s="2"/>
      <c r="F176" s="19">
        <f t="shared" si="37"/>
        <v>0</v>
      </c>
      <c r="G176" s="2"/>
      <c r="H176" s="2"/>
      <c r="I176" s="2"/>
      <c r="J176" s="19">
        <f t="shared" si="38"/>
        <v>0</v>
      </c>
      <c r="K176" s="2"/>
      <c r="L176" s="2">
        <f t="shared" si="39"/>
        <v>0</v>
      </c>
      <c r="M176" s="2"/>
      <c r="N176" s="19">
        <f t="shared" si="40"/>
        <v>0</v>
      </c>
      <c r="O176" s="10"/>
      <c r="P176" s="2"/>
      <c r="Q176" s="2"/>
      <c r="R176" s="19">
        <f t="shared" si="41"/>
        <v>0</v>
      </c>
      <c r="S176" s="2"/>
      <c r="T176" s="2">
        <v>0</v>
      </c>
      <c r="U176" s="2"/>
      <c r="V176" s="19">
        <f t="shared" si="42"/>
        <v>0</v>
      </c>
      <c r="W176" s="2"/>
      <c r="X176" s="2">
        <f t="shared" si="43"/>
        <v>0</v>
      </c>
      <c r="Y176" s="2"/>
      <c r="Z176" s="19">
        <f t="shared" si="44"/>
        <v>0</v>
      </c>
    </row>
    <row r="177" spans="1:26" s="23" customFormat="1" hidden="1" outlineLevel="1" x14ac:dyDescent="0.25">
      <c r="A177" s="44"/>
      <c r="B177" s="10" t="str">
        <f>CONCATENATE("          ", "5200", " - ", "PURCHASES OFFSET")</f>
        <v xml:space="preserve">          5200 - PURCHASES OFFSET</v>
      </c>
      <c r="C177" s="10"/>
      <c r="D177" s="2">
        <v>-216816.48</v>
      </c>
      <c r="E177" s="2"/>
      <c r="F177" s="19">
        <f t="shared" si="37"/>
        <v>-0.20874378383374359</v>
      </c>
      <c r="G177" s="2"/>
      <c r="H177" s="2">
        <v>-169098</v>
      </c>
      <c r="I177" s="2"/>
      <c r="J177" s="19">
        <f t="shared" si="38"/>
        <v>-0.33941256323866764</v>
      </c>
      <c r="K177" s="2"/>
      <c r="L177" s="2">
        <f t="shared" si="39"/>
        <v>-47718.48000000001</v>
      </c>
      <c r="M177" s="2"/>
      <c r="N177" s="19">
        <f t="shared" si="40"/>
        <v>0.28219423056452475</v>
      </c>
      <c r="O177" s="10"/>
      <c r="P177" s="2">
        <v>-3568766.21</v>
      </c>
      <c r="Q177" s="2"/>
      <c r="R177" s="19">
        <f t="shared" si="41"/>
        <v>-0.39636110560095317</v>
      </c>
      <c r="S177" s="2"/>
      <c r="T177" s="2">
        <v>-5300591</v>
      </c>
      <c r="U177" s="2"/>
      <c r="V177" s="19">
        <f t="shared" si="42"/>
        <v>-0.19244328839763911</v>
      </c>
      <c r="W177" s="2"/>
      <c r="X177" s="2">
        <f t="shared" si="43"/>
        <v>1731824.79</v>
      </c>
      <c r="Y177" s="2"/>
      <c r="Z177" s="19">
        <f t="shared" si="44"/>
        <v>-0.3267229616471069</v>
      </c>
    </row>
    <row r="178" spans="1:26" s="23" customFormat="1" hidden="1" outlineLevel="1" x14ac:dyDescent="0.25">
      <c r="A178" s="44"/>
      <c r="B178" s="10" t="str">
        <f>CONCATENATE("          ", "5300", " - ", "COG$ OFFSET")</f>
        <v xml:space="preserve">          5300 - COG$ OFFSET</v>
      </c>
      <c r="C178" s="10"/>
      <c r="D178" s="2">
        <v>592301</v>
      </c>
      <c r="E178" s="2"/>
      <c r="F178" s="19">
        <f t="shared" si="37"/>
        <v>0.57024794383023913</v>
      </c>
      <c r="G178" s="2"/>
      <c r="H178" s="2">
        <v>320186</v>
      </c>
      <c r="I178" s="2"/>
      <c r="J178" s="19">
        <f t="shared" si="38"/>
        <v>0.64267555484474115</v>
      </c>
      <c r="K178" s="2"/>
      <c r="L178" s="2">
        <f t="shared" si="39"/>
        <v>272115</v>
      </c>
      <c r="M178" s="2"/>
      <c r="N178" s="19">
        <f t="shared" si="40"/>
        <v>0.84986539074163148</v>
      </c>
      <c r="O178" s="10"/>
      <c r="P178" s="2">
        <v>4630385</v>
      </c>
      <c r="Q178" s="2"/>
      <c r="R178" s="19">
        <f t="shared" si="41"/>
        <v>0.51426863234004605</v>
      </c>
      <c r="S178" s="2"/>
      <c r="T178" s="2">
        <v>5919893.4699999997</v>
      </c>
      <c r="U178" s="2"/>
      <c r="V178" s="19">
        <f t="shared" si="42"/>
        <v>0.21492768755984198</v>
      </c>
      <c r="W178" s="2"/>
      <c r="X178" s="2">
        <f t="shared" si="43"/>
        <v>-1289508.4699999997</v>
      </c>
      <c r="Y178" s="2"/>
      <c r="Z178" s="19">
        <f t="shared" si="44"/>
        <v>-0.21782629645867593</v>
      </c>
    </row>
    <row r="179" spans="1:26" s="23" customFormat="1" hidden="1" outlineLevel="1" x14ac:dyDescent="0.25">
      <c r="A179" s="44"/>
      <c r="B179" s="10" t="str">
        <f>CONCATENATE("          ", "5500", " - ", "FREIGHT-IN")</f>
        <v xml:space="preserve">          5500 - FREIGHT-IN</v>
      </c>
      <c r="C179" s="10"/>
      <c r="D179" s="2"/>
      <c r="E179" s="2"/>
      <c r="F179" s="19">
        <f t="shared" si="37"/>
        <v>0</v>
      </c>
      <c r="G179" s="2"/>
      <c r="H179" s="2"/>
      <c r="I179" s="2"/>
      <c r="J179" s="19">
        <f t="shared" si="38"/>
        <v>0</v>
      </c>
      <c r="K179" s="2"/>
      <c r="L179" s="2">
        <f t="shared" si="39"/>
        <v>0</v>
      </c>
      <c r="M179" s="2"/>
      <c r="N179" s="19">
        <f t="shared" si="40"/>
        <v>0</v>
      </c>
      <c r="O179" s="10"/>
      <c r="P179" s="2">
        <v>0</v>
      </c>
      <c r="Q179" s="2"/>
      <c r="R179" s="19">
        <f t="shared" si="41"/>
        <v>0</v>
      </c>
      <c r="S179" s="2"/>
      <c r="T179" s="2">
        <v>156.47999999999999</v>
      </c>
      <c r="U179" s="2"/>
      <c r="V179" s="19">
        <f t="shared" si="42"/>
        <v>5.6811638114433964E-6</v>
      </c>
      <c r="W179" s="2"/>
      <c r="X179" s="2">
        <f t="shared" si="43"/>
        <v>-156.47999999999999</v>
      </c>
      <c r="Y179" s="2"/>
      <c r="Z179" s="19">
        <f t="shared" si="44"/>
        <v>-1</v>
      </c>
    </row>
    <row r="180" spans="1:26" s="23" customFormat="1" hidden="1" outlineLevel="1" x14ac:dyDescent="0.25">
      <c r="A180" s="44"/>
      <c r="B180" s="10" t="str">
        <f>CONCATENATE("          ", "5501", " - ", "FREIGHT-IN-NEW TEXT")</f>
        <v xml:space="preserve">          5501 - FREIGHT-IN-NEW TEXT</v>
      </c>
      <c r="C180" s="10"/>
      <c r="D180" s="2">
        <v>271.27</v>
      </c>
      <c r="E180" s="2"/>
      <c r="F180" s="19">
        <f t="shared" si="37"/>
        <v>2.6116984391859707E-4</v>
      </c>
      <c r="G180" s="2"/>
      <c r="H180" s="2">
        <v>2428.4</v>
      </c>
      <c r="I180" s="2"/>
      <c r="J180" s="19">
        <f t="shared" si="38"/>
        <v>4.8742709468401783E-3</v>
      </c>
      <c r="K180" s="2"/>
      <c r="L180" s="2">
        <f t="shared" si="39"/>
        <v>-2157.13</v>
      </c>
      <c r="M180" s="2"/>
      <c r="N180" s="19">
        <f t="shared" si="40"/>
        <v>-0.88829270301433039</v>
      </c>
      <c r="O180" s="10"/>
      <c r="P180" s="2">
        <v>50313.73</v>
      </c>
      <c r="Q180" s="2"/>
      <c r="R180" s="19">
        <f t="shared" si="41"/>
        <v>5.5880392483619278E-3</v>
      </c>
      <c r="S180" s="2"/>
      <c r="T180" s="2">
        <v>69768.95</v>
      </c>
      <c r="U180" s="2"/>
      <c r="V180" s="19">
        <f t="shared" si="42"/>
        <v>2.5330319139979791E-3</v>
      </c>
      <c r="W180" s="2"/>
      <c r="X180" s="2">
        <f t="shared" si="43"/>
        <v>-19455.219999999994</v>
      </c>
      <c r="Y180" s="2"/>
      <c r="Z180" s="19">
        <f t="shared" si="44"/>
        <v>-0.27885212547988747</v>
      </c>
    </row>
    <row r="181" spans="1:26" s="23" customFormat="1" hidden="1" outlineLevel="1" x14ac:dyDescent="0.25">
      <c r="A181" s="44"/>
      <c r="B181" s="10" t="str">
        <f>CONCATENATE("          ", "5502", " - ", "FREIGHT-IN-USED TEXT")</f>
        <v xml:space="preserve">          5502 - FREIGHT-IN-USED TEXT</v>
      </c>
      <c r="C181" s="10"/>
      <c r="D181" s="2">
        <v>58.77</v>
      </c>
      <c r="E181" s="2"/>
      <c r="F181" s="19">
        <f t="shared" si="37"/>
        <v>5.6581825218770785E-5</v>
      </c>
      <c r="G181" s="2"/>
      <c r="H181" s="2">
        <v>36.700000000000003</v>
      </c>
      <c r="I181" s="2"/>
      <c r="J181" s="19">
        <f t="shared" si="38"/>
        <v>7.3664035475636038E-5</v>
      </c>
      <c r="K181" s="2"/>
      <c r="L181" s="2">
        <f t="shared" si="39"/>
        <v>22.07</v>
      </c>
      <c r="M181" s="2"/>
      <c r="N181" s="19">
        <f t="shared" si="40"/>
        <v>0.60136239782016343</v>
      </c>
      <c r="O181" s="10"/>
      <c r="P181" s="2">
        <v>17858.900000000001</v>
      </c>
      <c r="Q181" s="2"/>
      <c r="R181" s="19">
        <f t="shared" si="41"/>
        <v>1.9834791444118898E-3</v>
      </c>
      <c r="S181" s="2"/>
      <c r="T181" s="2">
        <v>15301.34</v>
      </c>
      <c r="U181" s="2"/>
      <c r="V181" s="19">
        <f t="shared" si="42"/>
        <v>5.5553054112085444E-4</v>
      </c>
      <c r="W181" s="2"/>
      <c r="X181" s="2">
        <f t="shared" si="43"/>
        <v>2557.5600000000013</v>
      </c>
      <c r="Y181" s="2"/>
      <c r="Z181" s="19">
        <f t="shared" si="44"/>
        <v>0.16714614537027483</v>
      </c>
    </row>
    <row r="182" spans="1:26" s="23" customFormat="1" hidden="1" outlineLevel="1" x14ac:dyDescent="0.25">
      <c r="A182" s="44"/>
      <c r="B182" s="10" t="str">
        <f>CONCATENATE("          ", "5504", " - ", "FREIGHT-IN-DIGITAL TEXT")</f>
        <v xml:space="preserve">          5504 - FREIGHT-IN-DIGITAL TEXT</v>
      </c>
      <c r="C182" s="10"/>
      <c r="D182" s="2"/>
      <c r="E182" s="2"/>
      <c r="F182" s="19">
        <f t="shared" si="37"/>
        <v>0</v>
      </c>
      <c r="G182" s="2"/>
      <c r="H182" s="2"/>
      <c r="I182" s="2"/>
      <c r="J182" s="19">
        <f t="shared" si="38"/>
        <v>0</v>
      </c>
      <c r="K182" s="2"/>
      <c r="L182" s="2">
        <f t="shared" si="39"/>
        <v>0</v>
      </c>
      <c r="M182" s="2"/>
      <c r="N182" s="19">
        <f t="shared" si="40"/>
        <v>0</v>
      </c>
      <c r="O182" s="10"/>
      <c r="P182" s="2">
        <v>28.92</v>
      </c>
      <c r="Q182" s="2"/>
      <c r="R182" s="19">
        <f t="shared" si="41"/>
        <v>3.2119680862982521E-6</v>
      </c>
      <c r="S182" s="2"/>
      <c r="T182" s="2">
        <v>118.75</v>
      </c>
      <c r="U182" s="2"/>
      <c r="V182" s="19">
        <f t="shared" si="42"/>
        <v>4.3113382068564888E-6</v>
      </c>
      <c r="W182" s="2"/>
      <c r="X182" s="2">
        <f t="shared" si="43"/>
        <v>-89.83</v>
      </c>
      <c r="Y182" s="2"/>
      <c r="Z182" s="19">
        <f t="shared" si="44"/>
        <v>-0.75646315789473684</v>
      </c>
    </row>
    <row r="183" spans="1:26" s="23" customFormat="1" hidden="1" outlineLevel="1" x14ac:dyDescent="0.25">
      <c r="A183" s="44"/>
      <c r="B183" s="10" t="str">
        <f>CONCATENATE("          ", "5513", " - ", "FREIGHT-IN-TRADE BOOKS")</f>
        <v xml:space="preserve">          5513 - FREIGHT-IN-TRADE BOOKS</v>
      </c>
      <c r="C183" s="10"/>
      <c r="D183" s="2"/>
      <c r="E183" s="2"/>
      <c r="F183" s="19">
        <f t="shared" si="37"/>
        <v>0</v>
      </c>
      <c r="G183" s="2"/>
      <c r="H183" s="2"/>
      <c r="I183" s="2"/>
      <c r="J183" s="19">
        <f t="shared" si="38"/>
        <v>0</v>
      </c>
      <c r="K183" s="2"/>
      <c r="L183" s="2">
        <f t="shared" si="39"/>
        <v>0</v>
      </c>
      <c r="M183" s="2"/>
      <c r="N183" s="19">
        <f t="shared" si="40"/>
        <v>0</v>
      </c>
      <c r="O183" s="10"/>
      <c r="P183" s="2">
        <v>85.28</v>
      </c>
      <c r="Q183" s="2"/>
      <c r="R183" s="19">
        <f t="shared" si="41"/>
        <v>9.4715296818642788E-6</v>
      </c>
      <c r="S183" s="2"/>
      <c r="T183" s="2">
        <v>30.24</v>
      </c>
      <c r="U183" s="2"/>
      <c r="V183" s="19">
        <f t="shared" si="42"/>
        <v>1.0978936200028649E-6</v>
      </c>
      <c r="W183" s="2"/>
      <c r="X183" s="2">
        <f t="shared" si="43"/>
        <v>55.040000000000006</v>
      </c>
      <c r="Y183" s="2"/>
      <c r="Z183" s="19">
        <f t="shared" si="44"/>
        <v>1.8201058201058204</v>
      </c>
    </row>
    <row r="184" spans="1:26" s="23" customFormat="1" hidden="1" outlineLevel="1" x14ac:dyDescent="0.25">
      <c r="A184" s="44"/>
      <c r="B184" s="10" t="str">
        <f>CONCATENATE("          ", "5518", " - ", "FREIGHT-IN-STUDY GUIDES")</f>
        <v xml:space="preserve">          5518 - FREIGHT-IN-STUDY GUIDES</v>
      </c>
      <c r="C184" s="10"/>
      <c r="D184" s="2"/>
      <c r="E184" s="2"/>
      <c r="F184" s="19">
        <f t="shared" si="37"/>
        <v>0</v>
      </c>
      <c r="G184" s="2"/>
      <c r="H184" s="2"/>
      <c r="I184" s="2"/>
      <c r="J184" s="19">
        <f t="shared" si="38"/>
        <v>0</v>
      </c>
      <c r="K184" s="2"/>
      <c r="L184" s="2">
        <f t="shared" si="39"/>
        <v>0</v>
      </c>
      <c r="M184" s="2"/>
      <c r="N184" s="19">
        <f t="shared" si="40"/>
        <v>0</v>
      </c>
      <c r="O184" s="10"/>
      <c r="P184" s="2"/>
      <c r="Q184" s="2"/>
      <c r="R184" s="19">
        <f t="shared" si="41"/>
        <v>0</v>
      </c>
      <c r="S184" s="2"/>
      <c r="T184" s="2">
        <v>21.13</v>
      </c>
      <c r="U184" s="2"/>
      <c r="V184" s="19">
        <f t="shared" si="42"/>
        <v>7.6714590577581135E-7</v>
      </c>
      <c r="W184" s="2"/>
      <c r="X184" s="2">
        <f t="shared" si="43"/>
        <v>-21.13</v>
      </c>
      <c r="Y184" s="2"/>
      <c r="Z184" s="19">
        <f t="shared" si="44"/>
        <v>-1</v>
      </c>
    </row>
    <row r="185" spans="1:26" s="23" customFormat="1" hidden="1" outlineLevel="1" x14ac:dyDescent="0.25">
      <c r="A185" s="44"/>
      <c r="B185" s="10" t="str">
        <f>CONCATENATE("          ", "5525", " - ", "FREIGHT-IN-TEST FORMS")</f>
        <v xml:space="preserve">          5525 - FREIGHT-IN-TEST FORMS</v>
      </c>
      <c r="C185" s="10"/>
      <c r="D185" s="2"/>
      <c r="E185" s="2"/>
      <c r="F185" s="19">
        <f t="shared" si="37"/>
        <v>0</v>
      </c>
      <c r="G185" s="2"/>
      <c r="H185" s="2"/>
      <c r="I185" s="2"/>
      <c r="J185" s="19">
        <f t="shared" si="38"/>
        <v>0</v>
      </c>
      <c r="K185" s="2"/>
      <c r="L185" s="2">
        <f t="shared" si="39"/>
        <v>0</v>
      </c>
      <c r="M185" s="2"/>
      <c r="N185" s="19">
        <f t="shared" si="40"/>
        <v>0</v>
      </c>
      <c r="O185" s="10"/>
      <c r="P185" s="2">
        <v>48.14</v>
      </c>
      <c r="Q185" s="2"/>
      <c r="R185" s="19">
        <f t="shared" si="41"/>
        <v>5.3466163096264812E-6</v>
      </c>
      <c r="S185" s="2"/>
      <c r="T185" s="2">
        <v>1237.22</v>
      </c>
      <c r="U185" s="2"/>
      <c r="V185" s="19">
        <f t="shared" si="42"/>
        <v>4.4918516684521983E-5</v>
      </c>
      <c r="W185" s="2"/>
      <c r="X185" s="2">
        <f t="shared" si="43"/>
        <v>-1189.08</v>
      </c>
      <c r="Y185" s="2"/>
      <c r="Z185" s="19">
        <f t="shared" si="44"/>
        <v>-0.9610901860623009</v>
      </c>
    </row>
    <row r="186" spans="1:26" s="23" customFormat="1" hidden="1" outlineLevel="1" x14ac:dyDescent="0.25">
      <c r="A186" s="44"/>
      <c r="B186" s="10" t="str">
        <f>CONCATENATE("          ", "5526", " - ", "FREIGHT-IN-WRITING INSTRUMENTS")</f>
        <v xml:space="preserve">          5526 - FREIGHT-IN-WRITING INSTRUMENTS</v>
      </c>
      <c r="C186" s="10"/>
      <c r="D186" s="2"/>
      <c r="E186" s="2"/>
      <c r="F186" s="19">
        <f t="shared" si="37"/>
        <v>0</v>
      </c>
      <c r="G186" s="2"/>
      <c r="H186" s="2"/>
      <c r="I186" s="2"/>
      <c r="J186" s="19">
        <f t="shared" si="38"/>
        <v>0</v>
      </c>
      <c r="K186" s="2"/>
      <c r="L186" s="2">
        <f t="shared" si="39"/>
        <v>0</v>
      </c>
      <c r="M186" s="2"/>
      <c r="N186" s="19">
        <f t="shared" si="40"/>
        <v>0</v>
      </c>
      <c r="O186" s="10"/>
      <c r="P186" s="2">
        <v>0</v>
      </c>
      <c r="Q186" s="2"/>
      <c r="R186" s="19">
        <f t="shared" si="41"/>
        <v>0</v>
      </c>
      <c r="S186" s="2"/>
      <c r="T186" s="2">
        <v>260.35000000000002</v>
      </c>
      <c r="U186" s="2"/>
      <c r="V186" s="19">
        <f t="shared" si="42"/>
        <v>9.4522686497270476E-6</v>
      </c>
      <c r="W186" s="2"/>
      <c r="X186" s="2">
        <f t="shared" si="43"/>
        <v>-260.35000000000002</v>
      </c>
      <c r="Y186" s="2"/>
      <c r="Z186" s="19">
        <f t="shared" si="44"/>
        <v>-1</v>
      </c>
    </row>
    <row r="187" spans="1:26" s="23" customFormat="1" hidden="1" outlineLevel="1" x14ac:dyDescent="0.25">
      <c r="A187" s="44"/>
      <c r="B187" s="10" t="str">
        <f>CONCATENATE("          ", "5527", " - ", "FREIGHT-IN-SCHOOL SUPPLIES")</f>
        <v xml:space="preserve">          5527 - FREIGHT-IN-SCHOOL SUPPLIES</v>
      </c>
      <c r="C187" s="10"/>
      <c r="D187" s="2"/>
      <c r="E187" s="2"/>
      <c r="F187" s="19">
        <f t="shared" si="37"/>
        <v>0</v>
      </c>
      <c r="G187" s="2"/>
      <c r="H187" s="2"/>
      <c r="I187" s="2"/>
      <c r="J187" s="19">
        <f t="shared" si="38"/>
        <v>0</v>
      </c>
      <c r="K187" s="2"/>
      <c r="L187" s="2">
        <f t="shared" si="39"/>
        <v>0</v>
      </c>
      <c r="M187" s="2"/>
      <c r="N187" s="19">
        <f t="shared" si="40"/>
        <v>0</v>
      </c>
      <c r="O187" s="10"/>
      <c r="P187" s="2">
        <v>218.62</v>
      </c>
      <c r="Q187" s="2"/>
      <c r="R187" s="19">
        <f t="shared" si="41"/>
        <v>2.4280790561083121E-5</v>
      </c>
      <c r="S187" s="2"/>
      <c r="T187" s="2">
        <v>2058.91</v>
      </c>
      <c r="U187" s="2"/>
      <c r="V187" s="19">
        <f t="shared" si="42"/>
        <v>7.475079871561173E-5</v>
      </c>
      <c r="W187" s="2"/>
      <c r="X187" s="2">
        <f t="shared" si="43"/>
        <v>-1840.29</v>
      </c>
      <c r="Y187" s="2"/>
      <c r="Z187" s="19">
        <f t="shared" si="44"/>
        <v>-0.89381760251783715</v>
      </c>
    </row>
    <row r="188" spans="1:26" s="23" customFormat="1" hidden="1" outlineLevel="1" x14ac:dyDescent="0.25">
      <c r="A188" s="44"/>
      <c r="B188" s="10" t="str">
        <f>CONCATENATE("          ", "5528", " - ", "FREIGHT-IN-ART/TECH")</f>
        <v xml:space="preserve">          5528 - FREIGHT-IN-ART/TECH</v>
      </c>
      <c r="C188" s="10"/>
      <c r="D188" s="2">
        <v>89.22</v>
      </c>
      <c r="E188" s="2"/>
      <c r="F188" s="19">
        <f t="shared" si="37"/>
        <v>8.5898084839522367E-5</v>
      </c>
      <c r="G188" s="2"/>
      <c r="H188" s="2">
        <v>576.6</v>
      </c>
      <c r="I188" s="2"/>
      <c r="J188" s="19">
        <f t="shared" si="38"/>
        <v>1.1573483066826087E-3</v>
      </c>
      <c r="K188" s="2"/>
      <c r="L188" s="2">
        <f t="shared" si="39"/>
        <v>-487.38</v>
      </c>
      <c r="M188" s="2"/>
      <c r="N188" s="19">
        <f t="shared" si="40"/>
        <v>-0.8452653485952133</v>
      </c>
      <c r="O188" s="10"/>
      <c r="P188" s="2">
        <v>544.42999999999995</v>
      </c>
      <c r="Q188" s="2"/>
      <c r="R188" s="19">
        <f t="shared" si="41"/>
        <v>6.0466520927501974E-5</v>
      </c>
      <c r="S188" s="2"/>
      <c r="T188" s="2">
        <v>2844.12</v>
      </c>
      <c r="U188" s="2"/>
      <c r="V188" s="19">
        <f t="shared" si="42"/>
        <v>1.0325863764955517E-4</v>
      </c>
      <c r="W188" s="2"/>
      <c r="X188" s="2">
        <f t="shared" si="43"/>
        <v>-2299.69</v>
      </c>
      <c r="Y188" s="2"/>
      <c r="Z188" s="19">
        <f t="shared" si="44"/>
        <v>-0.80857699393837112</v>
      </c>
    </row>
    <row r="189" spans="1:26" s="23" customFormat="1" hidden="1" outlineLevel="1" x14ac:dyDescent="0.25">
      <c r="A189" s="44"/>
      <c r="B189" s="10" t="str">
        <f>CONCATENATE("          ", "5540", " - ", "FREIGHT-IN-LOGO CLOTHING")</f>
        <v xml:space="preserve">          5540 - FREIGHT-IN-LOGO CLOTHING</v>
      </c>
      <c r="C189" s="10"/>
      <c r="D189" s="2">
        <v>2107.65</v>
      </c>
      <c r="E189" s="2"/>
      <c r="F189" s="19">
        <f t="shared" si="37"/>
        <v>2.0291761770008889E-3</v>
      </c>
      <c r="G189" s="2"/>
      <c r="H189" s="2">
        <v>1044.9100000000001</v>
      </c>
      <c r="I189" s="2"/>
      <c r="J189" s="19">
        <f t="shared" si="38"/>
        <v>2.0973375288514131E-3</v>
      </c>
      <c r="K189" s="2"/>
      <c r="L189" s="2">
        <f t="shared" si="39"/>
        <v>1062.74</v>
      </c>
      <c r="M189" s="2"/>
      <c r="N189" s="19">
        <f t="shared" si="40"/>
        <v>1.0170636705553588</v>
      </c>
      <c r="O189" s="10"/>
      <c r="P189" s="2">
        <v>9216.02</v>
      </c>
      <c r="Q189" s="2"/>
      <c r="R189" s="19">
        <f t="shared" si="41"/>
        <v>1.0235671550029881E-3</v>
      </c>
      <c r="S189" s="2"/>
      <c r="T189" s="2">
        <v>31703.3</v>
      </c>
      <c r="U189" s="2"/>
      <c r="V189" s="19">
        <f t="shared" si="42"/>
        <v>1.1510201985131226E-3</v>
      </c>
      <c r="W189" s="2"/>
      <c r="X189" s="2">
        <f t="shared" si="43"/>
        <v>-22487.279999999999</v>
      </c>
      <c r="Y189" s="2"/>
      <c r="Z189" s="19">
        <f t="shared" si="44"/>
        <v>-0.7093040787552084</v>
      </c>
    </row>
    <row r="190" spans="1:26" s="23" customFormat="1" hidden="1" outlineLevel="1" x14ac:dyDescent="0.25">
      <c r="A190" s="44"/>
      <c r="B190" s="10" t="str">
        <f>CONCATENATE("          ", "5541", " - ", "FREIGHT-IN-LOGO GIFTS")</f>
        <v xml:space="preserve">          5541 - FREIGHT-IN-LOGO GIFTS</v>
      </c>
      <c r="C190" s="10"/>
      <c r="D190" s="2">
        <v>2877.99</v>
      </c>
      <c r="E190" s="2"/>
      <c r="F190" s="19">
        <f t="shared" si="37"/>
        <v>2.7708342208842968E-3</v>
      </c>
      <c r="G190" s="2"/>
      <c r="H190" s="2">
        <v>186.99</v>
      </c>
      <c r="I190" s="2"/>
      <c r="J190" s="19">
        <f t="shared" si="38"/>
        <v>3.7532528592886059E-4</v>
      </c>
      <c r="K190" s="2"/>
      <c r="L190" s="2">
        <f t="shared" si="39"/>
        <v>2691</v>
      </c>
      <c r="M190" s="2"/>
      <c r="N190" s="19">
        <f t="shared" si="40"/>
        <v>14.391143911439114</v>
      </c>
      <c r="O190" s="10"/>
      <c r="P190" s="2">
        <v>5015.99</v>
      </c>
      <c r="Q190" s="2"/>
      <c r="R190" s="19">
        <f t="shared" si="41"/>
        <v>5.5709542881020638E-4</v>
      </c>
      <c r="S190" s="2"/>
      <c r="T190" s="2">
        <v>4882.9399999999996</v>
      </c>
      <c r="U190" s="2"/>
      <c r="V190" s="19">
        <f t="shared" si="42"/>
        <v>1.7728004870558165E-4</v>
      </c>
      <c r="W190" s="2"/>
      <c r="X190" s="2">
        <f t="shared" si="43"/>
        <v>133.05000000000018</v>
      </c>
      <c r="Y190" s="2"/>
      <c r="Z190" s="19">
        <f t="shared" si="44"/>
        <v>2.7247928502090991E-2</v>
      </c>
    </row>
    <row r="191" spans="1:26" s="23" customFormat="1" hidden="1" outlineLevel="1" x14ac:dyDescent="0.25">
      <c r="A191" s="44"/>
      <c r="B191" s="10" t="str">
        <f>CONCATENATE("          ", "5542", " - ", "FREIGHT-IN-EVERYDAY GIFTS")</f>
        <v xml:space="preserve">          5542 - FREIGHT-IN-EVERYDAY GIFTS</v>
      </c>
      <c r="C191" s="10"/>
      <c r="D191" s="2"/>
      <c r="E191" s="2"/>
      <c r="F191" s="19">
        <f t="shared" si="37"/>
        <v>0</v>
      </c>
      <c r="G191" s="2"/>
      <c r="H191" s="2">
        <v>45.1</v>
      </c>
      <c r="I191" s="2"/>
      <c r="J191" s="19">
        <f t="shared" si="38"/>
        <v>9.0524468663520037E-5</v>
      </c>
      <c r="K191" s="2"/>
      <c r="L191" s="2">
        <f t="shared" si="39"/>
        <v>-45.1</v>
      </c>
      <c r="M191" s="2"/>
      <c r="N191" s="19">
        <f t="shared" si="40"/>
        <v>-1</v>
      </c>
      <c r="O191" s="10"/>
      <c r="P191" s="2">
        <v>681.72</v>
      </c>
      <c r="Q191" s="2"/>
      <c r="R191" s="19">
        <f t="shared" si="41"/>
        <v>7.5714484225146756E-5</v>
      </c>
      <c r="S191" s="2"/>
      <c r="T191" s="2">
        <v>1839.04</v>
      </c>
      <c r="U191" s="2"/>
      <c r="V191" s="19">
        <f t="shared" si="42"/>
        <v>6.6768197186840907E-5</v>
      </c>
      <c r="W191" s="2"/>
      <c r="X191" s="2">
        <f t="shared" si="43"/>
        <v>-1157.32</v>
      </c>
      <c r="Y191" s="2"/>
      <c r="Z191" s="19">
        <f t="shared" si="44"/>
        <v>-0.62930659474508432</v>
      </c>
    </row>
    <row r="192" spans="1:26" s="23" customFormat="1" hidden="1" outlineLevel="1" x14ac:dyDescent="0.25">
      <c r="A192" s="44"/>
      <c r="B192" s="10" t="str">
        <f>CONCATENATE("          ", "5543", " - ", "FREIGHT-IN-CARDS")</f>
        <v xml:space="preserve">          5543 - FREIGHT-IN-CARDS</v>
      </c>
      <c r="C192" s="10"/>
      <c r="D192" s="2"/>
      <c r="E192" s="2"/>
      <c r="F192" s="19">
        <f t="shared" si="37"/>
        <v>0</v>
      </c>
      <c r="G192" s="2"/>
      <c r="H192" s="2"/>
      <c r="I192" s="2"/>
      <c r="J192" s="19">
        <f t="shared" si="38"/>
        <v>0</v>
      </c>
      <c r="K192" s="2"/>
      <c r="L192" s="2">
        <f t="shared" si="39"/>
        <v>0</v>
      </c>
      <c r="M192" s="2"/>
      <c r="N192" s="19">
        <f t="shared" si="40"/>
        <v>0</v>
      </c>
      <c r="O192" s="10"/>
      <c r="P192" s="2">
        <v>9110.5300000000007</v>
      </c>
      <c r="Q192" s="2"/>
      <c r="R192" s="19">
        <f t="shared" si="41"/>
        <v>1.0118510238334307E-3</v>
      </c>
      <c r="S192" s="2"/>
      <c r="T192" s="2">
        <v>2926.76</v>
      </c>
      <c r="U192" s="2"/>
      <c r="V192" s="19">
        <f t="shared" si="42"/>
        <v>1.0625896598146777E-4</v>
      </c>
      <c r="W192" s="2"/>
      <c r="X192" s="2">
        <f t="shared" si="43"/>
        <v>6183.77</v>
      </c>
      <c r="Y192" s="2"/>
      <c r="Z192" s="19">
        <f t="shared" si="44"/>
        <v>2.112838087168063</v>
      </c>
    </row>
    <row r="193" spans="1:26" s="23" customFormat="1" hidden="1" outlineLevel="1" x14ac:dyDescent="0.25">
      <c r="A193" s="44"/>
      <c r="B193" s="10" t="str">
        <f>CONCATENATE("          ", "5544", " - ", "FREIGHT-IN-ACCESSORIES")</f>
        <v xml:space="preserve">          5544 - FREIGHT-IN-ACCESSORIES</v>
      </c>
      <c r="C193" s="10"/>
      <c r="D193" s="2"/>
      <c r="E193" s="2"/>
      <c r="F193" s="19">
        <f t="shared" si="37"/>
        <v>0</v>
      </c>
      <c r="G193" s="2"/>
      <c r="H193" s="2"/>
      <c r="I193" s="2"/>
      <c r="J193" s="19">
        <f t="shared" si="38"/>
        <v>0</v>
      </c>
      <c r="K193" s="2"/>
      <c r="L193" s="2">
        <f t="shared" si="39"/>
        <v>0</v>
      </c>
      <c r="M193" s="2"/>
      <c r="N193" s="19">
        <f t="shared" si="40"/>
        <v>0</v>
      </c>
      <c r="O193" s="10"/>
      <c r="P193" s="2"/>
      <c r="Q193" s="2"/>
      <c r="R193" s="19">
        <f t="shared" si="41"/>
        <v>0</v>
      </c>
      <c r="S193" s="2"/>
      <c r="T193" s="2">
        <v>483.44</v>
      </c>
      <c r="U193" s="2"/>
      <c r="V193" s="19">
        <f t="shared" si="42"/>
        <v>1.7551775517664848E-5</v>
      </c>
      <c r="W193" s="2"/>
      <c r="X193" s="2">
        <f t="shared" si="43"/>
        <v>-483.44</v>
      </c>
      <c r="Y193" s="2"/>
      <c r="Z193" s="19">
        <f t="shared" si="44"/>
        <v>-1</v>
      </c>
    </row>
    <row r="194" spans="1:26" s="23" customFormat="1" hidden="1" outlineLevel="1" x14ac:dyDescent="0.25">
      <c r="A194" s="44"/>
      <c r="B194" s="10" t="str">
        <f>CONCATENATE("          ", "5545", " - ", "FREIGHT-IN-SPECIAL ORDERS")</f>
        <v xml:space="preserve">          5545 - FREIGHT-IN-SPECIAL ORDERS</v>
      </c>
      <c r="C194" s="10"/>
      <c r="D194" s="2">
        <v>168.6</v>
      </c>
      <c r="E194" s="2"/>
      <c r="F194" s="19">
        <f t="shared" si="37"/>
        <v>1.6232254095430924E-4</v>
      </c>
      <c r="G194" s="2"/>
      <c r="H194" s="2">
        <v>17.190000000000001</v>
      </c>
      <c r="I194" s="2"/>
      <c r="J194" s="19">
        <f t="shared" si="38"/>
        <v>3.4503672202348327E-5</v>
      </c>
      <c r="K194" s="2"/>
      <c r="L194" s="2">
        <f t="shared" si="39"/>
        <v>151.41</v>
      </c>
      <c r="M194" s="2"/>
      <c r="N194" s="19">
        <f t="shared" si="40"/>
        <v>8.8080279232111689</v>
      </c>
      <c r="O194" s="10"/>
      <c r="P194" s="2">
        <v>1434.76</v>
      </c>
      <c r="Q194" s="2"/>
      <c r="R194" s="19">
        <f t="shared" si="41"/>
        <v>1.5935004604070816E-4</v>
      </c>
      <c r="S194" s="2"/>
      <c r="T194" s="2">
        <v>892.26</v>
      </c>
      <c r="U194" s="2"/>
      <c r="V194" s="19">
        <f t="shared" si="42"/>
        <v>3.2394396871155963E-5</v>
      </c>
      <c r="W194" s="2"/>
      <c r="X194" s="2">
        <f t="shared" si="43"/>
        <v>542.5</v>
      </c>
      <c r="Y194" s="2"/>
      <c r="Z194" s="19">
        <f t="shared" si="44"/>
        <v>0.60800663483737927</v>
      </c>
    </row>
    <row r="195" spans="1:26" s="23" customFormat="1" hidden="1" outlineLevel="1" x14ac:dyDescent="0.25">
      <c r="A195" s="44"/>
      <c r="B195" s="10" t="str">
        <f>CONCATENATE("          ", "5581", " - ", "FREIGHT-IN-ELECTRONICS")</f>
        <v xml:space="preserve">          5581 - FREIGHT-IN-ELECTRONICS</v>
      </c>
      <c r="C195" s="10"/>
      <c r="D195" s="2"/>
      <c r="E195" s="2"/>
      <c r="F195" s="19">
        <f t="shared" si="37"/>
        <v>0</v>
      </c>
      <c r="G195" s="2"/>
      <c r="H195" s="2"/>
      <c r="I195" s="2"/>
      <c r="J195" s="19">
        <f t="shared" si="38"/>
        <v>0</v>
      </c>
      <c r="K195" s="2"/>
      <c r="L195" s="2">
        <f t="shared" si="39"/>
        <v>0</v>
      </c>
      <c r="M195" s="2"/>
      <c r="N195" s="19">
        <f t="shared" si="40"/>
        <v>0</v>
      </c>
      <c r="O195" s="10"/>
      <c r="P195" s="2">
        <v>31</v>
      </c>
      <c r="Q195" s="2"/>
      <c r="R195" s="19">
        <f t="shared" si="41"/>
        <v>3.4429810053681124E-6</v>
      </c>
      <c r="S195" s="2"/>
      <c r="T195" s="2">
        <v>105.75</v>
      </c>
      <c r="U195" s="2"/>
      <c r="V195" s="19">
        <f t="shared" si="42"/>
        <v>3.8393601294743051E-6</v>
      </c>
      <c r="W195" s="2"/>
      <c r="X195" s="2">
        <f t="shared" si="43"/>
        <v>-74.75</v>
      </c>
      <c r="Y195" s="2"/>
      <c r="Z195" s="19">
        <f t="shared" si="44"/>
        <v>-0.70685579196217496</v>
      </c>
    </row>
    <row r="196" spans="1:26" s="23" customFormat="1" hidden="1" outlineLevel="1" x14ac:dyDescent="0.25">
      <c r="A196" s="44"/>
      <c r="B196" s="10" t="str">
        <f>CONCATENATE("          ", "5582", " - ", "FREIGHT-IN-COMPUTER HARDWARE")</f>
        <v xml:space="preserve">          5582 - FREIGHT-IN-COMPUTER HARDWARE</v>
      </c>
      <c r="C196" s="10"/>
      <c r="D196" s="2"/>
      <c r="E196" s="2"/>
      <c r="F196" s="19">
        <f t="shared" si="37"/>
        <v>0</v>
      </c>
      <c r="G196" s="2"/>
      <c r="H196" s="2"/>
      <c r="I196" s="2"/>
      <c r="J196" s="19">
        <f t="shared" si="38"/>
        <v>0</v>
      </c>
      <c r="K196" s="2"/>
      <c r="L196" s="2">
        <f t="shared" si="39"/>
        <v>0</v>
      </c>
      <c r="M196" s="2"/>
      <c r="N196" s="19">
        <f t="shared" si="40"/>
        <v>0</v>
      </c>
      <c r="O196" s="10"/>
      <c r="P196" s="2">
        <v>125</v>
      </c>
      <c r="Q196" s="2"/>
      <c r="R196" s="19">
        <f t="shared" si="41"/>
        <v>1.3882987924871421E-5</v>
      </c>
      <c r="S196" s="2"/>
      <c r="T196" s="2">
        <v>154.30000000000001</v>
      </c>
      <c r="U196" s="2"/>
      <c r="V196" s="19">
        <f t="shared" si="42"/>
        <v>5.6020167184670004E-6</v>
      </c>
      <c r="W196" s="2"/>
      <c r="X196" s="2">
        <f t="shared" si="43"/>
        <v>-29.300000000000011</v>
      </c>
      <c r="Y196" s="2"/>
      <c r="Z196" s="19">
        <f t="shared" si="44"/>
        <v>-0.18988982501620227</v>
      </c>
    </row>
    <row r="197" spans="1:26" s="23" customFormat="1" hidden="1" outlineLevel="1" x14ac:dyDescent="0.25">
      <c r="A197" s="44"/>
      <c r="B197" s="10" t="str">
        <f>CONCATENATE("          ", "5583", " - ", "FREIGHT-IN-COMPUTER EQUIPMENT")</f>
        <v xml:space="preserve">          5583 - FREIGHT-IN-COMPUTER EQUIPMENT</v>
      </c>
      <c r="C197" s="10"/>
      <c r="D197" s="2"/>
      <c r="E197" s="2"/>
      <c r="F197" s="19">
        <f t="shared" si="37"/>
        <v>0</v>
      </c>
      <c r="G197" s="2"/>
      <c r="H197" s="2">
        <v>39.049999999999997</v>
      </c>
      <c r="I197" s="2"/>
      <c r="J197" s="19">
        <f t="shared" si="38"/>
        <v>7.8380942379389291E-5</v>
      </c>
      <c r="K197" s="2"/>
      <c r="L197" s="2">
        <f t="shared" si="39"/>
        <v>-39.049999999999997</v>
      </c>
      <c r="M197" s="2"/>
      <c r="N197" s="19">
        <f t="shared" si="40"/>
        <v>-1</v>
      </c>
      <c r="O197" s="10"/>
      <c r="P197" s="2">
        <v>242.46</v>
      </c>
      <c r="Q197" s="2"/>
      <c r="R197" s="19">
        <f t="shared" si="41"/>
        <v>2.6928554018114598E-5</v>
      </c>
      <c r="S197" s="2"/>
      <c r="T197" s="2">
        <v>96.55</v>
      </c>
      <c r="U197" s="2"/>
      <c r="V197" s="19">
        <f t="shared" si="42"/>
        <v>3.5053448747115281E-6</v>
      </c>
      <c r="W197" s="2"/>
      <c r="X197" s="2">
        <f t="shared" si="43"/>
        <v>145.91000000000003</v>
      </c>
      <c r="Y197" s="2"/>
      <c r="Z197" s="19">
        <f t="shared" si="44"/>
        <v>1.5112377006732267</v>
      </c>
    </row>
    <row r="198" spans="1:26" s="23" customFormat="1" hidden="1" outlineLevel="1" x14ac:dyDescent="0.25">
      <c r="A198" s="44"/>
      <c r="B198" s="10" t="str">
        <f>CONCATENATE("          ", "5585", " - ", "FREIGHT-IN-SOFTWARE")</f>
        <v xml:space="preserve">          5585 - FREIGHT-IN-SOFTWARE</v>
      </c>
      <c r="C198" s="10"/>
      <c r="D198" s="2"/>
      <c r="E198" s="2"/>
      <c r="F198" s="19">
        <f t="shared" si="37"/>
        <v>0</v>
      </c>
      <c r="G198" s="2"/>
      <c r="H198" s="2"/>
      <c r="I198" s="2"/>
      <c r="J198" s="19">
        <f t="shared" si="38"/>
        <v>0</v>
      </c>
      <c r="K198" s="2"/>
      <c r="L198" s="2">
        <f t="shared" si="39"/>
        <v>0</v>
      </c>
      <c r="M198" s="2"/>
      <c r="N198" s="19">
        <f t="shared" si="40"/>
        <v>0</v>
      </c>
      <c r="O198" s="10"/>
      <c r="P198" s="2">
        <v>9.41</v>
      </c>
      <c r="Q198" s="2"/>
      <c r="R198" s="19">
        <f t="shared" si="41"/>
        <v>1.0451113309843207E-6</v>
      </c>
      <c r="S198" s="2"/>
      <c r="T198" s="2"/>
      <c r="U198" s="2"/>
      <c r="V198" s="19">
        <f t="shared" si="42"/>
        <v>0</v>
      </c>
      <c r="W198" s="2"/>
      <c r="X198" s="2">
        <f t="shared" si="43"/>
        <v>9.41</v>
      </c>
      <c r="Y198" s="2"/>
      <c r="Z198" s="19">
        <f t="shared" si="44"/>
        <v>0</v>
      </c>
    </row>
    <row r="199" spans="1:26" s="23" customFormat="1" hidden="1" outlineLevel="1" x14ac:dyDescent="0.25">
      <c r="A199" s="44"/>
      <c r="B199" s="10" t="str">
        <f>CONCATENATE("          ", "5586", " - ", "FREIGHT-IN-COMPUTER SUPPLIES")</f>
        <v xml:space="preserve">          5586 - FREIGHT-IN-COMPUTER SUPPLIES</v>
      </c>
      <c r="C199" s="10"/>
      <c r="D199" s="2"/>
      <c r="E199" s="2"/>
      <c r="F199" s="19">
        <f t="shared" si="37"/>
        <v>0</v>
      </c>
      <c r="G199" s="2"/>
      <c r="H199" s="2"/>
      <c r="I199" s="2"/>
      <c r="J199" s="19">
        <f t="shared" si="38"/>
        <v>0</v>
      </c>
      <c r="K199" s="2"/>
      <c r="L199" s="2">
        <f t="shared" si="39"/>
        <v>0</v>
      </c>
      <c r="M199" s="2"/>
      <c r="N199" s="19">
        <f t="shared" si="40"/>
        <v>0</v>
      </c>
      <c r="O199" s="10"/>
      <c r="P199" s="2">
        <v>24.12</v>
      </c>
      <c r="Q199" s="2"/>
      <c r="R199" s="19">
        <f t="shared" si="41"/>
        <v>2.6788613499831894E-6</v>
      </c>
      <c r="S199" s="2"/>
      <c r="T199" s="2">
        <v>301.27</v>
      </c>
      <c r="U199" s="2"/>
      <c r="V199" s="19">
        <f t="shared" si="42"/>
        <v>1.0937910413302352E-5</v>
      </c>
      <c r="W199" s="2"/>
      <c r="X199" s="2">
        <f t="shared" si="43"/>
        <v>-277.14999999999998</v>
      </c>
      <c r="Y199" s="2"/>
      <c r="Z199" s="19">
        <f t="shared" si="44"/>
        <v>-0.91993892521658316</v>
      </c>
    </row>
    <row r="200" spans="1:26" s="23" customFormat="1" hidden="1" outlineLevel="1" x14ac:dyDescent="0.25">
      <c r="A200" s="44"/>
      <c r="B200" s="10" t="str">
        <f>CONCATENATE("          ", "5592", " - ", "FREIGHT-IN-GRAD MERCH")</f>
        <v xml:space="preserve">          5592 - FREIGHT-IN-GRAD MERCH</v>
      </c>
      <c r="C200" s="10"/>
      <c r="D200" s="2"/>
      <c r="E200" s="2"/>
      <c r="F200" s="19">
        <f t="shared" si="37"/>
        <v>0</v>
      </c>
      <c r="G200" s="2"/>
      <c r="H200" s="2"/>
      <c r="I200" s="2"/>
      <c r="J200" s="19">
        <f t="shared" si="38"/>
        <v>0</v>
      </c>
      <c r="K200" s="2"/>
      <c r="L200" s="2">
        <f t="shared" si="39"/>
        <v>0</v>
      </c>
      <c r="M200" s="2"/>
      <c r="N200" s="19">
        <f t="shared" si="40"/>
        <v>0</v>
      </c>
      <c r="O200" s="10"/>
      <c r="P200" s="2">
        <v>0</v>
      </c>
      <c r="Q200" s="2"/>
      <c r="R200" s="19">
        <f t="shared" si="41"/>
        <v>0</v>
      </c>
      <c r="S200" s="2"/>
      <c r="T200" s="2">
        <v>118.73</v>
      </c>
      <c r="U200" s="2"/>
      <c r="V200" s="19">
        <f t="shared" si="42"/>
        <v>4.3106120867374395E-6</v>
      </c>
      <c r="W200" s="2"/>
      <c r="X200" s="2">
        <f t="shared" si="43"/>
        <v>-118.73</v>
      </c>
      <c r="Y200" s="2"/>
      <c r="Z200" s="19">
        <f t="shared" si="44"/>
        <v>-1</v>
      </c>
    </row>
    <row r="201" spans="1:26" x14ac:dyDescent="0.25">
      <c r="A201" s="9"/>
      <c r="B201" s="11"/>
      <c r="C201" s="11"/>
      <c r="D201" s="3"/>
      <c r="E201" s="3"/>
      <c r="F201" s="8"/>
      <c r="G201" s="3"/>
      <c r="H201" s="3"/>
      <c r="I201" s="3"/>
      <c r="J201" s="8"/>
      <c r="K201" s="3"/>
      <c r="L201" s="3"/>
      <c r="M201" s="3"/>
      <c r="N201" s="8"/>
      <c r="O201" s="11"/>
      <c r="P201" s="3"/>
      <c r="Q201" s="3"/>
      <c r="R201" s="8"/>
      <c r="S201" s="3"/>
      <c r="T201" s="3"/>
      <c r="U201" s="3"/>
      <c r="V201" s="8"/>
      <c r="W201" s="3"/>
      <c r="X201" s="3"/>
      <c r="Y201" s="3"/>
      <c r="Z201" s="8"/>
    </row>
    <row r="202" spans="1:26" s="24" customFormat="1" x14ac:dyDescent="0.25">
      <c r="A202" s="11"/>
      <c r="B202" s="29" t="s">
        <v>107</v>
      </c>
      <c r="C202" s="29"/>
      <c r="D202" s="20">
        <f>D12-D139</f>
        <v>395094.12</v>
      </c>
      <c r="E202" s="14"/>
      <c r="F202" s="22">
        <f>IF(D$12=0,0,D202/D$12)</f>
        <v>0.38038363863883018</v>
      </c>
      <c r="G202" s="14"/>
      <c r="H202" s="20">
        <f>H12-H139</f>
        <v>-31766.479999999865</v>
      </c>
      <c r="I202" s="14"/>
      <c r="J202" s="22">
        <f>IF(H$12=0,0,H202/H$12)</f>
        <v>-6.3761501625506062E-2</v>
      </c>
      <c r="K202" s="16"/>
      <c r="L202" s="20">
        <f>+D202-H202</f>
        <v>426860.59999999986</v>
      </c>
      <c r="M202" s="16"/>
      <c r="N202" s="22">
        <f>IF(H202=0,0,L202/H202)</f>
        <v>-13.437453567408214</v>
      </c>
      <c r="O202" s="28"/>
      <c r="P202" s="20">
        <f>P12-P139</f>
        <v>3367902.540000001</v>
      </c>
      <c r="Q202" s="14"/>
      <c r="R202" s="22">
        <f>IF(P$12=0,0,P202/P$12)</f>
        <v>0.37405240235971038</v>
      </c>
      <c r="S202" s="14"/>
      <c r="T202" s="20">
        <f>T12-T139</f>
        <v>15388737.549999995</v>
      </c>
      <c r="U202" s="14"/>
      <c r="V202" s="22">
        <f>IF(T$12=0,0,T202/T$12)</f>
        <v>0.55870359709138606</v>
      </c>
      <c r="W202" s="16"/>
      <c r="X202" s="20">
        <f>+P202-T202</f>
        <v>-12020835.009999994</v>
      </c>
      <c r="Y202" s="16"/>
      <c r="Z202" s="22">
        <f>IF(T202=0,0,X202/T202)</f>
        <v>-0.7811449750795183</v>
      </c>
    </row>
    <row r="203" spans="1:26" x14ac:dyDescent="0.25">
      <c r="A203" s="9"/>
      <c r="B203" s="11"/>
      <c r="C203" s="9"/>
      <c r="D203" s="1"/>
      <c r="E203" s="1"/>
      <c r="F203" s="5"/>
      <c r="G203" s="1"/>
      <c r="H203" s="1"/>
      <c r="I203" s="1"/>
      <c r="J203" s="5"/>
      <c r="K203" s="1"/>
      <c r="L203" s="1"/>
      <c r="M203" s="1"/>
      <c r="N203" s="5"/>
      <c r="O203" s="37"/>
      <c r="P203" s="1"/>
      <c r="Q203" s="1"/>
      <c r="R203" s="5"/>
      <c r="S203" s="1"/>
      <c r="T203" s="1"/>
      <c r="U203" s="1"/>
      <c r="V203" s="5"/>
      <c r="W203" s="1"/>
      <c r="X203" s="1"/>
      <c r="Y203" s="1"/>
      <c r="Z203" s="5"/>
    </row>
    <row r="204" spans="1:26" s="24" customFormat="1" x14ac:dyDescent="0.25">
      <c r="A204" s="11"/>
      <c r="B204" s="28" t="s">
        <v>294</v>
      </c>
      <c r="C204" s="11"/>
      <c r="D204" s="21">
        <f>SUM(OSRRefD22x_0)</f>
        <v>672522.08</v>
      </c>
      <c r="E204" s="21"/>
      <c r="F204" s="31">
        <f t="shared" ref="F204:F215" si="45">IF(D$12=0,0,D204/D$12)</f>
        <v>0.64748216413687565</v>
      </c>
      <c r="G204" s="21"/>
      <c r="H204" s="21">
        <f>SUM(OSRRefH22x_0)</f>
        <v>523929.18000000005</v>
      </c>
      <c r="I204" s="21"/>
      <c r="J204" s="31">
        <f t="shared" ref="J204:J215" si="46">IF(H$12=0,0,H204/H$12)</f>
        <v>1.0516277303062915</v>
      </c>
      <c r="K204" s="4"/>
      <c r="L204" s="21">
        <f t="shared" ref="L204:L215" si="47">+D204-H204</f>
        <v>148592.89999999991</v>
      </c>
      <c r="M204" s="4"/>
      <c r="N204" s="31">
        <f t="shared" ref="N204:N215" si="48">IF(H204=0,0,L204/H204)</f>
        <v>0.28361256763748088</v>
      </c>
      <c r="O204" s="11"/>
      <c r="P204" s="21">
        <f>SUM(OSRRefP22x_0)</f>
        <v>6778754.4299999997</v>
      </c>
      <c r="Q204" s="21"/>
      <c r="R204" s="31">
        <f t="shared" ref="R204:R215" si="49">IF(P$12=0,0,P204/P$12)</f>
        <v>0.75287492717886917</v>
      </c>
      <c r="S204" s="21"/>
      <c r="T204" s="21">
        <f>SUM(OSRRefT22x_0)</f>
        <v>14423452.349999998</v>
      </c>
      <c r="U204" s="21"/>
      <c r="V204" s="31">
        <f t="shared" ref="V204:V215" si="50">IF(T$12=0,0,T204/T$12)</f>
        <v>0.52365794687434941</v>
      </c>
      <c r="W204" s="4"/>
      <c r="X204" s="21">
        <f t="shared" ref="X204:X215" si="51">+P204-T204</f>
        <v>-7644697.9199999981</v>
      </c>
      <c r="Y204" s="4"/>
      <c r="Z204" s="31">
        <f t="shared" ref="Z204:Z215" si="52">IF(T204=0,0,X204/T204)</f>
        <v>-0.530018592948033</v>
      </c>
    </row>
    <row r="205" spans="1:26" s="26" customFormat="1" outlineLevel="1" collapsed="1" x14ac:dyDescent="0.25">
      <c r="A205" s="25"/>
      <c r="B205" s="12" t="str">
        <f>CONCATENATE("     ","*Benefits                                         ")</f>
        <v xml:space="preserve">     *Benefits                                         </v>
      </c>
      <c r="C205" s="12"/>
      <c r="D205" s="1">
        <f>SUM(OSRRefD22_0x_0)</f>
        <v>166236.45000000001</v>
      </c>
      <c r="E205" s="1"/>
      <c r="F205" s="5">
        <f t="shared" si="45"/>
        <v>0.16004699266443642</v>
      </c>
      <c r="G205" s="1"/>
      <c r="H205" s="1">
        <f>SUM(OSRRefH22_0x_0)</f>
        <v>12682.999999999993</v>
      </c>
      <c r="I205" s="1"/>
      <c r="J205" s="5">
        <f t="shared" si="46"/>
        <v>2.5457246919277692E-2</v>
      </c>
      <c r="K205" s="1"/>
      <c r="L205" s="1">
        <f t="shared" si="47"/>
        <v>153553.45000000001</v>
      </c>
      <c r="M205" s="1"/>
      <c r="N205" s="5">
        <f t="shared" si="48"/>
        <v>12.107029094062927</v>
      </c>
      <c r="O205" s="12"/>
      <c r="P205" s="1">
        <f>SUM(OSRRefP22_0x_0)</f>
        <v>1553457.0599999998</v>
      </c>
      <c r="Q205" s="1"/>
      <c r="R205" s="5">
        <f t="shared" si="49"/>
        <v>0.17253300484629006</v>
      </c>
      <c r="S205" s="1"/>
      <c r="T205" s="1">
        <f>SUM(OSRRefT22_0x_0)</f>
        <v>2112894.0499999998</v>
      </c>
      <c r="U205" s="1"/>
      <c r="V205" s="5">
        <f t="shared" si="50"/>
        <v>7.6710743956250466E-2</v>
      </c>
      <c r="W205" s="1"/>
      <c r="X205" s="1">
        <f t="shared" si="51"/>
        <v>-559436.99</v>
      </c>
      <c r="Y205" s="1"/>
      <c r="Z205" s="5">
        <f t="shared" si="52"/>
        <v>-0.26477285503265063</v>
      </c>
    </row>
    <row r="206" spans="1:26" s="23" customFormat="1" hidden="1" outlineLevel="2" x14ac:dyDescent="0.25">
      <c r="A206" s="27"/>
      <c r="B206" s="10" t="str">
        <f>CONCATENATE("          ", "6111", " - ", "F.I.C.A.")</f>
        <v xml:space="preserve">          6111 - F.I.C.A.</v>
      </c>
      <c r="C206" s="10"/>
      <c r="D206" s="6">
        <v>27233.31</v>
      </c>
      <c r="E206" s="2"/>
      <c r="F206" s="7">
        <f t="shared" si="45"/>
        <v>2.6219336167238431E-2</v>
      </c>
      <c r="G206" s="2"/>
      <c r="H206" s="6">
        <v>27197.98</v>
      </c>
      <c r="I206" s="2"/>
      <c r="J206" s="7">
        <f t="shared" si="46"/>
        <v>5.4591633885167287E-2</v>
      </c>
      <c r="K206" s="2"/>
      <c r="L206" s="6">
        <f t="shared" si="47"/>
        <v>35.330000000001746</v>
      </c>
      <c r="M206" s="2"/>
      <c r="N206" s="7">
        <f t="shared" si="48"/>
        <v>1.2989935281959083E-3</v>
      </c>
      <c r="O206" s="10"/>
      <c r="P206" s="6">
        <v>216662.28</v>
      </c>
      <c r="Q206" s="2"/>
      <c r="R206" s="7">
        <f t="shared" si="49"/>
        <v>2.4063358536120884E-2</v>
      </c>
      <c r="S206" s="2"/>
      <c r="T206" s="6">
        <v>402665.41</v>
      </c>
      <c r="U206" s="2"/>
      <c r="V206" s="7">
        <f t="shared" si="50"/>
        <v>1.4619172772316065E-2</v>
      </c>
      <c r="W206" s="2"/>
      <c r="X206" s="6">
        <f t="shared" si="51"/>
        <v>-186003.12999999998</v>
      </c>
      <c r="Y206" s="2"/>
      <c r="Z206" s="7">
        <f t="shared" si="52"/>
        <v>-0.4619297445986234</v>
      </c>
    </row>
    <row r="207" spans="1:26" s="23" customFormat="1" hidden="1" outlineLevel="2" x14ac:dyDescent="0.25">
      <c r="A207" s="27"/>
      <c r="B207" s="10" t="str">
        <f>CONCATENATE("          ", "6112", " - ", "COMPENSATION INSURANCE")</f>
        <v xml:space="preserve">          6112 - COMPENSATION INSURANCE</v>
      </c>
      <c r="C207" s="10"/>
      <c r="D207" s="6">
        <v>6829.3</v>
      </c>
      <c r="E207" s="2"/>
      <c r="F207" s="7">
        <f t="shared" si="45"/>
        <v>6.5750256757963468E-3</v>
      </c>
      <c r="G207" s="2"/>
      <c r="H207" s="6">
        <v>6193.7</v>
      </c>
      <c r="I207" s="2"/>
      <c r="J207" s="7">
        <f t="shared" si="46"/>
        <v>1.2431960123309179E-2</v>
      </c>
      <c r="K207" s="2"/>
      <c r="L207" s="6">
        <f t="shared" si="47"/>
        <v>635.60000000000036</v>
      </c>
      <c r="M207" s="2"/>
      <c r="N207" s="7">
        <f t="shared" si="48"/>
        <v>0.10262040460467901</v>
      </c>
      <c r="O207" s="10"/>
      <c r="P207" s="6">
        <v>80515.63</v>
      </c>
      <c r="Q207" s="2"/>
      <c r="R207" s="7">
        <f t="shared" si="49"/>
        <v>8.9423801524273205E-3</v>
      </c>
      <c r="S207" s="2"/>
      <c r="T207" s="6">
        <v>191651.8</v>
      </c>
      <c r="U207" s="2"/>
      <c r="V207" s="7">
        <f t="shared" si="50"/>
        <v>6.9581113916026812E-3</v>
      </c>
      <c r="W207" s="2"/>
      <c r="X207" s="6">
        <f t="shared" si="51"/>
        <v>-111136.16999999998</v>
      </c>
      <c r="Y207" s="2"/>
      <c r="Z207" s="7">
        <f t="shared" si="52"/>
        <v>-0.57988586592977465</v>
      </c>
    </row>
    <row r="208" spans="1:26" s="23" customFormat="1" hidden="1" outlineLevel="2" x14ac:dyDescent="0.25">
      <c r="A208" s="27"/>
      <c r="B208" s="10" t="str">
        <f>CONCATENATE("          ", "6113", " - ", "GROUP INSURANCE")</f>
        <v xml:space="preserve">          6113 - GROUP INSURANCE</v>
      </c>
      <c r="C208" s="10"/>
      <c r="D208" s="6">
        <v>73954.740000000005</v>
      </c>
      <c r="E208" s="2"/>
      <c r="F208" s="7">
        <f t="shared" si="45"/>
        <v>7.1201194023815501E-2</v>
      </c>
      <c r="G208" s="2"/>
      <c r="H208" s="6">
        <v>75664.960000000006</v>
      </c>
      <c r="I208" s="2"/>
      <c r="J208" s="7">
        <f t="shared" si="46"/>
        <v>0.1518742860409423</v>
      </c>
      <c r="K208" s="2"/>
      <c r="L208" s="6">
        <f t="shared" si="47"/>
        <v>-1710.2200000000012</v>
      </c>
      <c r="M208" s="2"/>
      <c r="N208" s="7">
        <f t="shared" si="48"/>
        <v>-2.2602536233416379E-2</v>
      </c>
      <c r="O208" s="10"/>
      <c r="P208" s="6">
        <v>749441.26</v>
      </c>
      <c r="Q208" s="2"/>
      <c r="R208" s="7">
        <f t="shared" si="49"/>
        <v>8.3235871703843389E-2</v>
      </c>
      <c r="S208" s="2"/>
      <c r="T208" s="6">
        <v>952783.74</v>
      </c>
      <c r="U208" s="2"/>
      <c r="V208" s="7">
        <f t="shared" si="50"/>
        <v>3.4591772135862058E-2</v>
      </c>
      <c r="W208" s="2"/>
      <c r="X208" s="6">
        <f t="shared" si="51"/>
        <v>-203342.47999999998</v>
      </c>
      <c r="Y208" s="2"/>
      <c r="Z208" s="7">
        <f t="shared" si="52"/>
        <v>-0.21341934319743952</v>
      </c>
    </row>
    <row r="209" spans="1:26" s="23" customFormat="1" hidden="1" outlineLevel="2" x14ac:dyDescent="0.25">
      <c r="A209" s="27"/>
      <c r="B209" s="10" t="str">
        <f>CONCATENATE("          ", "6114", " - ", "STATE UNEMPLOYMENT INSURANCE")</f>
        <v xml:space="preserve">          6114 - STATE UNEMPLOYMENT INSURANCE</v>
      </c>
      <c r="C209" s="10"/>
      <c r="D209" s="6">
        <v>680.57</v>
      </c>
      <c r="E209" s="2"/>
      <c r="F209" s="7">
        <f t="shared" si="45"/>
        <v>6.5523043711313315E-4</v>
      </c>
      <c r="G209" s="2"/>
      <c r="H209" s="6">
        <v>654.33000000000004</v>
      </c>
      <c r="I209" s="2"/>
      <c r="J209" s="7">
        <f t="shared" si="46"/>
        <v>1.3133675295033496E-3</v>
      </c>
      <c r="K209" s="2"/>
      <c r="L209" s="6">
        <f t="shared" si="47"/>
        <v>26.240000000000009</v>
      </c>
      <c r="M209" s="2"/>
      <c r="N209" s="7">
        <f t="shared" si="48"/>
        <v>4.0102089159904035E-2</v>
      </c>
      <c r="O209" s="10"/>
      <c r="P209" s="6">
        <v>8210.52</v>
      </c>
      <c r="Q209" s="2"/>
      <c r="R209" s="7">
        <f t="shared" si="49"/>
        <v>9.1189240013532242E-4</v>
      </c>
      <c r="S209" s="2"/>
      <c r="T209" s="6">
        <v>19648.71</v>
      </c>
      <c r="U209" s="2"/>
      <c r="V209" s="7">
        <f t="shared" si="50"/>
        <v>7.1336618221846872E-4</v>
      </c>
      <c r="W209" s="2"/>
      <c r="X209" s="6">
        <f t="shared" si="51"/>
        <v>-11438.189999999999</v>
      </c>
      <c r="Y209" s="2"/>
      <c r="Z209" s="7">
        <f t="shared" si="52"/>
        <v>-0.58213439966287861</v>
      </c>
    </row>
    <row r="210" spans="1:26" s="23" customFormat="1" hidden="1" outlineLevel="2" x14ac:dyDescent="0.25">
      <c r="A210" s="27"/>
      <c r="B210" s="10" t="str">
        <f>CONCATENATE("          ", "6115", " - ", "P.E.R.S.")</f>
        <v xml:space="preserve">          6115 - P.E.R.S.</v>
      </c>
      <c r="C210" s="10"/>
      <c r="D210" s="6">
        <v>13304.87</v>
      </c>
      <c r="E210" s="2"/>
      <c r="F210" s="7">
        <f t="shared" si="45"/>
        <v>1.2809491728747097E-2</v>
      </c>
      <c r="G210" s="2"/>
      <c r="H210" s="6">
        <v>16995.66</v>
      </c>
      <c r="I210" s="2"/>
      <c r="J210" s="7">
        <f t="shared" si="46"/>
        <v>3.4113594037380061E-2</v>
      </c>
      <c r="K210" s="2"/>
      <c r="L210" s="6">
        <f t="shared" si="47"/>
        <v>-3690.7899999999991</v>
      </c>
      <c r="M210" s="2"/>
      <c r="N210" s="7">
        <f t="shared" si="48"/>
        <v>-0.21716073397561489</v>
      </c>
      <c r="O210" s="10"/>
      <c r="P210" s="6">
        <v>155682.10999999999</v>
      </c>
      <c r="Q210" s="2"/>
      <c r="R210" s="7">
        <f t="shared" si="49"/>
        <v>1.7290662825988033E-2</v>
      </c>
      <c r="S210" s="2"/>
      <c r="T210" s="6">
        <v>212891.26</v>
      </c>
      <c r="U210" s="2"/>
      <c r="V210" s="7">
        <f t="shared" si="50"/>
        <v>7.7292313527900511E-3</v>
      </c>
      <c r="W210" s="2"/>
      <c r="X210" s="6">
        <f t="shared" si="51"/>
        <v>-57209.150000000023</v>
      </c>
      <c r="Y210" s="2"/>
      <c r="Z210" s="7">
        <f t="shared" si="52"/>
        <v>-0.26872474708449762</v>
      </c>
    </row>
    <row r="211" spans="1:26" s="23" customFormat="1" hidden="1" outlineLevel="2" x14ac:dyDescent="0.25">
      <c r="A211" s="27"/>
      <c r="B211" s="10" t="str">
        <f>CONCATENATE("          ", "6116", " - ", "EDUCATIONAL BENEFITS")</f>
        <v xml:space="preserve">          6116 - EDUCATIONAL BENEFITS</v>
      </c>
      <c r="C211" s="10"/>
      <c r="D211" s="6"/>
      <c r="E211" s="2"/>
      <c r="F211" s="7">
        <f t="shared" si="45"/>
        <v>0</v>
      </c>
      <c r="G211" s="2"/>
      <c r="H211" s="6"/>
      <c r="I211" s="2"/>
      <c r="J211" s="7">
        <f t="shared" si="46"/>
        <v>0</v>
      </c>
      <c r="K211" s="2"/>
      <c r="L211" s="6">
        <f t="shared" si="47"/>
        <v>0</v>
      </c>
      <c r="M211" s="2"/>
      <c r="N211" s="7">
        <f t="shared" si="48"/>
        <v>0</v>
      </c>
      <c r="O211" s="10"/>
      <c r="P211" s="6">
        <v>0</v>
      </c>
      <c r="Q211" s="2"/>
      <c r="R211" s="7">
        <f t="shared" si="49"/>
        <v>0</v>
      </c>
      <c r="S211" s="2"/>
      <c r="T211" s="6"/>
      <c r="U211" s="2"/>
      <c r="V211" s="7">
        <f t="shared" si="50"/>
        <v>0</v>
      </c>
      <c r="W211" s="2"/>
      <c r="X211" s="6">
        <f t="shared" si="51"/>
        <v>0</v>
      </c>
      <c r="Y211" s="2"/>
      <c r="Z211" s="7">
        <f t="shared" si="52"/>
        <v>0</v>
      </c>
    </row>
    <row r="212" spans="1:26" s="23" customFormat="1" hidden="1" outlineLevel="2" x14ac:dyDescent="0.25">
      <c r="A212" s="27"/>
      <c r="B212" s="10" t="str">
        <f>CONCATENATE("          ", "6117", " - ", "RETIREMENT STAFF HOURLY")</f>
        <v xml:space="preserve">          6117 - RETIREMENT STAFF HOURLY</v>
      </c>
      <c r="C212" s="10"/>
      <c r="D212" s="6">
        <v>2018.25</v>
      </c>
      <c r="E212" s="2"/>
      <c r="F212" s="7">
        <f t="shared" si="45"/>
        <v>1.9431047940749384E-3</v>
      </c>
      <c r="G212" s="2"/>
      <c r="H212" s="6">
        <v>4773.1899999999996</v>
      </c>
      <c r="I212" s="2"/>
      <c r="J212" s="7">
        <f t="shared" si="46"/>
        <v>9.5807203676280973E-3</v>
      </c>
      <c r="K212" s="2"/>
      <c r="L212" s="6">
        <f t="shared" si="47"/>
        <v>-2754.9399999999996</v>
      </c>
      <c r="M212" s="2"/>
      <c r="N212" s="7">
        <f t="shared" si="48"/>
        <v>-0.57716956584590173</v>
      </c>
      <c r="O212" s="10"/>
      <c r="P212" s="6">
        <v>21949.25</v>
      </c>
      <c r="Q212" s="2"/>
      <c r="R212" s="7">
        <f t="shared" si="49"/>
        <v>2.4377693816798724E-3</v>
      </c>
      <c r="S212" s="2"/>
      <c r="T212" s="6">
        <v>22717.62</v>
      </c>
      <c r="U212" s="2"/>
      <c r="V212" s="7">
        <f t="shared" si="50"/>
        <v>8.2478604694608091E-4</v>
      </c>
      <c r="W212" s="2"/>
      <c r="X212" s="6">
        <f t="shared" si="51"/>
        <v>-768.36999999999898</v>
      </c>
      <c r="Y212" s="2"/>
      <c r="Z212" s="7">
        <f t="shared" si="52"/>
        <v>-3.3822645153849702E-2</v>
      </c>
    </row>
    <row r="213" spans="1:26" s="23" customFormat="1" hidden="1" outlineLevel="2" x14ac:dyDescent="0.25">
      <c r="A213" s="27"/>
      <c r="B213" s="10" t="str">
        <f>CONCATENATE("          ", "6118", " - ", "VACATION")</f>
        <v xml:space="preserve">          6118 - VACATION</v>
      </c>
      <c r="C213" s="10"/>
      <c r="D213" s="6">
        <v>22536.1</v>
      </c>
      <c r="E213" s="2"/>
      <c r="F213" s="7">
        <f t="shared" si="45"/>
        <v>2.1697016697511319E-2</v>
      </c>
      <c r="G213" s="2"/>
      <c r="H213" s="6">
        <v>21579</v>
      </c>
      <c r="I213" s="2"/>
      <c r="J213" s="7">
        <f t="shared" si="46"/>
        <v>4.3313248543017713E-2</v>
      </c>
      <c r="K213" s="2"/>
      <c r="L213" s="6">
        <f t="shared" si="47"/>
        <v>957.09999999999854</v>
      </c>
      <c r="M213" s="2"/>
      <c r="N213" s="7">
        <f t="shared" si="48"/>
        <v>4.4353306455350044E-2</v>
      </c>
      <c r="O213" s="10"/>
      <c r="P213" s="6">
        <v>163671.79999999999</v>
      </c>
      <c r="Q213" s="2"/>
      <c r="R213" s="7">
        <f t="shared" si="49"/>
        <v>1.8178028984335761E-2</v>
      </c>
      <c r="S213" s="2"/>
      <c r="T213" s="6">
        <v>240270.43</v>
      </c>
      <c r="U213" s="2"/>
      <c r="V213" s="7">
        <f t="shared" si="50"/>
        <v>8.7232596617838939E-3</v>
      </c>
      <c r="W213" s="2"/>
      <c r="X213" s="6">
        <f t="shared" si="51"/>
        <v>-76598.63</v>
      </c>
      <c r="Y213" s="2"/>
      <c r="Z213" s="7">
        <f t="shared" si="52"/>
        <v>-0.31880173519479699</v>
      </c>
    </row>
    <row r="214" spans="1:26" s="23" customFormat="1" hidden="1" outlineLevel="2" x14ac:dyDescent="0.25">
      <c r="A214" s="27"/>
      <c r="B214" s="10" t="str">
        <f>CONCATENATE("          ", "6119", " - ", "SICK LEAVE")</f>
        <v xml:space="preserve">          6119 - SICK LEAVE</v>
      </c>
      <c r="C214" s="10"/>
      <c r="D214" s="6">
        <v>14773.83</v>
      </c>
      <c r="E214" s="2"/>
      <c r="F214" s="7">
        <f t="shared" si="45"/>
        <v>1.4223758156743786E-2</v>
      </c>
      <c r="G214" s="2"/>
      <c r="H214" s="6">
        <v>-143349.64000000001</v>
      </c>
      <c r="I214" s="2"/>
      <c r="J214" s="7">
        <f t="shared" si="46"/>
        <v>-0.28773059853895522</v>
      </c>
      <c r="K214" s="2"/>
      <c r="L214" s="6">
        <f t="shared" si="47"/>
        <v>158123.47</v>
      </c>
      <c r="M214" s="2"/>
      <c r="N214" s="7">
        <f t="shared" si="48"/>
        <v>-1.1030615075140753</v>
      </c>
      <c r="O214" s="10"/>
      <c r="P214" s="6">
        <v>110264.12</v>
      </c>
      <c r="Q214" s="2"/>
      <c r="R214" s="7">
        <f t="shared" si="49"/>
        <v>1.2246363572052586E-2</v>
      </c>
      <c r="S214" s="2"/>
      <c r="T214" s="6">
        <v>-18052.37</v>
      </c>
      <c r="U214" s="2"/>
      <c r="V214" s="7">
        <f t="shared" si="50"/>
        <v>-6.5540945267629361E-4</v>
      </c>
      <c r="W214" s="2"/>
      <c r="X214" s="6">
        <f t="shared" si="51"/>
        <v>128316.48999999999</v>
      </c>
      <c r="Y214" s="2"/>
      <c r="Z214" s="7">
        <f t="shared" si="52"/>
        <v>-7.108013518446608</v>
      </c>
    </row>
    <row r="215" spans="1:26" s="23" customFormat="1" hidden="1" outlineLevel="2" x14ac:dyDescent="0.25">
      <c r="A215" s="27"/>
      <c r="B215" s="10" t="str">
        <f>CONCATENATE("          ", "6156", " - ", "EMPLOYEE MEALS")</f>
        <v xml:space="preserve">          6156 - EMPLOYEE MEALS</v>
      </c>
      <c r="C215" s="10"/>
      <c r="D215" s="6">
        <v>4905.4799999999996</v>
      </c>
      <c r="E215" s="2"/>
      <c r="F215" s="7">
        <f t="shared" si="45"/>
        <v>4.7228349833958764E-3</v>
      </c>
      <c r="G215" s="2"/>
      <c r="H215" s="6">
        <v>2973.82</v>
      </c>
      <c r="I215" s="2"/>
      <c r="J215" s="7">
        <f t="shared" si="46"/>
        <v>5.969034931284904E-3</v>
      </c>
      <c r="K215" s="2"/>
      <c r="L215" s="6">
        <f t="shared" si="47"/>
        <v>1931.6599999999994</v>
      </c>
      <c r="M215" s="2"/>
      <c r="N215" s="7">
        <f t="shared" si="48"/>
        <v>0.64955511766011365</v>
      </c>
      <c r="O215" s="10"/>
      <c r="P215" s="6">
        <v>47060.09</v>
      </c>
      <c r="Q215" s="2"/>
      <c r="R215" s="7">
        <f t="shared" si="49"/>
        <v>5.2266772897068981E-3</v>
      </c>
      <c r="S215" s="2"/>
      <c r="T215" s="6">
        <v>88317.45</v>
      </c>
      <c r="U215" s="2"/>
      <c r="V215" s="7">
        <f t="shared" si="50"/>
        <v>3.2064538654074746E-3</v>
      </c>
      <c r="W215" s="2"/>
      <c r="X215" s="6">
        <f t="shared" si="51"/>
        <v>-41257.360000000001</v>
      </c>
      <c r="Y215" s="2"/>
      <c r="Z215" s="7">
        <f t="shared" si="52"/>
        <v>-0.46714845141022532</v>
      </c>
    </row>
    <row r="216" spans="1:26" s="26" customFormat="1" outlineLevel="1" collapsed="1" x14ac:dyDescent="0.25">
      <c r="A216" s="25"/>
      <c r="B216" s="12" t="str">
        <f>CONCATENATE("     ","*Payroll                                          ")</f>
        <v xml:space="preserve">     *Payroll                                          </v>
      </c>
      <c r="C216" s="12"/>
      <c r="D216" s="1">
        <f>SUM(OSRRefD22_1x_0)</f>
        <v>295171.22000000003</v>
      </c>
      <c r="E216" s="1"/>
      <c r="F216" s="5">
        <f t="shared" ref="F216:F223" si="53">IF(D$12=0,0,D216/D$12)</f>
        <v>0.28418115330357907</v>
      </c>
      <c r="G216" s="1"/>
      <c r="H216" s="1">
        <f>SUM(OSRRefH22_1x_0)</f>
        <v>223320.49</v>
      </c>
      <c r="I216" s="1"/>
      <c r="J216" s="5">
        <f t="shared" ref="J216:J223" si="54">IF(H$12=0,0,H216/H$12)</f>
        <v>0.44824764299172815</v>
      </c>
      <c r="K216" s="1"/>
      <c r="L216" s="1">
        <f t="shared" ref="L216:L223" si="55">+D216-H216</f>
        <v>71850.73000000004</v>
      </c>
      <c r="M216" s="1"/>
      <c r="N216" s="5">
        <f t="shared" ref="N216:N223" si="56">IF(H216=0,0,L216/H216)</f>
        <v>0.3217381889140582</v>
      </c>
      <c r="O216" s="12"/>
      <c r="P216" s="1">
        <f>SUM(OSRRefP22_1x_0)</f>
        <v>2874378.25</v>
      </c>
      <c r="Q216" s="1"/>
      <c r="R216" s="5">
        <f t="shared" ref="R216:R223" si="57">IF(P$12=0,0,P216/P$12)</f>
        <v>0.31923966829010436</v>
      </c>
      <c r="S216" s="1"/>
      <c r="T216" s="1">
        <f>SUM(OSRRefT22_1x_0)</f>
        <v>7044395.1899999995</v>
      </c>
      <c r="U216" s="1"/>
      <c r="V216" s="5">
        <f t="shared" ref="V216:V223" si="58">IF(T$12=0,0,T216/T$12)</f>
        <v>0.25575385369973114</v>
      </c>
      <c r="W216" s="1"/>
      <c r="X216" s="1">
        <f t="shared" ref="X216:X223" si="59">+P216-T216</f>
        <v>-4170016.9399999995</v>
      </c>
      <c r="Y216" s="1"/>
      <c r="Z216" s="5">
        <f t="shared" ref="Z216:Z223" si="60">IF(T216=0,0,X216/T216)</f>
        <v>-0.59196237966882148</v>
      </c>
    </row>
    <row r="217" spans="1:26" s="23" customFormat="1" hidden="1" outlineLevel="2" x14ac:dyDescent="0.25">
      <c r="A217" s="27"/>
      <c r="B217" s="10" t="str">
        <f>CONCATENATE("          ", "6001", " - ", "ADMINISTRATIVE SALARIES")</f>
        <v xml:space="preserve">          6001 - ADMINISTRATIVE SALARIES</v>
      </c>
      <c r="C217" s="10"/>
      <c r="D217" s="6">
        <v>31629.19</v>
      </c>
      <c r="E217" s="2"/>
      <c r="F217" s="7">
        <f t="shared" si="53"/>
        <v>3.0451545012613452E-2</v>
      </c>
      <c r="G217" s="2"/>
      <c r="H217" s="6">
        <v>27803.23</v>
      </c>
      <c r="I217" s="2"/>
      <c r="J217" s="7">
        <f t="shared" si="54"/>
        <v>5.5806488312187139E-2</v>
      </c>
      <c r="K217" s="2"/>
      <c r="L217" s="6">
        <f t="shared" si="55"/>
        <v>3825.9599999999991</v>
      </c>
      <c r="M217" s="2"/>
      <c r="N217" s="7">
        <f t="shared" si="56"/>
        <v>0.13760847210917579</v>
      </c>
      <c r="O217" s="10"/>
      <c r="P217" s="6">
        <v>289152.71999999997</v>
      </c>
      <c r="Q217" s="2"/>
      <c r="R217" s="7">
        <f t="shared" si="57"/>
        <v>3.2114429761629815E-2</v>
      </c>
      <c r="S217" s="2"/>
      <c r="T217" s="6">
        <v>345385.87</v>
      </c>
      <c r="U217" s="2"/>
      <c r="V217" s="7">
        <f t="shared" si="58"/>
        <v>1.2539581452120996E-2</v>
      </c>
      <c r="W217" s="2"/>
      <c r="X217" s="6">
        <f t="shared" si="59"/>
        <v>-56233.150000000023</v>
      </c>
      <c r="Y217" s="2"/>
      <c r="Z217" s="7">
        <f t="shared" si="60"/>
        <v>-0.16281253775668364</v>
      </c>
    </row>
    <row r="218" spans="1:26" s="23" customFormat="1" hidden="1" outlineLevel="2" x14ac:dyDescent="0.25">
      <c r="A218" s="27"/>
      <c r="B218" s="10" t="str">
        <f>CONCATENATE("          ", "6002", " - ", "STAFF SALARIES")</f>
        <v xml:space="preserve">          6002 - STAFF SALARIES</v>
      </c>
      <c r="C218" s="10"/>
      <c r="D218" s="6">
        <v>118725.46</v>
      </c>
      <c r="E218" s="2"/>
      <c r="F218" s="7">
        <f t="shared" si="53"/>
        <v>0.11430497237941402</v>
      </c>
      <c r="G218" s="2"/>
      <c r="H218" s="6">
        <v>99169.74</v>
      </c>
      <c r="I218" s="2"/>
      <c r="J218" s="7">
        <f t="shared" si="54"/>
        <v>0.19905294946783658</v>
      </c>
      <c r="K218" s="2"/>
      <c r="L218" s="6">
        <f t="shared" si="55"/>
        <v>19555.72</v>
      </c>
      <c r="M218" s="2"/>
      <c r="N218" s="7">
        <f t="shared" si="56"/>
        <v>0.19719442644500229</v>
      </c>
      <c r="O218" s="10"/>
      <c r="P218" s="6">
        <v>1130003.1499999999</v>
      </c>
      <c r="Q218" s="2"/>
      <c r="R218" s="7">
        <f t="shared" si="57"/>
        <v>0.12550256069213334</v>
      </c>
      <c r="S218" s="2"/>
      <c r="T218" s="6">
        <v>1789655.01</v>
      </c>
      <c r="U218" s="2"/>
      <c r="V218" s="7">
        <f t="shared" si="58"/>
        <v>6.4975225445937951E-2</v>
      </c>
      <c r="W218" s="2"/>
      <c r="X218" s="6">
        <f t="shared" si="59"/>
        <v>-659651.8600000001</v>
      </c>
      <c r="Y218" s="2"/>
      <c r="Z218" s="7">
        <f t="shared" si="60"/>
        <v>-0.36859163152344099</v>
      </c>
    </row>
    <row r="219" spans="1:26" s="23" customFormat="1" hidden="1" outlineLevel="2" x14ac:dyDescent="0.25">
      <c r="A219" s="27"/>
      <c r="B219" s="10" t="str">
        <f>CONCATENATE("          ", "6004", " - ", "STAFF HOURLY")</f>
        <v xml:space="preserve">          6004 - STAFF HOURLY</v>
      </c>
      <c r="C219" s="10"/>
      <c r="D219" s="6">
        <v>92670.57</v>
      </c>
      <c r="E219" s="2"/>
      <c r="F219" s="7">
        <f t="shared" si="53"/>
        <v>8.9220180273334407E-2</v>
      </c>
      <c r="G219" s="2"/>
      <c r="H219" s="6">
        <v>80010.53</v>
      </c>
      <c r="I219" s="2"/>
      <c r="J219" s="7">
        <f t="shared" si="54"/>
        <v>0.16059668992764145</v>
      </c>
      <c r="K219" s="2"/>
      <c r="L219" s="6">
        <f t="shared" si="55"/>
        <v>12660.040000000008</v>
      </c>
      <c r="M219" s="2"/>
      <c r="N219" s="7">
        <f t="shared" si="56"/>
        <v>0.15822967301928895</v>
      </c>
      <c r="O219" s="10"/>
      <c r="P219" s="6">
        <v>682830.15</v>
      </c>
      <c r="Q219" s="2"/>
      <c r="R219" s="7">
        <f t="shared" si="57"/>
        <v>7.5837781817505126E-2</v>
      </c>
      <c r="S219" s="2"/>
      <c r="T219" s="6">
        <v>898180.52</v>
      </c>
      <c r="U219" s="2"/>
      <c r="V219" s="7">
        <f t="shared" si="58"/>
        <v>3.2609347305517712E-2</v>
      </c>
      <c r="W219" s="2"/>
      <c r="X219" s="6">
        <f t="shared" si="59"/>
        <v>-215350.37</v>
      </c>
      <c r="Y219" s="2"/>
      <c r="Z219" s="7">
        <f t="shared" si="60"/>
        <v>-0.2397629042322138</v>
      </c>
    </row>
    <row r="220" spans="1:26" s="23" customFormat="1" hidden="1" outlineLevel="2" x14ac:dyDescent="0.25">
      <c r="A220" s="27"/>
      <c r="B220" s="10" t="str">
        <f>CONCATENATE("          ", "6005", " - ", "TEMPORARY WAGES-HOURLY")</f>
        <v xml:space="preserve">          6005 - TEMPORARY WAGES-HOURLY</v>
      </c>
      <c r="C220" s="10"/>
      <c r="D220" s="6">
        <v>33928.269999999997</v>
      </c>
      <c r="E220" s="2"/>
      <c r="F220" s="7">
        <f t="shared" si="53"/>
        <v>3.2665023704530609E-2</v>
      </c>
      <c r="G220" s="2"/>
      <c r="H220" s="6">
        <v>22940.49</v>
      </c>
      <c r="I220" s="2"/>
      <c r="J220" s="7">
        <f t="shared" si="54"/>
        <v>4.604602368360964E-2</v>
      </c>
      <c r="K220" s="2"/>
      <c r="L220" s="6">
        <f t="shared" si="55"/>
        <v>10987.779999999995</v>
      </c>
      <c r="M220" s="2"/>
      <c r="N220" s="7">
        <f t="shared" si="56"/>
        <v>0.47896884504210652</v>
      </c>
      <c r="O220" s="10"/>
      <c r="P220" s="6">
        <v>322526.76</v>
      </c>
      <c r="Q220" s="2"/>
      <c r="R220" s="7">
        <f t="shared" si="57"/>
        <v>3.582108091622322E-2</v>
      </c>
      <c r="S220" s="2"/>
      <c r="T220" s="6">
        <v>1184059.6499999999</v>
      </c>
      <c r="U220" s="2"/>
      <c r="V220" s="7">
        <f t="shared" si="58"/>
        <v>4.2988476700986288E-2</v>
      </c>
      <c r="W220" s="2"/>
      <c r="X220" s="6">
        <f t="shared" si="59"/>
        <v>-861532.8899999999</v>
      </c>
      <c r="Y220" s="2"/>
      <c r="Z220" s="7">
        <f t="shared" si="60"/>
        <v>-0.72760936495049044</v>
      </c>
    </row>
    <row r="221" spans="1:26" s="23" customFormat="1" hidden="1" outlineLevel="2" x14ac:dyDescent="0.25">
      <c r="A221" s="27"/>
      <c r="B221" s="10" t="str">
        <f>CONCATENATE("          ", "6006", " - ", "TEMPORARY PART TIME")</f>
        <v xml:space="preserve">          6006 - TEMPORARY PART TIME</v>
      </c>
      <c r="C221" s="10"/>
      <c r="D221" s="6">
        <v>3741.03</v>
      </c>
      <c r="E221" s="2"/>
      <c r="F221" s="7">
        <f t="shared" si="53"/>
        <v>3.6017407792781702E-3</v>
      </c>
      <c r="G221" s="2"/>
      <c r="H221" s="6">
        <v>3309.56</v>
      </c>
      <c r="I221" s="2"/>
      <c r="J221" s="7">
        <f t="shared" si="54"/>
        <v>6.6429303882492097E-3</v>
      </c>
      <c r="K221" s="2"/>
      <c r="L221" s="6">
        <f t="shared" si="55"/>
        <v>431.47000000000025</v>
      </c>
      <c r="M221" s="2"/>
      <c r="N221" s="7">
        <f t="shared" si="56"/>
        <v>0.13037080457825218</v>
      </c>
      <c r="O221" s="10"/>
      <c r="P221" s="6">
        <v>19121.28</v>
      </c>
      <c r="Q221" s="2"/>
      <c r="R221" s="7">
        <f t="shared" si="57"/>
        <v>2.1236839947846829E-3</v>
      </c>
      <c r="S221" s="2"/>
      <c r="T221" s="6">
        <v>109908.1</v>
      </c>
      <c r="U221" s="2"/>
      <c r="V221" s="7">
        <f t="shared" si="58"/>
        <v>3.9903241328252941E-3</v>
      </c>
      <c r="W221" s="2"/>
      <c r="X221" s="6">
        <f t="shared" si="59"/>
        <v>-90786.82</v>
      </c>
      <c r="Y221" s="2"/>
      <c r="Z221" s="7">
        <f t="shared" si="60"/>
        <v>-0.82602483347451194</v>
      </c>
    </row>
    <row r="222" spans="1:26" s="23" customFormat="1" hidden="1" outlineLevel="2" x14ac:dyDescent="0.25">
      <c r="A222" s="27"/>
      <c r="B222" s="10" t="str">
        <f>CONCATENATE("          ", "6007", " - ", "STUDENT HOURLY")</f>
        <v xml:space="preserve">          6007 - STUDENT HOURLY</v>
      </c>
      <c r="C222" s="10"/>
      <c r="D222" s="6">
        <v>12886.37</v>
      </c>
      <c r="E222" s="2"/>
      <c r="F222" s="7">
        <f t="shared" si="53"/>
        <v>1.2406573677801791E-2</v>
      </c>
      <c r="G222" s="2"/>
      <c r="H222" s="6">
        <v>-10069.06</v>
      </c>
      <c r="I222" s="2"/>
      <c r="J222" s="7">
        <f t="shared" si="54"/>
        <v>-2.0210561118428005E-2</v>
      </c>
      <c r="K222" s="2"/>
      <c r="L222" s="6">
        <f t="shared" si="55"/>
        <v>22955.43</v>
      </c>
      <c r="M222" s="2"/>
      <c r="N222" s="7">
        <f t="shared" si="56"/>
        <v>-2.2797987101079942</v>
      </c>
      <c r="O222" s="10"/>
      <c r="P222" s="6">
        <v>406199.48</v>
      </c>
      <c r="Q222" s="2"/>
      <c r="R222" s="7">
        <f t="shared" si="57"/>
        <v>4.5114099807432397E-2</v>
      </c>
      <c r="S222" s="2"/>
      <c r="T222" s="6">
        <v>2476059.5</v>
      </c>
      <c r="U222" s="2"/>
      <c r="V222" s="7">
        <f t="shared" si="58"/>
        <v>8.9895830945683999E-2</v>
      </c>
      <c r="W222" s="2"/>
      <c r="X222" s="6">
        <f t="shared" si="59"/>
        <v>-2069860.02</v>
      </c>
      <c r="Y222" s="2"/>
      <c r="Z222" s="7">
        <f t="shared" si="60"/>
        <v>-0.83594922496813995</v>
      </c>
    </row>
    <row r="223" spans="1:26" s="23" customFormat="1" hidden="1" outlineLevel="2" x14ac:dyDescent="0.25">
      <c r="A223" s="27"/>
      <c r="B223" s="10" t="str">
        <f>CONCATENATE("          ", "6008", " - ", "STUDENT HOURLY-FICA EXEMPT")</f>
        <v xml:space="preserve">          6008 - STUDENT HOURLY-FICA EXEMPT</v>
      </c>
      <c r="C223" s="10"/>
      <c r="D223" s="6">
        <v>1590.33</v>
      </c>
      <c r="E223" s="2"/>
      <c r="F223" s="7">
        <f t="shared" si="53"/>
        <v>1.5311174766065635E-3</v>
      </c>
      <c r="G223" s="2"/>
      <c r="H223" s="6">
        <v>156</v>
      </c>
      <c r="I223" s="2"/>
      <c r="J223" s="7">
        <f t="shared" si="54"/>
        <v>3.1312233063213136E-4</v>
      </c>
      <c r="K223" s="2"/>
      <c r="L223" s="6">
        <f t="shared" si="55"/>
        <v>1434.33</v>
      </c>
      <c r="M223" s="2"/>
      <c r="N223" s="7">
        <f t="shared" si="56"/>
        <v>9.1944230769230764</v>
      </c>
      <c r="O223" s="10"/>
      <c r="P223" s="6">
        <v>24544.71</v>
      </c>
      <c r="Q223" s="2"/>
      <c r="R223" s="7">
        <f t="shared" si="57"/>
        <v>2.7260313003957663E-3</v>
      </c>
      <c r="S223" s="2"/>
      <c r="T223" s="6">
        <v>241146.54</v>
      </c>
      <c r="U223" s="2"/>
      <c r="V223" s="7">
        <f t="shared" si="58"/>
        <v>8.755067716658918E-3</v>
      </c>
      <c r="W223" s="2"/>
      <c r="X223" s="6">
        <f t="shared" si="59"/>
        <v>-216601.83000000002</v>
      </c>
      <c r="Y223" s="2"/>
      <c r="Z223" s="7">
        <f t="shared" si="60"/>
        <v>-0.8982166196537591</v>
      </c>
    </row>
    <row r="224" spans="1:26" s="26" customFormat="1" outlineLevel="1" collapsed="1" x14ac:dyDescent="0.25">
      <c r="A224" s="25"/>
      <c r="B224" s="12" t="str">
        <f>CONCATENATE("     ","Advertising/Promo                                 ")</f>
        <v xml:space="preserve">     Advertising/Promo                                 </v>
      </c>
      <c r="C224" s="12"/>
      <c r="D224" s="1">
        <f>SUM(OSRRefD22_2x_0)</f>
        <v>1531.18</v>
      </c>
      <c r="E224" s="1"/>
      <c r="F224" s="5">
        <f t="shared" ref="F224:F228" si="61">IF(D$12=0,0,D224/D$12)</f>
        <v>1.4741697998720002E-3</v>
      </c>
      <c r="G224" s="1"/>
      <c r="H224" s="1">
        <f>SUM(OSRRefH22_2x_0)</f>
        <v>1055.57</v>
      </c>
      <c r="I224" s="1"/>
      <c r="J224" s="5">
        <f t="shared" ref="J224:J228" si="62">IF(H$12=0,0,H224/H$12)</f>
        <v>2.1187342214446085E-3</v>
      </c>
      <c r="K224" s="1"/>
      <c r="L224" s="1">
        <f t="shared" ref="L224:L228" si="63">+D224-H224</f>
        <v>475.61000000000013</v>
      </c>
      <c r="M224" s="1"/>
      <c r="N224" s="5">
        <f t="shared" ref="N224:N228" si="64">IF(H224=0,0,L224/H224)</f>
        <v>0.45057172901844517</v>
      </c>
      <c r="O224" s="12"/>
      <c r="P224" s="1">
        <f>SUM(OSRRefP22_2x_0)</f>
        <v>20170.52</v>
      </c>
      <c r="Q224" s="1"/>
      <c r="R224" s="5">
        <f t="shared" ref="R224:R228" si="65">IF(P$12=0,0,P224/P$12)</f>
        <v>2.2402166847870198E-3</v>
      </c>
      <c r="S224" s="1"/>
      <c r="T224" s="1">
        <f>SUM(OSRRefT22_2x_0)</f>
        <v>86822.39</v>
      </c>
      <c r="U224" s="1"/>
      <c r="V224" s="5">
        <f t="shared" ref="V224:V228" si="66">IF(T$12=0,0,T224/T$12)</f>
        <v>3.152174208148166E-3</v>
      </c>
      <c r="W224" s="1"/>
      <c r="X224" s="1">
        <f t="shared" ref="X224:X228" si="67">+P224-T224</f>
        <v>-66651.87</v>
      </c>
      <c r="Y224" s="1"/>
      <c r="Z224" s="5">
        <f t="shared" ref="Z224:Z228" si="68">IF(T224=0,0,X224/T224)</f>
        <v>-0.76768066393933632</v>
      </c>
    </row>
    <row r="225" spans="1:26" s="23" customFormat="1" hidden="1" outlineLevel="2" x14ac:dyDescent="0.25">
      <c r="A225" s="27"/>
      <c r="B225" s="10" t="str">
        <f>CONCATENATE("          ", "6362", " - ", "ADVERTISING EXPENSE")</f>
        <v xml:space="preserve">          6362 - ADVERTISING EXPENSE</v>
      </c>
      <c r="C225" s="10"/>
      <c r="D225" s="6">
        <v>1531.18</v>
      </c>
      <c r="E225" s="2"/>
      <c r="F225" s="7">
        <f t="shared" si="61"/>
        <v>1.4741697998720002E-3</v>
      </c>
      <c r="G225" s="2"/>
      <c r="H225" s="6">
        <v>1055.57</v>
      </c>
      <c r="I225" s="2"/>
      <c r="J225" s="7">
        <f t="shared" si="62"/>
        <v>2.1187342214446085E-3</v>
      </c>
      <c r="K225" s="2"/>
      <c r="L225" s="6">
        <f t="shared" si="63"/>
        <v>475.61000000000013</v>
      </c>
      <c r="M225" s="2"/>
      <c r="N225" s="7">
        <f t="shared" si="64"/>
        <v>0.45057172901844517</v>
      </c>
      <c r="O225" s="10"/>
      <c r="P225" s="6">
        <v>20170.52</v>
      </c>
      <c r="Q225" s="2"/>
      <c r="R225" s="7">
        <f t="shared" si="65"/>
        <v>2.2402166847870198E-3</v>
      </c>
      <c r="S225" s="2"/>
      <c r="T225" s="6">
        <v>86822.39</v>
      </c>
      <c r="U225" s="2"/>
      <c r="V225" s="7">
        <f t="shared" si="66"/>
        <v>3.152174208148166E-3</v>
      </c>
      <c r="W225" s="2"/>
      <c r="X225" s="6">
        <f t="shared" si="67"/>
        <v>-66651.87</v>
      </c>
      <c r="Y225" s="2"/>
      <c r="Z225" s="7">
        <f t="shared" si="68"/>
        <v>-0.76768066393933632</v>
      </c>
    </row>
    <row r="226" spans="1:26" s="26" customFormat="1" outlineLevel="1" collapsed="1" x14ac:dyDescent="0.25">
      <c r="A226" s="25"/>
      <c r="B226" s="12" t="str">
        <f>CONCATENATE("     ","Bad Debts/Over/Short                              ")</f>
        <v xml:space="preserve">     Bad Debts/Over/Short                              </v>
      </c>
      <c r="C226" s="12"/>
      <c r="D226" s="1">
        <f>SUM(OSRRefD22_3x_0)</f>
        <v>-0.67</v>
      </c>
      <c r="E226" s="1"/>
      <c r="F226" s="5">
        <f t="shared" si="61"/>
        <v>-6.450539883712171E-7</v>
      </c>
      <c r="G226" s="1"/>
      <c r="H226" s="1">
        <f>SUM(OSRRefH22_3x_0)</f>
        <v>4.6500000000000004</v>
      </c>
      <c r="I226" s="1"/>
      <c r="J226" s="5">
        <f t="shared" si="62"/>
        <v>9.3334540861500716E-6</v>
      </c>
      <c r="K226" s="1"/>
      <c r="L226" s="1">
        <f t="shared" si="63"/>
        <v>-5.32</v>
      </c>
      <c r="M226" s="1"/>
      <c r="N226" s="5">
        <f t="shared" si="64"/>
        <v>-1.1440860215053763</v>
      </c>
      <c r="O226" s="12"/>
      <c r="P226" s="1">
        <f>SUM(OSRRefP22_3x_0)</f>
        <v>5248.53</v>
      </c>
      <c r="Q226" s="1"/>
      <c r="R226" s="5">
        <f t="shared" si="65"/>
        <v>5.8292222890660313E-4</v>
      </c>
      <c r="S226" s="1"/>
      <c r="T226" s="1">
        <f>SUM(OSRRefT22_3x_0)</f>
        <v>-652.3900000000001</v>
      </c>
      <c r="U226" s="1"/>
      <c r="V226" s="5">
        <f t="shared" si="66"/>
        <v>-2.3685675223335623E-5</v>
      </c>
      <c r="W226" s="1"/>
      <c r="X226" s="1">
        <f t="shared" si="67"/>
        <v>5900.92</v>
      </c>
      <c r="Y226" s="1"/>
      <c r="Z226" s="5">
        <f t="shared" si="68"/>
        <v>-9.0450803966952265</v>
      </c>
    </row>
    <row r="227" spans="1:26" s="23" customFormat="1" hidden="1" outlineLevel="2" x14ac:dyDescent="0.25">
      <c r="A227" s="27"/>
      <c r="B227" s="10" t="str">
        <f>CONCATENATE("          ", "6272", " - ", "CASH (OVER/SHORT)")</f>
        <v xml:space="preserve">          6272 - CASH (OVER/SHORT)</v>
      </c>
      <c r="C227" s="10"/>
      <c r="D227" s="6">
        <v>-0.67</v>
      </c>
      <c r="E227" s="2"/>
      <c r="F227" s="7">
        <f t="shared" si="61"/>
        <v>-6.450539883712171E-7</v>
      </c>
      <c r="G227" s="2"/>
      <c r="H227" s="6">
        <v>4.6500000000000004</v>
      </c>
      <c r="I227" s="2"/>
      <c r="J227" s="7">
        <f t="shared" si="62"/>
        <v>9.3334540861500716E-6</v>
      </c>
      <c r="K227" s="2"/>
      <c r="L227" s="6">
        <f t="shared" si="63"/>
        <v>-5.32</v>
      </c>
      <c r="M227" s="2"/>
      <c r="N227" s="7">
        <f t="shared" si="64"/>
        <v>-1.1440860215053763</v>
      </c>
      <c r="O227" s="10"/>
      <c r="P227" s="6">
        <v>-100.89</v>
      </c>
      <c r="Q227" s="2"/>
      <c r="R227" s="7">
        <f t="shared" si="65"/>
        <v>-1.1205237213922222E-5</v>
      </c>
      <c r="S227" s="2"/>
      <c r="T227" s="6">
        <v>-697.19</v>
      </c>
      <c r="U227" s="2"/>
      <c r="V227" s="7">
        <f t="shared" si="66"/>
        <v>-2.5312184290006532E-5</v>
      </c>
      <c r="W227" s="2"/>
      <c r="X227" s="6">
        <f t="shared" si="67"/>
        <v>596.30000000000007</v>
      </c>
      <c r="Y227" s="2"/>
      <c r="Z227" s="7">
        <f t="shared" si="68"/>
        <v>-0.85529052338673828</v>
      </c>
    </row>
    <row r="228" spans="1:26" s="23" customFormat="1" hidden="1" outlineLevel="2" x14ac:dyDescent="0.25">
      <c r="A228" s="27"/>
      <c r="B228" s="10" t="str">
        <f>CONCATENATE("          ", "6342", " - ", "BAD DEBT")</f>
        <v xml:space="preserve">          6342 - BAD DEBT</v>
      </c>
      <c r="C228" s="10"/>
      <c r="D228" s="6"/>
      <c r="E228" s="2"/>
      <c r="F228" s="7">
        <f t="shared" si="61"/>
        <v>0</v>
      </c>
      <c r="G228" s="2"/>
      <c r="H228" s="6"/>
      <c r="I228" s="2"/>
      <c r="J228" s="7">
        <f t="shared" si="62"/>
        <v>0</v>
      </c>
      <c r="K228" s="2"/>
      <c r="L228" s="6">
        <f t="shared" si="63"/>
        <v>0</v>
      </c>
      <c r="M228" s="2"/>
      <c r="N228" s="7">
        <f t="shared" si="64"/>
        <v>0</v>
      </c>
      <c r="O228" s="10"/>
      <c r="P228" s="6">
        <v>5349.42</v>
      </c>
      <c r="Q228" s="2"/>
      <c r="R228" s="7">
        <f t="shared" si="65"/>
        <v>5.9412746612052538E-4</v>
      </c>
      <c r="S228" s="2"/>
      <c r="T228" s="6">
        <v>44.8</v>
      </c>
      <c r="U228" s="2"/>
      <c r="V228" s="7">
        <f t="shared" si="66"/>
        <v>1.6265090666709109E-6</v>
      </c>
      <c r="W228" s="2"/>
      <c r="X228" s="6">
        <f t="shared" si="67"/>
        <v>5304.62</v>
      </c>
      <c r="Y228" s="2"/>
      <c r="Z228" s="7">
        <f t="shared" si="68"/>
        <v>118.40669642857144</v>
      </c>
    </row>
    <row r="229" spans="1:26" s="26" customFormat="1" outlineLevel="1" collapsed="1" x14ac:dyDescent="0.25">
      <c r="A229" s="25"/>
      <c r="B229" s="12" t="str">
        <f>CONCATENATE("     ","Bank/card Fees                                    ")</f>
        <v xml:space="preserve">     Bank/card Fees                                    </v>
      </c>
      <c r="C229" s="12"/>
      <c r="D229" s="1">
        <f>SUM(OSRRefD22_4x_0)</f>
        <v>7142.6</v>
      </c>
      <c r="E229" s="1"/>
      <c r="F229" s="5">
        <f t="shared" ref="F229:F235" si="69">IF(D$12=0,0,D229/D$12)</f>
        <v>6.876660622895903E-3</v>
      </c>
      <c r="G229" s="1"/>
      <c r="H229" s="1">
        <f>SUM(OSRRefH22_4x_0)</f>
        <v>5575.56</v>
      </c>
      <c r="I229" s="1"/>
      <c r="J229" s="5">
        <f t="shared" ref="J229:J235" si="70">IF(H$12=0,0,H229/H$12)</f>
        <v>1.1191232960123632E-2</v>
      </c>
      <c r="K229" s="1"/>
      <c r="L229" s="1">
        <f t="shared" ref="L229:L235" si="71">+D229-H229</f>
        <v>1567.04</v>
      </c>
      <c r="M229" s="1"/>
      <c r="N229" s="5">
        <f t="shared" ref="N229:N235" si="72">IF(H229=0,0,L229/H229)</f>
        <v>0.28105517652038536</v>
      </c>
      <c r="O229" s="12"/>
      <c r="P229" s="1">
        <f>SUM(OSRRefP22_4x_0)</f>
        <v>84433.91</v>
      </c>
      <c r="Q229" s="1"/>
      <c r="R229" s="5">
        <f t="shared" ref="R229:R235" si="73">IF(P$12=0,0,P229/P$12)</f>
        <v>9.3775596238374424E-3</v>
      </c>
      <c r="S229" s="1"/>
      <c r="T229" s="1">
        <f>SUM(OSRRefT22_4x_0)</f>
        <v>399027.31</v>
      </c>
      <c r="U229" s="1"/>
      <c r="V229" s="5">
        <f t="shared" ref="V229:V235" si="74">IF(T$12=0,0,T229/T$12)</f>
        <v>1.4487087892060364E-2</v>
      </c>
      <c r="W229" s="1"/>
      <c r="X229" s="1">
        <f t="shared" ref="X229:X235" si="75">+P229-T229</f>
        <v>-314593.40000000002</v>
      </c>
      <c r="Y229" s="1"/>
      <c r="Z229" s="5">
        <f t="shared" ref="Z229:Z235" si="76">IF(T229=0,0,X229/T229)</f>
        <v>-0.78840067362807831</v>
      </c>
    </row>
    <row r="230" spans="1:26" s="23" customFormat="1" hidden="1" outlineLevel="2" x14ac:dyDescent="0.25">
      <c r="A230" s="27"/>
      <c r="B230" s="10" t="str">
        <f>CONCATENATE("          ", "6381", " - ", "BANK/CREDIT CARD FEES")</f>
        <v xml:space="preserve">          6381 - BANK/CREDIT CARD FEES</v>
      </c>
      <c r="C230" s="10"/>
      <c r="D230" s="6">
        <v>7142.6</v>
      </c>
      <c r="E230" s="2"/>
      <c r="F230" s="7">
        <f t="shared" si="69"/>
        <v>6.876660622895903E-3</v>
      </c>
      <c r="G230" s="2"/>
      <c r="H230" s="6">
        <v>5575.56</v>
      </c>
      <c r="I230" s="2"/>
      <c r="J230" s="7">
        <f t="shared" si="70"/>
        <v>1.1191232960123632E-2</v>
      </c>
      <c r="K230" s="2"/>
      <c r="L230" s="6">
        <f t="shared" si="71"/>
        <v>1567.04</v>
      </c>
      <c r="M230" s="2"/>
      <c r="N230" s="7">
        <f t="shared" si="72"/>
        <v>0.28105517652038536</v>
      </c>
      <c r="O230" s="10"/>
      <c r="P230" s="6">
        <v>84433.91</v>
      </c>
      <c r="Q230" s="2"/>
      <c r="R230" s="7">
        <f t="shared" si="73"/>
        <v>9.3775596238374424E-3</v>
      </c>
      <c r="S230" s="2"/>
      <c r="T230" s="6">
        <v>399027.31</v>
      </c>
      <c r="U230" s="2"/>
      <c r="V230" s="7">
        <f t="shared" si="74"/>
        <v>1.4487087892060364E-2</v>
      </c>
      <c r="W230" s="2"/>
      <c r="X230" s="6">
        <f t="shared" si="75"/>
        <v>-314593.40000000002</v>
      </c>
      <c r="Y230" s="2"/>
      <c r="Z230" s="7">
        <f t="shared" si="76"/>
        <v>-0.78840067362807831</v>
      </c>
    </row>
    <row r="231" spans="1:26" s="26" customFormat="1" outlineLevel="1" collapsed="1" x14ac:dyDescent="0.25">
      <c r="A231" s="25"/>
      <c r="B231" s="12" t="str">
        <f>CONCATENATE("     ","Depreciation                                      ")</f>
        <v xml:space="preserve">     Depreciation                                      </v>
      </c>
      <c r="C231" s="12"/>
      <c r="D231" s="1">
        <f>SUM(OSRRefD22_5x_0)</f>
        <v>77647.64</v>
      </c>
      <c r="E231" s="1"/>
      <c r="F231" s="5">
        <f t="shared" si="69"/>
        <v>7.4756596820317087E-2</v>
      </c>
      <c r="G231" s="1"/>
      <c r="H231" s="1">
        <f>SUM(OSRRefH22_5x_0)</f>
        <v>77975.159999999989</v>
      </c>
      <c r="I231" s="1"/>
      <c r="J231" s="5">
        <f t="shared" si="70"/>
        <v>0.15651130660649579</v>
      </c>
      <c r="K231" s="1"/>
      <c r="L231" s="1">
        <f t="shared" si="71"/>
        <v>-327.51999999998952</v>
      </c>
      <c r="M231" s="1"/>
      <c r="N231" s="5">
        <f t="shared" si="72"/>
        <v>-4.2003119967947431E-3</v>
      </c>
      <c r="O231" s="12"/>
      <c r="P231" s="1">
        <f>SUM(OSRRefP22_5x_0)</f>
        <v>779248.25</v>
      </c>
      <c r="Q231" s="1"/>
      <c r="R231" s="5">
        <f t="shared" si="73"/>
        <v>8.6546352361817486E-2</v>
      </c>
      <c r="S231" s="1"/>
      <c r="T231" s="1">
        <f>SUM(OSRRefT22_5x_0)</f>
        <v>789534.71999999997</v>
      </c>
      <c r="U231" s="1"/>
      <c r="V231" s="5">
        <f t="shared" si="74"/>
        <v>2.8664852244006229E-2</v>
      </c>
      <c r="W231" s="1"/>
      <c r="X231" s="1">
        <f t="shared" si="75"/>
        <v>-10286.469999999972</v>
      </c>
      <c r="Y231" s="1"/>
      <c r="Z231" s="5">
        <f t="shared" si="76"/>
        <v>-1.302852140561972E-2</v>
      </c>
    </row>
    <row r="232" spans="1:26" s="23" customFormat="1" hidden="1" outlineLevel="2" x14ac:dyDescent="0.25">
      <c r="A232" s="27"/>
      <c r="B232" s="10" t="str">
        <f>CONCATENATE("          ", "6321", " - ", "BUILDING DEPRECIATION")</f>
        <v xml:space="preserve">          6321 - BUILDING DEPRECIATION</v>
      </c>
      <c r="C232" s="10"/>
      <c r="D232" s="6">
        <v>45060.52</v>
      </c>
      <c r="E232" s="2"/>
      <c r="F232" s="7">
        <f t="shared" si="69"/>
        <v>4.3382788274747744E-2</v>
      </c>
      <c r="G232" s="2"/>
      <c r="H232" s="6">
        <v>45519.99</v>
      </c>
      <c r="I232" s="2"/>
      <c r="J232" s="7">
        <f t="shared" si="70"/>
        <v>9.1367470250969959E-2</v>
      </c>
      <c r="K232" s="2"/>
      <c r="L232" s="6">
        <f t="shared" si="71"/>
        <v>-459.47000000000116</v>
      </c>
      <c r="M232" s="2"/>
      <c r="N232" s="7">
        <f t="shared" si="72"/>
        <v>-1.0093807138358361E-2</v>
      </c>
      <c r="O232" s="10"/>
      <c r="P232" s="6">
        <v>451389.39</v>
      </c>
      <c r="Q232" s="2"/>
      <c r="R232" s="7">
        <f t="shared" si="73"/>
        <v>5.0133067606280612E-2</v>
      </c>
      <c r="S232" s="2"/>
      <c r="T232" s="6">
        <v>455199.9</v>
      </c>
      <c r="U232" s="2"/>
      <c r="V232" s="7">
        <f t="shared" si="74"/>
        <v>1.6526490278966341E-2</v>
      </c>
      <c r="W232" s="2"/>
      <c r="X232" s="6">
        <f t="shared" si="75"/>
        <v>-3810.5100000000093</v>
      </c>
      <c r="Y232" s="2"/>
      <c r="Z232" s="7">
        <f t="shared" si="76"/>
        <v>-8.3710695015530735E-3</v>
      </c>
    </row>
    <row r="233" spans="1:26" s="23" customFormat="1" hidden="1" outlineLevel="2" x14ac:dyDescent="0.25">
      <c r="A233" s="27"/>
      <c r="B233" s="10" t="str">
        <f>CONCATENATE("          ", "6322", " - ", "EQUIPMENT DEPRECIATION EXPENSE")</f>
        <v xml:space="preserve">          6322 - EQUIPMENT DEPRECIATION EXPENSE</v>
      </c>
      <c r="C233" s="10"/>
      <c r="D233" s="6">
        <v>32587.119999999999</v>
      </c>
      <c r="E233" s="2"/>
      <c r="F233" s="7">
        <f t="shared" si="69"/>
        <v>3.1373808545569336E-2</v>
      </c>
      <c r="G233" s="2"/>
      <c r="H233" s="6">
        <v>32030.94</v>
      </c>
      <c r="I233" s="2"/>
      <c r="J233" s="7">
        <f t="shared" si="70"/>
        <v>6.4292324263704889E-2</v>
      </c>
      <c r="K233" s="2"/>
      <c r="L233" s="6">
        <f t="shared" si="71"/>
        <v>556.18000000000029</v>
      </c>
      <c r="M233" s="2"/>
      <c r="N233" s="7">
        <f t="shared" si="72"/>
        <v>1.736383634073806E-2</v>
      </c>
      <c r="O233" s="10"/>
      <c r="P233" s="6">
        <v>327858.86</v>
      </c>
      <c r="Q233" s="2"/>
      <c r="R233" s="7">
        <f t="shared" si="73"/>
        <v>3.6413284755536873E-2</v>
      </c>
      <c r="S233" s="2"/>
      <c r="T233" s="6">
        <v>330092.34000000003</v>
      </c>
      <c r="U233" s="2"/>
      <c r="V233" s="7">
        <f t="shared" si="74"/>
        <v>1.1984334460906632E-2</v>
      </c>
      <c r="W233" s="2"/>
      <c r="X233" s="6">
        <f t="shared" si="75"/>
        <v>-2233.4800000000396</v>
      </c>
      <c r="Y233" s="2"/>
      <c r="Z233" s="7">
        <f t="shared" si="76"/>
        <v>-6.7662278985329968E-3</v>
      </c>
    </row>
    <row r="234" spans="1:26" s="23" customFormat="1" hidden="1" outlineLevel="2" x14ac:dyDescent="0.25">
      <c r="A234" s="27"/>
      <c r="B234" s="10" t="str">
        <f>CONCATENATE("          ", "6324", " - ", "FURNITURE + FIXT DEPRECIATION")</f>
        <v xml:space="preserve">          6324 - FURNITURE + FIXT DEPRECIATION</v>
      </c>
      <c r="C234" s="10"/>
      <c r="D234" s="6"/>
      <c r="E234" s="2"/>
      <c r="F234" s="7">
        <f t="shared" si="69"/>
        <v>0</v>
      </c>
      <c r="G234" s="2"/>
      <c r="H234" s="6"/>
      <c r="I234" s="2"/>
      <c r="J234" s="7">
        <f t="shared" si="70"/>
        <v>0</v>
      </c>
      <c r="K234" s="2"/>
      <c r="L234" s="6">
        <f t="shared" si="71"/>
        <v>0</v>
      </c>
      <c r="M234" s="2"/>
      <c r="N234" s="7">
        <f t="shared" si="72"/>
        <v>0</v>
      </c>
      <c r="O234" s="10"/>
      <c r="P234" s="6"/>
      <c r="Q234" s="2"/>
      <c r="R234" s="7">
        <f t="shared" si="73"/>
        <v>0</v>
      </c>
      <c r="S234" s="2"/>
      <c r="T234" s="6">
        <v>0</v>
      </c>
      <c r="U234" s="2"/>
      <c r="V234" s="7">
        <f t="shared" si="74"/>
        <v>0</v>
      </c>
      <c r="W234" s="2"/>
      <c r="X234" s="6">
        <f t="shared" si="75"/>
        <v>0</v>
      </c>
      <c r="Y234" s="2"/>
      <c r="Z234" s="7">
        <f t="shared" si="76"/>
        <v>0</v>
      </c>
    </row>
    <row r="235" spans="1:26" s="23" customFormat="1" hidden="1" outlineLevel="2" x14ac:dyDescent="0.25">
      <c r="A235" s="27"/>
      <c r="B235" s="10" t="str">
        <f>CONCATENATE("          ", "6326", " - ", "VEHICLES DEPRECIATION EXPENSE")</f>
        <v xml:space="preserve">          6326 - VEHICLES DEPRECIATION EXPENSE</v>
      </c>
      <c r="C235" s="10"/>
      <c r="D235" s="6"/>
      <c r="E235" s="2"/>
      <c r="F235" s="7">
        <f t="shared" si="69"/>
        <v>0</v>
      </c>
      <c r="G235" s="2"/>
      <c r="H235" s="6">
        <v>424.23</v>
      </c>
      <c r="I235" s="2"/>
      <c r="J235" s="7">
        <f t="shared" si="70"/>
        <v>8.515120918209558E-4</v>
      </c>
      <c r="K235" s="2"/>
      <c r="L235" s="6">
        <f t="shared" si="71"/>
        <v>-424.23</v>
      </c>
      <c r="M235" s="2"/>
      <c r="N235" s="7">
        <f t="shared" si="72"/>
        <v>-1</v>
      </c>
      <c r="O235" s="10"/>
      <c r="P235" s="6"/>
      <c r="Q235" s="2"/>
      <c r="R235" s="7">
        <f t="shared" si="73"/>
        <v>0</v>
      </c>
      <c r="S235" s="2"/>
      <c r="T235" s="6">
        <v>4242.4799999999996</v>
      </c>
      <c r="U235" s="2"/>
      <c r="V235" s="7">
        <f t="shared" si="74"/>
        <v>1.5402750413325906E-4</v>
      </c>
      <c r="W235" s="2"/>
      <c r="X235" s="6">
        <f t="shared" si="75"/>
        <v>-4242.4799999999996</v>
      </c>
      <c r="Y235" s="2"/>
      <c r="Z235" s="7">
        <f t="shared" si="76"/>
        <v>-1</v>
      </c>
    </row>
    <row r="236" spans="1:26" s="26" customFormat="1" outlineLevel="1" collapsed="1" x14ac:dyDescent="0.25">
      <c r="A236" s="25"/>
      <c r="B236" s="12" t="str">
        <f>CONCATENATE("     ","Discounts and Markdowns                           ")</f>
        <v xml:space="preserve">     Discounts and Markdowns                           </v>
      </c>
      <c r="C236" s="12"/>
      <c r="D236" s="1">
        <f>SUM(OSRRefD22_6x_0)</f>
        <v>-15.43</v>
      </c>
      <c r="E236" s="1"/>
      <c r="F236" s="5">
        <f t="shared" ref="F236:F238" si="77">IF(D$12=0,0,D236/D$12)</f>
        <v>-1.4855497075474446E-5</v>
      </c>
      <c r="G236" s="1"/>
      <c r="H236" s="1">
        <f>SUM(OSRRefH22_6x_0)</f>
        <v>46887.76</v>
      </c>
      <c r="I236" s="1"/>
      <c r="J236" s="5">
        <f t="shared" ref="J236:J238" si="78">IF(H$12=0,0,H236/H$12)</f>
        <v>9.4112850572564258E-2</v>
      </c>
      <c r="K236" s="1"/>
      <c r="L236" s="1">
        <f t="shared" ref="L236:L238" si="79">+D236-H236</f>
        <v>-46903.19</v>
      </c>
      <c r="M236" s="1"/>
      <c r="N236" s="5">
        <f t="shared" ref="N236:N238" si="80">IF(H236=0,0,L236/H236)</f>
        <v>-1.0003290837523482</v>
      </c>
      <c r="O236" s="12"/>
      <c r="P236" s="1">
        <f>SUM(OSRRefP22_6x_0)</f>
        <v>-15.43</v>
      </c>
      <c r="Q236" s="1"/>
      <c r="R236" s="5">
        <f t="shared" ref="R236:R238" si="81">IF(P$12=0,0,P236/P$12)</f>
        <v>-1.713716029446128E-6</v>
      </c>
      <c r="S236" s="1"/>
      <c r="T236" s="1">
        <f>SUM(OSRRefT22_6x_0)</f>
        <v>373780.77</v>
      </c>
      <c r="U236" s="1"/>
      <c r="V236" s="5">
        <f t="shared" ref="V236:V238" si="82">IF(T$12=0,0,T236/T$12)</f>
        <v>1.3570486860540949E-2</v>
      </c>
      <c r="W236" s="1"/>
      <c r="X236" s="1">
        <f t="shared" ref="X236:X238" si="83">+P236-T236</f>
        <v>-373796.2</v>
      </c>
      <c r="Y236" s="1"/>
      <c r="Z236" s="5">
        <f t="shared" ref="Z236:Z238" si="84">IF(T236=0,0,X236/T236)</f>
        <v>-1.000041280882374</v>
      </c>
    </row>
    <row r="237" spans="1:26" s="23" customFormat="1" hidden="1" outlineLevel="2" x14ac:dyDescent="0.25">
      <c r="A237" s="27"/>
      <c r="B237" s="10" t="str">
        <f>CONCATENATE("          ", "6382", " - ", "DISCOUNTS/MARK DOWNS")</f>
        <v xml:space="preserve">          6382 - DISCOUNTS/MARK DOWNS</v>
      </c>
      <c r="C237" s="10"/>
      <c r="D237" s="6">
        <v>0</v>
      </c>
      <c r="E237" s="2"/>
      <c r="F237" s="7">
        <f t="shared" si="77"/>
        <v>0</v>
      </c>
      <c r="G237" s="2"/>
      <c r="H237" s="6">
        <v>46887.9</v>
      </c>
      <c r="I237" s="2"/>
      <c r="J237" s="7">
        <f t="shared" si="78"/>
        <v>9.4113131579784057E-2</v>
      </c>
      <c r="K237" s="2"/>
      <c r="L237" s="6">
        <f t="shared" si="79"/>
        <v>-46887.9</v>
      </c>
      <c r="M237" s="2"/>
      <c r="N237" s="7">
        <f t="shared" si="80"/>
        <v>-1</v>
      </c>
      <c r="O237" s="10"/>
      <c r="P237" s="6">
        <v>0</v>
      </c>
      <c r="Q237" s="2"/>
      <c r="R237" s="7">
        <f t="shared" si="81"/>
        <v>0</v>
      </c>
      <c r="S237" s="2"/>
      <c r="T237" s="6">
        <v>377012.39</v>
      </c>
      <c r="U237" s="2"/>
      <c r="V237" s="7">
        <f t="shared" si="82"/>
        <v>1.3687814075497089E-2</v>
      </c>
      <c r="W237" s="2"/>
      <c r="X237" s="6">
        <f t="shared" si="83"/>
        <v>-377012.39</v>
      </c>
      <c r="Y237" s="2"/>
      <c r="Z237" s="7">
        <f t="shared" si="84"/>
        <v>-1</v>
      </c>
    </row>
    <row r="238" spans="1:26" s="23" customFormat="1" hidden="1" outlineLevel="2" x14ac:dyDescent="0.25">
      <c r="A238" s="27"/>
      <c r="B238" s="10" t="str">
        <f>CONCATENATE("          ", "9175", " - ", "EARNED DISCOUNTS")</f>
        <v xml:space="preserve">          9175 - EARNED DISCOUNTS</v>
      </c>
      <c r="C238" s="10"/>
      <c r="D238" s="6">
        <v>-15.43</v>
      </c>
      <c r="E238" s="2"/>
      <c r="F238" s="7">
        <f t="shared" si="77"/>
        <v>-1.4855497075474446E-5</v>
      </c>
      <c r="G238" s="2"/>
      <c r="H238" s="6">
        <v>-0.14000000000000001</v>
      </c>
      <c r="I238" s="2"/>
      <c r="J238" s="7">
        <f t="shared" si="78"/>
        <v>-2.8100721979806663E-7</v>
      </c>
      <c r="K238" s="2"/>
      <c r="L238" s="6">
        <f t="shared" si="79"/>
        <v>-15.29</v>
      </c>
      <c r="M238" s="2"/>
      <c r="N238" s="7">
        <f t="shared" si="80"/>
        <v>109.21428571428569</v>
      </c>
      <c r="O238" s="10"/>
      <c r="P238" s="6">
        <v>-15.43</v>
      </c>
      <c r="Q238" s="2"/>
      <c r="R238" s="7">
        <f t="shared" si="81"/>
        <v>-1.713716029446128E-6</v>
      </c>
      <c r="S238" s="2"/>
      <c r="T238" s="6">
        <v>-3231.62</v>
      </c>
      <c r="U238" s="2"/>
      <c r="V238" s="7">
        <f t="shared" si="82"/>
        <v>-1.173272149561395E-4</v>
      </c>
      <c r="W238" s="2"/>
      <c r="X238" s="6">
        <f t="shared" si="83"/>
        <v>3216.19</v>
      </c>
      <c r="Y238" s="2"/>
      <c r="Z238" s="7">
        <f t="shared" si="84"/>
        <v>-0.9952253049554094</v>
      </c>
    </row>
    <row r="239" spans="1:26" s="26" customFormat="1" outlineLevel="1" collapsed="1" x14ac:dyDescent="0.25">
      <c r="A239" s="25"/>
      <c r="B239" s="12" t="str">
        <f>CONCATENATE("     ","Donations                                         ")</f>
        <v xml:space="preserve">     Donations                                         </v>
      </c>
      <c r="C239" s="12"/>
      <c r="D239" s="1">
        <f>SUM(OSRRefD22_7x_0)</f>
        <v>7686.78</v>
      </c>
      <c r="E239" s="1"/>
      <c r="F239" s="5">
        <f t="shared" ref="F239:F247" si="85">IF(D$12=0,0,D239/D$12)</f>
        <v>7.4005792488538854E-3</v>
      </c>
      <c r="G239" s="1"/>
      <c r="H239" s="1">
        <f>SUM(OSRRefH22_7x_0)</f>
        <v>0</v>
      </c>
      <c r="I239" s="1"/>
      <c r="J239" s="5">
        <f t="shared" ref="J239:J247" si="86">IF(H$12=0,0,H239/H$12)</f>
        <v>0</v>
      </c>
      <c r="K239" s="1"/>
      <c r="L239" s="1">
        <f t="shared" ref="L239:L247" si="87">+D239-H239</f>
        <v>7686.78</v>
      </c>
      <c r="M239" s="1"/>
      <c r="N239" s="5">
        <f t="shared" ref="N239:N247" si="88">IF(H239=0,0,L239/H239)</f>
        <v>0</v>
      </c>
      <c r="O239" s="12"/>
      <c r="P239" s="1">
        <f>SUM(OSRRefP22_7x_0)</f>
        <v>58666.54</v>
      </c>
      <c r="Q239" s="1"/>
      <c r="R239" s="5">
        <f t="shared" ref="R239:R247" si="89">IF(P$12=0,0,P239/P$12)</f>
        <v>6.51573493131189E-3</v>
      </c>
      <c r="S239" s="1"/>
      <c r="T239" s="1">
        <f>SUM(OSRRefT22_7x_0)</f>
        <v>132751.98000000001</v>
      </c>
      <c r="U239" s="1"/>
      <c r="V239" s="5">
        <f t="shared" ref="V239:V247" si="90">IF(T$12=0,0,T239/T$12)</f>
        <v>4.8196941760829349E-3</v>
      </c>
      <c r="W239" s="1"/>
      <c r="X239" s="1">
        <f t="shared" ref="X239:X247" si="91">+P239-T239</f>
        <v>-74085.440000000002</v>
      </c>
      <c r="Y239" s="1"/>
      <c r="Z239" s="5">
        <f t="shared" ref="Z239:Z247" si="92">IF(T239=0,0,X239/T239)</f>
        <v>-0.55807408672925252</v>
      </c>
    </row>
    <row r="240" spans="1:26" s="23" customFormat="1" hidden="1" outlineLevel="2" x14ac:dyDescent="0.25">
      <c r="A240" s="27"/>
      <c r="B240" s="10" t="str">
        <f>CONCATENATE("          ", "6399", " - ", "DONATION-ON CAMPUS")</f>
        <v xml:space="preserve">          6399 - DONATION-ON CAMPUS</v>
      </c>
      <c r="C240" s="10"/>
      <c r="D240" s="6">
        <v>7686.78</v>
      </c>
      <c r="E240" s="2"/>
      <c r="F240" s="7">
        <f t="shared" si="85"/>
        <v>7.4005792488538854E-3</v>
      </c>
      <c r="G240" s="2"/>
      <c r="H240" s="6"/>
      <c r="I240" s="2"/>
      <c r="J240" s="7">
        <f t="shared" si="86"/>
        <v>0</v>
      </c>
      <c r="K240" s="2"/>
      <c r="L240" s="6">
        <f t="shared" si="87"/>
        <v>7686.78</v>
      </c>
      <c r="M240" s="2"/>
      <c r="N240" s="7">
        <f t="shared" si="88"/>
        <v>0</v>
      </c>
      <c r="O240" s="10"/>
      <c r="P240" s="6">
        <v>58666.54</v>
      </c>
      <c r="Q240" s="2"/>
      <c r="R240" s="7">
        <f t="shared" si="89"/>
        <v>6.51573493131189E-3</v>
      </c>
      <c r="S240" s="2"/>
      <c r="T240" s="6">
        <v>132751.98000000001</v>
      </c>
      <c r="U240" s="2"/>
      <c r="V240" s="7">
        <f t="shared" si="90"/>
        <v>4.8196941760829349E-3</v>
      </c>
      <c r="W240" s="2"/>
      <c r="X240" s="6">
        <f t="shared" si="91"/>
        <v>-74085.440000000002</v>
      </c>
      <c r="Y240" s="2"/>
      <c r="Z240" s="7">
        <f t="shared" si="92"/>
        <v>-0.55807408672925252</v>
      </c>
    </row>
    <row r="241" spans="1:26" s="26" customFormat="1" outlineLevel="1" collapsed="1" x14ac:dyDescent="0.25">
      <c r="A241" s="25"/>
      <c r="B241" s="12" t="str">
        <f>CONCATENATE("     ","Employees' Appreciation                           ")</f>
        <v xml:space="preserve">     Employees' Appreciation                           </v>
      </c>
      <c r="C241" s="12"/>
      <c r="D241" s="1">
        <f>SUM(OSRRefD22_8x_0)</f>
        <v>0</v>
      </c>
      <c r="E241" s="1"/>
      <c r="F241" s="5">
        <f t="shared" si="85"/>
        <v>0</v>
      </c>
      <c r="G241" s="1"/>
      <c r="H241" s="1">
        <f>SUM(OSRRefH22_8x_0)</f>
        <v>30.15</v>
      </c>
      <c r="I241" s="1"/>
      <c r="J241" s="5">
        <f t="shared" si="86"/>
        <v>6.0516911977940771E-5</v>
      </c>
      <c r="K241" s="1"/>
      <c r="L241" s="1">
        <f t="shared" si="87"/>
        <v>-30.15</v>
      </c>
      <c r="M241" s="1"/>
      <c r="N241" s="5">
        <f t="shared" si="88"/>
        <v>-1</v>
      </c>
      <c r="O241" s="12"/>
      <c r="P241" s="1">
        <f>SUM(OSRRefP22_8x_0)</f>
        <v>196.03</v>
      </c>
      <c r="Q241" s="1"/>
      <c r="R241" s="5">
        <f t="shared" si="89"/>
        <v>2.1771856983300356E-5</v>
      </c>
      <c r="S241" s="1"/>
      <c r="T241" s="1">
        <f>SUM(OSRRefT22_8x_0)</f>
        <v>5253.59</v>
      </c>
      <c r="U241" s="1"/>
      <c r="V241" s="5">
        <f t="shared" si="90"/>
        <v>1.9073686981186679E-4</v>
      </c>
      <c r="W241" s="1"/>
      <c r="X241" s="1">
        <f t="shared" si="91"/>
        <v>-5057.5600000000004</v>
      </c>
      <c r="Y241" s="1"/>
      <c r="Z241" s="5">
        <f t="shared" si="92"/>
        <v>-0.9626864677296858</v>
      </c>
    </row>
    <row r="242" spans="1:26" s="23" customFormat="1" hidden="1" outlineLevel="2" x14ac:dyDescent="0.25">
      <c r="A242" s="27"/>
      <c r="B242" s="10" t="str">
        <f>CONCATENATE("          ", "6277", " - ", "EMPLOYEE APPRECIATION")</f>
        <v xml:space="preserve">          6277 - EMPLOYEE APPRECIATION</v>
      </c>
      <c r="C242" s="10"/>
      <c r="D242" s="6"/>
      <c r="E242" s="2"/>
      <c r="F242" s="7">
        <f t="shared" si="85"/>
        <v>0</v>
      </c>
      <c r="G242" s="2"/>
      <c r="H242" s="6">
        <v>30.15</v>
      </c>
      <c r="I242" s="2"/>
      <c r="J242" s="7">
        <f t="shared" si="86"/>
        <v>6.0516911977940771E-5</v>
      </c>
      <c r="K242" s="2"/>
      <c r="L242" s="6">
        <f t="shared" si="87"/>
        <v>-30.15</v>
      </c>
      <c r="M242" s="2"/>
      <c r="N242" s="7">
        <f t="shared" si="88"/>
        <v>-1</v>
      </c>
      <c r="O242" s="10"/>
      <c r="P242" s="6">
        <v>196.03</v>
      </c>
      <c r="Q242" s="2"/>
      <c r="R242" s="7">
        <f t="shared" si="89"/>
        <v>2.1771856983300356E-5</v>
      </c>
      <c r="S242" s="2"/>
      <c r="T242" s="6">
        <v>5253.59</v>
      </c>
      <c r="U242" s="2"/>
      <c r="V242" s="7">
        <f t="shared" si="90"/>
        <v>1.9073686981186679E-4</v>
      </c>
      <c r="W242" s="2"/>
      <c r="X242" s="6">
        <f t="shared" si="91"/>
        <v>-5057.5600000000004</v>
      </c>
      <c r="Y242" s="2"/>
      <c r="Z242" s="7">
        <f t="shared" si="92"/>
        <v>-0.9626864677296858</v>
      </c>
    </row>
    <row r="243" spans="1:26" s="26" customFormat="1" outlineLevel="1" collapsed="1" x14ac:dyDescent="0.25">
      <c r="A243" s="25"/>
      <c r="B243" s="12" t="str">
        <f>CONCATENATE("     ","Equipment Rental                                  ")</f>
        <v xml:space="preserve">     Equipment Rental                                  </v>
      </c>
      <c r="C243" s="12"/>
      <c r="D243" s="1">
        <f>SUM(OSRRefD22_9x_0)</f>
        <v>3055.41</v>
      </c>
      <c r="E243" s="1"/>
      <c r="F243" s="5">
        <f t="shared" si="85"/>
        <v>2.9416483680735823E-3</v>
      </c>
      <c r="G243" s="1"/>
      <c r="H243" s="1">
        <f>SUM(OSRRefH22_9x_0)</f>
        <v>2893.57</v>
      </c>
      <c r="I243" s="1"/>
      <c r="J243" s="5">
        <f t="shared" si="86"/>
        <v>5.807957578507798E-3</v>
      </c>
      <c r="K243" s="1"/>
      <c r="L243" s="1">
        <f t="shared" si="87"/>
        <v>161.83999999999969</v>
      </c>
      <c r="M243" s="1"/>
      <c r="N243" s="5">
        <f t="shared" si="88"/>
        <v>5.5930908877269148E-2</v>
      </c>
      <c r="O243" s="12"/>
      <c r="P243" s="1">
        <f>SUM(OSRRefP22_9x_0)</f>
        <v>26380.52</v>
      </c>
      <c r="Q243" s="1"/>
      <c r="R243" s="5">
        <f t="shared" si="89"/>
        <v>2.9299235248946322E-3</v>
      </c>
      <c r="S243" s="1"/>
      <c r="T243" s="1">
        <f>SUM(OSRRefT22_9x_0)</f>
        <v>47669.3</v>
      </c>
      <c r="U243" s="1"/>
      <c r="V243" s="5">
        <f t="shared" si="90"/>
        <v>1.7306818895503498E-3</v>
      </c>
      <c r="W243" s="1"/>
      <c r="X243" s="1">
        <f t="shared" si="91"/>
        <v>-21288.780000000002</v>
      </c>
      <c r="Y243" s="1"/>
      <c r="Z243" s="5">
        <f t="shared" si="92"/>
        <v>-0.44659309031179401</v>
      </c>
    </row>
    <row r="244" spans="1:26" s="23" customFormat="1" hidden="1" outlineLevel="2" x14ac:dyDescent="0.25">
      <c r="A244" s="27"/>
      <c r="B244" s="10" t="str">
        <f>CONCATENATE("          ", "6351", " - ", "EQUIPMENT RENTAL")</f>
        <v xml:space="preserve">          6351 - EQUIPMENT RENTAL</v>
      </c>
      <c r="C244" s="10"/>
      <c r="D244" s="6">
        <v>3055.41</v>
      </c>
      <c r="E244" s="2"/>
      <c r="F244" s="7">
        <f t="shared" si="85"/>
        <v>2.9416483680735823E-3</v>
      </c>
      <c r="G244" s="2"/>
      <c r="H244" s="6">
        <v>2893.57</v>
      </c>
      <c r="I244" s="2"/>
      <c r="J244" s="7">
        <f t="shared" si="86"/>
        <v>5.807957578507798E-3</v>
      </c>
      <c r="K244" s="2"/>
      <c r="L244" s="6">
        <f t="shared" si="87"/>
        <v>161.83999999999969</v>
      </c>
      <c r="M244" s="2"/>
      <c r="N244" s="7">
        <f t="shared" si="88"/>
        <v>5.5930908877269148E-2</v>
      </c>
      <c r="O244" s="10"/>
      <c r="P244" s="6">
        <v>26380.52</v>
      </c>
      <c r="Q244" s="2"/>
      <c r="R244" s="7">
        <f t="shared" si="89"/>
        <v>2.9299235248946322E-3</v>
      </c>
      <c r="S244" s="2"/>
      <c r="T244" s="6">
        <v>47669.3</v>
      </c>
      <c r="U244" s="2"/>
      <c r="V244" s="7">
        <f t="shared" si="90"/>
        <v>1.7306818895503498E-3</v>
      </c>
      <c r="W244" s="2"/>
      <c r="X244" s="6">
        <f t="shared" si="91"/>
        <v>-21288.780000000002</v>
      </c>
      <c r="Y244" s="2"/>
      <c r="Z244" s="7">
        <f t="shared" si="92"/>
        <v>-0.44659309031179401</v>
      </c>
    </row>
    <row r="245" spans="1:26" s="26" customFormat="1" outlineLevel="1" collapsed="1" x14ac:dyDescent="0.25">
      <c r="A245" s="25"/>
      <c r="B245" s="12" t="str">
        <f>CONCATENATE("     ","Freight out/Postage                               ")</f>
        <v xml:space="preserve">     Freight out/Postage                               </v>
      </c>
      <c r="C245" s="12"/>
      <c r="D245" s="1">
        <f>SUM(OSRRefD22_10x_0)</f>
        <v>-12454.670000000002</v>
      </c>
      <c r="E245" s="1"/>
      <c r="F245" s="5">
        <f t="shared" si="85"/>
        <v>-1.1990947100518429E-2</v>
      </c>
      <c r="G245" s="1"/>
      <c r="H245" s="1">
        <f>SUM(OSRRefH22_10x_0)</f>
        <v>9113.75</v>
      </c>
      <c r="I245" s="1"/>
      <c r="J245" s="5">
        <f t="shared" si="86"/>
        <v>1.8293068210247353E-2</v>
      </c>
      <c r="K245" s="1"/>
      <c r="L245" s="1">
        <f t="shared" si="87"/>
        <v>-21568.420000000002</v>
      </c>
      <c r="M245" s="1"/>
      <c r="N245" s="5">
        <f t="shared" si="88"/>
        <v>-2.3665801673295848</v>
      </c>
      <c r="O245" s="12"/>
      <c r="P245" s="1">
        <f>SUM(OSRRefP22_10x_0)</f>
        <v>-45100.5</v>
      </c>
      <c r="Q245" s="1"/>
      <c r="R245" s="5">
        <f t="shared" si="89"/>
        <v>-5.009037575245308E-3</v>
      </c>
      <c r="S245" s="1"/>
      <c r="T245" s="1">
        <f>SUM(OSRRefT22_10x_0)</f>
        <v>10345.970000000001</v>
      </c>
      <c r="U245" s="1"/>
      <c r="V245" s="5">
        <f t="shared" si="90"/>
        <v>3.7562084840413499E-4</v>
      </c>
      <c r="W245" s="1"/>
      <c r="X245" s="1">
        <f t="shared" si="91"/>
        <v>-55446.47</v>
      </c>
      <c r="Y245" s="1"/>
      <c r="Z245" s="5">
        <f t="shared" si="92"/>
        <v>-5.3592335953032917</v>
      </c>
    </row>
    <row r="246" spans="1:26" s="23" customFormat="1" hidden="1" outlineLevel="2" x14ac:dyDescent="0.25">
      <c r="A246" s="27"/>
      <c r="B246" s="10" t="str">
        <f>CONCATENATE("          ", "6305", " - ", "FREIGHT OUT")</f>
        <v xml:space="preserve">          6305 - FREIGHT OUT</v>
      </c>
      <c r="C246" s="10"/>
      <c r="D246" s="6">
        <v>22724.31</v>
      </c>
      <c r="E246" s="2"/>
      <c r="F246" s="7">
        <f t="shared" si="85"/>
        <v>2.1878219102214824E-2</v>
      </c>
      <c r="G246" s="2"/>
      <c r="H246" s="6">
        <v>10673.59</v>
      </c>
      <c r="I246" s="2"/>
      <c r="J246" s="7">
        <f t="shared" si="86"/>
        <v>2.1423970365460329E-2</v>
      </c>
      <c r="K246" s="2"/>
      <c r="L246" s="6">
        <f t="shared" si="87"/>
        <v>12050.720000000001</v>
      </c>
      <c r="M246" s="2"/>
      <c r="N246" s="7">
        <f t="shared" si="88"/>
        <v>1.1290221940321861</v>
      </c>
      <c r="O246" s="10"/>
      <c r="P246" s="6">
        <v>203811.23</v>
      </c>
      <c r="Q246" s="2"/>
      <c r="R246" s="7">
        <f t="shared" si="89"/>
        <v>2.2636070760345534E-2</v>
      </c>
      <c r="S246" s="2"/>
      <c r="T246" s="6">
        <v>62776.959999999999</v>
      </c>
      <c r="U246" s="2"/>
      <c r="V246" s="7">
        <f t="shared" si="90"/>
        <v>2.2791806834383285E-3</v>
      </c>
      <c r="W246" s="2"/>
      <c r="X246" s="6">
        <f t="shared" si="91"/>
        <v>141034.27000000002</v>
      </c>
      <c r="Y246" s="2"/>
      <c r="Z246" s="7">
        <f t="shared" si="92"/>
        <v>2.24659285827157</v>
      </c>
    </row>
    <row r="247" spans="1:26" s="23" customFormat="1" hidden="1" outlineLevel="2" x14ac:dyDescent="0.25">
      <c r="A247" s="27"/>
      <c r="B247" s="10" t="str">
        <f>CONCATENATE("          ", "6307", " - ", "POSTAGE")</f>
        <v xml:space="preserve">          6307 - POSTAGE</v>
      </c>
      <c r="C247" s="10"/>
      <c r="D247" s="6">
        <v>-35178.980000000003</v>
      </c>
      <c r="E247" s="2"/>
      <c r="F247" s="7">
        <f t="shared" si="85"/>
        <v>-3.3869166202733253E-2</v>
      </c>
      <c r="G247" s="2"/>
      <c r="H247" s="6">
        <v>-1559.84</v>
      </c>
      <c r="I247" s="2"/>
      <c r="J247" s="7">
        <f t="shared" si="86"/>
        <v>-3.1309021552129732E-3</v>
      </c>
      <c r="K247" s="2"/>
      <c r="L247" s="6">
        <f t="shared" si="87"/>
        <v>-33619.140000000007</v>
      </c>
      <c r="M247" s="2"/>
      <c r="N247" s="7">
        <f t="shared" si="88"/>
        <v>21.552941327315626</v>
      </c>
      <c r="O247" s="10"/>
      <c r="P247" s="6">
        <v>-248911.73</v>
      </c>
      <c r="Q247" s="2"/>
      <c r="R247" s="7">
        <f t="shared" si="89"/>
        <v>-2.7645108335590845E-2</v>
      </c>
      <c r="S247" s="2"/>
      <c r="T247" s="6">
        <v>-52430.99</v>
      </c>
      <c r="U247" s="2"/>
      <c r="V247" s="7">
        <f t="shared" si="90"/>
        <v>-1.9035598350341935E-3</v>
      </c>
      <c r="W247" s="2"/>
      <c r="X247" s="6">
        <f t="shared" si="91"/>
        <v>-196480.74000000002</v>
      </c>
      <c r="Y247" s="2"/>
      <c r="Z247" s="7">
        <f t="shared" si="92"/>
        <v>3.7474161750521975</v>
      </c>
    </row>
    <row r="248" spans="1:26" s="26" customFormat="1" outlineLevel="1" collapsed="1" x14ac:dyDescent="0.25">
      <c r="A248" s="25"/>
      <c r="B248" s="12" t="str">
        <f>CONCATENATE("     ","General                                           ")</f>
        <v xml:space="preserve">     General                                           </v>
      </c>
      <c r="C248" s="12"/>
      <c r="D248" s="1">
        <f>SUM(OSRRefD22_11x_0)</f>
        <v>437.84</v>
      </c>
      <c r="E248" s="1"/>
      <c r="F248" s="5">
        <f t="shared" ref="F248:F250" si="93">IF(D$12=0,0,D248/D$12)</f>
        <v>4.2153796756485618E-4</v>
      </c>
      <c r="G248" s="1"/>
      <c r="H248" s="1">
        <f>SUM(OSRRefH22_11x_0)</f>
        <v>231.4</v>
      </c>
      <c r="I248" s="1"/>
      <c r="J248" s="5">
        <f t="shared" ref="J248:J250" si="94">IF(H$12=0,0,H248/H$12)</f>
        <v>4.6446479043766155E-4</v>
      </c>
      <c r="K248" s="1"/>
      <c r="L248" s="1">
        <f t="shared" ref="L248:L250" si="95">+D248-H248</f>
        <v>206.43999999999997</v>
      </c>
      <c r="M248" s="1"/>
      <c r="N248" s="5">
        <f t="shared" ref="N248:N250" si="96">IF(H248=0,0,L248/H248)</f>
        <v>0.89213483146067396</v>
      </c>
      <c r="O248" s="12"/>
      <c r="P248" s="1">
        <f>SUM(OSRRefP22_11x_0)</f>
        <v>21372.57</v>
      </c>
      <c r="Q248" s="1"/>
      <c r="R248" s="5">
        <f t="shared" ref="R248:R250" si="97">IF(P$12=0,0,P248/P$12)</f>
        <v>2.3737210498677532E-3</v>
      </c>
      <c r="S248" s="1"/>
      <c r="T248" s="1">
        <f>SUM(OSRRefT22_11x_0)</f>
        <v>103223.32</v>
      </c>
      <c r="U248" s="1"/>
      <c r="V248" s="5">
        <f t="shared" ref="V248:V250" si="98">IF(T$12=0,0,T248/T$12)</f>
        <v>3.7476264703543037E-3</v>
      </c>
      <c r="W248" s="1"/>
      <c r="X248" s="1">
        <f t="shared" ref="X248:X250" si="99">+P248-T248</f>
        <v>-81850.75</v>
      </c>
      <c r="Y248" s="1"/>
      <c r="Z248" s="5">
        <f t="shared" ref="Z248:Z250" si="100">IF(T248=0,0,X248/T248)</f>
        <v>-0.79294824076574943</v>
      </c>
    </row>
    <row r="249" spans="1:26" s="23" customFormat="1" hidden="1" outlineLevel="2" x14ac:dyDescent="0.25">
      <c r="A249" s="27"/>
      <c r="B249" s="10" t="str">
        <f>CONCATENATE("          ", "6269", " - ", "ENTERTAINMENT")</f>
        <v xml:space="preserve">          6269 - ENTERTAINMENT</v>
      </c>
      <c r="C249" s="10"/>
      <c r="D249" s="6"/>
      <c r="E249" s="2"/>
      <c r="F249" s="7">
        <f t="shared" si="93"/>
        <v>0</v>
      </c>
      <c r="G249" s="2"/>
      <c r="H249" s="6"/>
      <c r="I249" s="2"/>
      <c r="J249" s="7">
        <f t="shared" si="94"/>
        <v>0</v>
      </c>
      <c r="K249" s="2"/>
      <c r="L249" s="6">
        <f t="shared" si="95"/>
        <v>0</v>
      </c>
      <c r="M249" s="2"/>
      <c r="N249" s="7">
        <f t="shared" si="96"/>
        <v>0</v>
      </c>
      <c r="O249" s="10"/>
      <c r="P249" s="6"/>
      <c r="Q249" s="2"/>
      <c r="R249" s="7">
        <f t="shared" si="97"/>
        <v>0</v>
      </c>
      <c r="S249" s="2"/>
      <c r="T249" s="6">
        <v>10050</v>
      </c>
      <c r="U249" s="2"/>
      <c r="V249" s="7">
        <f t="shared" si="98"/>
        <v>3.6487535982238073E-4</v>
      </c>
      <c r="W249" s="2"/>
      <c r="X249" s="6">
        <f t="shared" si="99"/>
        <v>-10050</v>
      </c>
      <c r="Y249" s="2"/>
      <c r="Z249" s="7">
        <f t="shared" si="100"/>
        <v>-1</v>
      </c>
    </row>
    <row r="250" spans="1:26" s="23" customFormat="1" hidden="1" outlineLevel="2" x14ac:dyDescent="0.25">
      <c r="A250" s="27"/>
      <c r="B250" s="10" t="str">
        <f>CONCATENATE("          ", "6279", " - ", "GENERAL EXPENSE")</f>
        <v xml:space="preserve">          6279 - GENERAL EXPENSE</v>
      </c>
      <c r="C250" s="10"/>
      <c r="D250" s="6">
        <v>437.84</v>
      </c>
      <c r="E250" s="2"/>
      <c r="F250" s="7">
        <f t="shared" si="93"/>
        <v>4.2153796756485618E-4</v>
      </c>
      <c r="G250" s="2"/>
      <c r="H250" s="6">
        <v>231.4</v>
      </c>
      <c r="I250" s="2"/>
      <c r="J250" s="7">
        <f t="shared" si="94"/>
        <v>4.6446479043766155E-4</v>
      </c>
      <c r="K250" s="2"/>
      <c r="L250" s="6">
        <f t="shared" si="95"/>
        <v>206.43999999999997</v>
      </c>
      <c r="M250" s="2"/>
      <c r="N250" s="7">
        <f t="shared" si="96"/>
        <v>0.89213483146067396</v>
      </c>
      <c r="O250" s="10"/>
      <c r="P250" s="6">
        <v>21372.57</v>
      </c>
      <c r="Q250" s="2"/>
      <c r="R250" s="7">
        <f t="shared" si="97"/>
        <v>2.3737210498677532E-3</v>
      </c>
      <c r="S250" s="2"/>
      <c r="T250" s="6">
        <v>93173.32</v>
      </c>
      <c r="U250" s="2"/>
      <c r="V250" s="7">
        <f t="shared" si="98"/>
        <v>3.3827511105319228E-3</v>
      </c>
      <c r="W250" s="2"/>
      <c r="X250" s="6">
        <f t="shared" si="99"/>
        <v>-71800.75</v>
      </c>
      <c r="Y250" s="2"/>
      <c r="Z250" s="7">
        <f t="shared" si="100"/>
        <v>-0.77061491422651884</v>
      </c>
    </row>
    <row r="251" spans="1:26" s="26" customFormat="1" outlineLevel="1" collapsed="1" x14ac:dyDescent="0.25">
      <c r="A251" s="25"/>
      <c r="B251" s="12" t="str">
        <f>CONCATENATE("     ","Insurance                                         ")</f>
        <v xml:space="preserve">     Insurance                                         </v>
      </c>
      <c r="C251" s="12"/>
      <c r="D251" s="1">
        <f>SUM(OSRRefD22_12x_0)</f>
        <v>8563.32</v>
      </c>
      <c r="E251" s="1"/>
      <c r="F251" s="5">
        <f t="shared" ref="F251:F258" si="101">IF(D$12=0,0,D251/D$12)</f>
        <v>8.2444831637298651E-3</v>
      </c>
      <c r="G251" s="1"/>
      <c r="H251" s="1">
        <f>SUM(OSRRefH22_12x_0)</f>
        <v>8563.32</v>
      </c>
      <c r="I251" s="1"/>
      <c r="J251" s="5">
        <f t="shared" ref="J251:J258" si="102">IF(H$12=0,0,H251/H$12)</f>
        <v>1.7188248181722713E-2</v>
      </c>
      <c r="K251" s="1"/>
      <c r="L251" s="1">
        <f t="shared" ref="L251:L258" si="103">+D251-H251</f>
        <v>0</v>
      </c>
      <c r="M251" s="1"/>
      <c r="N251" s="5">
        <f t="shared" ref="N251:N258" si="104">IF(H251=0,0,L251/H251)</f>
        <v>0</v>
      </c>
      <c r="O251" s="12"/>
      <c r="P251" s="1">
        <f>SUM(OSRRefP22_12x_0)</f>
        <v>91745.2</v>
      </c>
      <c r="Q251" s="1"/>
      <c r="R251" s="5">
        <f t="shared" ref="R251:R258" si="105">IF(P$12=0,0,P251/P$12)</f>
        <v>1.0189580030119307E-2</v>
      </c>
      <c r="S251" s="1"/>
      <c r="T251" s="1">
        <f>SUM(OSRRefT22_12x_0)</f>
        <v>91394.2</v>
      </c>
      <c r="U251" s="1"/>
      <c r="V251" s="5">
        <f t="shared" ref="V251:V258" si="106">IF(T$12=0,0,T251/T$12)</f>
        <v>3.3181583692217542E-3</v>
      </c>
      <c r="W251" s="1"/>
      <c r="X251" s="1">
        <f t="shared" ref="X251:X258" si="107">+P251-T251</f>
        <v>351</v>
      </c>
      <c r="Y251" s="1"/>
      <c r="Z251" s="5">
        <f t="shared" ref="Z251:Z258" si="108">IF(T251=0,0,X251/T251)</f>
        <v>3.8405062903335225E-3</v>
      </c>
    </row>
    <row r="252" spans="1:26" s="23" customFormat="1" hidden="1" outlineLevel="2" x14ac:dyDescent="0.25">
      <c r="A252" s="27"/>
      <c r="B252" s="10" t="str">
        <f>CONCATENATE("          ", "6314", " - ", "LIABILITY INSURANCE")</f>
        <v xml:space="preserve">          6314 - LIABILITY INSURANCE</v>
      </c>
      <c r="C252" s="10"/>
      <c r="D252" s="6">
        <v>8563.32</v>
      </c>
      <c r="E252" s="2"/>
      <c r="F252" s="7">
        <f t="shared" si="101"/>
        <v>8.2444831637298651E-3</v>
      </c>
      <c r="G252" s="2"/>
      <c r="H252" s="6">
        <v>8563.32</v>
      </c>
      <c r="I252" s="2"/>
      <c r="J252" s="7">
        <f t="shared" si="102"/>
        <v>1.7188248181722713E-2</v>
      </c>
      <c r="K252" s="2"/>
      <c r="L252" s="6">
        <f t="shared" si="103"/>
        <v>0</v>
      </c>
      <c r="M252" s="2"/>
      <c r="N252" s="7">
        <f t="shared" si="104"/>
        <v>0</v>
      </c>
      <c r="O252" s="10"/>
      <c r="P252" s="6">
        <v>91745.2</v>
      </c>
      <c r="Q252" s="2"/>
      <c r="R252" s="7">
        <f t="shared" si="105"/>
        <v>1.0189580030119307E-2</v>
      </c>
      <c r="S252" s="2"/>
      <c r="T252" s="6">
        <v>91394.2</v>
      </c>
      <c r="U252" s="2"/>
      <c r="V252" s="7">
        <f t="shared" si="106"/>
        <v>3.3181583692217542E-3</v>
      </c>
      <c r="W252" s="2"/>
      <c r="X252" s="6">
        <f t="shared" si="107"/>
        <v>351</v>
      </c>
      <c r="Y252" s="2"/>
      <c r="Z252" s="7">
        <f t="shared" si="108"/>
        <v>3.8405062903335225E-3</v>
      </c>
    </row>
    <row r="253" spans="1:26" s="26" customFormat="1" outlineLevel="1" collapsed="1" x14ac:dyDescent="0.25">
      <c r="A253" s="25"/>
      <c r="B253" s="12" t="str">
        <f>CONCATENATE("     ","Interest                                          ")</f>
        <v xml:space="preserve">     Interest                                          </v>
      </c>
      <c r="C253" s="12"/>
      <c r="D253" s="1">
        <f>SUM(OSRRefD22_13x_0)</f>
        <v>9180</v>
      </c>
      <c r="E253" s="1"/>
      <c r="F253" s="5">
        <f t="shared" si="101"/>
        <v>8.8382024078324951E-3</v>
      </c>
      <c r="G253" s="1"/>
      <c r="H253" s="1">
        <f>SUM(OSRRefH22_13x_0)</f>
        <v>8928.0499999999993</v>
      </c>
      <c r="I253" s="1"/>
      <c r="J253" s="5">
        <f t="shared" si="102"/>
        <v>1.792033220512949E-2</v>
      </c>
      <c r="K253" s="1"/>
      <c r="L253" s="1">
        <f t="shared" si="103"/>
        <v>251.95000000000073</v>
      </c>
      <c r="M253" s="1"/>
      <c r="N253" s="5">
        <f t="shared" si="104"/>
        <v>2.8220048050806249E-2</v>
      </c>
      <c r="O253" s="12"/>
      <c r="P253" s="1">
        <f>SUM(OSRRefP22_13x_0)</f>
        <v>112417</v>
      </c>
      <c r="Q253" s="1"/>
      <c r="R253" s="5">
        <f t="shared" si="105"/>
        <v>1.2485470828402163E-2</v>
      </c>
      <c r="S253" s="1"/>
      <c r="T253" s="1">
        <f>SUM(OSRRefT22_13x_0)</f>
        <v>115690.05</v>
      </c>
      <c r="U253" s="1"/>
      <c r="V253" s="5">
        <f t="shared" si="106"/>
        <v>4.2002436439422105E-3</v>
      </c>
      <c r="W253" s="1"/>
      <c r="X253" s="1">
        <f t="shared" si="107"/>
        <v>-3273.0500000000029</v>
      </c>
      <c r="Y253" s="1"/>
      <c r="Z253" s="5">
        <f t="shared" si="108"/>
        <v>-2.8291542790412856E-2</v>
      </c>
    </row>
    <row r="254" spans="1:26" s="23" customFormat="1" hidden="1" outlineLevel="2" x14ac:dyDescent="0.25">
      <c r="A254" s="27"/>
      <c r="B254" s="10" t="str">
        <f>CONCATENATE("          ", "6401", " - ", "INTEREST EXPENSE")</f>
        <v xml:space="preserve">          6401 - INTEREST EXPENSE</v>
      </c>
      <c r="C254" s="10"/>
      <c r="D254" s="6">
        <v>9180</v>
      </c>
      <c r="E254" s="2"/>
      <c r="F254" s="7">
        <f t="shared" si="101"/>
        <v>8.8382024078324951E-3</v>
      </c>
      <c r="G254" s="2"/>
      <c r="H254" s="6">
        <v>8928.0499999999993</v>
      </c>
      <c r="I254" s="2"/>
      <c r="J254" s="7">
        <f t="shared" si="102"/>
        <v>1.792033220512949E-2</v>
      </c>
      <c r="K254" s="2"/>
      <c r="L254" s="6">
        <f t="shared" si="103"/>
        <v>251.95000000000073</v>
      </c>
      <c r="M254" s="2"/>
      <c r="N254" s="7">
        <f t="shared" si="104"/>
        <v>2.8220048050806249E-2</v>
      </c>
      <c r="O254" s="10"/>
      <c r="P254" s="6">
        <v>112417</v>
      </c>
      <c r="Q254" s="2"/>
      <c r="R254" s="7">
        <f t="shared" si="105"/>
        <v>1.2485470828402163E-2</v>
      </c>
      <c r="S254" s="2"/>
      <c r="T254" s="6">
        <v>115690.05</v>
      </c>
      <c r="U254" s="2"/>
      <c r="V254" s="7">
        <f t="shared" si="106"/>
        <v>4.2002436439422105E-3</v>
      </c>
      <c r="W254" s="2"/>
      <c r="X254" s="6">
        <f t="shared" si="107"/>
        <v>-3273.0500000000029</v>
      </c>
      <c r="Y254" s="2"/>
      <c r="Z254" s="7">
        <f t="shared" si="108"/>
        <v>-2.8291542790412856E-2</v>
      </c>
    </row>
    <row r="255" spans="1:26" s="26" customFormat="1" outlineLevel="1" collapsed="1" x14ac:dyDescent="0.25">
      <c r="A255" s="25"/>
      <c r="B255" s="12" t="str">
        <f>CONCATENATE("     ","Inventory Adjustment                              ")</f>
        <v xml:space="preserve">     Inventory Adjustment                              </v>
      </c>
      <c r="C255" s="12"/>
      <c r="D255" s="1">
        <f>SUM(OSRRefD22_14x_0)</f>
        <v>3350</v>
      </c>
      <c r="E255" s="1"/>
      <c r="F255" s="5">
        <f t="shared" si="101"/>
        <v>3.2252699418560851E-3</v>
      </c>
      <c r="G255" s="1"/>
      <c r="H255" s="1">
        <f>SUM(OSRRefH22_14x_0)</f>
        <v>4550</v>
      </c>
      <c r="I255" s="1"/>
      <c r="J255" s="5">
        <f t="shared" si="102"/>
        <v>9.1327346434371647E-3</v>
      </c>
      <c r="K255" s="1"/>
      <c r="L255" s="1">
        <f t="shared" si="103"/>
        <v>-1200</v>
      </c>
      <c r="M255" s="1"/>
      <c r="N255" s="5">
        <f t="shared" si="104"/>
        <v>-0.26373626373626374</v>
      </c>
      <c r="O255" s="12"/>
      <c r="P255" s="1">
        <f>SUM(OSRRefP22_14x_0)</f>
        <v>38500</v>
      </c>
      <c r="Q255" s="1"/>
      <c r="R255" s="5">
        <f t="shared" si="105"/>
        <v>4.275960280860398E-3</v>
      </c>
      <c r="S255" s="1"/>
      <c r="T255" s="1">
        <f>SUM(OSRRefT22_14x_0)</f>
        <v>48800</v>
      </c>
      <c r="U255" s="1"/>
      <c r="V255" s="5">
        <f t="shared" si="106"/>
        <v>1.771733090480814E-3</v>
      </c>
      <c r="W255" s="1"/>
      <c r="X255" s="1">
        <f t="shared" si="107"/>
        <v>-10300</v>
      </c>
      <c r="Y255" s="1"/>
      <c r="Z255" s="5">
        <f t="shared" si="108"/>
        <v>-0.21106557377049182</v>
      </c>
    </row>
    <row r="256" spans="1:26" s="23" customFormat="1" hidden="1" outlineLevel="2" x14ac:dyDescent="0.25">
      <c r="A256" s="27"/>
      <c r="B256" s="10" t="str">
        <f>CONCATENATE("          ", "6408", " - ", "INVENTORY ADJUSTMENT")</f>
        <v xml:space="preserve">          6408 - INVENTORY ADJUSTMENT</v>
      </c>
      <c r="C256" s="10"/>
      <c r="D256" s="6">
        <v>3350</v>
      </c>
      <c r="E256" s="2"/>
      <c r="F256" s="7">
        <f t="shared" si="101"/>
        <v>3.2252699418560851E-3</v>
      </c>
      <c r="G256" s="2"/>
      <c r="H256" s="6">
        <v>4550</v>
      </c>
      <c r="I256" s="2"/>
      <c r="J256" s="7">
        <f t="shared" si="102"/>
        <v>9.1327346434371647E-3</v>
      </c>
      <c r="K256" s="2"/>
      <c r="L256" s="6">
        <f t="shared" si="103"/>
        <v>-1200</v>
      </c>
      <c r="M256" s="2"/>
      <c r="N256" s="7">
        <f t="shared" si="104"/>
        <v>-0.26373626373626374</v>
      </c>
      <c r="O256" s="10"/>
      <c r="P256" s="6">
        <v>38500</v>
      </c>
      <c r="Q256" s="2"/>
      <c r="R256" s="7">
        <f t="shared" si="105"/>
        <v>4.275960280860398E-3</v>
      </c>
      <c r="S256" s="2"/>
      <c r="T256" s="6">
        <v>48800</v>
      </c>
      <c r="U256" s="2"/>
      <c r="V256" s="7">
        <f t="shared" si="106"/>
        <v>1.771733090480814E-3</v>
      </c>
      <c r="W256" s="2"/>
      <c r="X256" s="6">
        <f t="shared" si="107"/>
        <v>-10300</v>
      </c>
      <c r="Y256" s="2"/>
      <c r="Z256" s="7">
        <f t="shared" si="108"/>
        <v>-0.21106557377049182</v>
      </c>
    </row>
    <row r="257" spans="1:26" s="23" customFormat="1" hidden="1" outlineLevel="2" x14ac:dyDescent="0.25">
      <c r="A257" s="27"/>
      <c r="B257" s="10" t="str">
        <f>CONCATENATE("          ", "7701", " - ", "INV. SHRINKAGE-NEW TEXT")</f>
        <v xml:space="preserve">          7701 - INV. SHRINKAGE-NEW TEXT</v>
      </c>
      <c r="C257" s="10"/>
      <c r="D257" s="6"/>
      <c r="E257" s="2"/>
      <c r="F257" s="7">
        <f t="shared" si="101"/>
        <v>0</v>
      </c>
      <c r="G257" s="2"/>
      <c r="H257" s="6"/>
      <c r="I257" s="2"/>
      <c r="J257" s="7">
        <f t="shared" si="102"/>
        <v>0</v>
      </c>
      <c r="K257" s="2"/>
      <c r="L257" s="6">
        <f t="shared" si="103"/>
        <v>0</v>
      </c>
      <c r="M257" s="2"/>
      <c r="N257" s="7">
        <f t="shared" si="104"/>
        <v>0</v>
      </c>
      <c r="O257" s="10"/>
      <c r="P257" s="6"/>
      <c r="Q257" s="2"/>
      <c r="R257" s="7">
        <f t="shared" si="105"/>
        <v>0</v>
      </c>
      <c r="S257" s="2"/>
      <c r="T257" s="6">
        <v>0</v>
      </c>
      <c r="U257" s="2"/>
      <c r="V257" s="7">
        <f t="shared" si="106"/>
        <v>0</v>
      </c>
      <c r="W257" s="2"/>
      <c r="X257" s="6">
        <f t="shared" si="107"/>
        <v>0</v>
      </c>
      <c r="Y257" s="2"/>
      <c r="Z257" s="7">
        <f t="shared" si="108"/>
        <v>0</v>
      </c>
    </row>
    <row r="258" spans="1:26" s="23" customFormat="1" hidden="1" outlineLevel="2" x14ac:dyDescent="0.25">
      <c r="A258" s="27"/>
      <c r="B258" s="10" t="str">
        <f>CONCATENATE("          ", "7741", " - ", "INV. SHRINKAGE-LOGO GIFTS")</f>
        <v xml:space="preserve">          7741 - INV. SHRINKAGE-LOGO GIFTS</v>
      </c>
      <c r="C258" s="10"/>
      <c r="D258" s="6"/>
      <c r="E258" s="2"/>
      <c r="F258" s="7">
        <f t="shared" si="101"/>
        <v>0</v>
      </c>
      <c r="G258" s="2"/>
      <c r="H258" s="6"/>
      <c r="I258" s="2"/>
      <c r="J258" s="7">
        <f t="shared" si="102"/>
        <v>0</v>
      </c>
      <c r="K258" s="2"/>
      <c r="L258" s="6">
        <f t="shared" si="103"/>
        <v>0</v>
      </c>
      <c r="M258" s="2"/>
      <c r="N258" s="7">
        <f t="shared" si="104"/>
        <v>0</v>
      </c>
      <c r="O258" s="10"/>
      <c r="P258" s="6">
        <v>0</v>
      </c>
      <c r="Q258" s="2"/>
      <c r="R258" s="7">
        <f t="shared" si="105"/>
        <v>0</v>
      </c>
      <c r="S258" s="2"/>
      <c r="T258" s="6"/>
      <c r="U258" s="2"/>
      <c r="V258" s="7">
        <f t="shared" si="106"/>
        <v>0</v>
      </c>
      <c r="W258" s="2"/>
      <c r="X258" s="6">
        <f t="shared" si="107"/>
        <v>0</v>
      </c>
      <c r="Y258" s="2"/>
      <c r="Z258" s="7">
        <f t="shared" si="108"/>
        <v>0</v>
      </c>
    </row>
    <row r="259" spans="1:26" s="26" customFormat="1" outlineLevel="1" collapsed="1" x14ac:dyDescent="0.25">
      <c r="A259" s="25"/>
      <c r="B259" s="12" t="str">
        <f>CONCATENATE("     ","Professional Services                             ")</f>
        <v xml:space="preserve">     Professional Services                             </v>
      </c>
      <c r="C259" s="12"/>
      <c r="D259" s="1">
        <f>SUM(OSRRefD22_15x_0)</f>
        <v>0</v>
      </c>
      <c r="E259" s="1"/>
      <c r="F259" s="5">
        <f t="shared" ref="F259:F269" si="109">IF(D$12=0,0,D259/D$12)</f>
        <v>0</v>
      </c>
      <c r="G259" s="1"/>
      <c r="H259" s="1">
        <f>SUM(OSRRefH22_15x_0)</f>
        <v>2930</v>
      </c>
      <c r="I259" s="1"/>
      <c r="J259" s="5">
        <f t="shared" ref="J259:J269" si="110">IF(H$12=0,0,H259/H$12)</f>
        <v>5.881079671488109E-3</v>
      </c>
      <c r="K259" s="1"/>
      <c r="L259" s="1">
        <f t="shared" ref="L259:L269" si="111">+D259-H259</f>
        <v>-2930</v>
      </c>
      <c r="M259" s="1"/>
      <c r="N259" s="5">
        <f t="shared" ref="N259:N269" si="112">IF(H259=0,0,L259/H259)</f>
        <v>-1</v>
      </c>
      <c r="O259" s="12"/>
      <c r="P259" s="1">
        <f>SUM(OSRRefP22_15x_0)</f>
        <v>0</v>
      </c>
      <c r="Q259" s="1"/>
      <c r="R259" s="5">
        <f t="shared" ref="R259:R269" si="113">IF(P$12=0,0,P259/P$12)</f>
        <v>0</v>
      </c>
      <c r="S259" s="1"/>
      <c r="T259" s="1">
        <f>SUM(OSRRefT22_15x_0)</f>
        <v>9254.56</v>
      </c>
      <c r="U259" s="1"/>
      <c r="V259" s="5">
        <f t="shared" ref="V259:V269" si="114">IF(T$12=0,0,T259/T$12)</f>
        <v>3.3599611044754344E-4</v>
      </c>
      <c r="W259" s="1"/>
      <c r="X259" s="1">
        <f t="shared" ref="X259:X269" si="115">+P259-T259</f>
        <v>-9254.56</v>
      </c>
      <c r="Y259" s="1"/>
      <c r="Z259" s="5">
        <f t="shared" ref="Z259:Z269" si="116">IF(T259=0,0,X259/T259)</f>
        <v>-1</v>
      </c>
    </row>
    <row r="260" spans="1:26" s="23" customFormat="1" hidden="1" outlineLevel="2" x14ac:dyDescent="0.25">
      <c r="A260" s="27"/>
      <c r="B260" s="10" t="str">
        <f>CONCATENATE("          ", "6336", " - ", "PROFESSIONAL SERVICES")</f>
        <v xml:space="preserve">          6336 - PROFESSIONAL SERVICES</v>
      </c>
      <c r="C260" s="10"/>
      <c r="D260" s="6"/>
      <c r="E260" s="2"/>
      <c r="F260" s="7">
        <f t="shared" si="109"/>
        <v>0</v>
      </c>
      <c r="G260" s="2"/>
      <c r="H260" s="6">
        <v>2930</v>
      </c>
      <c r="I260" s="2"/>
      <c r="J260" s="7">
        <f t="shared" si="110"/>
        <v>5.881079671488109E-3</v>
      </c>
      <c r="K260" s="2"/>
      <c r="L260" s="6">
        <f t="shared" si="111"/>
        <v>-2930</v>
      </c>
      <c r="M260" s="2"/>
      <c r="N260" s="7">
        <f t="shared" si="112"/>
        <v>-1</v>
      </c>
      <c r="O260" s="10"/>
      <c r="P260" s="6"/>
      <c r="Q260" s="2"/>
      <c r="R260" s="7">
        <f t="shared" si="113"/>
        <v>0</v>
      </c>
      <c r="S260" s="2"/>
      <c r="T260" s="6">
        <v>9254.56</v>
      </c>
      <c r="U260" s="2"/>
      <c r="V260" s="7">
        <f t="shared" si="114"/>
        <v>3.3599611044754344E-4</v>
      </c>
      <c r="W260" s="2"/>
      <c r="X260" s="6">
        <f t="shared" si="115"/>
        <v>-9254.56</v>
      </c>
      <c r="Y260" s="2"/>
      <c r="Z260" s="7">
        <f t="shared" si="116"/>
        <v>-1</v>
      </c>
    </row>
    <row r="261" spans="1:26" s="26" customFormat="1" outlineLevel="1" collapsed="1" x14ac:dyDescent="0.25">
      <c r="A261" s="25"/>
      <c r="B261" s="12" t="str">
        <f>CONCATENATE("     ","R/H Commissions                                   ")</f>
        <v xml:space="preserve">     R/H Commissions                                   </v>
      </c>
      <c r="C261" s="12"/>
      <c r="D261" s="1">
        <f>SUM(OSRRefD22_16x_0)</f>
        <v>6627.19</v>
      </c>
      <c r="E261" s="1"/>
      <c r="F261" s="5">
        <f t="shared" si="109"/>
        <v>6.3804408077520079E-3</v>
      </c>
      <c r="G261" s="1"/>
      <c r="H261" s="1">
        <f>SUM(OSRRefH22_16x_0)</f>
        <v>3314.86</v>
      </c>
      <c r="I261" s="1"/>
      <c r="J261" s="5">
        <f t="shared" si="110"/>
        <v>6.6535685187129939E-3</v>
      </c>
      <c r="K261" s="1"/>
      <c r="L261" s="1">
        <f t="shared" si="111"/>
        <v>3312.3299999999995</v>
      </c>
      <c r="M261" s="1"/>
      <c r="N261" s="5">
        <f t="shared" si="112"/>
        <v>0.9992367701803393</v>
      </c>
      <c r="O261" s="12"/>
      <c r="P261" s="1">
        <f>SUM(OSRRefP22_16x_0)</f>
        <v>65639.789999999994</v>
      </c>
      <c r="Q261" s="1"/>
      <c r="R261" s="5">
        <f t="shared" si="113"/>
        <v>7.2902112956887656E-3</v>
      </c>
      <c r="S261" s="1"/>
      <c r="T261" s="1">
        <f>SUM(OSRRefT22_16x_0)</f>
        <v>705863.29</v>
      </c>
      <c r="U261" s="1"/>
      <c r="V261" s="5">
        <f t="shared" si="114"/>
        <v>2.5627076808374078E-2</v>
      </c>
      <c r="W261" s="1"/>
      <c r="X261" s="1">
        <f t="shared" si="115"/>
        <v>-640223.5</v>
      </c>
      <c r="Y261" s="1"/>
      <c r="Z261" s="5">
        <f t="shared" si="116"/>
        <v>-0.90700778616777189</v>
      </c>
    </row>
    <row r="262" spans="1:26" s="23" customFormat="1" hidden="1" outlineLevel="2" x14ac:dyDescent="0.25">
      <c r="A262" s="27"/>
      <c r="B262" s="10" t="str">
        <f>CONCATENATE("          ", "6387", " - ", "COMMISSION DUE HOUSING")</f>
        <v xml:space="preserve">          6387 - COMMISSION DUE HOUSING</v>
      </c>
      <c r="C262" s="10"/>
      <c r="D262" s="6">
        <v>6627.19</v>
      </c>
      <c r="E262" s="2"/>
      <c r="F262" s="7">
        <f t="shared" si="109"/>
        <v>6.3804408077520079E-3</v>
      </c>
      <c r="G262" s="2"/>
      <c r="H262" s="6">
        <v>3314.86</v>
      </c>
      <c r="I262" s="2"/>
      <c r="J262" s="7">
        <f t="shared" si="110"/>
        <v>6.6535685187129939E-3</v>
      </c>
      <c r="K262" s="2"/>
      <c r="L262" s="6">
        <f t="shared" si="111"/>
        <v>3312.3299999999995</v>
      </c>
      <c r="M262" s="2"/>
      <c r="N262" s="7">
        <f t="shared" si="112"/>
        <v>0.9992367701803393</v>
      </c>
      <c r="O262" s="10"/>
      <c r="P262" s="6">
        <v>65639.789999999994</v>
      </c>
      <c r="Q262" s="2"/>
      <c r="R262" s="7">
        <f t="shared" si="113"/>
        <v>7.2902112956887656E-3</v>
      </c>
      <c r="S262" s="2"/>
      <c r="T262" s="6">
        <v>705863.29</v>
      </c>
      <c r="U262" s="2"/>
      <c r="V262" s="7">
        <f t="shared" si="114"/>
        <v>2.5627076808374078E-2</v>
      </c>
      <c r="W262" s="2"/>
      <c r="X262" s="6">
        <f t="shared" si="115"/>
        <v>-640223.5</v>
      </c>
      <c r="Y262" s="2"/>
      <c r="Z262" s="7">
        <f t="shared" si="116"/>
        <v>-0.90700778616777189</v>
      </c>
    </row>
    <row r="263" spans="1:26" s="26" customFormat="1" outlineLevel="1" collapsed="1" x14ac:dyDescent="0.25">
      <c r="A263" s="25"/>
      <c r="B263" s="12" t="str">
        <f>CONCATENATE("     ","Rent                                              ")</f>
        <v xml:space="preserve">     Rent                                              </v>
      </c>
      <c r="C263" s="12"/>
      <c r="D263" s="1">
        <f>SUM(OSRRefD22_17x_0)</f>
        <v>8750</v>
      </c>
      <c r="E263" s="1"/>
      <c r="F263" s="5">
        <f t="shared" si="109"/>
        <v>8.4242125346987301E-3</v>
      </c>
      <c r="G263" s="1"/>
      <c r="H263" s="1">
        <f>SUM(OSRRefH22_17x_0)</f>
        <v>9900</v>
      </c>
      <c r="I263" s="1"/>
      <c r="J263" s="5">
        <f t="shared" si="110"/>
        <v>1.9871224828577568E-2</v>
      </c>
      <c r="K263" s="1"/>
      <c r="L263" s="1">
        <f t="shared" si="111"/>
        <v>-1150</v>
      </c>
      <c r="M263" s="1"/>
      <c r="N263" s="5">
        <f t="shared" si="112"/>
        <v>-0.11616161616161616</v>
      </c>
      <c r="O263" s="12"/>
      <c r="P263" s="1">
        <f>SUM(OSRRefP22_17x_0)</f>
        <v>81950</v>
      </c>
      <c r="Q263" s="1"/>
      <c r="R263" s="5">
        <f t="shared" si="113"/>
        <v>9.1016868835457031E-3</v>
      </c>
      <c r="S263" s="1"/>
      <c r="T263" s="1">
        <f>SUM(OSRRefT22_17x_0)</f>
        <v>99000</v>
      </c>
      <c r="U263" s="1"/>
      <c r="V263" s="5">
        <f t="shared" si="114"/>
        <v>3.5942945892950937E-3</v>
      </c>
      <c r="W263" s="1"/>
      <c r="X263" s="1">
        <f t="shared" si="115"/>
        <v>-17050</v>
      </c>
      <c r="Y263" s="1"/>
      <c r="Z263" s="5">
        <f t="shared" si="116"/>
        <v>-0.17222222222222222</v>
      </c>
    </row>
    <row r="264" spans="1:26" s="23" customFormat="1" hidden="1" outlineLevel="2" x14ac:dyDescent="0.25">
      <c r="A264" s="27"/>
      <c r="B264" s="10" t="str">
        <f>CONCATENATE("          ", "6273", " - ", "RENT")</f>
        <v xml:space="preserve">          6273 - RENT</v>
      </c>
      <c r="C264" s="10"/>
      <c r="D264" s="6">
        <v>8750</v>
      </c>
      <c r="E264" s="2"/>
      <c r="F264" s="7">
        <f t="shared" si="109"/>
        <v>8.4242125346987301E-3</v>
      </c>
      <c r="G264" s="2"/>
      <c r="H264" s="6">
        <v>9900</v>
      </c>
      <c r="I264" s="2"/>
      <c r="J264" s="7">
        <f t="shared" si="110"/>
        <v>1.9871224828577568E-2</v>
      </c>
      <c r="K264" s="2"/>
      <c r="L264" s="6">
        <f t="shared" si="111"/>
        <v>-1150</v>
      </c>
      <c r="M264" s="2"/>
      <c r="N264" s="7">
        <f t="shared" si="112"/>
        <v>-0.11616161616161616</v>
      </c>
      <c r="O264" s="10"/>
      <c r="P264" s="6">
        <v>81950</v>
      </c>
      <c r="Q264" s="2"/>
      <c r="R264" s="7">
        <f t="shared" si="113"/>
        <v>9.1016868835457031E-3</v>
      </c>
      <c r="S264" s="2"/>
      <c r="T264" s="6">
        <v>99000</v>
      </c>
      <c r="U264" s="2"/>
      <c r="V264" s="7">
        <f t="shared" si="114"/>
        <v>3.5942945892950937E-3</v>
      </c>
      <c r="W264" s="2"/>
      <c r="X264" s="6">
        <f t="shared" si="115"/>
        <v>-17050</v>
      </c>
      <c r="Y264" s="2"/>
      <c r="Z264" s="7">
        <f t="shared" si="116"/>
        <v>-0.17222222222222222</v>
      </c>
    </row>
    <row r="265" spans="1:26" s="26" customFormat="1" outlineLevel="1" collapsed="1" x14ac:dyDescent="0.25">
      <c r="A265" s="25"/>
      <c r="B265" s="12" t="str">
        <f>CONCATENATE("     ","Repair and Maintenance                            ")</f>
        <v xml:space="preserve">     Repair and Maintenance                            </v>
      </c>
      <c r="C265" s="12"/>
      <c r="D265" s="1">
        <f>SUM(OSRRefD22_18x_0)</f>
        <v>8099.35</v>
      </c>
      <c r="E265" s="1"/>
      <c r="F265" s="5">
        <f t="shared" si="109"/>
        <v>7.7977880906185326E-3</v>
      </c>
      <c r="G265" s="1"/>
      <c r="H265" s="1">
        <f>SUM(OSRRefH22_18x_0)</f>
        <v>23562.41</v>
      </c>
      <c r="I265" s="1"/>
      <c r="J265" s="5">
        <f t="shared" si="110"/>
        <v>4.7294338041729736E-2</v>
      </c>
      <c r="K265" s="1"/>
      <c r="L265" s="1">
        <f t="shared" si="111"/>
        <v>-15463.06</v>
      </c>
      <c r="M265" s="1"/>
      <c r="N265" s="5">
        <f t="shared" si="112"/>
        <v>-0.65625969499724346</v>
      </c>
      <c r="O265" s="12"/>
      <c r="P265" s="1">
        <f>SUM(OSRRefP22_18x_0)</f>
        <v>353256.76</v>
      </c>
      <c r="Q265" s="1"/>
      <c r="R265" s="5">
        <f t="shared" si="113"/>
        <v>3.9234074667673612E-2</v>
      </c>
      <c r="S265" s="1"/>
      <c r="T265" s="1">
        <f>SUM(OSRRefT22_18x_0)</f>
        <v>548003</v>
      </c>
      <c r="U265" s="1"/>
      <c r="V265" s="5">
        <f t="shared" si="114"/>
        <v>1.9895800179974537E-2</v>
      </c>
      <c r="W265" s="1"/>
      <c r="X265" s="1">
        <f t="shared" si="115"/>
        <v>-194746.23999999999</v>
      </c>
      <c r="Y265" s="1"/>
      <c r="Z265" s="5">
        <f t="shared" si="116"/>
        <v>-0.35537440488464478</v>
      </c>
    </row>
    <row r="266" spans="1:26" s="23" customFormat="1" hidden="1" outlineLevel="2" x14ac:dyDescent="0.25">
      <c r="A266" s="27"/>
      <c r="B266" s="10" t="str">
        <f>CONCATENATE("          ", "6371", " - ", "COMPUTER SOFTWARE MAINTENANCE")</f>
        <v xml:space="preserve">          6371 - COMPUTER SOFTWARE MAINTENANCE</v>
      </c>
      <c r="C266" s="10"/>
      <c r="D266" s="6">
        <v>3500</v>
      </c>
      <c r="E266" s="2"/>
      <c r="F266" s="7">
        <f t="shared" si="109"/>
        <v>3.369685013879492E-3</v>
      </c>
      <c r="G266" s="2"/>
      <c r="H266" s="6">
        <v>631.04999999999995</v>
      </c>
      <c r="I266" s="2"/>
      <c r="J266" s="7">
        <f t="shared" si="110"/>
        <v>1.2666400432397853E-3</v>
      </c>
      <c r="K266" s="2"/>
      <c r="L266" s="6">
        <f t="shared" si="111"/>
        <v>2868.95</v>
      </c>
      <c r="M266" s="2"/>
      <c r="N266" s="7">
        <f t="shared" si="112"/>
        <v>4.5463117027176931</v>
      </c>
      <c r="O266" s="10"/>
      <c r="P266" s="6">
        <v>79519.990000000005</v>
      </c>
      <c r="Q266" s="2"/>
      <c r="R266" s="7">
        <f t="shared" si="113"/>
        <v>8.8318004876471699E-3</v>
      </c>
      <c r="S266" s="2"/>
      <c r="T266" s="6">
        <v>92162.36</v>
      </c>
      <c r="U266" s="2"/>
      <c r="V266" s="7">
        <f t="shared" si="114"/>
        <v>3.346047190754208E-3</v>
      </c>
      <c r="W266" s="2"/>
      <c r="X266" s="6">
        <f t="shared" si="115"/>
        <v>-12642.369999999995</v>
      </c>
      <c r="Y266" s="2"/>
      <c r="Z266" s="7">
        <f t="shared" si="116"/>
        <v>-0.13717498119622801</v>
      </c>
    </row>
    <row r="267" spans="1:26" s="23" customFormat="1" hidden="1" outlineLevel="2" x14ac:dyDescent="0.25">
      <c r="A267" s="27"/>
      <c r="B267" s="10" t="str">
        <f>CONCATENATE("          ", "6372", " - ", "COMPUTER HARDWARE MAINTENANCE")</f>
        <v xml:space="preserve">          6372 - COMPUTER HARDWARE MAINTENANCE</v>
      </c>
      <c r="C267" s="10"/>
      <c r="D267" s="6"/>
      <c r="E267" s="2"/>
      <c r="F267" s="7">
        <f t="shared" si="109"/>
        <v>0</v>
      </c>
      <c r="G267" s="2"/>
      <c r="H267" s="6">
        <v>8142.88</v>
      </c>
      <c r="I267" s="2"/>
      <c r="J267" s="7">
        <f t="shared" si="110"/>
        <v>1.6344343356780578E-2</v>
      </c>
      <c r="K267" s="2"/>
      <c r="L267" s="6">
        <f t="shared" si="111"/>
        <v>-8142.88</v>
      </c>
      <c r="M267" s="2"/>
      <c r="N267" s="7">
        <f t="shared" si="112"/>
        <v>-1</v>
      </c>
      <c r="O267" s="10"/>
      <c r="P267" s="6">
        <v>98.85</v>
      </c>
      <c r="Q267" s="2"/>
      <c r="R267" s="7">
        <f t="shared" si="113"/>
        <v>1.0978666850988319E-5</v>
      </c>
      <c r="S267" s="2"/>
      <c r="T267" s="6">
        <v>8195.19</v>
      </c>
      <c r="U267" s="2"/>
      <c r="V267" s="7">
        <f t="shared" si="114"/>
        <v>2.9753461692166931E-4</v>
      </c>
      <c r="W267" s="2"/>
      <c r="X267" s="6">
        <f t="shared" si="115"/>
        <v>-8096.34</v>
      </c>
      <c r="Y267" s="2"/>
      <c r="Z267" s="7">
        <f t="shared" si="116"/>
        <v>-0.98793804658586315</v>
      </c>
    </row>
    <row r="268" spans="1:26" s="23" customFormat="1" hidden="1" outlineLevel="2" x14ac:dyDescent="0.25">
      <c r="A268" s="27"/>
      <c r="B268" s="10" t="str">
        <f>CONCATENATE("          ", "6373", " - ", "MAINTENANCE CONTRACTS")</f>
        <v xml:space="preserve">          6373 - MAINTENANCE CONTRACTS</v>
      </c>
      <c r="C268" s="10"/>
      <c r="D268" s="6">
        <v>1441.34</v>
      </c>
      <c r="E268" s="2"/>
      <c r="F268" s="7">
        <f t="shared" si="109"/>
        <v>1.3876747994014476E-3</v>
      </c>
      <c r="G268" s="2"/>
      <c r="H268" s="6">
        <v>12283.39</v>
      </c>
      <c r="I268" s="2"/>
      <c r="J268" s="7">
        <f t="shared" si="110"/>
        <v>2.4655151954252667E-2</v>
      </c>
      <c r="K268" s="2"/>
      <c r="L268" s="6">
        <f t="shared" si="111"/>
        <v>-10842.05</v>
      </c>
      <c r="M268" s="2"/>
      <c r="N268" s="7">
        <f t="shared" si="112"/>
        <v>-0.88265942870819858</v>
      </c>
      <c r="O268" s="10"/>
      <c r="P268" s="6">
        <v>211773.97</v>
      </c>
      <c r="Q268" s="2"/>
      <c r="R268" s="7">
        <f t="shared" si="113"/>
        <v>2.3520443746496662E-2</v>
      </c>
      <c r="S268" s="2"/>
      <c r="T268" s="6">
        <v>280087.01</v>
      </c>
      <c r="U268" s="2"/>
      <c r="V268" s="7">
        <f t="shared" si="114"/>
        <v>1.0168840652271119E-2</v>
      </c>
      <c r="W268" s="2"/>
      <c r="X268" s="6">
        <f t="shared" si="115"/>
        <v>-68313.040000000008</v>
      </c>
      <c r="Y268" s="2"/>
      <c r="Z268" s="7">
        <f t="shared" si="116"/>
        <v>-0.24389935113377806</v>
      </c>
    </row>
    <row r="269" spans="1:26" s="23" customFormat="1" hidden="1" outlineLevel="2" x14ac:dyDescent="0.25">
      <c r="A269" s="27"/>
      <c r="B269" s="10" t="str">
        <f>CONCATENATE("          ", "6375", " - ", "OUTSIDE REPAIRS &amp; MAINTENANCE")</f>
        <v xml:space="preserve">          6375 - OUTSIDE REPAIRS &amp; MAINTENANCE</v>
      </c>
      <c r="C269" s="10"/>
      <c r="D269" s="6">
        <v>3158.01</v>
      </c>
      <c r="E269" s="2"/>
      <c r="F269" s="7">
        <f t="shared" si="109"/>
        <v>3.040428277337593E-3</v>
      </c>
      <c r="G269" s="2"/>
      <c r="H269" s="6">
        <v>2505.09</v>
      </c>
      <c r="I269" s="2"/>
      <c r="J269" s="7">
        <f t="shared" si="110"/>
        <v>5.0282026874567051E-3</v>
      </c>
      <c r="K269" s="2"/>
      <c r="L269" s="6">
        <f t="shared" si="111"/>
        <v>652.92000000000007</v>
      </c>
      <c r="M269" s="2"/>
      <c r="N269" s="7">
        <f t="shared" si="112"/>
        <v>0.26063734237093278</v>
      </c>
      <c r="O269" s="10"/>
      <c r="P269" s="6">
        <v>61863.95</v>
      </c>
      <c r="Q269" s="2"/>
      <c r="R269" s="7">
        <f t="shared" si="113"/>
        <v>6.8708517666787941E-3</v>
      </c>
      <c r="S269" s="2"/>
      <c r="T269" s="6">
        <v>167558.44</v>
      </c>
      <c r="U269" s="2"/>
      <c r="V269" s="7">
        <f t="shared" si="114"/>
        <v>6.083377720027542E-3</v>
      </c>
      <c r="W269" s="2"/>
      <c r="X269" s="6">
        <f t="shared" si="115"/>
        <v>-105694.49</v>
      </c>
      <c r="Y269" s="2"/>
      <c r="Z269" s="7">
        <f t="shared" si="116"/>
        <v>-0.63079180016237923</v>
      </c>
    </row>
    <row r="270" spans="1:26" s="26" customFormat="1" outlineLevel="1" collapsed="1" x14ac:dyDescent="0.25">
      <c r="A270" s="25"/>
      <c r="B270" s="12" t="str">
        <f>CONCATENATE("     ","Royalty &amp; Commissions                             ")</f>
        <v xml:space="preserve">     Royalty &amp; Commissions                             </v>
      </c>
      <c r="C270" s="12"/>
      <c r="D270" s="1">
        <f>SUM(OSRRefD22_19x_0)</f>
        <v>11531.75</v>
      </c>
      <c r="E270" s="1"/>
      <c r="F270" s="5">
        <f t="shared" ref="F270:F273" si="117">IF(D$12=0,0,D270/D$12)</f>
        <v>1.1102390045372808E-2</v>
      </c>
      <c r="G270" s="1"/>
      <c r="H270" s="1">
        <f>SUM(OSRRefH22_19x_0)</f>
        <v>20337.45</v>
      </c>
      <c r="I270" s="1"/>
      <c r="J270" s="5">
        <f t="shared" ref="J270:J273" si="118">IF(H$12=0,0,H270/H$12)</f>
        <v>4.0821216302015642E-2</v>
      </c>
      <c r="K270" s="1"/>
      <c r="L270" s="1">
        <f t="shared" ref="L270:L273" si="119">+D270-H270</f>
        <v>-8805.7000000000007</v>
      </c>
      <c r="M270" s="1"/>
      <c r="N270" s="5">
        <f t="shared" ref="N270:N273" si="120">IF(H270=0,0,L270/H270)</f>
        <v>-0.4329795525004364</v>
      </c>
      <c r="O270" s="12"/>
      <c r="P270" s="1">
        <f>SUM(OSRRefP22_19x_0)</f>
        <v>48578.649999999994</v>
      </c>
      <c r="Q270" s="1"/>
      <c r="R270" s="5">
        <f t="shared" ref="R270:R273" si="121">IF(P$12=0,0,P270/P$12)</f>
        <v>5.3953344908524393E-3</v>
      </c>
      <c r="S270" s="1"/>
      <c r="T270" s="1">
        <f>SUM(OSRRefT22_19x_0)</f>
        <v>381769.01</v>
      </c>
      <c r="U270" s="1"/>
      <c r="V270" s="5">
        <f t="shared" ref="V270:V273" si="122">IF(T$12=0,0,T270/T$12)</f>
        <v>1.3860507949530754E-2</v>
      </c>
      <c r="W270" s="1"/>
      <c r="X270" s="1">
        <f t="shared" ref="X270:X273" si="123">+P270-T270</f>
        <v>-333190.36</v>
      </c>
      <c r="Y270" s="1"/>
      <c r="Z270" s="5">
        <f t="shared" ref="Z270:Z273" si="124">IF(T270=0,0,X270/T270)</f>
        <v>-0.8727538151931189</v>
      </c>
    </row>
    <row r="271" spans="1:26" s="23" customFormat="1" hidden="1" outlineLevel="2" x14ac:dyDescent="0.25">
      <c r="A271" s="27"/>
      <c r="B271" s="10" t="str">
        <f>CONCATENATE("          ", "6253", " - ", "ROYALTY DUE ATHLETICS-LRG")</f>
        <v xml:space="preserve">          6253 - ROYALTY DUE ATHLETICS-LRG</v>
      </c>
      <c r="C271" s="10"/>
      <c r="D271" s="6">
        <v>8961.48</v>
      </c>
      <c r="E271" s="2"/>
      <c r="F271" s="7">
        <f t="shared" si="117"/>
        <v>8.6278185309087967E-3</v>
      </c>
      <c r="G271" s="2"/>
      <c r="H271" s="6">
        <v>14555.51</v>
      </c>
      <c r="I271" s="2"/>
      <c r="J271" s="7">
        <f t="shared" si="118"/>
        <v>2.921573855602112E-2</v>
      </c>
      <c r="K271" s="2"/>
      <c r="L271" s="6">
        <f t="shared" si="119"/>
        <v>-5594.0300000000007</v>
      </c>
      <c r="M271" s="2"/>
      <c r="N271" s="7">
        <f t="shared" si="120"/>
        <v>-0.38432387460143963</v>
      </c>
      <c r="O271" s="10"/>
      <c r="P271" s="6">
        <v>35159.06</v>
      </c>
      <c r="Q271" s="2"/>
      <c r="R271" s="7">
        <f t="shared" si="121"/>
        <v>3.9049024434386378E-3</v>
      </c>
      <c r="S271" s="2"/>
      <c r="T271" s="6">
        <v>32870.44</v>
      </c>
      <c r="U271" s="2"/>
      <c r="V271" s="7">
        <f t="shared" si="122"/>
        <v>1.1933943903004952E-3</v>
      </c>
      <c r="W271" s="2"/>
      <c r="X271" s="6">
        <f t="shared" si="123"/>
        <v>2288.6199999999953</v>
      </c>
      <c r="Y271" s="2"/>
      <c r="Z271" s="7">
        <f t="shared" si="124"/>
        <v>6.962547504688088E-2</v>
      </c>
    </row>
    <row r="272" spans="1:26" s="23" customFormat="1" hidden="1" outlineLevel="2" x14ac:dyDescent="0.25">
      <c r="A272" s="27"/>
      <c r="B272" s="10" t="str">
        <f>CONCATENATE("          ", "6254", " - ", "ROYALTY &amp; COMMISSIONS")</f>
        <v xml:space="preserve">          6254 - ROYALTY &amp; COMMISSIONS</v>
      </c>
      <c r="C272" s="10"/>
      <c r="D272" s="6"/>
      <c r="E272" s="2"/>
      <c r="F272" s="7">
        <f t="shared" si="117"/>
        <v>0</v>
      </c>
      <c r="G272" s="2"/>
      <c r="H272" s="6"/>
      <c r="I272" s="2"/>
      <c r="J272" s="7">
        <f t="shared" si="118"/>
        <v>0</v>
      </c>
      <c r="K272" s="2"/>
      <c r="L272" s="6">
        <f t="shared" si="119"/>
        <v>0</v>
      </c>
      <c r="M272" s="2"/>
      <c r="N272" s="7">
        <f t="shared" si="120"/>
        <v>0</v>
      </c>
      <c r="O272" s="10"/>
      <c r="P272" s="6">
        <v>185.7</v>
      </c>
      <c r="Q272" s="2"/>
      <c r="R272" s="7">
        <f t="shared" si="121"/>
        <v>2.0624566861188981E-5</v>
      </c>
      <c r="S272" s="2"/>
      <c r="T272" s="6">
        <v>161620.87</v>
      </c>
      <c r="U272" s="2"/>
      <c r="V272" s="7">
        <f t="shared" si="122"/>
        <v>5.8678082682643001E-3</v>
      </c>
      <c r="W272" s="2"/>
      <c r="X272" s="6">
        <f t="shared" si="123"/>
        <v>-161435.16999999998</v>
      </c>
      <c r="Y272" s="2"/>
      <c r="Z272" s="7">
        <f t="shared" si="124"/>
        <v>-0.99885101472353166</v>
      </c>
    </row>
    <row r="273" spans="1:26" s="23" customFormat="1" hidden="1" outlineLevel="2" x14ac:dyDescent="0.25">
      <c r="A273" s="27"/>
      <c r="B273" s="10" t="str">
        <f>CONCATENATE("          ", "6259", " - ", "ROYALTY &amp; COMMISSIONS")</f>
        <v xml:space="preserve">          6259 - ROYALTY &amp; COMMISSIONS</v>
      </c>
      <c r="C273" s="10"/>
      <c r="D273" s="6">
        <v>2570.27</v>
      </c>
      <c r="E273" s="2"/>
      <c r="F273" s="7">
        <f t="shared" si="117"/>
        <v>2.4745715144640118E-3</v>
      </c>
      <c r="G273" s="2"/>
      <c r="H273" s="6">
        <v>5781.94</v>
      </c>
      <c r="I273" s="2"/>
      <c r="J273" s="7">
        <f t="shared" si="118"/>
        <v>1.1605477745994523E-2</v>
      </c>
      <c r="K273" s="2"/>
      <c r="L273" s="6">
        <f t="shared" si="119"/>
        <v>-3211.6699999999996</v>
      </c>
      <c r="M273" s="2"/>
      <c r="N273" s="7">
        <f t="shared" si="120"/>
        <v>-0.55546581251275517</v>
      </c>
      <c r="O273" s="10"/>
      <c r="P273" s="6">
        <v>13233.89</v>
      </c>
      <c r="Q273" s="2"/>
      <c r="R273" s="7">
        <f t="shared" si="121"/>
        <v>1.4698074805526132E-3</v>
      </c>
      <c r="S273" s="2"/>
      <c r="T273" s="6">
        <v>187277.7</v>
      </c>
      <c r="U273" s="2"/>
      <c r="V273" s="7">
        <f t="shared" si="122"/>
        <v>6.7993052909659582E-3</v>
      </c>
      <c r="W273" s="2"/>
      <c r="X273" s="6">
        <f t="shared" si="123"/>
        <v>-174043.81</v>
      </c>
      <c r="Y273" s="2"/>
      <c r="Z273" s="7">
        <f t="shared" si="124"/>
        <v>-0.92933547347068013</v>
      </c>
    </row>
    <row r="274" spans="1:26" s="26" customFormat="1" outlineLevel="1" collapsed="1" x14ac:dyDescent="0.25">
      <c r="A274" s="25"/>
      <c r="B274" s="12" t="str">
        <f>CONCATENATE("     ","Services                                          ")</f>
        <v xml:space="preserve">     Services                                          </v>
      </c>
      <c r="C274" s="12"/>
      <c r="D274" s="1">
        <f>SUM(OSRRefD22_20x_0)</f>
        <v>28061.86</v>
      </c>
      <c r="E274" s="1"/>
      <c r="F274" s="5">
        <f t="shared" ref="F274:F279" si="125">IF(D$12=0,0,D274/D$12)</f>
        <v>2.7017036886738389E-2</v>
      </c>
      <c r="G274" s="1"/>
      <c r="H274" s="1">
        <f>SUM(OSRRefH22_20x_0)</f>
        <v>15547.960000000001</v>
      </c>
      <c r="I274" s="1"/>
      <c r="J274" s="5">
        <f t="shared" ref="J274:J279" si="126">IF(H$12=0,0,H274/H$12)</f>
        <v>3.1207778665225346E-2</v>
      </c>
      <c r="K274" s="1"/>
      <c r="L274" s="1">
        <f t="shared" ref="L274:L279" si="127">+D274-H274</f>
        <v>12513.9</v>
      </c>
      <c r="M274" s="1"/>
      <c r="N274" s="5">
        <f t="shared" ref="N274:N279" si="128">IF(H274=0,0,L274/H274)</f>
        <v>0.80485800066375257</v>
      </c>
      <c r="O274" s="12"/>
      <c r="P274" s="1">
        <f>SUM(OSRRefP22_20x_0)</f>
        <v>214856.74000000002</v>
      </c>
      <c r="Q274" s="1"/>
      <c r="R274" s="5">
        <f t="shared" ref="R274:R279" si="129">IF(P$12=0,0,P274/P$12)</f>
        <v>2.3862828215977908E-2</v>
      </c>
      <c r="S274" s="1"/>
      <c r="T274" s="1">
        <f>SUM(OSRRefT22_20x_0)</f>
        <v>451087.23</v>
      </c>
      <c r="U274" s="1"/>
      <c r="V274" s="5">
        <f t="shared" ref="V274:V279" si="130">IF(T$12=0,0,T274/T$12)</f>
        <v>1.6377175657465774E-2</v>
      </c>
      <c r="W274" s="1"/>
      <c r="X274" s="1">
        <f t="shared" ref="X274:X279" si="131">+P274-T274</f>
        <v>-236230.48999999996</v>
      </c>
      <c r="Y274" s="1"/>
      <c r="Z274" s="5">
        <f t="shared" ref="Z274:Z279" si="132">IF(T274=0,0,X274/T274)</f>
        <v>-0.52369137117891806</v>
      </c>
    </row>
    <row r="275" spans="1:26" s="23" customFormat="1" hidden="1" outlineLevel="2" x14ac:dyDescent="0.25">
      <c r="A275" s="27"/>
      <c r="B275" s="10" t="str">
        <f>CONCATENATE("          ", "6282", " - ", "JANITORIAL/EXTERMINATOR EXPENS")</f>
        <v xml:space="preserve">          6282 - JANITORIAL/EXTERMINATOR EXPENS</v>
      </c>
      <c r="C275" s="10"/>
      <c r="D275" s="6">
        <v>4208.8100000000004</v>
      </c>
      <c r="E275" s="2"/>
      <c r="F275" s="7">
        <f t="shared" si="125"/>
        <v>4.0521039952188991E-3</v>
      </c>
      <c r="G275" s="2"/>
      <c r="H275" s="6">
        <v>1931.57</v>
      </c>
      <c r="I275" s="2"/>
      <c r="J275" s="7">
        <f t="shared" si="126"/>
        <v>3.8770365396096538E-3</v>
      </c>
      <c r="K275" s="2"/>
      <c r="L275" s="6">
        <f t="shared" si="127"/>
        <v>2277.2400000000007</v>
      </c>
      <c r="M275" s="2"/>
      <c r="N275" s="7">
        <f t="shared" si="128"/>
        <v>1.1789580496694403</v>
      </c>
      <c r="O275" s="10"/>
      <c r="P275" s="6">
        <v>34049.910000000003</v>
      </c>
      <c r="Q275" s="2"/>
      <c r="R275" s="7">
        <f t="shared" si="129"/>
        <v>3.7817159149836693E-3</v>
      </c>
      <c r="S275" s="2"/>
      <c r="T275" s="6">
        <v>38272.15</v>
      </c>
      <c r="U275" s="2"/>
      <c r="V275" s="7">
        <f t="shared" si="130"/>
        <v>1.3895089057140426E-3</v>
      </c>
      <c r="W275" s="2"/>
      <c r="X275" s="6">
        <f t="shared" si="131"/>
        <v>-4222.239999999998</v>
      </c>
      <c r="Y275" s="2"/>
      <c r="Z275" s="7">
        <f t="shared" si="132"/>
        <v>-0.11032147396997551</v>
      </c>
    </row>
    <row r="276" spans="1:26" s="23" customFormat="1" hidden="1" outlineLevel="2" x14ac:dyDescent="0.25">
      <c r="A276" s="27"/>
      <c r="B276" s="10" t="str">
        <f>CONCATENATE("          ", "6283", " - ", "PLANT SERVICE")</f>
        <v xml:space="preserve">          6283 - PLANT SERVICE</v>
      </c>
      <c r="C276" s="10"/>
      <c r="D276" s="6"/>
      <c r="E276" s="2"/>
      <c r="F276" s="7">
        <f t="shared" si="125"/>
        <v>0</v>
      </c>
      <c r="G276" s="2"/>
      <c r="H276" s="6">
        <v>399.56</v>
      </c>
      <c r="I276" s="2"/>
      <c r="J276" s="7">
        <f t="shared" si="126"/>
        <v>8.0199460530368217E-4</v>
      </c>
      <c r="K276" s="2"/>
      <c r="L276" s="6">
        <f t="shared" si="127"/>
        <v>-399.56</v>
      </c>
      <c r="M276" s="2"/>
      <c r="N276" s="7">
        <f t="shared" si="128"/>
        <v>-1</v>
      </c>
      <c r="O276" s="10"/>
      <c r="P276" s="6">
        <v>171.31</v>
      </c>
      <c r="Q276" s="2"/>
      <c r="R276" s="7">
        <f t="shared" si="129"/>
        <v>1.9026357291277785E-5</v>
      </c>
      <c r="S276" s="2"/>
      <c r="T276" s="6">
        <v>2340</v>
      </c>
      <c r="U276" s="2"/>
      <c r="V276" s="7">
        <f t="shared" si="130"/>
        <v>8.4956053928793131E-5</v>
      </c>
      <c r="W276" s="2"/>
      <c r="X276" s="6">
        <f t="shared" si="131"/>
        <v>-2168.69</v>
      </c>
      <c r="Y276" s="2"/>
      <c r="Z276" s="7">
        <f t="shared" si="132"/>
        <v>-0.92679059829059829</v>
      </c>
    </row>
    <row r="277" spans="1:26" s="23" customFormat="1" hidden="1" outlineLevel="2" x14ac:dyDescent="0.25">
      <c r="A277" s="27"/>
      <c r="B277" s="10" t="str">
        <f>CONCATENATE("          ", "6284", " - ", "TRASH REMOVAL EXPENSE")</f>
        <v xml:space="preserve">          6284 - TRASH REMOVAL EXPENSE</v>
      </c>
      <c r="C277" s="10"/>
      <c r="D277" s="6">
        <v>5800.57</v>
      </c>
      <c r="E277" s="2"/>
      <c r="F277" s="7">
        <f t="shared" si="125"/>
        <v>5.584598228845418E-3</v>
      </c>
      <c r="G277" s="2"/>
      <c r="H277" s="6">
        <v>5551.82</v>
      </c>
      <c r="I277" s="2"/>
      <c r="J277" s="7">
        <f t="shared" si="126"/>
        <v>1.1143582164423587E-2</v>
      </c>
      <c r="K277" s="2"/>
      <c r="L277" s="6">
        <f t="shared" si="127"/>
        <v>248.75</v>
      </c>
      <c r="M277" s="2"/>
      <c r="N277" s="7">
        <f t="shared" si="128"/>
        <v>4.4805126967372863E-2</v>
      </c>
      <c r="O277" s="10"/>
      <c r="P277" s="6">
        <v>28899.47</v>
      </c>
      <c r="Q277" s="2"/>
      <c r="R277" s="7">
        <f t="shared" si="129"/>
        <v>3.2096879443614711E-3</v>
      </c>
      <c r="S277" s="2"/>
      <c r="T277" s="6">
        <v>47648.2</v>
      </c>
      <c r="U277" s="2"/>
      <c r="V277" s="7">
        <f t="shared" si="130"/>
        <v>1.7299158328247524E-3</v>
      </c>
      <c r="W277" s="2"/>
      <c r="X277" s="6">
        <f t="shared" si="131"/>
        <v>-18748.729999999996</v>
      </c>
      <c r="Y277" s="2"/>
      <c r="Z277" s="7">
        <f t="shared" si="132"/>
        <v>-0.39348244005020122</v>
      </c>
    </row>
    <row r="278" spans="1:26" s="23" customFormat="1" hidden="1" outlineLevel="2" x14ac:dyDescent="0.25">
      <c r="A278" s="27"/>
      <c r="B278" s="10" t="str">
        <f>CONCATENATE("          ", "6285", " - ", "JANITORIAL SERVICES")</f>
        <v xml:space="preserve">          6285 - JANITORIAL SERVICES</v>
      </c>
      <c r="C278" s="10"/>
      <c r="D278" s="6">
        <v>16146.46</v>
      </c>
      <c r="E278" s="2"/>
      <c r="F278" s="7">
        <f t="shared" si="125"/>
        <v>1.5545281225487045E-2</v>
      </c>
      <c r="G278" s="2"/>
      <c r="H278" s="6">
        <v>6756.23</v>
      </c>
      <c r="I278" s="2"/>
      <c r="J278" s="7">
        <f t="shared" si="126"/>
        <v>1.3561067204402082E-2</v>
      </c>
      <c r="K278" s="2"/>
      <c r="L278" s="6">
        <f t="shared" si="127"/>
        <v>9390.23</v>
      </c>
      <c r="M278" s="2"/>
      <c r="N278" s="7">
        <f t="shared" si="128"/>
        <v>1.3898623936722108</v>
      </c>
      <c r="O278" s="10"/>
      <c r="P278" s="6">
        <v>136243.67000000001</v>
      </c>
      <c r="Q278" s="2"/>
      <c r="R278" s="7">
        <f t="shared" si="129"/>
        <v>1.5131753803601334E-2</v>
      </c>
      <c r="S278" s="2"/>
      <c r="T278" s="6">
        <v>288220.64</v>
      </c>
      <c r="U278" s="2"/>
      <c r="V278" s="7">
        <f t="shared" si="130"/>
        <v>1.0464140271466355E-2</v>
      </c>
      <c r="W278" s="2"/>
      <c r="X278" s="6">
        <f t="shared" si="131"/>
        <v>-151976.97</v>
      </c>
      <c r="Y278" s="2"/>
      <c r="Z278" s="7">
        <f t="shared" si="132"/>
        <v>-0.5272938468251267</v>
      </c>
    </row>
    <row r="279" spans="1:26" s="23" customFormat="1" hidden="1" outlineLevel="2" x14ac:dyDescent="0.25">
      <c r="A279" s="27"/>
      <c r="B279" s="10" t="str">
        <f>CONCATENATE("          ", "6286", " - ", "LAUNDRY EXPENSE")</f>
        <v xml:space="preserve">          6286 - LAUNDRY EXPENSE</v>
      </c>
      <c r="C279" s="10"/>
      <c r="D279" s="6">
        <v>1906.02</v>
      </c>
      <c r="E279" s="2"/>
      <c r="F279" s="7">
        <f t="shared" si="125"/>
        <v>1.8350534371870254E-3</v>
      </c>
      <c r="G279" s="2"/>
      <c r="H279" s="6">
        <v>908.78</v>
      </c>
      <c r="I279" s="2"/>
      <c r="J279" s="7">
        <f t="shared" si="126"/>
        <v>1.8240981514863355E-3</v>
      </c>
      <c r="K279" s="2"/>
      <c r="L279" s="6">
        <f t="shared" si="127"/>
        <v>997.24</v>
      </c>
      <c r="M279" s="2"/>
      <c r="N279" s="7">
        <f t="shared" si="128"/>
        <v>1.0973392900371928</v>
      </c>
      <c r="O279" s="10"/>
      <c r="P279" s="6">
        <v>15492.38</v>
      </c>
      <c r="Q279" s="2"/>
      <c r="R279" s="7">
        <f t="shared" si="129"/>
        <v>1.720644195740156E-3</v>
      </c>
      <c r="S279" s="2"/>
      <c r="T279" s="6">
        <v>74606.240000000005</v>
      </c>
      <c r="U279" s="2"/>
      <c r="V279" s="7">
        <f t="shared" si="130"/>
        <v>2.7086545935318305E-3</v>
      </c>
      <c r="W279" s="2"/>
      <c r="X279" s="6">
        <f t="shared" si="131"/>
        <v>-59113.860000000008</v>
      </c>
      <c r="Y279" s="2"/>
      <c r="Z279" s="7">
        <f t="shared" si="132"/>
        <v>-0.79234471540182172</v>
      </c>
    </row>
    <row r="280" spans="1:26" s="26" customFormat="1" outlineLevel="1" collapsed="1" x14ac:dyDescent="0.25">
      <c r="A280" s="25"/>
      <c r="B280" s="12" t="str">
        <f>CONCATENATE("     ","Subscriptions &amp; Dues                              ")</f>
        <v xml:space="preserve">     Subscriptions &amp; Dues                              </v>
      </c>
      <c r="C280" s="12"/>
      <c r="D280" s="1">
        <f>SUM(OSRRefD22_21x_0)</f>
        <v>2485.8000000000002</v>
      </c>
      <c r="E280" s="1"/>
      <c r="F280" s="5">
        <f t="shared" ref="F280:F282" si="133">IF(D$12=0,0,D280/D$12)</f>
        <v>2.3932465735718978E-3</v>
      </c>
      <c r="G280" s="1"/>
      <c r="H280" s="1">
        <f>SUM(OSRRefH22_21x_0)</f>
        <v>2181.33</v>
      </c>
      <c r="I280" s="1"/>
      <c r="J280" s="5">
        <f t="shared" ref="J280:J282" si="134">IF(H$12=0,0,H280/H$12)</f>
        <v>4.3783534197294046E-3</v>
      </c>
      <c r="K280" s="1"/>
      <c r="L280" s="1">
        <f t="shared" ref="L280:L282" si="135">+D280-H280</f>
        <v>304.47000000000025</v>
      </c>
      <c r="M280" s="1"/>
      <c r="N280" s="5">
        <f t="shared" ref="N280:N282" si="136">IF(H280=0,0,L280/H280)</f>
        <v>0.1395799810207535</v>
      </c>
      <c r="O280" s="12"/>
      <c r="P280" s="1">
        <f>SUM(OSRRefP22_21x_0)</f>
        <v>8531.2099999999991</v>
      </c>
      <c r="Q280" s="1"/>
      <c r="R280" s="5">
        <f t="shared" ref="R280:R282" si="137">IF(P$12=0,0,P280/P$12)</f>
        <v>9.4750948331633836E-4</v>
      </c>
      <c r="S280" s="1"/>
      <c r="T280" s="1">
        <f>SUM(OSRRefT22_21x_0)</f>
        <v>11749.099999999999</v>
      </c>
      <c r="U280" s="1"/>
      <c r="V280" s="5">
        <f t="shared" ref="V280:V282" si="138">IF(T$12=0,0,T280/T$12)</f>
        <v>4.2656289453623216E-4</v>
      </c>
      <c r="W280" s="1"/>
      <c r="X280" s="1">
        <f t="shared" ref="X280:X282" si="139">+P280-T280</f>
        <v>-3217.8899999999994</v>
      </c>
      <c r="Y280" s="1"/>
      <c r="Z280" s="5">
        <f t="shared" ref="Z280:Z282" si="140">IF(T280=0,0,X280/T280)</f>
        <v>-0.27388395706905211</v>
      </c>
    </row>
    <row r="281" spans="1:26" s="23" customFormat="1" hidden="1" outlineLevel="2" x14ac:dyDescent="0.25">
      <c r="A281" s="27"/>
      <c r="B281" s="10" t="str">
        <f>CONCATENATE("          ", "6258", " - ", "MEMBERSHIP DUES")</f>
        <v xml:space="preserve">          6258 - MEMBERSHIP DUES</v>
      </c>
      <c r="C281" s="10"/>
      <c r="D281" s="6">
        <v>328.71</v>
      </c>
      <c r="E281" s="2"/>
      <c r="F281" s="7">
        <f t="shared" si="133"/>
        <v>3.1647118883209365E-4</v>
      </c>
      <c r="G281" s="2"/>
      <c r="H281" s="6">
        <v>250</v>
      </c>
      <c r="I281" s="2"/>
      <c r="J281" s="7">
        <f t="shared" si="134"/>
        <v>5.0179860678226183E-4</v>
      </c>
      <c r="K281" s="2"/>
      <c r="L281" s="6">
        <f t="shared" si="135"/>
        <v>78.70999999999998</v>
      </c>
      <c r="M281" s="2"/>
      <c r="N281" s="7">
        <f t="shared" si="136"/>
        <v>0.3148399999999999</v>
      </c>
      <c r="O281" s="10"/>
      <c r="P281" s="6">
        <v>3230.23</v>
      </c>
      <c r="Q281" s="2"/>
      <c r="R281" s="7">
        <f t="shared" si="137"/>
        <v>3.5876195267645929E-4</v>
      </c>
      <c r="S281" s="2"/>
      <c r="T281" s="6">
        <v>3974.91</v>
      </c>
      <c r="U281" s="2"/>
      <c r="V281" s="7">
        <f t="shared" si="138"/>
        <v>1.4431310612055516E-4</v>
      </c>
      <c r="W281" s="2"/>
      <c r="X281" s="6">
        <f t="shared" si="139"/>
        <v>-744.67999999999984</v>
      </c>
      <c r="Y281" s="2"/>
      <c r="Z281" s="7">
        <f t="shared" si="140"/>
        <v>-0.18734512227949812</v>
      </c>
    </row>
    <row r="282" spans="1:26" s="23" customFormat="1" hidden="1" outlineLevel="2" x14ac:dyDescent="0.25">
      <c r="A282" s="27"/>
      <c r="B282" s="10" t="str">
        <f>CONCATENATE("          ", "6275", " - ", "SUBSCRIPTIONS")</f>
        <v xml:space="preserve">          6275 - SUBSCRIPTIONS</v>
      </c>
      <c r="C282" s="10"/>
      <c r="D282" s="6">
        <v>2157.09</v>
      </c>
      <c r="E282" s="2"/>
      <c r="F282" s="7">
        <f t="shared" si="133"/>
        <v>2.0767753847398037E-3</v>
      </c>
      <c r="G282" s="2"/>
      <c r="H282" s="6">
        <v>1931.33</v>
      </c>
      <c r="I282" s="2"/>
      <c r="J282" s="7">
        <f t="shared" si="134"/>
        <v>3.8765548129471427E-3</v>
      </c>
      <c r="K282" s="2"/>
      <c r="L282" s="6">
        <f t="shared" si="135"/>
        <v>225.76000000000022</v>
      </c>
      <c r="M282" s="2"/>
      <c r="N282" s="7">
        <f t="shared" si="136"/>
        <v>0.1168935396850876</v>
      </c>
      <c r="O282" s="10"/>
      <c r="P282" s="6">
        <v>5300.98</v>
      </c>
      <c r="Q282" s="2"/>
      <c r="R282" s="7">
        <f t="shared" si="137"/>
        <v>5.8874753063987918E-4</v>
      </c>
      <c r="S282" s="2"/>
      <c r="T282" s="6">
        <v>7774.19</v>
      </c>
      <c r="U282" s="2"/>
      <c r="V282" s="7">
        <f t="shared" si="138"/>
        <v>2.8224978841567702E-4</v>
      </c>
      <c r="W282" s="2"/>
      <c r="X282" s="6">
        <f t="shared" si="139"/>
        <v>-2473.21</v>
      </c>
      <c r="Y282" s="2"/>
      <c r="Z282" s="7">
        <f t="shared" si="140"/>
        <v>-0.31813089209293832</v>
      </c>
    </row>
    <row r="283" spans="1:26" s="26" customFormat="1" outlineLevel="1" collapsed="1" x14ac:dyDescent="0.25">
      <c r="A283" s="25"/>
      <c r="B283" s="12" t="str">
        <f>CONCATENATE("     ","Supplies                                          ")</f>
        <v xml:space="preserve">     Supplies                                          </v>
      </c>
      <c r="C283" s="12"/>
      <c r="D283" s="1">
        <f>SUM(OSRRefD22_22x_0)</f>
        <v>25115.9</v>
      </c>
      <c r="E283" s="1"/>
      <c r="F283" s="5">
        <f t="shared" ref="F283:F293" si="141">IF(D$12=0,0,D283/D$12)</f>
        <v>2.4180763382884551E-2</v>
      </c>
      <c r="G283" s="1"/>
      <c r="H283" s="1">
        <f>SUM(OSRRefH22_22x_0)</f>
        <v>10399.669999999998</v>
      </c>
      <c r="I283" s="1"/>
      <c r="J283" s="5">
        <f t="shared" ref="J283:J293" si="142">IF(H$12=0,0,H283/H$12)</f>
        <v>2.0874159667981135E-2</v>
      </c>
      <c r="K283" s="1"/>
      <c r="L283" s="1">
        <f t="shared" ref="L283:L293" si="143">+D283-H283</f>
        <v>14716.230000000003</v>
      </c>
      <c r="M283" s="1"/>
      <c r="N283" s="5">
        <f t="shared" ref="N283:N293" si="144">IF(H283=0,0,L283/H283)</f>
        <v>1.4150670165495642</v>
      </c>
      <c r="O283" s="12"/>
      <c r="P283" s="1">
        <f>SUM(OSRRefP22_22x_0)</f>
        <v>273896.88</v>
      </c>
      <c r="Q283" s="1"/>
      <c r="R283" s="5">
        <f t="shared" ref="R283:R293" si="145">IF(P$12=0,0,P283/P$12)</f>
        <v>3.0420056621599651E-2</v>
      </c>
      <c r="S283" s="1"/>
      <c r="T283" s="1">
        <f>SUM(OSRRefT22_22x_0)</f>
        <v>522949.56999999995</v>
      </c>
      <c r="U283" s="1"/>
      <c r="V283" s="5">
        <f t="shared" ref="V283:V293" si="146">IF(T$12=0,0,T283/T$12)</f>
        <v>1.8986210201264602E-2</v>
      </c>
      <c r="W283" s="1"/>
      <c r="X283" s="1">
        <f t="shared" ref="X283:X293" si="147">+P283-T283</f>
        <v>-249052.68999999994</v>
      </c>
      <c r="Y283" s="1"/>
      <c r="Z283" s="5">
        <f t="shared" ref="Z283:Z293" si="148">IF(T283=0,0,X283/T283)</f>
        <v>-0.47624609386331451</v>
      </c>
    </row>
    <row r="284" spans="1:26" s="23" customFormat="1" hidden="1" outlineLevel="2" x14ac:dyDescent="0.25">
      <c r="A284" s="27"/>
      <c r="B284" s="10" t="str">
        <f>CONCATENATE("          ", "6234", " - ", "EXPENDABLE SUPPLIES &amp; EQUIPMEN")</f>
        <v xml:space="preserve">          6234 - EXPENDABLE SUPPLIES &amp; EQUIPMEN</v>
      </c>
      <c r="C284" s="10"/>
      <c r="D284" s="6">
        <v>79.25</v>
      </c>
      <c r="E284" s="2"/>
      <c r="F284" s="7">
        <f t="shared" si="141"/>
        <v>7.6299296385699928E-5</v>
      </c>
      <c r="G284" s="2"/>
      <c r="H284" s="6">
        <v>282.17</v>
      </c>
      <c r="I284" s="2"/>
      <c r="J284" s="7">
        <f t="shared" si="142"/>
        <v>5.6637005150300332E-4</v>
      </c>
      <c r="K284" s="2"/>
      <c r="L284" s="6">
        <f t="shared" si="143"/>
        <v>-202.92000000000002</v>
      </c>
      <c r="M284" s="2"/>
      <c r="N284" s="7">
        <f t="shared" si="144"/>
        <v>-0.71914094340291312</v>
      </c>
      <c r="O284" s="10"/>
      <c r="P284" s="6">
        <v>2387.48</v>
      </c>
      <c r="Q284" s="2"/>
      <c r="R284" s="7">
        <f t="shared" si="145"/>
        <v>2.6516284808697618E-4</v>
      </c>
      <c r="S284" s="2"/>
      <c r="T284" s="6">
        <v>19752.36</v>
      </c>
      <c r="U284" s="2"/>
      <c r="V284" s="7">
        <f t="shared" si="146"/>
        <v>7.1712929973544279E-4</v>
      </c>
      <c r="W284" s="2"/>
      <c r="X284" s="6">
        <f t="shared" si="147"/>
        <v>-17364.88</v>
      </c>
      <c r="Y284" s="2"/>
      <c r="Z284" s="7">
        <f t="shared" si="148"/>
        <v>-0.87912937998294893</v>
      </c>
    </row>
    <row r="285" spans="1:26" s="23" customFormat="1" hidden="1" outlineLevel="2" x14ac:dyDescent="0.25">
      <c r="A285" s="27"/>
      <c r="B285" s="10" t="str">
        <f>CONCATENATE("          ", "6235", " - ", "COVID-19 EXPENSES")</f>
        <v xml:space="preserve">          6235 - COVID-19 EXPENSES</v>
      </c>
      <c r="C285" s="10"/>
      <c r="D285" s="6">
        <v>6394.44</v>
      </c>
      <c r="E285" s="2"/>
      <c r="F285" s="7">
        <f t="shared" si="141"/>
        <v>6.156356754329022E-3</v>
      </c>
      <c r="G285" s="2"/>
      <c r="H285" s="6"/>
      <c r="I285" s="2"/>
      <c r="J285" s="7">
        <f t="shared" si="142"/>
        <v>0</v>
      </c>
      <c r="K285" s="2"/>
      <c r="L285" s="6">
        <f t="shared" si="143"/>
        <v>6394.44</v>
      </c>
      <c r="M285" s="2"/>
      <c r="N285" s="7">
        <f t="shared" si="144"/>
        <v>0</v>
      </c>
      <c r="O285" s="10"/>
      <c r="P285" s="6">
        <v>105383.24</v>
      </c>
      <c r="Q285" s="2"/>
      <c r="R285" s="7">
        <f t="shared" si="145"/>
        <v>1.1704273987230616E-2</v>
      </c>
      <c r="S285" s="2"/>
      <c r="T285" s="6"/>
      <c r="U285" s="2"/>
      <c r="V285" s="7">
        <f t="shared" si="146"/>
        <v>0</v>
      </c>
      <c r="W285" s="2"/>
      <c r="X285" s="6">
        <f t="shared" si="147"/>
        <v>105383.24</v>
      </c>
      <c r="Y285" s="2"/>
      <c r="Z285" s="7">
        <f t="shared" si="148"/>
        <v>0</v>
      </c>
    </row>
    <row r="286" spans="1:26" s="23" customFormat="1" hidden="1" outlineLevel="2" x14ac:dyDescent="0.25">
      <c r="A286" s="27"/>
      <c r="B286" s="10" t="str">
        <f>CONCATENATE("          ", "6237", " - ", "JANITORIAL SUPPLIES")</f>
        <v xml:space="preserve">          6237 - JANITORIAL SUPPLIES</v>
      </c>
      <c r="C286" s="10"/>
      <c r="D286" s="6">
        <v>2490.7399999999998</v>
      </c>
      <c r="E286" s="2"/>
      <c r="F286" s="7">
        <f t="shared" si="141"/>
        <v>2.3980026432772012E-3</v>
      </c>
      <c r="G286" s="2"/>
      <c r="H286" s="6">
        <v>1954.97</v>
      </c>
      <c r="I286" s="2"/>
      <c r="J286" s="7">
        <f t="shared" si="142"/>
        <v>3.924004889204474E-3</v>
      </c>
      <c r="K286" s="2"/>
      <c r="L286" s="6">
        <f t="shared" si="143"/>
        <v>535.76999999999975</v>
      </c>
      <c r="M286" s="2"/>
      <c r="N286" s="7">
        <f t="shared" si="144"/>
        <v>0.27405535634817912</v>
      </c>
      <c r="O286" s="10"/>
      <c r="P286" s="6">
        <v>25907.75</v>
      </c>
      <c r="Q286" s="2"/>
      <c r="R286" s="7">
        <f t="shared" si="145"/>
        <v>2.8774158432847002E-3</v>
      </c>
      <c r="S286" s="2"/>
      <c r="T286" s="6">
        <v>131288.93</v>
      </c>
      <c r="U286" s="2"/>
      <c r="V286" s="7">
        <f t="shared" si="146"/>
        <v>4.7665766740741643E-3</v>
      </c>
      <c r="W286" s="2"/>
      <c r="X286" s="6">
        <f t="shared" si="147"/>
        <v>-105381.18</v>
      </c>
      <c r="Y286" s="2"/>
      <c r="Z286" s="7">
        <f t="shared" si="148"/>
        <v>-0.80266615014685549</v>
      </c>
    </row>
    <row r="287" spans="1:26" s="23" customFormat="1" hidden="1" outlineLevel="2" x14ac:dyDescent="0.25">
      <c r="A287" s="27"/>
      <c r="B287" s="10" t="str">
        <f>CONCATENATE("          ", "6239", " - ", "KITCHEN SUPPLIES")</f>
        <v xml:space="preserve">          6239 - KITCHEN SUPPLIES</v>
      </c>
      <c r="C287" s="10"/>
      <c r="D287" s="6">
        <v>160.30000000000001</v>
      </c>
      <c r="E287" s="2"/>
      <c r="F287" s="7">
        <f t="shared" si="141"/>
        <v>1.5433157363568074E-4</v>
      </c>
      <c r="G287" s="2"/>
      <c r="H287" s="6">
        <v>390.29</v>
      </c>
      <c r="I287" s="2"/>
      <c r="J287" s="7">
        <f t="shared" si="142"/>
        <v>7.8338791296419597E-4</v>
      </c>
      <c r="K287" s="2"/>
      <c r="L287" s="6">
        <f t="shared" si="143"/>
        <v>-229.99</v>
      </c>
      <c r="M287" s="2"/>
      <c r="N287" s="7">
        <f t="shared" si="144"/>
        <v>-0.58927976632760259</v>
      </c>
      <c r="O287" s="10"/>
      <c r="P287" s="6">
        <v>7267.21</v>
      </c>
      <c r="Q287" s="2"/>
      <c r="R287" s="7">
        <f t="shared" si="145"/>
        <v>8.0712470942003866E-4</v>
      </c>
      <c r="S287" s="2"/>
      <c r="T287" s="6">
        <v>72765.33</v>
      </c>
      <c r="U287" s="2"/>
      <c r="V287" s="7">
        <f t="shared" si="146"/>
        <v>2.6418185041138585E-3</v>
      </c>
      <c r="W287" s="2"/>
      <c r="X287" s="6">
        <f t="shared" si="147"/>
        <v>-65498.12</v>
      </c>
      <c r="Y287" s="2"/>
      <c r="Z287" s="7">
        <f t="shared" si="148"/>
        <v>-0.90012812420420552</v>
      </c>
    </row>
    <row r="288" spans="1:26" s="23" customFormat="1" hidden="1" outlineLevel="2" x14ac:dyDescent="0.25">
      <c r="A288" s="27"/>
      <c r="B288" s="10" t="str">
        <f>CONCATENATE("          ", "6241", " - ", "OFFICE EXPENSE")</f>
        <v xml:space="preserve">          6241 - OFFICE EXPENSE</v>
      </c>
      <c r="C288" s="10"/>
      <c r="D288" s="6">
        <v>4733.1099999999997</v>
      </c>
      <c r="E288" s="2"/>
      <c r="F288" s="7">
        <f t="shared" si="141"/>
        <v>4.5568828102980456E-3</v>
      </c>
      <c r="G288" s="2"/>
      <c r="H288" s="6">
        <v>1783.46</v>
      </c>
      <c r="I288" s="2"/>
      <c r="J288" s="7">
        <f t="shared" si="142"/>
        <v>3.5797509730075708E-3</v>
      </c>
      <c r="K288" s="2"/>
      <c r="L288" s="6">
        <f t="shared" si="143"/>
        <v>2949.6499999999996</v>
      </c>
      <c r="M288" s="2"/>
      <c r="N288" s="7">
        <f t="shared" si="144"/>
        <v>1.653891873100602</v>
      </c>
      <c r="O288" s="10"/>
      <c r="P288" s="6">
        <v>36428.6</v>
      </c>
      <c r="Q288" s="2"/>
      <c r="R288" s="7">
        <f t="shared" si="145"/>
        <v>4.0459025113597684E-3</v>
      </c>
      <c r="S288" s="2"/>
      <c r="T288" s="6">
        <v>97063.09</v>
      </c>
      <c r="U288" s="2"/>
      <c r="V288" s="7">
        <f t="shared" si="146"/>
        <v>3.5239731233056839E-3</v>
      </c>
      <c r="W288" s="2"/>
      <c r="X288" s="6">
        <f t="shared" si="147"/>
        <v>-60634.49</v>
      </c>
      <c r="Y288" s="2"/>
      <c r="Z288" s="7">
        <f t="shared" si="148"/>
        <v>-0.62469152795362271</v>
      </c>
    </row>
    <row r="289" spans="1:26" s="23" customFormat="1" hidden="1" outlineLevel="2" x14ac:dyDescent="0.25">
      <c r="A289" s="27"/>
      <c r="B289" s="10" t="str">
        <f>CONCATENATE("          ", "6243", " - ", "PAPER SUPPLIES")</f>
        <v xml:space="preserve">          6243 - PAPER SUPPLIES</v>
      </c>
      <c r="C289" s="10"/>
      <c r="D289" s="6">
        <v>7329.22</v>
      </c>
      <c r="E289" s="2"/>
      <c r="F289" s="7">
        <f t="shared" si="141"/>
        <v>7.0563322278359569E-3</v>
      </c>
      <c r="G289" s="2"/>
      <c r="H289" s="6">
        <v>2673.14</v>
      </c>
      <c r="I289" s="2"/>
      <c r="J289" s="7">
        <f t="shared" si="142"/>
        <v>5.3655117109357416E-3</v>
      </c>
      <c r="K289" s="2"/>
      <c r="L289" s="6">
        <f t="shared" si="143"/>
        <v>4656.08</v>
      </c>
      <c r="M289" s="2"/>
      <c r="N289" s="7">
        <f t="shared" si="144"/>
        <v>1.7418017761883029</v>
      </c>
      <c r="O289" s="10"/>
      <c r="P289" s="6">
        <v>42313.83</v>
      </c>
      <c r="Q289" s="2"/>
      <c r="R289" s="7">
        <f t="shared" si="145"/>
        <v>4.6995391275604969E-3</v>
      </c>
      <c r="S289" s="2"/>
      <c r="T289" s="6">
        <v>110699.57</v>
      </c>
      <c r="U289" s="2"/>
      <c r="V289" s="7">
        <f t="shared" si="146"/>
        <v>4.0190592473565E-3</v>
      </c>
      <c r="W289" s="2"/>
      <c r="X289" s="6">
        <f t="shared" si="147"/>
        <v>-68385.740000000005</v>
      </c>
      <c r="Y289" s="2"/>
      <c r="Z289" s="7">
        <f t="shared" si="148"/>
        <v>-0.61775976184912007</v>
      </c>
    </row>
    <row r="290" spans="1:26" s="23" customFormat="1" hidden="1" outlineLevel="2" x14ac:dyDescent="0.25">
      <c r="A290" s="27"/>
      <c r="B290" s="10" t="str">
        <f>CONCATENATE("          ", "6245", " - ", "PRINTING")</f>
        <v xml:space="preserve">          6245 - PRINTING</v>
      </c>
      <c r="C290" s="10"/>
      <c r="D290" s="6">
        <v>1766.38</v>
      </c>
      <c r="E290" s="2"/>
      <c r="F290" s="7">
        <f t="shared" si="141"/>
        <v>1.7006126328047021E-3</v>
      </c>
      <c r="G290" s="2"/>
      <c r="H290" s="6">
        <v>485.1</v>
      </c>
      <c r="I290" s="2"/>
      <c r="J290" s="7">
        <f t="shared" si="142"/>
        <v>9.7369001660030092E-4</v>
      </c>
      <c r="K290" s="2"/>
      <c r="L290" s="6">
        <f t="shared" si="143"/>
        <v>1281.2800000000002</v>
      </c>
      <c r="M290" s="2"/>
      <c r="N290" s="7">
        <f t="shared" si="144"/>
        <v>2.6412698412698417</v>
      </c>
      <c r="O290" s="10"/>
      <c r="P290" s="6">
        <v>3120.59</v>
      </c>
      <c r="Q290" s="2"/>
      <c r="R290" s="7">
        <f t="shared" si="145"/>
        <v>3.4658490630779605E-4</v>
      </c>
      <c r="S290" s="2"/>
      <c r="T290" s="6">
        <v>12729.43</v>
      </c>
      <c r="U290" s="2"/>
      <c r="V290" s="7">
        <f t="shared" si="146"/>
        <v>4.6215476135162269E-4</v>
      </c>
      <c r="W290" s="2"/>
      <c r="X290" s="6">
        <f t="shared" si="147"/>
        <v>-9608.84</v>
      </c>
      <c r="Y290" s="2"/>
      <c r="Z290" s="7">
        <f t="shared" si="148"/>
        <v>-0.7548523382429535</v>
      </c>
    </row>
    <row r="291" spans="1:26" s="23" customFormat="1" hidden="1" outlineLevel="2" x14ac:dyDescent="0.25">
      <c r="A291" s="27"/>
      <c r="B291" s="10" t="str">
        <f>CONCATENATE("          ", "6246", " - ", "REPLACEMENTS")</f>
        <v xml:space="preserve">          6246 - REPLACEMENTS</v>
      </c>
      <c r="C291" s="10"/>
      <c r="D291" s="6"/>
      <c r="E291" s="2"/>
      <c r="F291" s="7">
        <f t="shared" si="141"/>
        <v>0</v>
      </c>
      <c r="G291" s="2"/>
      <c r="H291" s="6"/>
      <c r="I291" s="2"/>
      <c r="J291" s="7">
        <f t="shared" si="142"/>
        <v>0</v>
      </c>
      <c r="K291" s="2"/>
      <c r="L291" s="6">
        <f t="shared" si="143"/>
        <v>0</v>
      </c>
      <c r="M291" s="2"/>
      <c r="N291" s="7">
        <f t="shared" si="144"/>
        <v>0</v>
      </c>
      <c r="O291" s="10"/>
      <c r="P291" s="6"/>
      <c r="Q291" s="2"/>
      <c r="R291" s="7">
        <f t="shared" si="145"/>
        <v>0</v>
      </c>
      <c r="S291" s="2"/>
      <c r="T291" s="6">
        <v>25.87</v>
      </c>
      <c r="U291" s="2"/>
      <c r="V291" s="7">
        <f t="shared" si="146"/>
        <v>9.3923637399054623E-7</v>
      </c>
      <c r="W291" s="2"/>
      <c r="X291" s="6">
        <f t="shared" si="147"/>
        <v>-25.87</v>
      </c>
      <c r="Y291" s="2"/>
      <c r="Z291" s="7">
        <f t="shared" si="148"/>
        <v>-1</v>
      </c>
    </row>
    <row r="292" spans="1:26" s="23" customFormat="1" hidden="1" outlineLevel="2" x14ac:dyDescent="0.25">
      <c r="A292" s="27"/>
      <c r="B292" s="10" t="str">
        <f>CONCATENATE("          ", "6247", " - ", "STORE SUPPLIES")</f>
        <v xml:space="preserve">          6247 - STORE SUPPLIES</v>
      </c>
      <c r="C292" s="10"/>
      <c r="D292" s="6">
        <v>2162.46</v>
      </c>
      <c r="E292" s="2"/>
      <c r="F292" s="7">
        <f t="shared" si="141"/>
        <v>2.0819454443182419E-3</v>
      </c>
      <c r="G292" s="2"/>
      <c r="H292" s="6">
        <v>2786.63</v>
      </c>
      <c r="I292" s="2"/>
      <c r="J292" s="7">
        <f t="shared" si="142"/>
        <v>5.5933082064706175E-3</v>
      </c>
      <c r="K292" s="2"/>
      <c r="L292" s="6">
        <f t="shared" si="143"/>
        <v>-624.17000000000007</v>
      </c>
      <c r="M292" s="2"/>
      <c r="N292" s="7">
        <f t="shared" si="144"/>
        <v>-0.22398739696335718</v>
      </c>
      <c r="O292" s="10"/>
      <c r="P292" s="6">
        <v>46587.59</v>
      </c>
      <c r="Q292" s="2"/>
      <c r="R292" s="7">
        <f t="shared" si="145"/>
        <v>5.174199595350884E-3</v>
      </c>
      <c r="S292" s="2"/>
      <c r="T292" s="6">
        <v>73830.880000000005</v>
      </c>
      <c r="U292" s="2"/>
      <c r="V292" s="7">
        <f t="shared" si="146"/>
        <v>2.680504368756519E-3</v>
      </c>
      <c r="W292" s="2"/>
      <c r="X292" s="6">
        <f t="shared" si="147"/>
        <v>-27243.290000000008</v>
      </c>
      <c r="Y292" s="2"/>
      <c r="Z292" s="7">
        <f t="shared" si="148"/>
        <v>-0.36899587272967632</v>
      </c>
    </row>
    <row r="293" spans="1:26" s="23" customFormat="1" hidden="1" outlineLevel="2" x14ac:dyDescent="0.25">
      <c r="A293" s="27"/>
      <c r="B293" s="10" t="str">
        <f>CONCATENATE("          ", "6248", " - ", "UNIFORMS")</f>
        <v xml:space="preserve">          6248 - UNIFORMS</v>
      </c>
      <c r="C293" s="10"/>
      <c r="D293" s="6"/>
      <c r="E293" s="2"/>
      <c r="F293" s="7">
        <f t="shared" si="141"/>
        <v>0</v>
      </c>
      <c r="G293" s="2"/>
      <c r="H293" s="6">
        <v>43.91</v>
      </c>
      <c r="I293" s="2"/>
      <c r="J293" s="7">
        <f t="shared" si="142"/>
        <v>8.8135907295236454E-5</v>
      </c>
      <c r="K293" s="2"/>
      <c r="L293" s="6">
        <f t="shared" si="143"/>
        <v>-43.91</v>
      </c>
      <c r="M293" s="2"/>
      <c r="N293" s="7">
        <f t="shared" si="144"/>
        <v>-1</v>
      </c>
      <c r="O293" s="10"/>
      <c r="P293" s="6">
        <v>4500.59</v>
      </c>
      <c r="Q293" s="2"/>
      <c r="R293" s="7">
        <f t="shared" si="145"/>
        <v>4.9985309299837655E-4</v>
      </c>
      <c r="S293" s="2"/>
      <c r="T293" s="6">
        <v>4794.1099999999997</v>
      </c>
      <c r="U293" s="2"/>
      <c r="V293" s="7">
        <f t="shared" si="146"/>
        <v>1.7405498619682324E-4</v>
      </c>
      <c r="W293" s="2"/>
      <c r="X293" s="6">
        <f t="shared" si="147"/>
        <v>-293.51999999999953</v>
      </c>
      <c r="Y293" s="2"/>
      <c r="Z293" s="7">
        <f t="shared" si="148"/>
        <v>-6.1225128334560439E-2</v>
      </c>
    </row>
    <row r="294" spans="1:26" s="26" customFormat="1" outlineLevel="1" collapsed="1" x14ac:dyDescent="0.25">
      <c r="A294" s="25"/>
      <c r="B294" s="12" t="str">
        <f>CONCATENATE("     ","Telephone/Data Lines                              ")</f>
        <v xml:space="preserve">     Telephone/Data Lines                              </v>
      </c>
      <c r="C294" s="12"/>
      <c r="D294" s="1">
        <f>SUM(OSRRefD22_23x_0)</f>
        <v>3143.26</v>
      </c>
      <c r="E294" s="1"/>
      <c r="F294" s="5">
        <f t="shared" ref="F294:F296" si="149">IF(D$12=0,0,D294/D$12)</f>
        <v>3.026227461921958E-3</v>
      </c>
      <c r="G294" s="1"/>
      <c r="H294" s="1">
        <f>SUM(OSRRefH22_23x_0)</f>
        <v>5933.52</v>
      </c>
      <c r="I294" s="1"/>
      <c r="J294" s="5">
        <f t="shared" ref="J294:J296" si="150">IF(H$12=0,0,H294/H$12)</f>
        <v>1.1909728277258745E-2</v>
      </c>
      <c r="K294" s="1"/>
      <c r="L294" s="1">
        <f t="shared" ref="L294:L296" si="151">+D294-H294</f>
        <v>-2790.26</v>
      </c>
      <c r="M294" s="1"/>
      <c r="N294" s="5">
        <f t="shared" ref="N294:N296" si="152">IF(H294=0,0,L294/H294)</f>
        <v>-0.47025374482600546</v>
      </c>
      <c r="O294" s="12"/>
      <c r="P294" s="1">
        <f>SUM(OSRRefP22_23x_0)</f>
        <v>40647.629999999997</v>
      </c>
      <c r="Q294" s="1"/>
      <c r="R294" s="5">
        <f t="shared" ref="R294:R296" si="153">IF(P$12=0,0,P294/P$12)</f>
        <v>4.5144844517171299E-3</v>
      </c>
      <c r="S294" s="1"/>
      <c r="T294" s="1">
        <f>SUM(OSRRefT22_23x_0)</f>
        <v>59075.63</v>
      </c>
      <c r="U294" s="1"/>
      <c r="V294" s="5">
        <f t="shared" ref="V294:V296" si="154">IF(T$12=0,0,T294/T$12)</f>
        <v>2.1448001744262517E-3</v>
      </c>
      <c r="W294" s="1"/>
      <c r="X294" s="1">
        <f t="shared" ref="X294:X296" si="155">+P294-T294</f>
        <v>-18428</v>
      </c>
      <c r="Y294" s="1"/>
      <c r="Z294" s="5">
        <f t="shared" ref="Z294:Z296" si="156">IF(T294=0,0,X294/T294)</f>
        <v>-0.31193911939661079</v>
      </c>
    </row>
    <row r="295" spans="1:26" s="23" customFormat="1" hidden="1" outlineLevel="2" x14ac:dyDescent="0.25">
      <c r="A295" s="27"/>
      <c r="B295" s="10" t="str">
        <f>CONCATENATE("          ", "6303", " - ", "DATA PHONE LINES")</f>
        <v xml:space="preserve">          6303 - DATA PHONE LINES</v>
      </c>
      <c r="C295" s="10"/>
      <c r="D295" s="6">
        <v>590</v>
      </c>
      <c r="E295" s="2"/>
      <c r="F295" s="7">
        <f t="shared" si="149"/>
        <v>5.6803261662540004E-4</v>
      </c>
      <c r="G295" s="2"/>
      <c r="H295" s="6"/>
      <c r="I295" s="2"/>
      <c r="J295" s="7">
        <f t="shared" si="150"/>
        <v>0</v>
      </c>
      <c r="K295" s="2"/>
      <c r="L295" s="6">
        <f t="shared" si="151"/>
        <v>590</v>
      </c>
      <c r="M295" s="2"/>
      <c r="N295" s="7">
        <f t="shared" si="152"/>
        <v>0</v>
      </c>
      <c r="O295" s="10"/>
      <c r="P295" s="6">
        <v>3540</v>
      </c>
      <c r="Q295" s="2"/>
      <c r="R295" s="7">
        <f t="shared" si="153"/>
        <v>3.9316621803235863E-4</v>
      </c>
      <c r="S295" s="2"/>
      <c r="T295" s="6">
        <v>2360</v>
      </c>
      <c r="U295" s="2"/>
      <c r="V295" s="7">
        <f t="shared" si="154"/>
        <v>8.5682174047842637E-5</v>
      </c>
      <c r="W295" s="2"/>
      <c r="X295" s="6">
        <f t="shared" si="155"/>
        <v>1180</v>
      </c>
      <c r="Y295" s="2"/>
      <c r="Z295" s="7">
        <f t="shared" si="156"/>
        <v>0.5</v>
      </c>
    </row>
    <row r="296" spans="1:26" s="23" customFormat="1" hidden="1" outlineLevel="2" x14ac:dyDescent="0.25">
      <c r="A296" s="27"/>
      <c r="B296" s="10" t="str">
        <f>CONCATENATE("          ", "6309", " - ", "TELEPHONE")</f>
        <v xml:space="preserve">          6309 - TELEPHONE</v>
      </c>
      <c r="C296" s="10"/>
      <c r="D296" s="6">
        <v>2553.2600000000002</v>
      </c>
      <c r="E296" s="2"/>
      <c r="F296" s="7">
        <f t="shared" si="149"/>
        <v>2.4581948452965579E-3</v>
      </c>
      <c r="G296" s="2"/>
      <c r="H296" s="6">
        <v>5933.52</v>
      </c>
      <c r="I296" s="2"/>
      <c r="J296" s="7">
        <f t="shared" si="150"/>
        <v>1.1909728277258745E-2</v>
      </c>
      <c r="K296" s="2"/>
      <c r="L296" s="6">
        <f t="shared" si="151"/>
        <v>-3380.26</v>
      </c>
      <c r="M296" s="2"/>
      <c r="N296" s="7">
        <f t="shared" si="152"/>
        <v>-0.56968881877873501</v>
      </c>
      <c r="O296" s="10"/>
      <c r="P296" s="6">
        <v>37107.629999999997</v>
      </c>
      <c r="Q296" s="2"/>
      <c r="R296" s="7">
        <f t="shared" si="153"/>
        <v>4.1213182336847717E-3</v>
      </c>
      <c r="S296" s="2"/>
      <c r="T296" s="6">
        <v>56715.63</v>
      </c>
      <c r="U296" s="2"/>
      <c r="V296" s="7">
        <f t="shared" si="154"/>
        <v>2.0591180003784091E-3</v>
      </c>
      <c r="W296" s="2"/>
      <c r="X296" s="6">
        <f t="shared" si="155"/>
        <v>-19608</v>
      </c>
      <c r="Y296" s="2"/>
      <c r="Z296" s="7">
        <f t="shared" si="156"/>
        <v>-0.34572480284535323</v>
      </c>
    </row>
    <row r="297" spans="1:26" s="26" customFormat="1" outlineLevel="1" collapsed="1" x14ac:dyDescent="0.25">
      <c r="A297" s="25"/>
      <c r="B297" s="12" t="str">
        <f>CONCATENATE("     ","Training                                          ")</f>
        <v xml:space="preserve">     Training                                          </v>
      </c>
      <c r="C297" s="12"/>
      <c r="D297" s="1">
        <f>SUM(OSRRefD22_24x_0)</f>
        <v>0</v>
      </c>
      <c r="E297" s="1"/>
      <c r="F297" s="5">
        <f t="shared" ref="F297:F302" si="157">IF(D$12=0,0,D297/D$12)</f>
        <v>0</v>
      </c>
      <c r="G297" s="1"/>
      <c r="H297" s="1">
        <f>SUM(OSRRefH22_24x_0)</f>
        <v>2645</v>
      </c>
      <c r="I297" s="1"/>
      <c r="J297" s="5">
        <f t="shared" ref="J297:J302" si="158">IF(H$12=0,0,H297/H$12)</f>
        <v>5.30902925975633E-3</v>
      </c>
      <c r="K297" s="1"/>
      <c r="L297" s="1">
        <f t="shared" ref="L297:L302" si="159">+D297-H297</f>
        <v>-2645</v>
      </c>
      <c r="M297" s="1"/>
      <c r="N297" s="5">
        <f t="shared" ref="N297:N302" si="160">IF(H297=0,0,L297/H297)</f>
        <v>-1</v>
      </c>
      <c r="O297" s="12"/>
      <c r="P297" s="1">
        <f>SUM(OSRRefP22_24x_0)</f>
        <v>2181.86</v>
      </c>
      <c r="Q297" s="1"/>
      <c r="R297" s="5">
        <f t="shared" ref="R297:R302" si="161">IF(P$12=0,0,P297/P$12)</f>
        <v>2.4232588827007966E-4</v>
      </c>
      <c r="S297" s="1"/>
      <c r="T297" s="1">
        <f>SUM(OSRRefT22_24x_0)</f>
        <v>35410.11</v>
      </c>
      <c r="U297" s="1"/>
      <c r="V297" s="5">
        <f t="shared" ref="V297:V302" si="162">IF(T$12=0,0,T297/T$12)</f>
        <v>1.2855996644378191E-3</v>
      </c>
      <c r="W297" s="1"/>
      <c r="X297" s="1">
        <f t="shared" ref="X297:X302" si="163">+P297-T297</f>
        <v>-33228.25</v>
      </c>
      <c r="Y297" s="1"/>
      <c r="Z297" s="5">
        <f t="shared" ref="Z297:Z302" si="164">IF(T297=0,0,X297/T297)</f>
        <v>-0.93838313408232843</v>
      </c>
    </row>
    <row r="298" spans="1:26" s="23" customFormat="1" hidden="1" outlineLevel="2" x14ac:dyDescent="0.25">
      <c r="A298" s="27"/>
      <c r="B298" s="10" t="str">
        <f>CONCATENATE("          ", "6376", " - ", "TRAINING")</f>
        <v xml:space="preserve">          6376 - TRAINING</v>
      </c>
      <c r="C298" s="10"/>
      <c r="D298" s="6"/>
      <c r="E298" s="2"/>
      <c r="F298" s="7">
        <f t="shared" si="157"/>
        <v>0</v>
      </c>
      <c r="G298" s="2"/>
      <c r="H298" s="6">
        <v>2645</v>
      </c>
      <c r="I298" s="2"/>
      <c r="J298" s="7">
        <f t="shared" si="158"/>
        <v>5.30902925975633E-3</v>
      </c>
      <c r="K298" s="2"/>
      <c r="L298" s="6">
        <f t="shared" si="159"/>
        <v>-2645</v>
      </c>
      <c r="M298" s="2"/>
      <c r="N298" s="7">
        <f t="shared" si="160"/>
        <v>-1</v>
      </c>
      <c r="O298" s="10"/>
      <c r="P298" s="6">
        <v>2181.86</v>
      </c>
      <c r="Q298" s="2"/>
      <c r="R298" s="7">
        <f t="shared" si="161"/>
        <v>2.4232588827007966E-4</v>
      </c>
      <c r="S298" s="2"/>
      <c r="T298" s="6">
        <v>35410.11</v>
      </c>
      <c r="U298" s="2"/>
      <c r="V298" s="7">
        <f t="shared" si="162"/>
        <v>1.2855996644378191E-3</v>
      </c>
      <c r="W298" s="2"/>
      <c r="X298" s="6">
        <f t="shared" si="163"/>
        <v>-33228.25</v>
      </c>
      <c r="Y298" s="2"/>
      <c r="Z298" s="7">
        <f t="shared" si="164"/>
        <v>-0.93838313408232843</v>
      </c>
    </row>
    <row r="299" spans="1:26" s="26" customFormat="1" outlineLevel="1" collapsed="1" x14ac:dyDescent="0.25">
      <c r="A299" s="25"/>
      <c r="B299" s="12" t="str">
        <f>CONCATENATE("     ","Travel                                            ")</f>
        <v xml:space="preserve">     Travel                                            </v>
      </c>
      <c r="C299" s="12"/>
      <c r="D299" s="1">
        <f>SUM(OSRRefD22_25x_0)</f>
        <v>229.37</v>
      </c>
      <c r="E299" s="1"/>
      <c r="F299" s="5">
        <f t="shared" si="157"/>
        <v>2.2082990046672546E-4</v>
      </c>
      <c r="G299" s="1"/>
      <c r="H299" s="1">
        <f>SUM(OSRRefH22_25x_0)</f>
        <v>1888.8799999999999</v>
      </c>
      <c r="I299" s="1"/>
      <c r="J299" s="5">
        <f t="shared" si="158"/>
        <v>3.7913494095155147E-3</v>
      </c>
      <c r="K299" s="1"/>
      <c r="L299" s="1">
        <f t="shared" si="159"/>
        <v>-1659.5099999999998</v>
      </c>
      <c r="M299" s="1"/>
      <c r="N299" s="5">
        <f t="shared" si="160"/>
        <v>-0.87856825208589207</v>
      </c>
      <c r="O299" s="12"/>
      <c r="P299" s="1">
        <f>SUM(OSRRefP22_25x_0)</f>
        <v>1464.9099999999999</v>
      </c>
      <c r="Q299" s="1"/>
      <c r="R299" s="5">
        <f t="shared" si="161"/>
        <v>1.6269862272818712E-4</v>
      </c>
      <c r="S299" s="1"/>
      <c r="T299" s="1">
        <f>SUM(OSRRefT22_25x_0)</f>
        <v>9441.3100000000013</v>
      </c>
      <c r="U299" s="1"/>
      <c r="V299" s="5">
        <f t="shared" si="162"/>
        <v>3.4277625705916837E-4</v>
      </c>
      <c r="W299" s="1"/>
      <c r="X299" s="1">
        <f t="shared" si="163"/>
        <v>-7976.4000000000015</v>
      </c>
      <c r="Y299" s="1"/>
      <c r="Z299" s="5">
        <f t="shared" si="164"/>
        <v>-0.84484038761570168</v>
      </c>
    </row>
    <row r="300" spans="1:26" s="23" customFormat="1" hidden="1" outlineLevel="2" x14ac:dyDescent="0.25">
      <c r="A300" s="27"/>
      <c r="B300" s="10" t="str">
        <f>CONCATENATE("          ", "6292", " - ", "TRAVEL/CONFERENCE")</f>
        <v xml:space="preserve">          6292 - TRAVEL/CONFERENCE</v>
      </c>
      <c r="C300" s="10"/>
      <c r="D300" s="6"/>
      <c r="E300" s="2"/>
      <c r="F300" s="7">
        <f t="shared" si="157"/>
        <v>0</v>
      </c>
      <c r="G300" s="2"/>
      <c r="H300" s="6">
        <v>1547.08</v>
      </c>
      <c r="I300" s="2"/>
      <c r="J300" s="7">
        <f t="shared" si="158"/>
        <v>3.1052903543228065E-3</v>
      </c>
      <c r="K300" s="2"/>
      <c r="L300" s="6">
        <f t="shared" si="159"/>
        <v>-1547.08</v>
      </c>
      <c r="M300" s="2"/>
      <c r="N300" s="7">
        <f t="shared" si="160"/>
        <v>-1</v>
      </c>
      <c r="O300" s="10"/>
      <c r="P300" s="6">
        <v>299.16000000000003</v>
      </c>
      <c r="Q300" s="2"/>
      <c r="R300" s="7">
        <f t="shared" si="161"/>
        <v>3.3225877340836273E-5</v>
      </c>
      <c r="S300" s="2"/>
      <c r="T300" s="6">
        <v>7216.54</v>
      </c>
      <c r="U300" s="2"/>
      <c r="V300" s="7">
        <f t="shared" si="162"/>
        <v>2.6200374419627895E-4</v>
      </c>
      <c r="W300" s="2"/>
      <c r="X300" s="6">
        <f t="shared" si="163"/>
        <v>-6917.38</v>
      </c>
      <c r="Y300" s="2"/>
      <c r="Z300" s="7">
        <f t="shared" si="164"/>
        <v>-0.95854523081698428</v>
      </c>
    </row>
    <row r="301" spans="1:26" s="23" customFormat="1" hidden="1" outlineLevel="2" x14ac:dyDescent="0.25">
      <c r="A301" s="27"/>
      <c r="B301" s="10" t="str">
        <f>CONCATENATE("          ", "6294", " - ", "TRAVEL OPERATIONAL")</f>
        <v xml:space="preserve">          6294 - TRAVEL OPERATIONAL</v>
      </c>
      <c r="C301" s="10"/>
      <c r="D301" s="6">
        <v>229.37</v>
      </c>
      <c r="E301" s="2"/>
      <c r="F301" s="7">
        <f t="shared" si="157"/>
        <v>2.2082990046672546E-4</v>
      </c>
      <c r="G301" s="2"/>
      <c r="H301" s="6"/>
      <c r="I301" s="2"/>
      <c r="J301" s="7">
        <f t="shared" si="158"/>
        <v>0</v>
      </c>
      <c r="K301" s="2"/>
      <c r="L301" s="6">
        <f t="shared" si="159"/>
        <v>229.37</v>
      </c>
      <c r="M301" s="2"/>
      <c r="N301" s="7">
        <f t="shared" si="160"/>
        <v>0</v>
      </c>
      <c r="O301" s="10"/>
      <c r="P301" s="6">
        <v>773.65</v>
      </c>
      <c r="Q301" s="2"/>
      <c r="R301" s="7">
        <f t="shared" si="161"/>
        <v>8.5924588864614188E-5</v>
      </c>
      <c r="S301" s="2"/>
      <c r="T301" s="6">
        <v>418.6</v>
      </c>
      <c r="U301" s="2"/>
      <c r="V301" s="7">
        <f t="shared" si="162"/>
        <v>1.5197694091706326E-5</v>
      </c>
      <c r="W301" s="2"/>
      <c r="X301" s="6">
        <f t="shared" si="163"/>
        <v>355.04999999999995</v>
      </c>
      <c r="Y301" s="2"/>
      <c r="Z301" s="7">
        <f t="shared" si="164"/>
        <v>0.84818442427138063</v>
      </c>
    </row>
    <row r="302" spans="1:26" s="23" customFormat="1" hidden="1" outlineLevel="2" x14ac:dyDescent="0.25">
      <c r="A302" s="27"/>
      <c r="B302" s="10" t="str">
        <f>CONCATENATE("          ", "6298", " - ", "VEHICLE MILEAGE")</f>
        <v xml:space="preserve">          6298 - VEHICLE MILEAGE</v>
      </c>
      <c r="C302" s="10"/>
      <c r="D302" s="6"/>
      <c r="E302" s="2"/>
      <c r="F302" s="7">
        <f t="shared" si="157"/>
        <v>0</v>
      </c>
      <c r="G302" s="2"/>
      <c r="H302" s="6">
        <v>341.8</v>
      </c>
      <c r="I302" s="2"/>
      <c r="J302" s="7">
        <f t="shared" si="158"/>
        <v>6.8605905519270841E-4</v>
      </c>
      <c r="K302" s="2"/>
      <c r="L302" s="6">
        <f t="shared" si="159"/>
        <v>-341.8</v>
      </c>
      <c r="M302" s="2"/>
      <c r="N302" s="7">
        <f t="shared" si="160"/>
        <v>-1</v>
      </c>
      <c r="O302" s="10"/>
      <c r="P302" s="6">
        <v>392.1</v>
      </c>
      <c r="Q302" s="2"/>
      <c r="R302" s="7">
        <f t="shared" si="161"/>
        <v>4.3548156522736677E-5</v>
      </c>
      <c r="S302" s="2"/>
      <c r="T302" s="6">
        <v>1806.17</v>
      </c>
      <c r="U302" s="2"/>
      <c r="V302" s="7">
        <f t="shared" si="162"/>
        <v>6.5574818771183034E-5</v>
      </c>
      <c r="W302" s="2"/>
      <c r="X302" s="6">
        <f t="shared" si="163"/>
        <v>-1414.0700000000002</v>
      </c>
      <c r="Y302" s="2"/>
      <c r="Z302" s="7">
        <f t="shared" si="164"/>
        <v>-0.78291080020153148</v>
      </c>
    </row>
    <row r="303" spans="1:26" s="26" customFormat="1" outlineLevel="1" collapsed="1" x14ac:dyDescent="0.25">
      <c r="A303" s="25"/>
      <c r="B303" s="12" t="str">
        <f>CONCATENATE("     ","Utilities                                         ")</f>
        <v xml:space="preserve">     Utilities                                         </v>
      </c>
      <c r="C303" s="12"/>
      <c r="D303" s="1">
        <f>SUM(OSRRefD22_26x_0)</f>
        <v>10945.93</v>
      </c>
      <c r="E303" s="1"/>
      <c r="F303" s="5">
        <f t="shared" ref="F303:F304" si="165">IF(D$12=0,0,D303/D$12)</f>
        <v>1.0538381795421128E-2</v>
      </c>
      <c r="G303" s="1"/>
      <c r="H303" s="1">
        <f>SUM(OSRRefH22_26x_0)</f>
        <v>23475.67</v>
      </c>
      <c r="I303" s="1"/>
      <c r="J303" s="5">
        <f t="shared" ref="J303:J304" si="166">IF(H$12=0,0,H303/H$12)</f>
        <v>4.7120233997120557E-2</v>
      </c>
      <c r="K303" s="1"/>
      <c r="L303" s="1">
        <f t="shared" ref="L303:L304" si="167">+D303-H303</f>
        <v>-12529.739999999998</v>
      </c>
      <c r="M303" s="1"/>
      <c r="N303" s="5">
        <f t="shared" ref="N303:N304" si="168">IF(H303=0,0,L303/H303)</f>
        <v>-0.53373300953710789</v>
      </c>
      <c r="O303" s="12"/>
      <c r="P303" s="1">
        <f>SUM(OSRRefP22_26x_0)</f>
        <v>66651.55</v>
      </c>
      <c r="Q303" s="1"/>
      <c r="R303" s="5">
        <f t="shared" ref="R303:R304" si="169">IF(P$12=0,0,P303/P$12)</f>
        <v>7.4025813105917104E-3</v>
      </c>
      <c r="S303" s="1"/>
      <c r="T303" s="1">
        <f>SUM(OSRRefT22_26x_0)</f>
        <v>228919.09</v>
      </c>
      <c r="U303" s="1"/>
      <c r="V303" s="5">
        <f t="shared" ref="V303:V304" si="170">IF(T$12=0,0,T303/T$12)</f>
        <v>8.3111378441753196E-3</v>
      </c>
      <c r="W303" s="1"/>
      <c r="X303" s="1">
        <f t="shared" ref="X303:X304" si="171">+P303-T303</f>
        <v>-162267.53999999998</v>
      </c>
      <c r="Y303" s="1"/>
      <c r="Z303" s="5">
        <f t="shared" ref="Z303:Z304" si="172">IF(T303=0,0,X303/T303)</f>
        <v>-0.7088423250328314</v>
      </c>
    </row>
    <row r="304" spans="1:26" s="23" customFormat="1" hidden="1" outlineLevel="2" x14ac:dyDescent="0.25">
      <c r="A304" s="27"/>
      <c r="B304" s="10" t="str">
        <f>CONCATENATE("          ", "6274", " - ", "UTILITIES")</f>
        <v xml:space="preserve">          6274 - UTILITIES</v>
      </c>
      <c r="C304" s="10"/>
      <c r="D304" s="6">
        <v>10945.93</v>
      </c>
      <c r="E304" s="2"/>
      <c r="F304" s="7">
        <f t="shared" si="165"/>
        <v>1.0538381795421128E-2</v>
      </c>
      <c r="G304" s="2"/>
      <c r="H304" s="6">
        <v>23475.67</v>
      </c>
      <c r="I304" s="2"/>
      <c r="J304" s="7">
        <f t="shared" si="166"/>
        <v>4.7120233997120557E-2</v>
      </c>
      <c r="K304" s="2"/>
      <c r="L304" s="6">
        <f t="shared" si="167"/>
        <v>-12529.739999999998</v>
      </c>
      <c r="M304" s="2"/>
      <c r="N304" s="7">
        <f t="shared" si="168"/>
        <v>-0.53373300953710789</v>
      </c>
      <c r="O304" s="10"/>
      <c r="P304" s="6">
        <v>66651.55</v>
      </c>
      <c r="Q304" s="2"/>
      <c r="R304" s="7">
        <f t="shared" si="169"/>
        <v>7.4025813105917104E-3</v>
      </c>
      <c r="S304" s="2"/>
      <c r="T304" s="6">
        <v>228919.09</v>
      </c>
      <c r="U304" s="2"/>
      <c r="V304" s="7">
        <f t="shared" si="170"/>
        <v>8.3111378441753196E-3</v>
      </c>
      <c r="W304" s="2"/>
      <c r="X304" s="6">
        <f t="shared" si="171"/>
        <v>-162267.53999999998</v>
      </c>
      <c r="Y304" s="2"/>
      <c r="Z304" s="7">
        <f t="shared" si="172"/>
        <v>-0.7088423250328314</v>
      </c>
    </row>
    <row r="305" spans="1:26" s="62" customFormat="1" x14ac:dyDescent="0.25">
      <c r="A305" s="37"/>
      <c r="B305" s="37"/>
      <c r="C305" s="37"/>
      <c r="D305" s="1"/>
      <c r="E305" s="1"/>
      <c r="F305" s="5"/>
      <c r="G305" s="1"/>
      <c r="H305" s="1"/>
      <c r="I305" s="1"/>
      <c r="J305" s="5"/>
      <c r="K305" s="1"/>
      <c r="L305" s="1"/>
      <c r="M305" s="1"/>
      <c r="N305" s="5"/>
      <c r="O305" s="37"/>
      <c r="P305" s="1"/>
      <c r="Q305" s="1"/>
      <c r="R305" s="5"/>
      <c r="S305" s="1"/>
      <c r="T305" s="1"/>
      <c r="U305" s="1"/>
      <c r="V305" s="5"/>
      <c r="W305" s="1"/>
      <c r="X305" s="1"/>
      <c r="Y305" s="1"/>
      <c r="Z305" s="5"/>
    </row>
    <row r="306" spans="1:26" s="24" customFormat="1" collapsed="1" x14ac:dyDescent="0.25">
      <c r="A306" s="11"/>
      <c r="B306" s="28" t="s">
        <v>292</v>
      </c>
      <c r="C306" s="11"/>
      <c r="D306" s="4">
        <f>SUM(OSRRefD25x_0)</f>
        <v>9388.5000000000018</v>
      </c>
      <c r="E306" s="4"/>
      <c r="F306" s="13">
        <f t="shared" ref="F306:F319" si="173">IF(D$12=0,0,D306/D$12)</f>
        <v>9.0389393579450323E-3</v>
      </c>
      <c r="G306" s="4"/>
      <c r="H306" s="4">
        <f>SUM(OSRRefH25x_0)</f>
        <v>415615.07999999996</v>
      </c>
      <c r="I306" s="4"/>
      <c r="J306" s="13">
        <f t="shared" ref="J306:J319" si="174">IF(H$12=0,0,H306/H$12)</f>
        <v>0.83422027240679308</v>
      </c>
      <c r="K306" s="4"/>
      <c r="L306" s="4">
        <f t="shared" ref="L306:L319" si="175">+D306-H306</f>
        <v>-406226.57999999996</v>
      </c>
      <c r="M306" s="4"/>
      <c r="N306" s="13">
        <f t="shared" ref="N306:N319" si="176">IF(H306=0,0,L306/H306)</f>
        <v>-0.97741058866295227</v>
      </c>
      <c r="O306" s="11"/>
      <c r="P306" s="4">
        <f>SUM(OSRRefP25x_0)</f>
        <v>1021334.9500000001</v>
      </c>
      <c r="Q306" s="4"/>
      <c r="R306" s="13">
        <f t="shared" ref="R306:R319" si="177">IF(P$12=0,0,P306/P$12)</f>
        <v>0.11343344622479326</v>
      </c>
      <c r="S306" s="4"/>
      <c r="T306" s="4">
        <f>SUM(OSRRefT25x_0)</f>
        <v>1775777.1100000003</v>
      </c>
      <c r="U306" s="4"/>
      <c r="V306" s="13">
        <f t="shared" ref="V306:V319" si="178">IF(T$12=0,0,T306/T$12)</f>
        <v>6.44713743259301E-2</v>
      </c>
      <c r="W306" s="4"/>
      <c r="X306" s="4">
        <f t="shared" ref="X306:X319" si="179">+P306-T306</f>
        <v>-754442.16000000027</v>
      </c>
      <c r="Y306" s="4"/>
      <c r="Z306" s="13">
        <f t="shared" ref="Z306:Z319" si="180">IF(T306=0,0,X306/T306)</f>
        <v>-0.42485183289697892</v>
      </c>
    </row>
    <row r="307" spans="1:26" s="23" customFormat="1" hidden="1" outlineLevel="1" x14ac:dyDescent="0.25">
      <c r="A307" s="44"/>
      <c r="B307" s="10" t="str">
        <f>CONCATENATE("          ", "4098", " - ", "TAXABLE SALES-GRAD RENTALS")</f>
        <v xml:space="preserve">          4098 - TAXABLE SALES-GRAD RENTALS</v>
      </c>
      <c r="C307" s="10"/>
      <c r="D307" s="2">
        <f>--49.95</f>
        <v>49.95</v>
      </c>
      <c r="E307" s="2"/>
      <c r="F307" s="19">
        <f t="shared" si="173"/>
        <v>4.8090218983794465E-5</v>
      </c>
      <c r="G307" s="2"/>
      <c r="H307" s="2">
        <f>0</f>
        <v>0</v>
      </c>
      <c r="I307" s="2"/>
      <c r="J307" s="19">
        <f t="shared" si="174"/>
        <v>0</v>
      </c>
      <c r="K307" s="2"/>
      <c r="L307" s="2">
        <f t="shared" si="175"/>
        <v>49.95</v>
      </c>
      <c r="M307" s="2"/>
      <c r="N307" s="19">
        <f t="shared" si="176"/>
        <v>0</v>
      </c>
      <c r="O307" s="10"/>
      <c r="P307" s="2">
        <f>--49.95</f>
        <v>49.95</v>
      </c>
      <c r="Q307" s="2"/>
      <c r="R307" s="19">
        <f t="shared" si="177"/>
        <v>5.5476419747786198E-6</v>
      </c>
      <c r="S307" s="2"/>
      <c r="T307" s="2">
        <f>--2098.85</f>
        <v>2098.85</v>
      </c>
      <c r="U307" s="2"/>
      <c r="V307" s="19">
        <f t="shared" si="178"/>
        <v>7.6200860593353615E-5</v>
      </c>
      <c r="W307" s="2"/>
      <c r="X307" s="2">
        <f t="shared" si="179"/>
        <v>-2048.9</v>
      </c>
      <c r="Y307" s="2"/>
      <c r="Z307" s="19">
        <f t="shared" si="180"/>
        <v>-0.97620125306715588</v>
      </c>
    </row>
    <row r="308" spans="1:26" s="23" customFormat="1" hidden="1" outlineLevel="1" x14ac:dyDescent="0.25">
      <c r="A308" s="44"/>
      <c r="B308" s="10" t="str">
        <f>CONCATENATE("          ", "4187", " - ", "NON-TAXABLE SALES-COMPUTER REP")</f>
        <v xml:space="preserve">          4187 - NON-TAXABLE SALES-COMPUTER REP</v>
      </c>
      <c r="C308" s="10"/>
      <c r="D308" s="2">
        <f>--1700.99</f>
        <v>1700.99</v>
      </c>
      <c r="E308" s="2"/>
      <c r="F308" s="19">
        <f t="shared" si="173"/>
        <v>1.6376572890739649E-3</v>
      </c>
      <c r="G308" s="2"/>
      <c r="H308" s="2">
        <f>--603.69</f>
        <v>603.69000000000005</v>
      </c>
      <c r="I308" s="2"/>
      <c r="J308" s="19">
        <f t="shared" si="174"/>
        <v>1.2117232037135346E-3</v>
      </c>
      <c r="K308" s="2"/>
      <c r="L308" s="2">
        <f t="shared" si="175"/>
        <v>1097.3</v>
      </c>
      <c r="M308" s="2"/>
      <c r="N308" s="19">
        <f t="shared" si="176"/>
        <v>1.8176547565803638</v>
      </c>
      <c r="O308" s="10"/>
      <c r="P308" s="2">
        <f>--3315.96</f>
        <v>3315.96</v>
      </c>
      <c r="Q308" s="2"/>
      <c r="R308" s="19">
        <f t="shared" si="177"/>
        <v>3.6828346111485307E-4</v>
      </c>
      <c r="S308" s="2"/>
      <c r="T308" s="2">
        <f>--16183.2</f>
        <v>16183.2</v>
      </c>
      <c r="U308" s="2"/>
      <c r="V308" s="19">
        <f t="shared" si="178"/>
        <v>5.8754735553010471E-4</v>
      </c>
      <c r="W308" s="2"/>
      <c r="X308" s="2">
        <f t="shared" si="179"/>
        <v>-12867.240000000002</v>
      </c>
      <c r="Y308" s="2"/>
      <c r="Z308" s="19">
        <f t="shared" si="180"/>
        <v>-0.79509862079193239</v>
      </c>
    </row>
    <row r="309" spans="1:26" s="23" customFormat="1" hidden="1" outlineLevel="1" x14ac:dyDescent="0.25">
      <c r="A309" s="44"/>
      <c r="B309" s="10" t="str">
        <f>CONCATENATE("          ", "4197", " - ", "NON-TAXABLE SALES-RETURNED CHE")</f>
        <v xml:space="preserve">          4197 - NON-TAXABLE SALES-RETURNED CHE</v>
      </c>
      <c r="C309" s="10"/>
      <c r="D309" s="2">
        <f t="shared" ref="D309:D312" si="181">0</f>
        <v>0</v>
      </c>
      <c r="E309" s="2"/>
      <c r="F309" s="19">
        <f t="shared" si="173"/>
        <v>0</v>
      </c>
      <c r="G309" s="2"/>
      <c r="H309" s="2">
        <f>0</f>
        <v>0</v>
      </c>
      <c r="I309" s="2"/>
      <c r="J309" s="19">
        <f t="shared" si="174"/>
        <v>0</v>
      </c>
      <c r="K309" s="2"/>
      <c r="L309" s="2">
        <f t="shared" si="175"/>
        <v>0</v>
      </c>
      <c r="M309" s="2"/>
      <c r="N309" s="19">
        <f t="shared" si="176"/>
        <v>0</v>
      </c>
      <c r="O309" s="10"/>
      <c r="P309" s="2">
        <f t="shared" ref="P309:P312" si="182">0</f>
        <v>0</v>
      </c>
      <c r="Q309" s="2"/>
      <c r="R309" s="19">
        <f t="shared" si="177"/>
        <v>0</v>
      </c>
      <c r="S309" s="2"/>
      <c r="T309" s="2">
        <f>--30</f>
        <v>30</v>
      </c>
      <c r="U309" s="2"/>
      <c r="V309" s="19">
        <f t="shared" si="178"/>
        <v>1.0891801785742709E-6</v>
      </c>
      <c r="W309" s="2"/>
      <c r="X309" s="2">
        <f t="shared" si="179"/>
        <v>-30</v>
      </c>
      <c r="Y309" s="2"/>
      <c r="Z309" s="19">
        <f t="shared" si="180"/>
        <v>-1</v>
      </c>
    </row>
    <row r="310" spans="1:26" s="23" customFormat="1" hidden="1" outlineLevel="1" x14ac:dyDescent="0.25">
      <c r="A310" s="44"/>
      <c r="B310" s="10" t="str">
        <f>CONCATENATE("          ", "4198", " - ", "NON-TAXABLE SALES-GRAD RENTALS")</f>
        <v xml:space="preserve">          4198 - NON-TAXABLE SALES-GRAD RENTALS</v>
      </c>
      <c r="C310" s="10"/>
      <c r="D310" s="2">
        <f t="shared" si="181"/>
        <v>0</v>
      </c>
      <c r="E310" s="2"/>
      <c r="F310" s="19">
        <f t="shared" si="173"/>
        <v>0</v>
      </c>
      <c r="G310" s="2"/>
      <c r="H310" s="2">
        <f>-98.64</f>
        <v>-98.64</v>
      </c>
      <c r="I310" s="2"/>
      <c r="J310" s="19">
        <f t="shared" si="174"/>
        <v>-1.9798965829200923E-4</v>
      </c>
      <c r="K310" s="2"/>
      <c r="L310" s="2">
        <f t="shared" si="175"/>
        <v>98.64</v>
      </c>
      <c r="M310" s="2"/>
      <c r="N310" s="19">
        <f t="shared" si="176"/>
        <v>-1</v>
      </c>
      <c r="O310" s="10"/>
      <c r="P310" s="2">
        <f t="shared" si="182"/>
        <v>0</v>
      </c>
      <c r="Q310" s="2"/>
      <c r="R310" s="19">
        <f t="shared" si="177"/>
        <v>0</v>
      </c>
      <c r="S310" s="2"/>
      <c r="T310" s="2">
        <f>--3633.46</f>
        <v>3633.46</v>
      </c>
      <c r="U310" s="2"/>
      <c r="V310" s="19">
        <f t="shared" si="178"/>
        <v>1.3191642038808235E-4</v>
      </c>
      <c r="W310" s="2"/>
      <c r="X310" s="2">
        <f t="shared" si="179"/>
        <v>-3633.46</v>
      </c>
      <c r="Y310" s="2"/>
      <c r="Z310" s="19">
        <f t="shared" si="180"/>
        <v>-1</v>
      </c>
    </row>
    <row r="311" spans="1:26" s="23" customFormat="1" hidden="1" outlineLevel="1" x14ac:dyDescent="0.25">
      <c r="A311" s="44"/>
      <c r="B311" s="10" t="str">
        <f>CONCATENATE("          ", "4387", " - ", "SALES RETURN NON TAXABLE-COMPU")</f>
        <v xml:space="preserve">          4387 - SALES RETURN NON TAXABLE-COMPU</v>
      </c>
      <c r="C311" s="10"/>
      <c r="D311" s="2">
        <f t="shared" si="181"/>
        <v>0</v>
      </c>
      <c r="E311" s="2"/>
      <c r="F311" s="19">
        <f t="shared" si="173"/>
        <v>0</v>
      </c>
      <c r="G311" s="2"/>
      <c r="H311" s="2">
        <f t="shared" ref="H311:H312" si="183">0</f>
        <v>0</v>
      </c>
      <c r="I311" s="2"/>
      <c r="J311" s="19">
        <f t="shared" si="174"/>
        <v>0</v>
      </c>
      <c r="K311" s="2"/>
      <c r="L311" s="2">
        <f t="shared" si="175"/>
        <v>0</v>
      </c>
      <c r="M311" s="2"/>
      <c r="N311" s="19">
        <f t="shared" si="176"/>
        <v>0</v>
      </c>
      <c r="O311" s="10"/>
      <c r="P311" s="2">
        <f t="shared" si="182"/>
        <v>0</v>
      </c>
      <c r="Q311" s="2"/>
      <c r="R311" s="19">
        <f t="shared" si="177"/>
        <v>0</v>
      </c>
      <c r="S311" s="2"/>
      <c r="T311" s="2">
        <f>-7889</f>
        <v>-7889</v>
      </c>
      <c r="U311" s="2"/>
      <c r="V311" s="19">
        <f t="shared" si="178"/>
        <v>-2.8641808095908078E-4</v>
      </c>
      <c r="W311" s="2"/>
      <c r="X311" s="2">
        <f t="shared" si="179"/>
        <v>7889</v>
      </c>
      <c r="Y311" s="2"/>
      <c r="Z311" s="19">
        <f t="shared" si="180"/>
        <v>-1</v>
      </c>
    </row>
    <row r="312" spans="1:26" s="23" customFormat="1" hidden="1" outlineLevel="1" x14ac:dyDescent="0.25">
      <c r="A312" s="44"/>
      <c r="B312" s="10" t="str">
        <f>CONCATENATE("          ", "5087", " - ", "PURCHASES @ COST-COMPUTER REPA")</f>
        <v xml:space="preserve">          5087 - PURCHASES @ COST-COMPUTER REPA</v>
      </c>
      <c r="C312" s="10"/>
      <c r="D312" s="2">
        <f t="shared" si="181"/>
        <v>0</v>
      </c>
      <c r="E312" s="2"/>
      <c r="F312" s="19">
        <f t="shared" si="173"/>
        <v>0</v>
      </c>
      <c r="G312" s="2"/>
      <c r="H312" s="2">
        <f t="shared" si="183"/>
        <v>0</v>
      </c>
      <c r="I312" s="2"/>
      <c r="J312" s="19">
        <f t="shared" si="174"/>
        <v>0</v>
      </c>
      <c r="K312" s="2"/>
      <c r="L312" s="2">
        <f t="shared" si="175"/>
        <v>0</v>
      </c>
      <c r="M312" s="2"/>
      <c r="N312" s="19">
        <f t="shared" si="176"/>
        <v>0</v>
      </c>
      <c r="O312" s="10"/>
      <c r="P312" s="2">
        <f t="shared" si="182"/>
        <v>0</v>
      </c>
      <c r="Q312" s="2"/>
      <c r="R312" s="19">
        <f t="shared" si="177"/>
        <v>0</v>
      </c>
      <c r="S312" s="2"/>
      <c r="T312" s="2">
        <f>-104.76</f>
        <v>-104.76</v>
      </c>
      <c r="U312" s="2"/>
      <c r="V312" s="19">
        <f t="shared" si="178"/>
        <v>-3.8034171835813539E-6</v>
      </c>
      <c r="W312" s="2"/>
      <c r="X312" s="2">
        <f t="shared" si="179"/>
        <v>104.76</v>
      </c>
      <c r="Y312" s="2"/>
      <c r="Z312" s="19">
        <f t="shared" si="180"/>
        <v>-1</v>
      </c>
    </row>
    <row r="313" spans="1:26" s="23" customFormat="1" hidden="1" outlineLevel="1" x14ac:dyDescent="0.25">
      <c r="A313" s="44"/>
      <c r="B313" s="10" t="str">
        <f>CONCATENATE("          ", "9150", " - ", "MISC. INCOME")</f>
        <v xml:space="preserve">          9150 - MISC. INCOME</v>
      </c>
      <c r="C313" s="10"/>
      <c r="D313" s="2">
        <f>--6004.77</f>
        <v>6004.77</v>
      </c>
      <c r="E313" s="2"/>
      <c r="F313" s="19">
        <f t="shared" si="173"/>
        <v>5.7811952802266165E-3</v>
      </c>
      <c r="G313" s="2"/>
      <c r="H313" s="2">
        <f>--65434.37</f>
        <v>65434.37</v>
      </c>
      <c r="I313" s="2"/>
      <c r="J313" s="19">
        <f t="shared" si="174"/>
        <v>0.13133950280670012</v>
      </c>
      <c r="K313" s="2"/>
      <c r="L313" s="2">
        <f t="shared" si="175"/>
        <v>-59429.600000000006</v>
      </c>
      <c r="M313" s="2"/>
      <c r="N313" s="19">
        <f t="shared" si="176"/>
        <v>-0.90823217217495944</v>
      </c>
      <c r="O313" s="10"/>
      <c r="P313" s="2">
        <f>--354541.6</f>
        <v>354541.6</v>
      </c>
      <c r="Q313" s="2"/>
      <c r="R313" s="19">
        <f t="shared" si="177"/>
        <v>3.9376774013316747E-2</v>
      </c>
      <c r="S313" s="2"/>
      <c r="T313" s="2">
        <f>--767735.66</f>
        <v>767735.66</v>
      </c>
      <c r="U313" s="2"/>
      <c r="V313" s="19">
        <f t="shared" si="178"/>
        <v>2.7873415441887858E-2</v>
      </c>
      <c r="W313" s="2"/>
      <c r="X313" s="2">
        <f t="shared" si="179"/>
        <v>-413194.06000000006</v>
      </c>
      <c r="Y313" s="2"/>
      <c r="Z313" s="19">
        <f t="shared" si="180"/>
        <v>-0.53819834290359791</v>
      </c>
    </row>
    <row r="314" spans="1:26" s="23" customFormat="1" hidden="1" outlineLevel="1" x14ac:dyDescent="0.25">
      <c r="A314" s="44"/>
      <c r="B314" s="10" t="str">
        <f>CONCATENATE("          ", "9151", " - ", "MISC. INCOME")</f>
        <v xml:space="preserve">          9151 - MISC. INCOME</v>
      </c>
      <c r="C314" s="10"/>
      <c r="D314" s="2">
        <f>0</f>
        <v>0</v>
      </c>
      <c r="E314" s="2"/>
      <c r="F314" s="19">
        <f t="shared" si="173"/>
        <v>0</v>
      </c>
      <c r="G314" s="2"/>
      <c r="H314" s="2">
        <f>0</f>
        <v>0</v>
      </c>
      <c r="I314" s="2"/>
      <c r="J314" s="19">
        <f t="shared" si="174"/>
        <v>0</v>
      </c>
      <c r="K314" s="2"/>
      <c r="L314" s="2">
        <f t="shared" si="175"/>
        <v>0</v>
      </c>
      <c r="M314" s="2"/>
      <c r="N314" s="19">
        <f t="shared" si="176"/>
        <v>0</v>
      </c>
      <c r="O314" s="10"/>
      <c r="P314" s="2">
        <f>--295628.46</f>
        <v>295628.46000000002</v>
      </c>
      <c r="Q314" s="2"/>
      <c r="R314" s="19">
        <f t="shared" si="177"/>
        <v>3.2833650723426672E-2</v>
      </c>
      <c r="S314" s="2"/>
      <c r="T314" s="2">
        <f>--169392.7</f>
        <v>169392.7</v>
      </c>
      <c r="U314" s="2"/>
      <c r="V314" s="19">
        <f t="shared" si="178"/>
        <v>6.1499723745059298E-3</v>
      </c>
      <c r="W314" s="2"/>
      <c r="X314" s="2">
        <f t="shared" si="179"/>
        <v>126235.76000000001</v>
      </c>
      <c r="Y314" s="2"/>
      <c r="Z314" s="19">
        <f t="shared" si="180"/>
        <v>0.7452255026338207</v>
      </c>
    </row>
    <row r="315" spans="1:26" s="23" customFormat="1" hidden="1" outlineLevel="1" x14ac:dyDescent="0.25">
      <c r="A315" s="44"/>
      <c r="B315" s="10" t="str">
        <f>CONCATENATE("          ", "9152", " - ", "MISC. INCOME")</f>
        <v xml:space="preserve">          9152 - MISC. INCOME</v>
      </c>
      <c r="C315" s="10"/>
      <c r="D315" s="2">
        <f>--505.94</f>
        <v>505.94</v>
      </c>
      <c r="E315" s="2"/>
      <c r="F315" s="19">
        <f t="shared" si="173"/>
        <v>4.8710241026348291E-4</v>
      </c>
      <c r="G315" s="2"/>
      <c r="H315" s="2">
        <f>--82.19</f>
        <v>82.19</v>
      </c>
      <c r="I315" s="2"/>
      <c r="J315" s="19">
        <f t="shared" si="174"/>
        <v>1.649713099657364E-4</v>
      </c>
      <c r="K315" s="2"/>
      <c r="L315" s="2">
        <f t="shared" si="175"/>
        <v>423.75</v>
      </c>
      <c r="M315" s="2"/>
      <c r="N315" s="19">
        <f t="shared" si="176"/>
        <v>5.1557367076286651</v>
      </c>
      <c r="O315" s="10"/>
      <c r="P315" s="2">
        <f>--4216.5</f>
        <v>4216.5</v>
      </c>
      <c r="Q315" s="2"/>
      <c r="R315" s="19">
        <f t="shared" si="177"/>
        <v>4.6830094868176276E-4</v>
      </c>
      <c r="S315" s="2"/>
      <c r="T315" s="2">
        <f>--4782.05</f>
        <v>4782.05</v>
      </c>
      <c r="U315" s="2"/>
      <c r="V315" s="19">
        <f t="shared" si="178"/>
        <v>1.7361713576503641E-4</v>
      </c>
      <c r="W315" s="2"/>
      <c r="X315" s="2">
        <f t="shared" si="179"/>
        <v>-565.55000000000018</v>
      </c>
      <c r="Y315" s="2"/>
      <c r="Z315" s="19">
        <f t="shared" si="180"/>
        <v>-0.1182651791595655</v>
      </c>
    </row>
    <row r="316" spans="1:26" s="23" customFormat="1" hidden="1" outlineLevel="1" x14ac:dyDescent="0.25">
      <c r="A316" s="44"/>
      <c r="B316" s="10" t="str">
        <f>CONCATENATE("          ", "9153", " - ", "MISC. INCOME")</f>
        <v xml:space="preserve">          9153 - MISC. INCOME</v>
      </c>
      <c r="C316" s="10"/>
      <c r="D316" s="2">
        <f>0</f>
        <v>0</v>
      </c>
      <c r="E316" s="2"/>
      <c r="F316" s="19">
        <f t="shared" si="173"/>
        <v>0</v>
      </c>
      <c r="G316" s="2"/>
      <c r="H316" s="2">
        <f t="shared" ref="H316:H317" si="184">0</f>
        <v>0</v>
      </c>
      <c r="I316" s="2"/>
      <c r="J316" s="19">
        <f t="shared" si="174"/>
        <v>0</v>
      </c>
      <c r="K316" s="2"/>
      <c r="L316" s="2">
        <f t="shared" si="175"/>
        <v>0</v>
      </c>
      <c r="M316" s="2"/>
      <c r="N316" s="19">
        <f t="shared" si="176"/>
        <v>0</v>
      </c>
      <c r="O316" s="10"/>
      <c r="P316" s="2">
        <f>0</f>
        <v>0</v>
      </c>
      <c r="Q316" s="2"/>
      <c r="R316" s="19">
        <f t="shared" si="177"/>
        <v>0</v>
      </c>
      <c r="S316" s="2"/>
      <c r="T316" s="2">
        <f>--450</f>
        <v>450</v>
      </c>
      <c r="U316" s="2"/>
      <c r="V316" s="19">
        <f t="shared" si="178"/>
        <v>1.6337702678614063E-5</v>
      </c>
      <c r="W316" s="2"/>
      <c r="X316" s="2">
        <f t="shared" si="179"/>
        <v>-450</v>
      </c>
      <c r="Y316" s="2"/>
      <c r="Z316" s="19">
        <f t="shared" si="180"/>
        <v>-1</v>
      </c>
    </row>
    <row r="317" spans="1:26" s="23" customFormat="1" hidden="1" outlineLevel="1" x14ac:dyDescent="0.25">
      <c r="A317" s="44"/>
      <c r="B317" s="10" t="str">
        <f>CONCATENATE("          ", "9160", " - ", "MISC. INCOME")</f>
        <v xml:space="preserve">          9160 - MISC. INCOME</v>
      </c>
      <c r="C317" s="10"/>
      <c r="D317" s="2">
        <f>--732.1</f>
        <v>732.1</v>
      </c>
      <c r="E317" s="2"/>
      <c r="F317" s="19">
        <f t="shared" si="173"/>
        <v>7.0484182818890742E-4</v>
      </c>
      <c r="G317" s="2"/>
      <c r="H317" s="2">
        <f t="shared" si="184"/>
        <v>0</v>
      </c>
      <c r="I317" s="2"/>
      <c r="J317" s="19">
        <f t="shared" si="174"/>
        <v>0</v>
      </c>
      <c r="K317" s="2"/>
      <c r="L317" s="2">
        <f t="shared" si="175"/>
        <v>732.1</v>
      </c>
      <c r="M317" s="2"/>
      <c r="N317" s="19">
        <f t="shared" si="176"/>
        <v>0</v>
      </c>
      <c r="O317" s="10"/>
      <c r="P317" s="2">
        <f>--13615.06</f>
        <v>13615.06</v>
      </c>
      <c r="Q317" s="2"/>
      <c r="R317" s="19">
        <f t="shared" si="177"/>
        <v>1.5121417086111991E-3</v>
      </c>
      <c r="S317" s="2"/>
      <c r="T317" s="2">
        <f>--152564.32</f>
        <v>152564.32</v>
      </c>
      <c r="U317" s="2"/>
      <c r="V317" s="19">
        <f t="shared" si="178"/>
        <v>5.5390011100554066E-3</v>
      </c>
      <c r="W317" s="2"/>
      <c r="X317" s="2">
        <f t="shared" si="179"/>
        <v>-138949.26</v>
      </c>
      <c r="Y317" s="2"/>
      <c r="Z317" s="19">
        <f t="shared" si="180"/>
        <v>-0.91075855743990475</v>
      </c>
    </row>
    <row r="318" spans="1:26" s="23" customFormat="1" hidden="1" outlineLevel="1" x14ac:dyDescent="0.25">
      <c r="A318" s="44"/>
      <c r="B318" s="10" t="str">
        <f>CONCATENATE("          ", "9163", " - ", "MISC. INCOME")</f>
        <v xml:space="preserve">          9163 - MISC. INCOME</v>
      </c>
      <c r="C318" s="10"/>
      <c r="D318" s="2">
        <f>--44.1</f>
        <v>44.1</v>
      </c>
      <c r="E318" s="2"/>
      <c r="F318" s="19">
        <f t="shared" si="173"/>
        <v>4.2458031174881598E-5</v>
      </c>
      <c r="G318" s="2"/>
      <c r="H318" s="2">
        <f>--345960.62</f>
        <v>345960.62</v>
      </c>
      <c r="I318" s="2"/>
      <c r="J318" s="19">
        <f t="shared" si="174"/>
        <v>0.69441022847011002</v>
      </c>
      <c r="K318" s="2"/>
      <c r="L318" s="2">
        <f t="shared" si="175"/>
        <v>-345916.52</v>
      </c>
      <c r="M318" s="2"/>
      <c r="N318" s="19">
        <f t="shared" si="176"/>
        <v>-0.99987252884446798</v>
      </c>
      <c r="O318" s="10"/>
      <c r="P318" s="2">
        <f>--346478.56</f>
        <v>346478.56</v>
      </c>
      <c r="Q318" s="2"/>
      <c r="R318" s="19">
        <f t="shared" si="177"/>
        <v>3.8481261317654704E-2</v>
      </c>
      <c r="S318" s="2"/>
      <c r="T318" s="2">
        <f>--430400.5</f>
        <v>430400.5</v>
      </c>
      <c r="U318" s="2"/>
      <c r="V318" s="19">
        <f t="shared" si="178"/>
        <v>1.5626123114948515E-2</v>
      </c>
      <c r="W318" s="2"/>
      <c r="X318" s="2">
        <f t="shared" si="179"/>
        <v>-83921.94</v>
      </c>
      <c r="Y318" s="2"/>
      <c r="Z318" s="19">
        <f t="shared" si="180"/>
        <v>-0.19498569355751214</v>
      </c>
    </row>
    <row r="319" spans="1:26" s="23" customFormat="1" hidden="1" outlineLevel="1" x14ac:dyDescent="0.25">
      <c r="A319" s="44"/>
      <c r="B319" s="10" t="str">
        <f>CONCATENATE("          ", "9165", " - ", "OTHER INCOME")</f>
        <v xml:space="preserve">          9165 - OTHER INCOME</v>
      </c>
      <c r="C319" s="10"/>
      <c r="D319" s="2">
        <f>--350.65</f>
        <v>350.65</v>
      </c>
      <c r="E319" s="2"/>
      <c r="F319" s="19">
        <f t="shared" si="173"/>
        <v>3.3759430003338391E-4</v>
      </c>
      <c r="G319" s="2"/>
      <c r="H319" s="2">
        <f>--3632.85</f>
        <v>3632.85</v>
      </c>
      <c r="I319" s="2"/>
      <c r="J319" s="19">
        <f t="shared" si="174"/>
        <v>7.2918362745957596E-3</v>
      </c>
      <c r="K319" s="2"/>
      <c r="L319" s="2">
        <f t="shared" si="175"/>
        <v>-3282.2</v>
      </c>
      <c r="M319" s="2"/>
      <c r="N319" s="19">
        <f t="shared" si="176"/>
        <v>-0.9034779856035895</v>
      </c>
      <c r="O319" s="10"/>
      <c r="P319" s="2">
        <f>--3488.86</f>
        <v>3488.86</v>
      </c>
      <c r="Q319" s="2"/>
      <c r="R319" s="19">
        <f t="shared" si="177"/>
        <v>3.8748641001253525E-4</v>
      </c>
      <c r="S319" s="2"/>
      <c r="T319" s="2">
        <f>--236500.13</f>
        <v>236500.13</v>
      </c>
      <c r="U319" s="2"/>
      <c r="V319" s="19">
        <f t="shared" si="178"/>
        <v>8.5863751275412764E-3</v>
      </c>
      <c r="W319" s="2"/>
      <c r="X319" s="2">
        <f t="shared" si="179"/>
        <v>-233011.27000000002</v>
      </c>
      <c r="Y319" s="2"/>
      <c r="Z319" s="19">
        <f t="shared" si="180"/>
        <v>-0.98524795736898751</v>
      </c>
    </row>
    <row r="320" spans="1:26" x14ac:dyDescent="0.25">
      <c r="A320" s="9"/>
      <c r="B320" s="11"/>
      <c r="C320" s="11"/>
      <c r="D320" s="3"/>
      <c r="E320" s="3"/>
      <c r="F320" s="8"/>
      <c r="G320" s="3"/>
      <c r="H320" s="3"/>
      <c r="I320" s="3"/>
      <c r="J320" s="8"/>
      <c r="K320" s="3"/>
      <c r="L320" s="3"/>
      <c r="M320" s="3"/>
      <c r="N320" s="8"/>
      <c r="O320" s="11"/>
      <c r="P320" s="3"/>
      <c r="Q320" s="3"/>
      <c r="R320" s="8"/>
      <c r="S320" s="3"/>
      <c r="T320" s="3"/>
      <c r="U320" s="3"/>
      <c r="V320" s="8"/>
      <c r="W320" s="3"/>
      <c r="X320" s="3"/>
      <c r="Y320" s="3"/>
      <c r="Z320" s="8"/>
    </row>
    <row r="321" spans="1:26" s="24" customFormat="1" x14ac:dyDescent="0.25">
      <c r="A321" s="11"/>
      <c r="B321" s="29" t="s">
        <v>276</v>
      </c>
      <c r="C321" s="29"/>
      <c r="D321" s="20">
        <f>+D202-D204+D306</f>
        <v>-268039.45999999996</v>
      </c>
      <c r="E321" s="14"/>
      <c r="F321" s="22">
        <f>IF(D$12=0,0,D321/D$12)</f>
        <v>-0.25805958614010038</v>
      </c>
      <c r="G321" s="14"/>
      <c r="H321" s="20">
        <f>+H202-H204+H306</f>
        <v>-140080.57999999996</v>
      </c>
      <c r="I321" s="14"/>
      <c r="J321" s="22">
        <f>IF(H$12=0,0,H321/H$12)</f>
        <v>-0.28116895952500459</v>
      </c>
      <c r="K321" s="16"/>
      <c r="L321" s="20">
        <f>+D321-H321</f>
        <v>-127958.88</v>
      </c>
      <c r="M321" s="16"/>
      <c r="N321" s="22">
        <f>IF(H321=0,0,L321/H321)</f>
        <v>0.91346623493420742</v>
      </c>
      <c r="O321" s="28"/>
      <c r="P321" s="20">
        <f>+P202-P204+P306</f>
        <v>-2389516.9399999985</v>
      </c>
      <c r="Q321" s="14"/>
      <c r="R321" s="22">
        <f>IF(P$12=0,0,P321/P$12)</f>
        <v>-0.2653890785943655</v>
      </c>
      <c r="S321" s="14"/>
      <c r="T321" s="20">
        <f>+T202-T204+T306</f>
        <v>2741062.3099999977</v>
      </c>
      <c r="U321" s="14"/>
      <c r="V321" s="22">
        <f>IF(T$12=0,0,T321/T$12)</f>
        <v>9.9517024542966695E-2</v>
      </c>
      <c r="W321" s="16"/>
      <c r="X321" s="20">
        <f>+P321-T321</f>
        <v>-5130579.2499999963</v>
      </c>
      <c r="Y321" s="16"/>
      <c r="Z321" s="22">
        <f>IF(T321=0,0,X321/T321)</f>
        <v>-1.8717484937436539</v>
      </c>
    </row>
    <row r="322" spans="1:26" x14ac:dyDescent="0.25">
      <c r="A322" s="9"/>
      <c r="B322" s="11"/>
      <c r="C322" s="9"/>
      <c r="D322" s="3"/>
      <c r="E322" s="3"/>
      <c r="F322" s="8"/>
      <c r="G322" s="3"/>
      <c r="H322" s="3"/>
      <c r="I322" s="3"/>
      <c r="J322" s="8"/>
      <c r="K322" s="3"/>
      <c r="L322" s="3"/>
      <c r="M322" s="3"/>
      <c r="N322" s="8"/>
      <c r="P322" s="3"/>
      <c r="Q322" s="3"/>
      <c r="R322" s="8"/>
      <c r="S322" s="3"/>
      <c r="T322" s="3"/>
      <c r="U322" s="3"/>
      <c r="V322" s="8"/>
      <c r="W322" s="3"/>
      <c r="X322" s="3"/>
      <c r="Y322" s="3"/>
      <c r="Z322" s="8"/>
    </row>
    <row r="323" spans="1:26" s="24" customFormat="1" x14ac:dyDescent="0.25">
      <c r="A323" s="51"/>
      <c r="B323" s="11" t="s">
        <v>127</v>
      </c>
      <c r="C323" s="11"/>
      <c r="D323" s="4">
        <v>242086.48</v>
      </c>
      <c r="E323" s="4"/>
      <c r="F323" s="13">
        <f>IF(D$12=0,0,D323/D$12)</f>
        <v>0.23307290963395352</v>
      </c>
      <c r="G323" s="4"/>
      <c r="H323" s="4">
        <v>229399.66</v>
      </c>
      <c r="I323" s="4"/>
      <c r="J323" s="13">
        <f>IF(H$12=0,0,H323/H$12)</f>
        <v>0.46044971913729826</v>
      </c>
      <c r="K323" s="4"/>
      <c r="L323" s="4">
        <f>+D323-H323</f>
        <v>12686.820000000007</v>
      </c>
      <c r="M323" s="4"/>
      <c r="N323" s="13">
        <f>IF(H323=0,0,L323/H323)</f>
        <v>5.5304441166129044E-2</v>
      </c>
      <c r="O323" s="11"/>
      <c r="P323" s="4">
        <v>1883636.83</v>
      </c>
      <c r="Q323" s="4"/>
      <c r="R323" s="13">
        <f>IF(P$12=0,0,P323/P$12)</f>
        <v>0.20920405892586466</v>
      </c>
      <c r="S323" s="4"/>
      <c r="T323" s="4">
        <v>3127384.56</v>
      </c>
      <c r="U323" s="4"/>
      <c r="V323" s="13">
        <f>IF(T$12=0,0,T323/T$12)</f>
        <v>0.11354284245104058</v>
      </c>
      <c r="W323" s="4"/>
      <c r="X323" s="4">
        <f>+P323-T323</f>
        <v>-1243747.73</v>
      </c>
      <c r="Y323" s="4"/>
      <c r="Z323" s="13">
        <f>IF(T323=0,0,X323/T323)</f>
        <v>-0.39769580815478606</v>
      </c>
    </row>
    <row r="324" spans="1:26" x14ac:dyDescent="0.25">
      <c r="A324" s="9"/>
      <c r="B324" s="11"/>
      <c r="C324" s="11"/>
      <c r="D324" s="3"/>
      <c r="E324" s="3"/>
      <c r="F324" s="8"/>
      <c r="G324" s="3"/>
      <c r="H324" s="3"/>
      <c r="I324" s="3"/>
      <c r="J324" s="8"/>
      <c r="K324" s="3"/>
      <c r="L324" s="3"/>
      <c r="M324" s="3"/>
      <c r="N324" s="8"/>
      <c r="O324" s="11"/>
      <c r="P324" s="3"/>
      <c r="Q324" s="3"/>
      <c r="R324" s="8"/>
      <c r="S324" s="3"/>
      <c r="T324" s="3"/>
      <c r="U324" s="3"/>
      <c r="V324" s="8"/>
      <c r="W324" s="3"/>
      <c r="X324" s="3"/>
      <c r="Y324" s="3"/>
      <c r="Z324" s="8"/>
    </row>
    <row r="325" spans="1:26" s="24" customFormat="1" ht="15.75" thickBot="1" x14ac:dyDescent="0.3">
      <c r="A325" s="11"/>
      <c r="B325" s="29" t="s">
        <v>125</v>
      </c>
      <c r="C325" s="29"/>
      <c r="D325" s="30">
        <f>+D321-D323</f>
        <v>-510125.93999999994</v>
      </c>
      <c r="E325" s="14"/>
      <c r="F325" s="34">
        <f>IF(D$12=0,0,D325/D$12)</f>
        <v>-0.49113249577405388</v>
      </c>
      <c r="G325" s="14"/>
      <c r="H325" s="30">
        <f>+H321-H323</f>
        <v>-369480.24</v>
      </c>
      <c r="I325" s="14"/>
      <c r="J325" s="34">
        <f>IF(H$12=0,0,H325/H$12)</f>
        <v>-0.74161867866230291</v>
      </c>
      <c r="K325" s="16"/>
      <c r="L325" s="30">
        <f>D325-H325</f>
        <v>-140645.69999999995</v>
      </c>
      <c r="M325" s="16"/>
      <c r="N325" s="34">
        <f>IF(H325=0,0,L325/H325)</f>
        <v>0.38065824575625468</v>
      </c>
      <c r="O325" s="28"/>
      <c r="P325" s="30">
        <f>+P321-P323</f>
        <v>-4273153.7699999986</v>
      </c>
      <c r="Q325" s="14"/>
      <c r="R325" s="34">
        <f>IF(P$12=0,0,P325/P$12)</f>
        <v>-0.47459313752023013</v>
      </c>
      <c r="S325" s="14"/>
      <c r="T325" s="30">
        <f>+T321-T323</f>
        <v>-386322.25000000233</v>
      </c>
      <c r="U325" s="14"/>
      <c r="V325" s="34">
        <f>IF(T$12=0,0,T325/T$12)</f>
        <v>-1.4025817908073888E-2</v>
      </c>
      <c r="W325" s="16"/>
      <c r="X325" s="30">
        <f>P325-T325</f>
        <v>-3886831.5199999963</v>
      </c>
      <c r="Y325" s="16"/>
      <c r="Z325" s="34">
        <f>IF(T325=0,0,X325/T325)</f>
        <v>10.061112245023352</v>
      </c>
    </row>
    <row r="326" spans="1:26" ht="15.75" thickTop="1" x14ac:dyDescent="0.25">
      <c r="A326" s="9"/>
      <c r="B326" s="9"/>
      <c r="C326" s="9"/>
      <c r="D326" s="3"/>
      <c r="E326" s="3"/>
      <c r="F326" s="8"/>
      <c r="G326" s="3"/>
      <c r="H326" s="3"/>
      <c r="I326" s="3"/>
      <c r="J326" s="8"/>
      <c r="K326" s="3"/>
      <c r="L326" s="3"/>
      <c r="M326" s="3"/>
      <c r="N326" s="8"/>
      <c r="P326" s="3"/>
      <c r="Q326" s="3"/>
      <c r="R326" s="8"/>
      <c r="S326" s="3"/>
      <c r="T326" s="3"/>
      <c r="U326" s="3"/>
      <c r="V326" s="8"/>
      <c r="W326" s="3"/>
      <c r="X326" s="3"/>
      <c r="Y326" s="3"/>
      <c r="Z326" s="8"/>
    </row>
    <row r="327" spans="1:26" s="24" customFormat="1" x14ac:dyDescent="0.25">
      <c r="A327" s="51"/>
      <c r="B327" s="11" t="s">
        <v>183</v>
      </c>
      <c r="C327" s="11"/>
      <c r="D327" s="4">
        <f>--334683.71</f>
        <v>334683.71000000002</v>
      </c>
      <c r="E327" s="4"/>
      <c r="F327" s="13">
        <f t="shared" ref="F327:F328" si="185">IF(D$12=0,0,D327/D$12)</f>
        <v>0.32222248056473995</v>
      </c>
      <c r="G327" s="4"/>
      <c r="H327" s="4">
        <f>--605154.18</f>
        <v>605154.18000000005</v>
      </c>
      <c r="I327" s="4"/>
      <c r="J327" s="13">
        <f t="shared" ref="J327:J328" si="186">IF(H$12=0,0,H327/H$12)</f>
        <v>1.2146620976498486</v>
      </c>
      <c r="K327" s="4"/>
      <c r="L327" s="4">
        <f t="shared" ref="L327:L328" si="187">+D327-H327</f>
        <v>-270470.47000000003</v>
      </c>
      <c r="M327" s="4"/>
      <c r="N327" s="13">
        <f t="shared" ref="N327:N328" si="188">IF(H327=0,0,L327/H327)</f>
        <v>-0.44694472737509638</v>
      </c>
      <c r="O327" s="11"/>
      <c r="P327" s="4">
        <f>--2631496.9</f>
        <v>2631496.9</v>
      </c>
      <c r="Q327" s="4"/>
      <c r="R327" s="13">
        <f t="shared" ref="R327:R328" si="189">IF(P$12=0,0,P327/P$12)</f>
        <v>0.29226431749629261</v>
      </c>
      <c r="S327" s="4"/>
      <c r="T327" s="4">
        <f>-861387.27</f>
        <v>-861387.27</v>
      </c>
      <c r="U327" s="4"/>
      <c r="V327" s="13">
        <f t="shared" ref="V327:V328" si="190">IF(T$12=0,0,T327/T$12)</f>
        <v>-3.1273531352006792E-2</v>
      </c>
      <c r="W327" s="4"/>
      <c r="X327" s="4">
        <f t="shared" ref="X327:X328" si="191">+P327-T327</f>
        <v>3492884.17</v>
      </c>
      <c r="Y327" s="4"/>
      <c r="Z327" s="13">
        <f t="shared" ref="Z327:Z328" si="192">IF(T327=0,0,X327/T327)</f>
        <v>-4.0549521587427222</v>
      </c>
    </row>
    <row r="328" spans="1:26" s="24" customFormat="1" x14ac:dyDescent="0.25">
      <c r="A328" s="51"/>
      <c r="B328" s="11" t="s">
        <v>81</v>
      </c>
      <c r="C328" s="11"/>
      <c r="D328" s="4">
        <f>--10223.34</f>
        <v>10223.34</v>
      </c>
      <c r="E328" s="4"/>
      <c r="F328" s="13">
        <f t="shared" si="185"/>
        <v>9.8426958827985047E-3</v>
      </c>
      <c r="G328" s="4"/>
      <c r="H328" s="4">
        <f>--14109.6</f>
        <v>14109.6</v>
      </c>
      <c r="I328" s="4"/>
      <c r="J328" s="13">
        <f t="shared" si="186"/>
        <v>2.8320710489020007E-2</v>
      </c>
      <c r="K328" s="4"/>
      <c r="L328" s="4">
        <f t="shared" si="187"/>
        <v>-3886.26</v>
      </c>
      <c r="M328" s="4"/>
      <c r="N328" s="13">
        <f t="shared" si="188"/>
        <v>-0.27543374723592451</v>
      </c>
      <c r="O328" s="11"/>
      <c r="P328" s="4">
        <f>--92759.53</f>
        <v>92759.53</v>
      </c>
      <c r="Q328" s="4"/>
      <c r="R328" s="13">
        <f t="shared" si="189"/>
        <v>1.0302235479253985E-2</v>
      </c>
      <c r="S328" s="4"/>
      <c r="T328" s="4">
        <f>--243670.73</f>
        <v>243670.73</v>
      </c>
      <c r="U328" s="4"/>
      <c r="V328" s="13">
        <f t="shared" si="190"/>
        <v>8.8467109738240984E-3</v>
      </c>
      <c r="W328" s="4"/>
      <c r="X328" s="4">
        <f t="shared" si="191"/>
        <v>-150911.20000000001</v>
      </c>
      <c r="Y328" s="4"/>
      <c r="Z328" s="13">
        <f t="shared" si="192"/>
        <v>-0.61932428240355342</v>
      </c>
    </row>
    <row r="329" spans="1:26" x14ac:dyDescent="0.25">
      <c r="A329" s="9"/>
      <c r="B329" s="9"/>
      <c r="C329" s="9"/>
      <c r="D329" s="3"/>
      <c r="E329" s="3"/>
      <c r="F329" s="8"/>
      <c r="G329" s="3"/>
      <c r="H329" s="3"/>
      <c r="I329" s="3"/>
      <c r="J329" s="8"/>
      <c r="K329" s="3"/>
      <c r="L329" s="3"/>
      <c r="M329" s="3"/>
      <c r="N329" s="8"/>
      <c r="P329" s="3"/>
      <c r="Q329" s="3"/>
      <c r="R329" s="8"/>
      <c r="S329" s="3"/>
      <c r="T329" s="3"/>
      <c r="U329" s="3"/>
      <c r="V329" s="8"/>
      <c r="W329" s="3"/>
      <c r="X329" s="3"/>
      <c r="Y329" s="3"/>
      <c r="Z329" s="8"/>
    </row>
    <row r="330" spans="1:26" s="24" customFormat="1" ht="15.75" thickBot="1" x14ac:dyDescent="0.3">
      <c r="A330" s="11"/>
      <c r="B330" s="29" t="s">
        <v>293</v>
      </c>
      <c r="C330" s="29"/>
      <c r="D330" s="32">
        <f>SUM(D325:D329)</f>
        <v>-165218.88999999993</v>
      </c>
      <c r="E330" s="14"/>
      <c r="F330" s="35">
        <f>IF(D$12=0,0,D330/D$12)</f>
        <v>-0.15906731932651544</v>
      </c>
      <c r="G330" s="14"/>
      <c r="H330" s="32">
        <f>SUM(H325:H329)</f>
        <v>249783.54000000007</v>
      </c>
      <c r="I330" s="14"/>
      <c r="J330" s="35">
        <f>IF(H$12=0,0,H330/H$12)</f>
        <v>0.50136412947656561</v>
      </c>
      <c r="K330" s="16"/>
      <c r="L330" s="32">
        <f>+D330-H330</f>
        <v>-415002.43</v>
      </c>
      <c r="M330" s="16"/>
      <c r="N330" s="35">
        <f>IF(H330=0,0,L330/H330)</f>
        <v>-1.661448268368684</v>
      </c>
      <c r="O330" s="28"/>
      <c r="P330" s="32">
        <f>SUM(P325:P329)</f>
        <v>-1548897.3399999987</v>
      </c>
      <c r="Q330" s="14"/>
      <c r="R330" s="35">
        <f>IF(P$12=0,0,P330/P$12)</f>
        <v>-0.17202658454468356</v>
      </c>
      <c r="S330" s="14"/>
      <c r="T330" s="32">
        <f>SUM(T325:T329)</f>
        <v>-1004038.7900000024</v>
      </c>
      <c r="U330" s="14"/>
      <c r="V330" s="35">
        <f>IF(T$12=0,0,T330/T$12)</f>
        <v>-3.6452638286256576E-2</v>
      </c>
      <c r="W330" s="16"/>
      <c r="X330" s="32">
        <f>+P330-T330</f>
        <v>-544858.54999999632</v>
      </c>
      <c r="Y330" s="16"/>
      <c r="Z330" s="35">
        <f>IF(T330=0,0,X330/T330)</f>
        <v>0.54266683262306536</v>
      </c>
    </row>
    <row r="331" spans="1:26" ht="15.75" thickTop="1" x14ac:dyDescent="0.25">
      <c r="A331" s="9"/>
      <c r="C331" s="9"/>
      <c r="D331" s="17"/>
      <c r="E331" s="17"/>
      <c r="G331" s="17"/>
      <c r="H331" s="17"/>
      <c r="I331" s="17"/>
      <c r="J331" s="42"/>
      <c r="K331" s="17"/>
      <c r="L331" s="17"/>
      <c r="M331" s="17"/>
      <c r="P331" s="17"/>
      <c r="Q331" s="17"/>
      <c r="R331" s="42"/>
      <c r="S331" s="17"/>
      <c r="T331" s="17"/>
      <c r="U331" s="17"/>
      <c r="V331" s="42"/>
      <c r="W331" s="17"/>
      <c r="X331" s="17"/>
    </row>
    <row r="332" spans="1:26" x14ac:dyDescent="0.25">
      <c r="A332" s="9"/>
      <c r="B332" s="59">
        <v>44330.008774386573</v>
      </c>
      <c r="D332" s="17"/>
      <c r="E332" s="17"/>
      <c r="G332" s="17"/>
      <c r="H332" s="17"/>
      <c r="I332" s="17"/>
      <c r="J332" s="42"/>
      <c r="K332" s="17"/>
      <c r="L332" s="17"/>
      <c r="M332" s="17"/>
      <c r="P332" s="17"/>
      <c r="Q332" s="17"/>
      <c r="R332" s="42"/>
      <c r="S332" s="17"/>
      <c r="T332" s="17"/>
      <c r="U332" s="17"/>
      <c r="V332" s="42"/>
      <c r="W332" s="17"/>
      <c r="X332" s="17"/>
    </row>
    <row r="333" spans="1:26" x14ac:dyDescent="0.25">
      <c r="A333" s="9"/>
      <c r="B333" s="52" t="s">
        <v>56</v>
      </c>
      <c r="D333" s="17"/>
      <c r="E333" s="17"/>
      <c r="G333" s="17"/>
      <c r="H333" s="17"/>
      <c r="I333" s="17"/>
      <c r="J333" s="42"/>
      <c r="K333" s="17"/>
      <c r="L333" s="17"/>
      <c r="M333" s="17"/>
      <c r="P333" s="17"/>
      <c r="Q333" s="17"/>
      <c r="R333" s="42"/>
      <c r="S333" s="17"/>
      <c r="T333" s="17"/>
      <c r="U333" s="17"/>
      <c r="V333" s="42"/>
      <c r="W333" s="17"/>
      <c r="X333" s="17"/>
    </row>
    <row r="334" spans="1:26" x14ac:dyDescent="0.25">
      <c r="A334" s="9"/>
      <c r="B334" s="55"/>
      <c r="D334" s="17"/>
      <c r="E334" s="17"/>
      <c r="G334" s="17"/>
      <c r="H334" s="17"/>
      <c r="I334" s="17"/>
      <c r="J334" s="42"/>
      <c r="K334" s="17"/>
      <c r="L334" s="17"/>
      <c r="M334" s="17"/>
      <c r="P334" s="17"/>
      <c r="Q334" s="17"/>
      <c r="R334" s="42"/>
      <c r="S334" s="17"/>
      <c r="T334" s="17"/>
      <c r="U334" s="17"/>
      <c r="V334" s="42"/>
      <c r="W334" s="17"/>
      <c r="X334" s="17"/>
    </row>
    <row r="335" spans="1:26" x14ac:dyDescent="0.25">
      <c r="D335" s="17"/>
      <c r="E335" s="17"/>
      <c r="G335" s="17"/>
      <c r="H335" s="17"/>
      <c r="I335" s="17"/>
      <c r="J335" s="42"/>
      <c r="K335" s="17"/>
      <c r="L335" s="17"/>
      <c r="M335" s="17"/>
      <c r="P335" s="17"/>
      <c r="Q335" s="17"/>
      <c r="R335" s="42"/>
      <c r="S335" s="17"/>
      <c r="T335" s="17"/>
      <c r="U335" s="17"/>
      <c r="V335" s="42"/>
      <c r="W335" s="17"/>
      <c r="X335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105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105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182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182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104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104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218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218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217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SUM(0)</f>
        <v>0</v>
      </c>
      <c r="E18" s="21"/>
      <c r="F18" s="31">
        <f>IF(D$12=0,0,D18/D$12)</f>
        <v>0</v>
      </c>
      <c r="G18" s="21"/>
      <c r="H18" s="21">
        <f>SUM(0)</f>
        <v>0</v>
      </c>
      <c r="I18" s="21"/>
      <c r="J18" s="31">
        <f>IF(H$12=0,0,H18/H$12)</f>
        <v>0</v>
      </c>
      <c r="K18" s="4"/>
      <c r="L18" s="21">
        <f>+D18-H18</f>
        <v>0</v>
      </c>
      <c r="M18" s="4"/>
      <c r="N18" s="31">
        <f>IF(H18=0,0,L18/H18)</f>
        <v>0</v>
      </c>
      <c r="O18" s="11"/>
      <c r="P18" s="21">
        <f>SUM(0)</f>
        <v>0</v>
      </c>
      <c r="Q18" s="21"/>
      <c r="R18" s="31">
        <f>IF(P$12=0,0,P18/P$12)</f>
        <v>0</v>
      </c>
      <c r="S18" s="21"/>
      <c r="T18" s="21">
        <f>SUM(0)</f>
        <v>0</v>
      </c>
      <c r="U18" s="21"/>
      <c r="V18" s="31">
        <f>IF(T$12=0,0,T18/T$12)</f>
        <v>0</v>
      </c>
      <c r="W18" s="4"/>
      <c r="X18" s="21">
        <f>+P18-T18</f>
        <v>0</v>
      </c>
      <c r="Y18" s="4"/>
      <c r="Z18" s="31">
        <f>IF(T18=0,0,X18/T18)</f>
        <v>0</v>
      </c>
    </row>
    <row r="19" spans="1:26" s="62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292</v>
      </c>
      <c r="C20" s="11"/>
      <c r="D20" s="4">
        <f>SUM(0)</f>
        <v>0</v>
      </c>
      <c r="E20" s="4"/>
      <c r="F20" s="13">
        <f>IF(D$12=0,0,D20/D$12)</f>
        <v>0</v>
      </c>
      <c r="G20" s="4"/>
      <c r="H20" s="4">
        <f>SUM(0)</f>
        <v>0</v>
      </c>
      <c r="I20" s="4"/>
      <c r="J20" s="13">
        <f>IF(H$12=0,0,H20/H$12)</f>
        <v>0</v>
      </c>
      <c r="K20" s="4"/>
      <c r="L20" s="4">
        <f>+D20-H20</f>
        <v>0</v>
      </c>
      <c r="M20" s="4"/>
      <c r="N20" s="13">
        <f>IF(H20=0,0,L20/H20)</f>
        <v>0</v>
      </c>
      <c r="O20" s="11"/>
      <c r="P20" s="4">
        <f>SUM(0)</f>
        <v>0</v>
      </c>
      <c r="Q20" s="4"/>
      <c r="R20" s="13">
        <f>IF(P$12=0,0,P20/P$12)</f>
        <v>0</v>
      </c>
      <c r="S20" s="4"/>
      <c r="T20" s="4">
        <f>SUM(0)</f>
        <v>0</v>
      </c>
      <c r="U20" s="4"/>
      <c r="V20" s="13">
        <f>IF(T$12=0,0,T20/T$12)</f>
        <v>0</v>
      </c>
      <c r="W20" s="4"/>
      <c r="X20" s="4">
        <f>+P20-T20</f>
        <v>0</v>
      </c>
      <c r="Y20" s="4"/>
      <c r="Z20" s="13">
        <f>IF(T20=0,0,X20/T20)</f>
        <v>0</v>
      </c>
    </row>
    <row r="21" spans="1:26" x14ac:dyDescent="0.25">
      <c r="A21" s="9"/>
      <c r="B21" s="11"/>
      <c r="C21" s="11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1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4" customFormat="1" x14ac:dyDescent="0.25">
      <c r="A22" s="11"/>
      <c r="B22" s="29" t="s">
        <v>276</v>
      </c>
      <c r="C22" s="29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8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1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x14ac:dyDescent="0.25">
      <c r="A24" s="51"/>
      <c r="B24" s="11" t="s">
        <v>127</v>
      </c>
      <c r="C24" s="11"/>
      <c r="D24" s="4"/>
      <c r="E24" s="4"/>
      <c r="F24" s="13">
        <f>IF(D$12=0,0,D24/D$12)</f>
        <v>0</v>
      </c>
      <c r="G24" s="4"/>
      <c r="H24" s="4"/>
      <c r="I24" s="4"/>
      <c r="J24" s="13">
        <f>IF(H$12=0,0,H24/H$12)</f>
        <v>0</v>
      </c>
      <c r="K24" s="4"/>
      <c r="L24" s="4">
        <f>+D24-H24</f>
        <v>0</v>
      </c>
      <c r="M24" s="4"/>
      <c r="N24" s="13">
        <f>IF(H24=0,0,L24/H24)</f>
        <v>0</v>
      </c>
      <c r="O24" s="11"/>
      <c r="P24" s="4"/>
      <c r="Q24" s="4"/>
      <c r="R24" s="13">
        <f>IF(P$12=0,0,P24/P$12)</f>
        <v>0</v>
      </c>
      <c r="S24" s="4"/>
      <c r="T24" s="4"/>
      <c r="U24" s="4"/>
      <c r="V24" s="13">
        <f>IF(T$12=0,0,T24/T$12)</f>
        <v>0</v>
      </c>
      <c r="W24" s="4"/>
      <c r="X24" s="4">
        <f>+P24-T24</f>
        <v>0</v>
      </c>
      <c r="Y24" s="4"/>
      <c r="Z24" s="13">
        <f>IF(T24=0,0,X24/T24)</f>
        <v>0</v>
      </c>
    </row>
    <row r="25" spans="1:26" x14ac:dyDescent="0.25">
      <c r="A25" s="9"/>
      <c r="B25" s="11"/>
      <c r="C25" s="11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1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4" customFormat="1" ht="15.75" thickBot="1" x14ac:dyDescent="0.3">
      <c r="A26" s="11"/>
      <c r="B26" s="29" t="s">
        <v>125</v>
      </c>
      <c r="C26" s="29"/>
      <c r="D26" s="30">
        <f>+D22-D24</f>
        <v>0</v>
      </c>
      <c r="E26" s="14"/>
      <c r="F26" s="34">
        <f>IF(D$12=0,0,D26/D$12)</f>
        <v>0</v>
      </c>
      <c r="G26" s="14"/>
      <c r="H26" s="30">
        <f>+H22-H24</f>
        <v>0</v>
      </c>
      <c r="I26" s="14"/>
      <c r="J26" s="34">
        <f>IF(H$12=0,0,H26/H$12)</f>
        <v>0</v>
      </c>
      <c r="K26" s="16"/>
      <c r="L26" s="30">
        <f>D26-H26</f>
        <v>0</v>
      </c>
      <c r="M26" s="16"/>
      <c r="N26" s="34">
        <f>IF(H26=0,0,L26/H26)</f>
        <v>0</v>
      </c>
      <c r="O26" s="28"/>
      <c r="P26" s="30">
        <f>+P22-P24</f>
        <v>0</v>
      </c>
      <c r="Q26" s="14"/>
      <c r="R26" s="34">
        <f>IF(P$12=0,0,P26/P$12)</f>
        <v>0</v>
      </c>
      <c r="S26" s="14"/>
      <c r="T26" s="30">
        <f>+T22-T24</f>
        <v>0</v>
      </c>
      <c r="U26" s="14"/>
      <c r="V26" s="34">
        <f>IF(T$12=0,0,T26/T$12)</f>
        <v>0</v>
      </c>
      <c r="W26" s="16"/>
      <c r="X26" s="30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4" customFormat="1" x14ac:dyDescent="0.25">
      <c r="A28" s="51"/>
      <c r="B28" s="11" t="s">
        <v>183</v>
      </c>
      <c r="C28" s="11"/>
      <c r="D28" s="4">
        <f>--334683.71</f>
        <v>334683.71000000002</v>
      </c>
      <c r="E28" s="4"/>
      <c r="F28" s="13">
        <f t="shared" ref="F28:F29" si="0">IF(D$12=0,0,D28/D$12)</f>
        <v>0</v>
      </c>
      <c r="G28" s="4"/>
      <c r="H28" s="4">
        <f>--605154.18</f>
        <v>605154.18000000005</v>
      </c>
      <c r="I28" s="4"/>
      <c r="J28" s="13">
        <f t="shared" ref="J28:J29" si="1">IF(H$12=0,0,H28/H$12)</f>
        <v>0</v>
      </c>
      <c r="K28" s="4"/>
      <c r="L28" s="4">
        <f t="shared" ref="L28:L29" si="2">+D28-H28</f>
        <v>-270470.47000000003</v>
      </c>
      <c r="M28" s="4"/>
      <c r="N28" s="13">
        <f t="shared" ref="N28:N29" si="3">IF(H28=0,0,L28/H28)</f>
        <v>-0.44694472737509638</v>
      </c>
      <c r="O28" s="11"/>
      <c r="P28" s="4">
        <f>--2631496.9</f>
        <v>2631496.9</v>
      </c>
      <c r="Q28" s="4"/>
      <c r="R28" s="13">
        <f t="shared" ref="R28:R29" si="4">IF(P$12=0,0,P28/P$12)</f>
        <v>0</v>
      </c>
      <c r="S28" s="4"/>
      <c r="T28" s="4">
        <f>-861387.27</f>
        <v>-861387.27</v>
      </c>
      <c r="U28" s="4"/>
      <c r="V28" s="13">
        <f t="shared" ref="V28:V29" si="5">IF(T$12=0,0,T28/T$12)</f>
        <v>0</v>
      </c>
      <c r="W28" s="4"/>
      <c r="X28" s="4">
        <f t="shared" ref="X28:X29" si="6">+P28-T28</f>
        <v>3492884.17</v>
      </c>
      <c r="Y28" s="4"/>
      <c r="Z28" s="13">
        <f t="shared" ref="Z28:Z29" si="7">IF(T28=0,0,X28/T28)</f>
        <v>-4.0549521587427222</v>
      </c>
    </row>
    <row r="29" spans="1:26" s="24" customFormat="1" x14ac:dyDescent="0.25">
      <c r="A29" s="51"/>
      <c r="B29" s="11" t="s">
        <v>81</v>
      </c>
      <c r="C29" s="11"/>
      <c r="D29" s="4">
        <f>--10223.34</f>
        <v>10223.34</v>
      </c>
      <c r="E29" s="4"/>
      <c r="F29" s="13">
        <f t="shared" si="0"/>
        <v>0</v>
      </c>
      <c r="G29" s="4"/>
      <c r="H29" s="4">
        <f>--14109.6</f>
        <v>14109.6</v>
      </c>
      <c r="I29" s="4"/>
      <c r="J29" s="13">
        <f t="shared" si="1"/>
        <v>0</v>
      </c>
      <c r="K29" s="4"/>
      <c r="L29" s="4">
        <f t="shared" si="2"/>
        <v>-3886.26</v>
      </c>
      <c r="M29" s="4"/>
      <c r="N29" s="13">
        <f t="shared" si="3"/>
        <v>-0.27543374723592451</v>
      </c>
      <c r="O29" s="11"/>
      <c r="P29" s="4">
        <f>--92759.53</f>
        <v>92759.53</v>
      </c>
      <c r="Q29" s="4"/>
      <c r="R29" s="13">
        <f t="shared" si="4"/>
        <v>0</v>
      </c>
      <c r="S29" s="4"/>
      <c r="T29" s="4">
        <f>--243670.73</f>
        <v>243670.73</v>
      </c>
      <c r="U29" s="4"/>
      <c r="V29" s="13">
        <f t="shared" si="5"/>
        <v>0</v>
      </c>
      <c r="W29" s="4"/>
      <c r="X29" s="4">
        <f t="shared" si="6"/>
        <v>-150911.20000000001</v>
      </c>
      <c r="Y29" s="4"/>
      <c r="Z29" s="13">
        <f t="shared" si="7"/>
        <v>-0.61932428240355342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293</v>
      </c>
      <c r="C31" s="29"/>
      <c r="D31" s="32">
        <f>SUM(D26:D30)</f>
        <v>344907.05000000005</v>
      </c>
      <c r="E31" s="14"/>
      <c r="F31" s="35">
        <f>IF(D$12=0,0,D31/D$12)</f>
        <v>0</v>
      </c>
      <c r="G31" s="14"/>
      <c r="H31" s="32">
        <f>SUM(H26:H30)</f>
        <v>619263.78</v>
      </c>
      <c r="I31" s="14"/>
      <c r="J31" s="35">
        <f>IF(H$12=0,0,H31/H$12)</f>
        <v>0</v>
      </c>
      <c r="K31" s="16"/>
      <c r="L31" s="32">
        <f>+D31-H31</f>
        <v>-274356.73</v>
      </c>
      <c r="M31" s="16"/>
      <c r="N31" s="35">
        <f>IF(H31=0,0,L31/H31)</f>
        <v>-0.44303693976741215</v>
      </c>
      <c r="O31" s="28"/>
      <c r="P31" s="32">
        <f>SUM(P26:P30)</f>
        <v>2724256.4299999997</v>
      </c>
      <c r="Q31" s="14"/>
      <c r="R31" s="35">
        <f>IF(P$12=0,0,P31/P$12)</f>
        <v>0</v>
      </c>
      <c r="S31" s="14"/>
      <c r="T31" s="32">
        <f>SUM(T26:T30)</f>
        <v>-617716.54</v>
      </c>
      <c r="U31" s="14"/>
      <c r="V31" s="35">
        <f>IF(T$12=0,0,T31/T$12)</f>
        <v>0</v>
      </c>
      <c r="W31" s="16"/>
      <c r="X31" s="32">
        <f>+P31-T31</f>
        <v>3341972.9699999997</v>
      </c>
      <c r="Y31" s="16"/>
      <c r="Z31" s="35">
        <f>IF(T31=0,0,X31/T31)</f>
        <v>-5.4102047680316279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59">
        <v>44330.008848761572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2" t="s">
        <v>56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5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","100", " - ", "Corporate")</f>
        <v>Department 100 - Corporate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SUM(0)</f>
        <v>0</v>
      </c>
      <c r="E18" s="21"/>
      <c r="F18" s="31">
        <f>IF(D$12=0,0,D18/D$12)</f>
        <v>0</v>
      </c>
      <c r="G18" s="21"/>
      <c r="H18" s="21">
        <f>SUM(0)</f>
        <v>0</v>
      </c>
      <c r="I18" s="21"/>
      <c r="J18" s="31">
        <f>IF(H$12=0,0,H18/H$12)</f>
        <v>0</v>
      </c>
      <c r="K18" s="4"/>
      <c r="L18" s="21">
        <f>+D18-H18</f>
        <v>0</v>
      </c>
      <c r="M18" s="4"/>
      <c r="N18" s="31">
        <f>IF(H18=0,0,L18/H18)</f>
        <v>0</v>
      </c>
      <c r="O18" s="11"/>
      <c r="P18" s="21">
        <f>SUM(0)</f>
        <v>0</v>
      </c>
      <c r="Q18" s="21"/>
      <c r="R18" s="31">
        <f>IF(P$12=0,0,P18/P$12)</f>
        <v>0</v>
      </c>
      <c r="S18" s="21"/>
      <c r="T18" s="21">
        <f>SUM(0)</f>
        <v>0</v>
      </c>
      <c r="U18" s="21"/>
      <c r="V18" s="31">
        <f>IF(T$12=0,0,T18/T$12)</f>
        <v>0</v>
      </c>
      <c r="W18" s="4"/>
      <c r="X18" s="21">
        <f>+P18-T18</f>
        <v>0</v>
      </c>
      <c r="Y18" s="4"/>
      <c r="Z18" s="31">
        <f>IF(T18=0,0,X18/T18)</f>
        <v>0</v>
      </c>
    </row>
    <row r="19" spans="1:26" s="62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292</v>
      </c>
      <c r="C20" s="11"/>
      <c r="D20" s="4">
        <f>SUM(0)</f>
        <v>0</v>
      </c>
      <c r="E20" s="4"/>
      <c r="F20" s="13">
        <f>IF(D$12=0,0,D20/D$12)</f>
        <v>0</v>
      </c>
      <c r="G20" s="4"/>
      <c r="H20" s="4">
        <f>SUM(0)</f>
        <v>0</v>
      </c>
      <c r="I20" s="4"/>
      <c r="J20" s="13">
        <f>IF(H$12=0,0,H20/H$12)</f>
        <v>0</v>
      </c>
      <c r="K20" s="4"/>
      <c r="L20" s="4">
        <f>+D20-H20</f>
        <v>0</v>
      </c>
      <c r="M20" s="4"/>
      <c r="N20" s="13">
        <f>IF(H20=0,0,L20/H20)</f>
        <v>0</v>
      </c>
      <c r="O20" s="11"/>
      <c r="P20" s="4">
        <f>SUM(0)</f>
        <v>0</v>
      </c>
      <c r="Q20" s="4"/>
      <c r="R20" s="13">
        <f>IF(P$12=0,0,P20/P$12)</f>
        <v>0</v>
      </c>
      <c r="S20" s="4"/>
      <c r="T20" s="4">
        <f>SUM(0)</f>
        <v>0</v>
      </c>
      <c r="U20" s="4"/>
      <c r="V20" s="13">
        <f>IF(T$12=0,0,T20/T$12)</f>
        <v>0</v>
      </c>
      <c r="W20" s="4"/>
      <c r="X20" s="4">
        <f>+P20-T20</f>
        <v>0</v>
      </c>
      <c r="Y20" s="4"/>
      <c r="Z20" s="13">
        <f>IF(T20=0,0,X20/T20)</f>
        <v>0</v>
      </c>
    </row>
    <row r="21" spans="1:26" x14ac:dyDescent="0.25">
      <c r="A21" s="9"/>
      <c r="B21" s="11"/>
      <c r="C21" s="11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1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4" customFormat="1" x14ac:dyDescent="0.25">
      <c r="A22" s="11"/>
      <c r="B22" s="29" t="s">
        <v>276</v>
      </c>
      <c r="C22" s="29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8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1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x14ac:dyDescent="0.25">
      <c r="A24" s="51"/>
      <c r="B24" s="11" t="s">
        <v>127</v>
      </c>
      <c r="C24" s="11"/>
      <c r="D24" s="4"/>
      <c r="E24" s="4"/>
      <c r="F24" s="13">
        <f>IF(D$12=0,0,D24/D$12)</f>
        <v>0</v>
      </c>
      <c r="G24" s="4"/>
      <c r="H24" s="4"/>
      <c r="I24" s="4"/>
      <c r="J24" s="13">
        <f>IF(H$12=0,0,H24/H$12)</f>
        <v>0</v>
      </c>
      <c r="K24" s="4"/>
      <c r="L24" s="4">
        <f>+D24-H24</f>
        <v>0</v>
      </c>
      <c r="M24" s="4"/>
      <c r="N24" s="13">
        <f>IF(H24=0,0,L24/H24)</f>
        <v>0</v>
      </c>
      <c r="O24" s="11"/>
      <c r="P24" s="4"/>
      <c r="Q24" s="4"/>
      <c r="R24" s="13">
        <f>IF(P$12=0,0,P24/P$12)</f>
        <v>0</v>
      </c>
      <c r="S24" s="4"/>
      <c r="T24" s="4"/>
      <c r="U24" s="4"/>
      <c r="V24" s="13">
        <f>IF(T$12=0,0,T24/T$12)</f>
        <v>0</v>
      </c>
      <c r="W24" s="4"/>
      <c r="X24" s="4">
        <f>+P24-T24</f>
        <v>0</v>
      </c>
      <c r="Y24" s="4"/>
      <c r="Z24" s="13">
        <f>IF(T24=0,0,X24/T24)</f>
        <v>0</v>
      </c>
    </row>
    <row r="25" spans="1:26" x14ac:dyDescent="0.25">
      <c r="A25" s="9"/>
      <c r="B25" s="11"/>
      <c r="C25" s="11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1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4" customFormat="1" ht="15.75" thickBot="1" x14ac:dyDescent="0.3">
      <c r="A26" s="11"/>
      <c r="B26" s="29" t="s">
        <v>125</v>
      </c>
      <c r="C26" s="29"/>
      <c r="D26" s="30">
        <f>+D22-D24</f>
        <v>0</v>
      </c>
      <c r="E26" s="14"/>
      <c r="F26" s="34">
        <f>IF(D$12=0,0,D26/D$12)</f>
        <v>0</v>
      </c>
      <c r="G26" s="14"/>
      <c r="H26" s="30">
        <f>+H22-H24</f>
        <v>0</v>
      </c>
      <c r="I26" s="14"/>
      <c r="J26" s="34">
        <f>IF(H$12=0,0,H26/H$12)</f>
        <v>0</v>
      </c>
      <c r="K26" s="16"/>
      <c r="L26" s="30">
        <f>D26-H26</f>
        <v>0</v>
      </c>
      <c r="M26" s="16"/>
      <c r="N26" s="34">
        <f>IF(H26=0,0,L26/H26)</f>
        <v>0</v>
      </c>
      <c r="O26" s="28"/>
      <c r="P26" s="30">
        <f>+P22-P24</f>
        <v>0</v>
      </c>
      <c r="Q26" s="14"/>
      <c r="R26" s="34">
        <f>IF(P$12=0,0,P26/P$12)</f>
        <v>0</v>
      </c>
      <c r="S26" s="14"/>
      <c r="T26" s="30">
        <f>+T22-T24</f>
        <v>0</v>
      </c>
      <c r="U26" s="14"/>
      <c r="V26" s="34">
        <f>IF(T$12=0,0,T26/T$12)</f>
        <v>0</v>
      </c>
      <c r="W26" s="16"/>
      <c r="X26" s="30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4" customFormat="1" x14ac:dyDescent="0.25">
      <c r="A28" s="51"/>
      <c r="B28" s="11" t="s">
        <v>183</v>
      </c>
      <c r="C28" s="11"/>
      <c r="D28" s="4">
        <f>--334683.71</f>
        <v>334683.71000000002</v>
      </c>
      <c r="E28" s="4"/>
      <c r="F28" s="13">
        <f t="shared" ref="F28:F29" si="0">IF(D$12=0,0,D28/D$12)</f>
        <v>0</v>
      </c>
      <c r="G28" s="4"/>
      <c r="H28" s="4">
        <f>--605154.18</f>
        <v>605154.18000000005</v>
      </c>
      <c r="I28" s="4"/>
      <c r="J28" s="13">
        <f t="shared" ref="J28:J29" si="1">IF(H$12=0,0,H28/H$12)</f>
        <v>0</v>
      </c>
      <c r="K28" s="4"/>
      <c r="L28" s="4">
        <f t="shared" ref="L28:L29" si="2">+D28-H28</f>
        <v>-270470.47000000003</v>
      </c>
      <c r="M28" s="4"/>
      <c r="N28" s="13">
        <f t="shared" ref="N28:N29" si="3">IF(H28=0,0,L28/H28)</f>
        <v>-0.44694472737509638</v>
      </c>
      <c r="O28" s="11"/>
      <c r="P28" s="4">
        <f>--2631496.9</f>
        <v>2631496.9</v>
      </c>
      <c r="Q28" s="4"/>
      <c r="R28" s="13">
        <f t="shared" ref="R28:R29" si="4">IF(P$12=0,0,P28/P$12)</f>
        <v>0</v>
      </c>
      <c r="S28" s="4"/>
      <c r="T28" s="4">
        <f>-861387.27</f>
        <v>-861387.27</v>
      </c>
      <c r="U28" s="4"/>
      <c r="V28" s="13">
        <f t="shared" ref="V28:V29" si="5">IF(T$12=0,0,T28/T$12)</f>
        <v>0</v>
      </c>
      <c r="W28" s="4"/>
      <c r="X28" s="4">
        <f t="shared" ref="X28:X29" si="6">+P28-T28</f>
        <v>3492884.17</v>
      </c>
      <c r="Y28" s="4"/>
      <c r="Z28" s="13">
        <f t="shared" ref="Z28:Z29" si="7">IF(T28=0,0,X28/T28)</f>
        <v>-4.0549521587427222</v>
      </c>
    </row>
    <row r="29" spans="1:26" s="24" customFormat="1" x14ac:dyDescent="0.25">
      <c r="A29" s="51"/>
      <c r="B29" s="11" t="s">
        <v>81</v>
      </c>
      <c r="C29" s="11"/>
      <c r="D29" s="4">
        <f>--10223.34</f>
        <v>10223.34</v>
      </c>
      <c r="E29" s="4"/>
      <c r="F29" s="13">
        <f t="shared" si="0"/>
        <v>0</v>
      </c>
      <c r="G29" s="4"/>
      <c r="H29" s="4">
        <f>--14109.6</f>
        <v>14109.6</v>
      </c>
      <c r="I29" s="4"/>
      <c r="J29" s="13">
        <f t="shared" si="1"/>
        <v>0</v>
      </c>
      <c r="K29" s="4"/>
      <c r="L29" s="4">
        <f t="shared" si="2"/>
        <v>-3886.26</v>
      </c>
      <c r="M29" s="4"/>
      <c r="N29" s="13">
        <f t="shared" si="3"/>
        <v>-0.27543374723592451</v>
      </c>
      <c r="O29" s="11"/>
      <c r="P29" s="4">
        <f>--92759.53</f>
        <v>92759.53</v>
      </c>
      <c r="Q29" s="4"/>
      <c r="R29" s="13">
        <f t="shared" si="4"/>
        <v>0</v>
      </c>
      <c r="S29" s="4"/>
      <c r="T29" s="4">
        <f>--243670.73</f>
        <v>243670.73</v>
      </c>
      <c r="U29" s="4"/>
      <c r="V29" s="13">
        <f t="shared" si="5"/>
        <v>0</v>
      </c>
      <c r="W29" s="4"/>
      <c r="X29" s="4">
        <f t="shared" si="6"/>
        <v>-150911.20000000001</v>
      </c>
      <c r="Y29" s="4"/>
      <c r="Z29" s="13">
        <f t="shared" si="7"/>
        <v>-0.61932428240355342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293</v>
      </c>
      <c r="C31" s="29"/>
      <c r="D31" s="32">
        <f>SUM(D26:D30)</f>
        <v>344907.05000000005</v>
      </c>
      <c r="E31" s="14"/>
      <c r="F31" s="35">
        <f>IF(D$12=0,0,D31/D$12)</f>
        <v>0</v>
      </c>
      <c r="G31" s="14"/>
      <c r="H31" s="32">
        <f>SUM(H26:H30)</f>
        <v>619263.78</v>
      </c>
      <c r="I31" s="14"/>
      <c r="J31" s="35">
        <f>IF(H$12=0,0,H31/H$12)</f>
        <v>0</v>
      </c>
      <c r="K31" s="16"/>
      <c r="L31" s="32">
        <f>+D31-H31</f>
        <v>-274356.73</v>
      </c>
      <c r="M31" s="16"/>
      <c r="N31" s="35">
        <f>IF(H31=0,0,L31/H31)</f>
        <v>-0.44303693976741215</v>
      </c>
      <c r="O31" s="28"/>
      <c r="P31" s="32">
        <f>SUM(P26:P30)</f>
        <v>2724256.4299999997</v>
      </c>
      <c r="Q31" s="14"/>
      <c r="R31" s="35">
        <f>IF(P$12=0,0,P31/P$12)</f>
        <v>0</v>
      </c>
      <c r="S31" s="14"/>
      <c r="T31" s="32">
        <f>SUM(T26:T30)</f>
        <v>-617716.54</v>
      </c>
      <c r="U31" s="14"/>
      <c r="V31" s="35">
        <f>IF(T$12=0,0,T31/T$12)</f>
        <v>0</v>
      </c>
      <c r="W31" s="16"/>
      <c r="X31" s="32">
        <f>+P31-T31</f>
        <v>3341972.9699999997</v>
      </c>
      <c r="Y31" s="16"/>
      <c r="Z31" s="35">
        <f>IF(T31=0,0,X31/T31)</f>
        <v>-5.4102047680316279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59">
        <v>44330.00886898148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2" t="s">
        <v>56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5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312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138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242086.47999999998</v>
      </c>
      <c r="E18" s="21"/>
      <c r="F18" s="31">
        <f t="shared" ref="F18:F30" si="0">IF(D$12=0,0,D18/D$12)</f>
        <v>0</v>
      </c>
      <c r="G18" s="21"/>
      <c r="H18" s="21">
        <f>SUM(OSRRefH22x_0)</f>
        <v>229399.66</v>
      </c>
      <c r="I18" s="21"/>
      <c r="J18" s="31">
        <f t="shared" ref="J18:J30" si="1">IF(H$12=0,0,H18/H$12)</f>
        <v>0</v>
      </c>
      <c r="K18" s="4"/>
      <c r="L18" s="21">
        <f t="shared" ref="L18:L30" si="2">+D18-H18</f>
        <v>12686.819999999978</v>
      </c>
      <c r="M18" s="4"/>
      <c r="N18" s="31">
        <f t="shared" ref="N18:N30" si="3">IF(H18=0,0,L18/H18)</f>
        <v>5.5304441166128919E-2</v>
      </c>
      <c r="O18" s="11"/>
      <c r="P18" s="21">
        <f>SUM(OSRRefP22x_0)</f>
        <v>1883636.8299999998</v>
      </c>
      <c r="Q18" s="21"/>
      <c r="R18" s="31">
        <f t="shared" ref="R18:R30" si="4">IF(P$12=0,0,P18/P$12)</f>
        <v>0</v>
      </c>
      <c r="S18" s="21"/>
      <c r="T18" s="21">
        <f>SUM(OSRRefT22x_0)</f>
        <v>3127384.56</v>
      </c>
      <c r="U18" s="21"/>
      <c r="V18" s="31">
        <f t="shared" ref="V18:V30" si="5">IF(T$12=0,0,T18/T$12)</f>
        <v>0</v>
      </c>
      <c r="W18" s="4"/>
      <c r="X18" s="21">
        <f t="shared" ref="X18:X30" si="6">+P18-T18</f>
        <v>-1243747.7300000002</v>
      </c>
      <c r="Y18" s="4"/>
      <c r="Z18" s="31">
        <f t="shared" ref="Z18:Z30" si="7">IF(T18=0,0,X18/T18)</f>
        <v>-0.39769580815478611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86861.33</v>
      </c>
      <c r="E19" s="1"/>
      <c r="F19" s="5">
        <f t="shared" si="0"/>
        <v>0</v>
      </c>
      <c r="G19" s="1"/>
      <c r="H19" s="1">
        <f>SUM(OSRRefH22_0x_0)</f>
        <v>45025.14</v>
      </c>
      <c r="I19" s="1"/>
      <c r="J19" s="5">
        <f t="shared" si="1"/>
        <v>0</v>
      </c>
      <c r="K19" s="1"/>
      <c r="L19" s="1">
        <f t="shared" si="2"/>
        <v>41836.19</v>
      </c>
      <c r="M19" s="1"/>
      <c r="N19" s="5">
        <f t="shared" si="3"/>
        <v>0.92917401256275944</v>
      </c>
      <c r="O19" s="12"/>
      <c r="P19" s="1">
        <f>SUM(OSRRefP22_0x_0)</f>
        <v>426772.31000000011</v>
      </c>
      <c r="Q19" s="1"/>
      <c r="R19" s="5">
        <f t="shared" si="4"/>
        <v>0</v>
      </c>
      <c r="S19" s="1"/>
      <c r="T19" s="1">
        <f>SUM(OSRRefT22_0x_0)</f>
        <v>870769.05</v>
      </c>
      <c r="U19" s="1"/>
      <c r="V19" s="5">
        <f t="shared" si="5"/>
        <v>0</v>
      </c>
      <c r="W19" s="1"/>
      <c r="X19" s="1">
        <f t="shared" si="6"/>
        <v>-443996.73999999993</v>
      </c>
      <c r="Y19" s="1"/>
      <c r="Z19" s="5">
        <f t="shared" si="7"/>
        <v>-0.50989035496840396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10464.51</v>
      </c>
      <c r="E20" s="2"/>
      <c r="F20" s="7">
        <f t="shared" si="0"/>
        <v>0</v>
      </c>
      <c r="G20" s="2"/>
      <c r="H20" s="6">
        <v>10981.95</v>
      </c>
      <c r="I20" s="2"/>
      <c r="J20" s="7">
        <f t="shared" si="1"/>
        <v>0</v>
      </c>
      <c r="K20" s="2"/>
      <c r="L20" s="6">
        <f t="shared" si="2"/>
        <v>-517.44000000000051</v>
      </c>
      <c r="M20" s="2"/>
      <c r="N20" s="7">
        <f t="shared" si="3"/>
        <v>-4.7117315230901659E-2</v>
      </c>
      <c r="O20" s="10"/>
      <c r="P20" s="6">
        <v>79374.69</v>
      </c>
      <c r="Q20" s="2"/>
      <c r="R20" s="7">
        <f t="shared" si="4"/>
        <v>0</v>
      </c>
      <c r="S20" s="2"/>
      <c r="T20" s="6">
        <v>98432.45</v>
      </c>
      <c r="U20" s="2"/>
      <c r="V20" s="7">
        <f t="shared" si="5"/>
        <v>0</v>
      </c>
      <c r="W20" s="2"/>
      <c r="X20" s="6">
        <f t="shared" si="6"/>
        <v>-19057.759999999995</v>
      </c>
      <c r="Y20" s="2"/>
      <c r="Z20" s="7">
        <f t="shared" si="7"/>
        <v>-0.19361257390220396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580.21</v>
      </c>
      <c r="E21" s="2"/>
      <c r="F21" s="7">
        <f t="shared" si="0"/>
        <v>0</v>
      </c>
      <c r="G21" s="2"/>
      <c r="H21" s="6">
        <v>594.42999999999995</v>
      </c>
      <c r="I21" s="2"/>
      <c r="J21" s="7">
        <f t="shared" si="1"/>
        <v>0</v>
      </c>
      <c r="K21" s="2"/>
      <c r="L21" s="6">
        <f t="shared" si="2"/>
        <v>-14.219999999999914</v>
      </c>
      <c r="M21" s="2"/>
      <c r="N21" s="7">
        <f t="shared" si="3"/>
        <v>-2.3922076611207231E-2</v>
      </c>
      <c r="O21" s="10"/>
      <c r="P21" s="6">
        <v>6467.13</v>
      </c>
      <c r="Q21" s="2"/>
      <c r="R21" s="7">
        <f t="shared" si="4"/>
        <v>0</v>
      </c>
      <c r="S21" s="2"/>
      <c r="T21" s="6">
        <v>6764.85</v>
      </c>
      <c r="U21" s="2"/>
      <c r="V21" s="7">
        <f t="shared" si="5"/>
        <v>0</v>
      </c>
      <c r="W21" s="2"/>
      <c r="X21" s="6">
        <f t="shared" si="6"/>
        <v>-297.72000000000025</v>
      </c>
      <c r="Y21" s="2"/>
      <c r="Z21" s="7">
        <f t="shared" si="7"/>
        <v>-4.4009845007649873E-2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22431.15</v>
      </c>
      <c r="E22" s="2"/>
      <c r="F22" s="7">
        <f t="shared" si="0"/>
        <v>0</v>
      </c>
      <c r="G22" s="2"/>
      <c r="H22" s="6">
        <v>22589.05</v>
      </c>
      <c r="I22" s="2"/>
      <c r="J22" s="7">
        <f t="shared" si="1"/>
        <v>0</v>
      </c>
      <c r="K22" s="2"/>
      <c r="L22" s="6">
        <f t="shared" si="2"/>
        <v>-157.89999999999782</v>
      </c>
      <c r="M22" s="2"/>
      <c r="N22" s="7">
        <f t="shared" si="3"/>
        <v>-6.990112465995596E-3</v>
      </c>
      <c r="O22" s="10"/>
      <c r="P22" s="6">
        <v>227692.38</v>
      </c>
      <c r="Q22" s="2"/>
      <c r="R22" s="7">
        <f t="shared" si="4"/>
        <v>0</v>
      </c>
      <c r="S22" s="2"/>
      <c r="T22" s="6">
        <v>230571.75</v>
      </c>
      <c r="U22" s="2"/>
      <c r="V22" s="7">
        <f t="shared" si="5"/>
        <v>0</v>
      </c>
      <c r="W22" s="2"/>
      <c r="X22" s="6">
        <f t="shared" si="6"/>
        <v>-2879.3699999999953</v>
      </c>
      <c r="Y22" s="2"/>
      <c r="Z22" s="7">
        <f t="shared" si="7"/>
        <v>-1.2487956568833759E-2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238.05</v>
      </c>
      <c r="E23" s="2"/>
      <c r="F23" s="7">
        <f t="shared" si="0"/>
        <v>0</v>
      </c>
      <c r="G23" s="2"/>
      <c r="H23" s="6">
        <v>251.56</v>
      </c>
      <c r="I23" s="2"/>
      <c r="J23" s="7">
        <f t="shared" si="1"/>
        <v>0</v>
      </c>
      <c r="K23" s="2"/>
      <c r="L23" s="6">
        <f t="shared" si="2"/>
        <v>-13.509999999999991</v>
      </c>
      <c r="M23" s="2"/>
      <c r="N23" s="7">
        <f t="shared" si="3"/>
        <v>-5.3704881539195386E-2</v>
      </c>
      <c r="O23" s="10"/>
      <c r="P23" s="6">
        <v>2779.87</v>
      </c>
      <c r="Q23" s="2"/>
      <c r="R23" s="7">
        <f t="shared" si="4"/>
        <v>0</v>
      </c>
      <c r="S23" s="2"/>
      <c r="T23" s="6">
        <v>3858.23</v>
      </c>
      <c r="U23" s="2"/>
      <c r="V23" s="7">
        <f t="shared" si="5"/>
        <v>0</v>
      </c>
      <c r="W23" s="2"/>
      <c r="X23" s="6">
        <f t="shared" si="6"/>
        <v>-1078.3600000000001</v>
      </c>
      <c r="Y23" s="2"/>
      <c r="Z23" s="7">
        <f t="shared" si="7"/>
        <v>-0.2794960383388238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7812.41</v>
      </c>
      <c r="E24" s="2"/>
      <c r="F24" s="7">
        <f t="shared" si="0"/>
        <v>0</v>
      </c>
      <c r="G24" s="2"/>
      <c r="H24" s="6">
        <v>8300.35</v>
      </c>
      <c r="I24" s="2"/>
      <c r="J24" s="7">
        <f t="shared" si="1"/>
        <v>0</v>
      </c>
      <c r="K24" s="2"/>
      <c r="L24" s="6">
        <f t="shared" si="2"/>
        <v>-487.94000000000051</v>
      </c>
      <c r="M24" s="2"/>
      <c r="N24" s="7">
        <f t="shared" si="3"/>
        <v>-5.8785472901745163E-2</v>
      </c>
      <c r="O24" s="10"/>
      <c r="P24" s="6">
        <v>90187.97</v>
      </c>
      <c r="Q24" s="2"/>
      <c r="R24" s="7">
        <f t="shared" si="4"/>
        <v>0</v>
      </c>
      <c r="S24" s="2"/>
      <c r="T24" s="6">
        <v>87585.71</v>
      </c>
      <c r="U24" s="2"/>
      <c r="V24" s="7">
        <f t="shared" si="5"/>
        <v>0</v>
      </c>
      <c r="W24" s="2"/>
      <c r="X24" s="6">
        <f t="shared" si="6"/>
        <v>2602.2599999999948</v>
      </c>
      <c r="Y24" s="2"/>
      <c r="Z24" s="7">
        <f t="shared" si="7"/>
        <v>2.9711011077035221E-2</v>
      </c>
    </row>
    <row r="25" spans="1:26" s="23" customFormat="1" hidden="1" outlineLevel="2" x14ac:dyDescent="0.25">
      <c r="A25" s="27"/>
      <c r="B25" s="10" t="str">
        <f>CONCATENATE("          ", "6116", " - ", "EDUCATIONAL BENEFITS")</f>
        <v xml:space="preserve">          6116 - EDUCATIONAL BENEFITS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/>
      <c r="Q25" s="2"/>
      <c r="R25" s="7">
        <f t="shared" si="4"/>
        <v>0</v>
      </c>
      <c r="S25" s="2"/>
      <c r="T25" s="6">
        <v>5070.88</v>
      </c>
      <c r="U25" s="2"/>
      <c r="V25" s="7">
        <f t="shared" si="5"/>
        <v>0</v>
      </c>
      <c r="W25" s="2"/>
      <c r="X25" s="6">
        <f t="shared" si="6"/>
        <v>-5070.88</v>
      </c>
      <c r="Y25" s="2"/>
      <c r="Z25" s="7">
        <f t="shared" si="7"/>
        <v>-1</v>
      </c>
    </row>
    <row r="26" spans="1:26" s="23" customFormat="1" hidden="1" outlineLevel="2" x14ac:dyDescent="0.25">
      <c r="A26" s="27"/>
      <c r="B26" s="10" t="str">
        <f>CONCATENATE("          ", "6117", " - ", "RETIREMENT STAFF HOURLY")</f>
        <v xml:space="preserve">          6117 - RETIREMENT STAFF HOURLY</v>
      </c>
      <c r="C26" s="10"/>
      <c r="D26" s="6">
        <v>491.79</v>
      </c>
      <c r="E26" s="2"/>
      <c r="F26" s="7">
        <f t="shared" si="0"/>
        <v>0</v>
      </c>
      <c r="G26" s="2"/>
      <c r="H26" s="6">
        <v>1515.82</v>
      </c>
      <c r="I26" s="2"/>
      <c r="J26" s="7">
        <f t="shared" si="1"/>
        <v>0</v>
      </c>
      <c r="K26" s="2"/>
      <c r="L26" s="6">
        <f t="shared" si="2"/>
        <v>-1024.03</v>
      </c>
      <c r="M26" s="2"/>
      <c r="N26" s="7">
        <f t="shared" si="3"/>
        <v>-0.67556174215935927</v>
      </c>
      <c r="O26" s="10"/>
      <c r="P26" s="6">
        <v>7043.78</v>
      </c>
      <c r="Q26" s="2"/>
      <c r="R26" s="7">
        <f t="shared" si="4"/>
        <v>0</v>
      </c>
      <c r="S26" s="2"/>
      <c r="T26" s="6">
        <v>8857.26</v>
      </c>
      <c r="U26" s="2"/>
      <c r="V26" s="7">
        <f t="shared" si="5"/>
        <v>0</v>
      </c>
      <c r="W26" s="2"/>
      <c r="X26" s="6">
        <f t="shared" si="6"/>
        <v>-1813.4800000000005</v>
      </c>
      <c r="Y26" s="2"/>
      <c r="Z26" s="7">
        <f t="shared" si="7"/>
        <v>-0.20474503401729208</v>
      </c>
    </row>
    <row r="27" spans="1:26" s="23" customFormat="1" hidden="1" outlineLevel="2" x14ac:dyDescent="0.25">
      <c r="A27" s="27"/>
      <c r="B27" s="10" t="str">
        <f>CONCATENATE("          ", "6118", " - ", "VACATION")</f>
        <v xml:space="preserve">          6118 - VACATION</v>
      </c>
      <c r="C27" s="10"/>
      <c r="D27" s="6">
        <v>10001.43</v>
      </c>
      <c r="E27" s="2"/>
      <c r="F27" s="7">
        <f t="shared" si="0"/>
        <v>0</v>
      </c>
      <c r="G27" s="2"/>
      <c r="H27" s="6">
        <v>9284.11</v>
      </c>
      <c r="I27" s="2"/>
      <c r="J27" s="7">
        <f t="shared" si="1"/>
        <v>0</v>
      </c>
      <c r="K27" s="2"/>
      <c r="L27" s="6">
        <f t="shared" si="2"/>
        <v>717.31999999999971</v>
      </c>
      <c r="M27" s="2"/>
      <c r="N27" s="7">
        <f t="shared" si="3"/>
        <v>7.7263194856588266E-2</v>
      </c>
      <c r="O27" s="10"/>
      <c r="P27" s="6">
        <v>66963.960000000006</v>
      </c>
      <c r="Q27" s="2"/>
      <c r="R27" s="7">
        <f t="shared" si="4"/>
        <v>0</v>
      </c>
      <c r="S27" s="2"/>
      <c r="T27" s="6">
        <v>87773.42</v>
      </c>
      <c r="U27" s="2"/>
      <c r="V27" s="7">
        <f t="shared" si="5"/>
        <v>0</v>
      </c>
      <c r="W27" s="2"/>
      <c r="X27" s="6">
        <f t="shared" si="6"/>
        <v>-20809.459999999992</v>
      </c>
      <c r="Y27" s="2"/>
      <c r="Z27" s="7">
        <f t="shared" si="7"/>
        <v>-0.23708156751782022</v>
      </c>
    </row>
    <row r="28" spans="1:26" s="23" customFormat="1" hidden="1" outlineLevel="2" x14ac:dyDescent="0.25">
      <c r="A28" s="27"/>
      <c r="B28" s="10" t="str">
        <f>CONCATENATE("          ", "6119", " - ", "SICK LEAVE")</f>
        <v xml:space="preserve">          6119 - SICK LEAVE</v>
      </c>
      <c r="C28" s="10"/>
      <c r="D28" s="6">
        <v>6005.28</v>
      </c>
      <c r="E28" s="2"/>
      <c r="F28" s="7">
        <f t="shared" si="0"/>
        <v>0</v>
      </c>
      <c r="G28" s="2"/>
      <c r="H28" s="6">
        <v>-31174.78</v>
      </c>
      <c r="I28" s="2"/>
      <c r="J28" s="7">
        <f t="shared" si="1"/>
        <v>0</v>
      </c>
      <c r="K28" s="2"/>
      <c r="L28" s="6">
        <f t="shared" si="2"/>
        <v>37180.06</v>
      </c>
      <c r="M28" s="2"/>
      <c r="N28" s="7">
        <f t="shared" si="3"/>
        <v>-1.192632634456442</v>
      </c>
      <c r="O28" s="10"/>
      <c r="P28" s="6">
        <v>44924.32</v>
      </c>
      <c r="Q28" s="2"/>
      <c r="R28" s="7">
        <f t="shared" si="4"/>
        <v>0</v>
      </c>
      <c r="S28" s="2"/>
      <c r="T28" s="6">
        <v>32357.48</v>
      </c>
      <c r="U28" s="2"/>
      <c r="V28" s="7">
        <f t="shared" si="5"/>
        <v>0</v>
      </c>
      <c r="W28" s="2"/>
      <c r="X28" s="6">
        <f t="shared" si="6"/>
        <v>12566.84</v>
      </c>
      <c r="Y28" s="2"/>
      <c r="Z28" s="7">
        <f t="shared" si="7"/>
        <v>0.3883751145021182</v>
      </c>
    </row>
    <row r="29" spans="1:26" s="23" customFormat="1" hidden="1" outlineLevel="2" x14ac:dyDescent="0.25">
      <c r="A29" s="27"/>
      <c r="B29" s="10" t="str">
        <f>CONCATENATE("          ", "6120", " - ", "RETIREES HEALTH INSURANCE")</f>
        <v xml:space="preserve">          6120 - RETIREES HEALTH INSURANCE</v>
      </c>
      <c r="C29" s="10"/>
      <c r="D29" s="6">
        <v>28198.66</v>
      </c>
      <c r="E29" s="2"/>
      <c r="F29" s="7">
        <f t="shared" si="0"/>
        <v>0</v>
      </c>
      <c r="G29" s="2"/>
      <c r="H29" s="6">
        <v>22595.15</v>
      </c>
      <c r="I29" s="2"/>
      <c r="J29" s="7">
        <f t="shared" si="1"/>
        <v>0</v>
      </c>
      <c r="K29" s="2"/>
      <c r="L29" s="6">
        <f t="shared" si="2"/>
        <v>5603.5099999999984</v>
      </c>
      <c r="M29" s="2"/>
      <c r="N29" s="7">
        <f t="shared" si="3"/>
        <v>0.24799614076472154</v>
      </c>
      <c r="O29" s="10"/>
      <c r="P29" s="6">
        <v>-104818.56</v>
      </c>
      <c r="Q29" s="2"/>
      <c r="R29" s="7">
        <f t="shared" si="4"/>
        <v>0</v>
      </c>
      <c r="S29" s="2"/>
      <c r="T29" s="6">
        <v>287658.14</v>
      </c>
      <c r="U29" s="2"/>
      <c r="V29" s="7">
        <f t="shared" si="5"/>
        <v>0</v>
      </c>
      <c r="W29" s="2"/>
      <c r="X29" s="6">
        <f t="shared" si="6"/>
        <v>-392476.7</v>
      </c>
      <c r="Y29" s="2"/>
      <c r="Z29" s="7">
        <f t="shared" si="7"/>
        <v>-1.3643858644153091</v>
      </c>
    </row>
    <row r="30" spans="1:26" s="23" customFormat="1" hidden="1" outlineLevel="2" x14ac:dyDescent="0.25">
      <c r="A30" s="27"/>
      <c r="B30" s="10" t="str">
        <f>CONCATENATE("          ", "6156", " - ", "EMPLOYEE MEALS")</f>
        <v xml:space="preserve">          6156 - EMPLOYEE MEALS</v>
      </c>
      <c r="C30" s="10"/>
      <c r="D30" s="6">
        <v>637.84</v>
      </c>
      <c r="E30" s="2"/>
      <c r="F30" s="7">
        <f t="shared" si="0"/>
        <v>0</v>
      </c>
      <c r="G30" s="2"/>
      <c r="H30" s="6">
        <v>87.5</v>
      </c>
      <c r="I30" s="2"/>
      <c r="J30" s="7">
        <f t="shared" si="1"/>
        <v>0</v>
      </c>
      <c r="K30" s="2"/>
      <c r="L30" s="6">
        <f t="shared" si="2"/>
        <v>550.34</v>
      </c>
      <c r="M30" s="2"/>
      <c r="N30" s="7">
        <f t="shared" si="3"/>
        <v>6.2896000000000001</v>
      </c>
      <c r="O30" s="10"/>
      <c r="P30" s="6">
        <v>6156.77</v>
      </c>
      <c r="Q30" s="2"/>
      <c r="R30" s="7">
        <f t="shared" si="4"/>
        <v>0</v>
      </c>
      <c r="S30" s="2"/>
      <c r="T30" s="6">
        <v>21838.880000000001</v>
      </c>
      <c r="U30" s="2"/>
      <c r="V30" s="7">
        <f t="shared" si="5"/>
        <v>0</v>
      </c>
      <c r="W30" s="2"/>
      <c r="X30" s="6">
        <f t="shared" si="6"/>
        <v>-15682.11</v>
      </c>
      <c r="Y30" s="2"/>
      <c r="Z30" s="7">
        <f t="shared" si="7"/>
        <v>-0.71808215439619616</v>
      </c>
    </row>
    <row r="31" spans="1:26" s="26" customFormat="1" outlineLevel="1" collapsed="1" x14ac:dyDescent="0.25">
      <c r="A31" s="25"/>
      <c r="B31" s="12" t="str">
        <f>CONCATENATE("     ","*Payroll                                          ")</f>
        <v xml:space="preserve">     *Payroll                                          </v>
      </c>
      <c r="C31" s="12"/>
      <c r="D31" s="1">
        <f>SUM(OSRRefD22_1x_0)</f>
        <v>97785.8</v>
      </c>
      <c r="E31" s="1"/>
      <c r="F31" s="5">
        <f t="shared" ref="F31:F38" si="8">IF(D$12=0,0,D31/D$12)</f>
        <v>0</v>
      </c>
      <c r="G31" s="1"/>
      <c r="H31" s="1">
        <f>SUM(OSRRefH22_1x_0)</f>
        <v>90893.17</v>
      </c>
      <c r="I31" s="1"/>
      <c r="J31" s="5">
        <f t="shared" ref="J31:J38" si="9">IF(H$12=0,0,H31/H$12)</f>
        <v>0</v>
      </c>
      <c r="K31" s="1"/>
      <c r="L31" s="1">
        <f t="shared" ref="L31:L38" si="10">+D31-H31</f>
        <v>6892.6300000000047</v>
      </c>
      <c r="M31" s="1"/>
      <c r="N31" s="5">
        <f t="shared" ref="N31:N38" si="11">IF(H31=0,0,L31/H31)</f>
        <v>7.5832210495024047E-2</v>
      </c>
      <c r="O31" s="12"/>
      <c r="P31" s="1">
        <f>SUM(OSRRefP22_1x_0)</f>
        <v>934029.22</v>
      </c>
      <c r="Q31" s="1"/>
      <c r="R31" s="5">
        <f t="shared" ref="R31:R38" si="12">IF(P$12=0,0,P31/P$12)</f>
        <v>0</v>
      </c>
      <c r="S31" s="1"/>
      <c r="T31" s="1">
        <f>SUM(OSRRefT22_1x_0)</f>
        <v>1148313.8999999999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-214284.67999999993</v>
      </c>
      <c r="Y31" s="1"/>
      <c r="Z31" s="5">
        <f t="shared" ref="Z31:Z38" si="15">IF(T31=0,0,X31/T31)</f>
        <v>-0.18660810428228722</v>
      </c>
    </row>
    <row r="32" spans="1:26" s="23" customFormat="1" hidden="1" outlineLevel="2" x14ac:dyDescent="0.25">
      <c r="A32" s="27"/>
      <c r="B32" s="10" t="str">
        <f>CONCATENATE("          ", "6001", " - ", "ADMINISTRATIVE SALARIES")</f>
        <v xml:space="preserve">          6001 - ADMINISTRATIVE SALARIES</v>
      </c>
      <c r="C32" s="10"/>
      <c r="D32" s="6">
        <v>25516.62</v>
      </c>
      <c r="E32" s="2"/>
      <c r="F32" s="7">
        <f t="shared" si="8"/>
        <v>0</v>
      </c>
      <c r="G32" s="2"/>
      <c r="H32" s="6">
        <v>29663.71</v>
      </c>
      <c r="I32" s="2"/>
      <c r="J32" s="7">
        <f t="shared" si="9"/>
        <v>0</v>
      </c>
      <c r="K32" s="2"/>
      <c r="L32" s="6">
        <f t="shared" si="10"/>
        <v>-4147.09</v>
      </c>
      <c r="M32" s="2"/>
      <c r="N32" s="7">
        <f t="shared" si="11"/>
        <v>-0.1398034837854065</v>
      </c>
      <c r="O32" s="10"/>
      <c r="P32" s="6">
        <v>250457.85</v>
      </c>
      <c r="Q32" s="2"/>
      <c r="R32" s="7">
        <f t="shared" si="12"/>
        <v>0</v>
      </c>
      <c r="S32" s="2"/>
      <c r="T32" s="6">
        <v>251959.4</v>
      </c>
      <c r="U32" s="2"/>
      <c r="V32" s="7">
        <f t="shared" si="13"/>
        <v>0</v>
      </c>
      <c r="W32" s="2"/>
      <c r="X32" s="6">
        <f t="shared" si="14"/>
        <v>-1501.5499999999884</v>
      </c>
      <c r="Y32" s="2"/>
      <c r="Z32" s="7">
        <f t="shared" si="15"/>
        <v>-5.9594918863911739E-3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>
        <v>51331.73</v>
      </c>
      <c r="E33" s="2"/>
      <c r="F33" s="7">
        <f t="shared" si="8"/>
        <v>0</v>
      </c>
      <c r="G33" s="2"/>
      <c r="H33" s="6">
        <v>41690.660000000003</v>
      </c>
      <c r="I33" s="2"/>
      <c r="J33" s="7">
        <f t="shared" si="9"/>
        <v>0</v>
      </c>
      <c r="K33" s="2"/>
      <c r="L33" s="6">
        <f t="shared" si="10"/>
        <v>9641.07</v>
      </c>
      <c r="M33" s="2"/>
      <c r="N33" s="7">
        <f t="shared" si="11"/>
        <v>0.23125251555144483</v>
      </c>
      <c r="O33" s="10"/>
      <c r="P33" s="6">
        <v>488407.94</v>
      </c>
      <c r="Q33" s="2"/>
      <c r="R33" s="7">
        <f t="shared" si="12"/>
        <v>0</v>
      </c>
      <c r="S33" s="2"/>
      <c r="T33" s="6">
        <v>492275.01</v>
      </c>
      <c r="U33" s="2"/>
      <c r="V33" s="7">
        <f t="shared" si="13"/>
        <v>0</v>
      </c>
      <c r="W33" s="2"/>
      <c r="X33" s="6">
        <f t="shared" si="14"/>
        <v>-3867.070000000007</v>
      </c>
      <c r="Y33" s="2"/>
      <c r="Z33" s="7">
        <f t="shared" si="15"/>
        <v>-7.8555074327254729E-3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>
        <v>18975.900000000001</v>
      </c>
      <c r="E34" s="2"/>
      <c r="F34" s="7">
        <f t="shared" si="8"/>
        <v>0</v>
      </c>
      <c r="G34" s="2"/>
      <c r="H34" s="6">
        <v>13540.12</v>
      </c>
      <c r="I34" s="2"/>
      <c r="J34" s="7">
        <f t="shared" si="9"/>
        <v>0</v>
      </c>
      <c r="K34" s="2"/>
      <c r="L34" s="6">
        <f t="shared" si="10"/>
        <v>5435.7800000000007</v>
      </c>
      <c r="M34" s="2"/>
      <c r="N34" s="7">
        <f t="shared" si="11"/>
        <v>0.40145729875362995</v>
      </c>
      <c r="O34" s="10"/>
      <c r="P34" s="6">
        <v>173200.71</v>
      </c>
      <c r="Q34" s="2"/>
      <c r="R34" s="7">
        <f t="shared" si="12"/>
        <v>0</v>
      </c>
      <c r="S34" s="2"/>
      <c r="T34" s="6">
        <v>219873.47</v>
      </c>
      <c r="U34" s="2"/>
      <c r="V34" s="7">
        <f t="shared" si="13"/>
        <v>0</v>
      </c>
      <c r="W34" s="2"/>
      <c r="X34" s="6">
        <f t="shared" si="14"/>
        <v>-46672.760000000009</v>
      </c>
      <c r="Y34" s="2"/>
      <c r="Z34" s="7">
        <f t="shared" si="15"/>
        <v>-0.21227099385842235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>
        <v>5393.21</v>
      </c>
      <c r="E35" s="2"/>
      <c r="F35" s="7">
        <f t="shared" si="8"/>
        <v>0</v>
      </c>
      <c r="G35" s="2"/>
      <c r="H35" s="6">
        <v>10255.379999999999</v>
      </c>
      <c r="I35" s="2"/>
      <c r="J35" s="7">
        <f t="shared" si="9"/>
        <v>0</v>
      </c>
      <c r="K35" s="2"/>
      <c r="L35" s="6">
        <f t="shared" si="10"/>
        <v>-4862.1699999999992</v>
      </c>
      <c r="M35" s="2"/>
      <c r="N35" s="7">
        <f t="shared" si="11"/>
        <v>-0.47410919926906653</v>
      </c>
      <c r="O35" s="10"/>
      <c r="P35" s="6">
        <v>53333.88</v>
      </c>
      <c r="Q35" s="2"/>
      <c r="R35" s="7">
        <f t="shared" si="12"/>
        <v>0</v>
      </c>
      <c r="S35" s="2"/>
      <c r="T35" s="6">
        <v>101290.78</v>
      </c>
      <c r="U35" s="2"/>
      <c r="V35" s="7">
        <f t="shared" si="13"/>
        <v>0</v>
      </c>
      <c r="W35" s="2"/>
      <c r="X35" s="6">
        <f t="shared" si="14"/>
        <v>-47956.9</v>
      </c>
      <c r="Y35" s="2"/>
      <c r="Z35" s="7">
        <f t="shared" si="15"/>
        <v>-0.47345770266553383</v>
      </c>
    </row>
    <row r="36" spans="1:26" s="23" customFormat="1" hidden="1" outlineLevel="2" x14ac:dyDescent="0.25">
      <c r="A36" s="27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0"/>
      <c r="P36" s="6"/>
      <c r="Q36" s="2"/>
      <c r="R36" s="7">
        <f t="shared" si="12"/>
        <v>0</v>
      </c>
      <c r="S36" s="2"/>
      <c r="T36" s="6">
        <v>2361.4299999999998</v>
      </c>
      <c r="U36" s="2"/>
      <c r="V36" s="7">
        <f t="shared" si="13"/>
        <v>0</v>
      </c>
      <c r="W36" s="2"/>
      <c r="X36" s="6">
        <f t="shared" si="14"/>
        <v>-2361.4299999999998</v>
      </c>
      <c r="Y36" s="2"/>
      <c r="Z36" s="7">
        <f t="shared" si="15"/>
        <v>-1</v>
      </c>
    </row>
    <row r="37" spans="1:26" s="23" customFormat="1" hidden="1" outlineLevel="2" x14ac:dyDescent="0.25">
      <c r="A37" s="27"/>
      <c r="B37" s="10" t="str">
        <f>CONCATENATE("          ", "6007", " - ", "STUDENT HOURLY")</f>
        <v xml:space="preserve">          6007 - STUDENT HOURLY</v>
      </c>
      <c r="C37" s="10"/>
      <c r="D37" s="6">
        <v>-4987</v>
      </c>
      <c r="E37" s="2"/>
      <c r="F37" s="7">
        <f t="shared" si="8"/>
        <v>0</v>
      </c>
      <c r="G37" s="2"/>
      <c r="H37" s="6">
        <v>-6242</v>
      </c>
      <c r="I37" s="2"/>
      <c r="J37" s="7">
        <f t="shared" si="9"/>
        <v>0</v>
      </c>
      <c r="K37" s="2"/>
      <c r="L37" s="6">
        <f t="shared" si="10"/>
        <v>1255</v>
      </c>
      <c r="M37" s="2"/>
      <c r="N37" s="7">
        <f t="shared" si="11"/>
        <v>-0.20105735341236783</v>
      </c>
      <c r="O37" s="10"/>
      <c r="P37" s="6">
        <v>-44841.01</v>
      </c>
      <c r="Q37" s="2"/>
      <c r="R37" s="7">
        <f t="shared" si="12"/>
        <v>0</v>
      </c>
      <c r="S37" s="2"/>
      <c r="T37" s="6">
        <v>62823.01</v>
      </c>
      <c r="U37" s="2"/>
      <c r="V37" s="7">
        <f t="shared" si="13"/>
        <v>0</v>
      </c>
      <c r="W37" s="2"/>
      <c r="X37" s="6">
        <f t="shared" si="14"/>
        <v>-107664.02</v>
      </c>
      <c r="Y37" s="2"/>
      <c r="Z37" s="7">
        <f t="shared" si="15"/>
        <v>-1.7137672964093889</v>
      </c>
    </row>
    <row r="38" spans="1:26" s="23" customFormat="1" hidden="1" outlineLevel="2" x14ac:dyDescent="0.25">
      <c r="A38" s="27"/>
      <c r="B38" s="10" t="str">
        <f>CONCATENATE("          ", "6008", " - ", "STUDENT HOURLY-FICA EXEMPT")</f>
        <v xml:space="preserve">          6008 - STUDENT HOURLY-FICA EXEMPT</v>
      </c>
      <c r="C38" s="10"/>
      <c r="D38" s="6">
        <v>1555.34</v>
      </c>
      <c r="E38" s="2"/>
      <c r="F38" s="7">
        <f t="shared" si="8"/>
        <v>0</v>
      </c>
      <c r="G38" s="2"/>
      <c r="H38" s="6">
        <v>1985.3</v>
      </c>
      <c r="I38" s="2"/>
      <c r="J38" s="7">
        <f t="shared" si="9"/>
        <v>0</v>
      </c>
      <c r="K38" s="2"/>
      <c r="L38" s="6">
        <f t="shared" si="10"/>
        <v>-429.96000000000004</v>
      </c>
      <c r="M38" s="2"/>
      <c r="N38" s="7">
        <f t="shared" si="11"/>
        <v>-0.21657180275021409</v>
      </c>
      <c r="O38" s="10"/>
      <c r="P38" s="6">
        <v>13469.85</v>
      </c>
      <c r="Q38" s="2"/>
      <c r="R38" s="7">
        <f t="shared" si="12"/>
        <v>0</v>
      </c>
      <c r="S38" s="2"/>
      <c r="T38" s="6">
        <v>17730.8</v>
      </c>
      <c r="U38" s="2"/>
      <c r="V38" s="7">
        <f t="shared" si="13"/>
        <v>0</v>
      </c>
      <c r="W38" s="2"/>
      <c r="X38" s="6">
        <f t="shared" si="14"/>
        <v>-4260.9499999999989</v>
      </c>
      <c r="Y38" s="2"/>
      <c r="Z38" s="7">
        <f t="shared" si="15"/>
        <v>-0.24031346583346488</v>
      </c>
    </row>
    <row r="39" spans="1:26" s="26" customFormat="1" outlineLevel="1" collapsed="1" x14ac:dyDescent="0.25">
      <c r="A39" s="25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106.3</v>
      </c>
      <c r="E39" s="1"/>
      <c r="F39" s="5">
        <f t="shared" ref="F39:F55" si="16">IF(D$12=0,0,D39/D$12)</f>
        <v>0</v>
      </c>
      <c r="G39" s="1"/>
      <c r="H39" s="1">
        <f>SUM(OSRRefH22_2x_0)</f>
        <v>1962.21</v>
      </c>
      <c r="I39" s="1"/>
      <c r="J39" s="5">
        <f t="shared" ref="J39:J55" si="17">IF(H$12=0,0,H39/H$12)</f>
        <v>0</v>
      </c>
      <c r="K39" s="1"/>
      <c r="L39" s="1">
        <f t="shared" ref="L39:L55" si="18">+D39-H39</f>
        <v>-1855.91</v>
      </c>
      <c r="M39" s="1"/>
      <c r="N39" s="5">
        <f t="shared" ref="N39:N55" si="19">IF(H39=0,0,L39/H39)</f>
        <v>-0.94582638963209853</v>
      </c>
      <c r="O39" s="12"/>
      <c r="P39" s="1">
        <f>SUM(OSRRefP22_2x_0)</f>
        <v>1731.99</v>
      </c>
      <c r="Q39" s="1"/>
      <c r="R39" s="5">
        <f t="shared" ref="R39:R55" si="20">IF(P$12=0,0,P39/P$12)</f>
        <v>0</v>
      </c>
      <c r="S39" s="1"/>
      <c r="T39" s="1">
        <f>SUM(OSRRefT22_2x_0)</f>
        <v>-31554.34</v>
      </c>
      <c r="U39" s="1"/>
      <c r="V39" s="5">
        <f t="shared" ref="V39:V55" si="21">IF(T$12=0,0,T39/T$12)</f>
        <v>0</v>
      </c>
      <c r="W39" s="1"/>
      <c r="X39" s="1">
        <f t="shared" ref="X39:X55" si="22">+P39-T39</f>
        <v>33286.33</v>
      </c>
      <c r="Y39" s="1"/>
      <c r="Z39" s="5">
        <f t="shared" ref="Z39:Z55" si="23">IF(T39=0,0,X39/T39)</f>
        <v>-1.054889121433058</v>
      </c>
    </row>
    <row r="40" spans="1:26" s="23" customFormat="1" hidden="1" outlineLevel="2" x14ac:dyDescent="0.25">
      <c r="A40" s="27"/>
      <c r="B40" s="10" t="str">
        <f>CONCATENATE("          ", "6362", " - ", "ADVERTISING EXPENSE")</f>
        <v xml:space="preserve">          6362 - ADVERTISING EXPENSE</v>
      </c>
      <c r="C40" s="10"/>
      <c r="D40" s="6">
        <v>106.3</v>
      </c>
      <c r="E40" s="2"/>
      <c r="F40" s="7">
        <f t="shared" si="16"/>
        <v>0</v>
      </c>
      <c r="G40" s="2"/>
      <c r="H40" s="6">
        <v>1962.21</v>
      </c>
      <c r="I40" s="2"/>
      <c r="J40" s="7">
        <f t="shared" si="17"/>
        <v>0</v>
      </c>
      <c r="K40" s="2"/>
      <c r="L40" s="6">
        <f t="shared" si="18"/>
        <v>-1855.91</v>
      </c>
      <c r="M40" s="2"/>
      <c r="N40" s="7">
        <f t="shared" si="19"/>
        <v>-0.94582638963209853</v>
      </c>
      <c r="O40" s="10"/>
      <c r="P40" s="6">
        <v>1731.99</v>
      </c>
      <c r="Q40" s="2"/>
      <c r="R40" s="7">
        <f t="shared" si="20"/>
        <v>0</v>
      </c>
      <c r="S40" s="2"/>
      <c r="T40" s="6">
        <v>-31554.34</v>
      </c>
      <c r="U40" s="2"/>
      <c r="V40" s="7">
        <f t="shared" si="21"/>
        <v>0</v>
      </c>
      <c r="W40" s="2"/>
      <c r="X40" s="6">
        <f t="shared" si="22"/>
        <v>33286.33</v>
      </c>
      <c r="Y40" s="2"/>
      <c r="Z40" s="7">
        <f t="shared" si="23"/>
        <v>-1.054889121433058</v>
      </c>
    </row>
    <row r="41" spans="1:26" s="26" customFormat="1" outlineLevel="1" collapsed="1" x14ac:dyDescent="0.25">
      <c r="A41" s="25"/>
      <c r="B41" s="12" t="str">
        <f>CONCATENATE("     ","Bank/card Fees                                    ")</f>
        <v xml:space="preserve">     Bank/card Fees                                    </v>
      </c>
      <c r="C41" s="12"/>
      <c r="D41" s="1">
        <f>SUM(OSRRefD22_3x_0)</f>
        <v>1863.53</v>
      </c>
      <c r="E41" s="1"/>
      <c r="F41" s="5">
        <f t="shared" si="16"/>
        <v>0</v>
      </c>
      <c r="G41" s="1"/>
      <c r="H41" s="1">
        <f>SUM(OSRRefH22_3x_0)</f>
        <v>12884.97</v>
      </c>
      <c r="I41" s="1"/>
      <c r="J41" s="5">
        <f t="shared" si="17"/>
        <v>0</v>
      </c>
      <c r="K41" s="1"/>
      <c r="L41" s="1">
        <f t="shared" si="18"/>
        <v>-11021.439999999999</v>
      </c>
      <c r="M41" s="1"/>
      <c r="N41" s="5">
        <f t="shared" si="19"/>
        <v>-0.85537180140892832</v>
      </c>
      <c r="O41" s="12"/>
      <c r="P41" s="1">
        <f>SUM(OSRRefP22_3x_0)</f>
        <v>6989.07</v>
      </c>
      <c r="Q41" s="1"/>
      <c r="R41" s="5">
        <f t="shared" si="20"/>
        <v>0</v>
      </c>
      <c r="S41" s="1"/>
      <c r="T41" s="1">
        <f>SUM(OSRRefT22_3x_0)</f>
        <v>53960.33</v>
      </c>
      <c r="U41" s="1"/>
      <c r="V41" s="5">
        <f t="shared" si="21"/>
        <v>0</v>
      </c>
      <c r="W41" s="1"/>
      <c r="X41" s="1">
        <f t="shared" si="22"/>
        <v>-46971.26</v>
      </c>
      <c r="Y41" s="1"/>
      <c r="Z41" s="5">
        <f t="shared" si="23"/>
        <v>-0.87047762680472862</v>
      </c>
    </row>
    <row r="42" spans="1:26" s="23" customFormat="1" hidden="1" outlineLevel="2" x14ac:dyDescent="0.25">
      <c r="A42" s="27"/>
      <c r="B42" s="10" t="str">
        <f>CONCATENATE("          ", "6381", " - ", "BANK/CREDIT CARD FEES")</f>
        <v xml:space="preserve">          6381 - BANK/CREDIT CARD FEES</v>
      </c>
      <c r="C42" s="10"/>
      <c r="D42" s="6">
        <v>1863.53</v>
      </c>
      <c r="E42" s="2"/>
      <c r="F42" s="7">
        <f t="shared" si="16"/>
        <v>0</v>
      </c>
      <c r="G42" s="2"/>
      <c r="H42" s="6">
        <v>12884.97</v>
      </c>
      <c r="I42" s="2"/>
      <c r="J42" s="7">
        <f t="shared" si="17"/>
        <v>0</v>
      </c>
      <c r="K42" s="2"/>
      <c r="L42" s="6">
        <f t="shared" si="18"/>
        <v>-11021.439999999999</v>
      </c>
      <c r="M42" s="2"/>
      <c r="N42" s="7">
        <f t="shared" si="19"/>
        <v>-0.85537180140892832</v>
      </c>
      <c r="O42" s="10"/>
      <c r="P42" s="6">
        <v>6989.07</v>
      </c>
      <c r="Q42" s="2"/>
      <c r="R42" s="7">
        <f t="shared" si="20"/>
        <v>0</v>
      </c>
      <c r="S42" s="2"/>
      <c r="T42" s="6">
        <v>53960.33</v>
      </c>
      <c r="U42" s="2"/>
      <c r="V42" s="7">
        <f t="shared" si="21"/>
        <v>0</v>
      </c>
      <c r="W42" s="2"/>
      <c r="X42" s="6">
        <f t="shared" si="22"/>
        <v>-46971.26</v>
      </c>
      <c r="Y42" s="2"/>
      <c r="Z42" s="7">
        <f t="shared" si="23"/>
        <v>-0.87047762680472862</v>
      </c>
    </row>
    <row r="43" spans="1:26" s="26" customFormat="1" outlineLevel="1" collapsed="1" x14ac:dyDescent="0.25">
      <c r="A43" s="25"/>
      <c r="B43" s="12" t="str">
        <f>CONCATENATE("     ","Board                                             ")</f>
        <v xml:space="preserve">     Board                                             </v>
      </c>
      <c r="C43" s="12"/>
      <c r="D43" s="1">
        <f>SUM(OSRRefD22_4x_0)</f>
        <v>2323.75</v>
      </c>
      <c r="E43" s="1"/>
      <c r="F43" s="5">
        <f t="shared" si="16"/>
        <v>0</v>
      </c>
      <c r="G43" s="1"/>
      <c r="H43" s="1">
        <f>SUM(OSRRefH22_4x_0)</f>
        <v>1240</v>
      </c>
      <c r="I43" s="1"/>
      <c r="J43" s="5">
        <f t="shared" si="17"/>
        <v>0</v>
      </c>
      <c r="K43" s="1"/>
      <c r="L43" s="1">
        <f t="shared" si="18"/>
        <v>1083.75</v>
      </c>
      <c r="M43" s="1"/>
      <c r="N43" s="5">
        <f t="shared" si="19"/>
        <v>0.873991935483871</v>
      </c>
      <c r="O43" s="12"/>
      <c r="P43" s="1">
        <f>SUM(OSRRefP22_4x_0)</f>
        <v>13155.91</v>
      </c>
      <c r="Q43" s="1"/>
      <c r="R43" s="5">
        <f t="shared" si="20"/>
        <v>0</v>
      </c>
      <c r="S43" s="1"/>
      <c r="T43" s="1">
        <f>SUM(OSRRefT22_4x_0)</f>
        <v>39742.71</v>
      </c>
      <c r="U43" s="1"/>
      <c r="V43" s="5">
        <f t="shared" si="21"/>
        <v>0</v>
      </c>
      <c r="W43" s="1"/>
      <c r="X43" s="1">
        <f t="shared" si="22"/>
        <v>-26586.799999999999</v>
      </c>
      <c r="Y43" s="1"/>
      <c r="Z43" s="5">
        <f t="shared" si="23"/>
        <v>-0.66897300158947393</v>
      </c>
    </row>
    <row r="44" spans="1:26" s="23" customFormat="1" hidden="1" outlineLevel="2" x14ac:dyDescent="0.25">
      <c r="A44" s="27"/>
      <c r="B44" s="10" t="str">
        <f>CONCATENATE("          ", "6397", " - ", "BOARD EXPENSES")</f>
        <v xml:space="preserve">          6397 - BOARD EXPENSES</v>
      </c>
      <c r="C44" s="10"/>
      <c r="D44" s="6">
        <v>2323.75</v>
      </c>
      <c r="E44" s="2"/>
      <c r="F44" s="7">
        <f t="shared" si="16"/>
        <v>0</v>
      </c>
      <c r="G44" s="2"/>
      <c r="H44" s="6">
        <v>1240</v>
      </c>
      <c r="I44" s="2"/>
      <c r="J44" s="7">
        <f t="shared" si="17"/>
        <v>0</v>
      </c>
      <c r="K44" s="2"/>
      <c r="L44" s="6">
        <f t="shared" si="18"/>
        <v>1083.75</v>
      </c>
      <c r="M44" s="2"/>
      <c r="N44" s="7">
        <f t="shared" si="19"/>
        <v>0.873991935483871</v>
      </c>
      <c r="O44" s="10"/>
      <c r="P44" s="6">
        <v>13155.91</v>
      </c>
      <c r="Q44" s="2"/>
      <c r="R44" s="7">
        <f t="shared" si="20"/>
        <v>0</v>
      </c>
      <c r="S44" s="2"/>
      <c r="T44" s="6">
        <v>39742.71</v>
      </c>
      <c r="U44" s="2"/>
      <c r="V44" s="7">
        <f t="shared" si="21"/>
        <v>0</v>
      </c>
      <c r="W44" s="2"/>
      <c r="X44" s="6">
        <f t="shared" si="22"/>
        <v>-26586.799999999999</v>
      </c>
      <c r="Y44" s="2"/>
      <c r="Z44" s="7">
        <f t="shared" si="23"/>
        <v>-0.66897300158947393</v>
      </c>
    </row>
    <row r="45" spans="1:26" s="26" customFormat="1" outlineLevel="1" collapsed="1" x14ac:dyDescent="0.25">
      <c r="A45" s="25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6867.76</v>
      </c>
      <c r="E45" s="1"/>
      <c r="F45" s="5">
        <f t="shared" si="16"/>
        <v>0</v>
      </c>
      <c r="G45" s="1"/>
      <c r="H45" s="1">
        <f>SUM(OSRRefH22_5x_0)</f>
        <v>7962.74</v>
      </c>
      <c r="I45" s="1"/>
      <c r="J45" s="5">
        <f t="shared" si="17"/>
        <v>0</v>
      </c>
      <c r="K45" s="1"/>
      <c r="L45" s="1">
        <f t="shared" si="18"/>
        <v>-1094.9799999999996</v>
      </c>
      <c r="M45" s="1"/>
      <c r="N45" s="5">
        <f t="shared" si="19"/>
        <v>-0.13751296664213569</v>
      </c>
      <c r="O45" s="12"/>
      <c r="P45" s="1">
        <f>SUM(OSRRefP22_5x_0)</f>
        <v>72147.240000000005</v>
      </c>
      <c r="Q45" s="1"/>
      <c r="R45" s="5">
        <f t="shared" si="20"/>
        <v>0</v>
      </c>
      <c r="S45" s="1"/>
      <c r="T45" s="1">
        <f>SUM(OSRRefT22_5x_0)</f>
        <v>85362.03</v>
      </c>
      <c r="U45" s="1"/>
      <c r="V45" s="5">
        <f t="shared" si="21"/>
        <v>0</v>
      </c>
      <c r="W45" s="1"/>
      <c r="X45" s="1">
        <f t="shared" si="22"/>
        <v>-13214.789999999994</v>
      </c>
      <c r="Y45" s="1"/>
      <c r="Z45" s="5">
        <f t="shared" si="23"/>
        <v>-0.15480875981979333</v>
      </c>
    </row>
    <row r="46" spans="1:26" s="23" customFormat="1" hidden="1" outlineLevel="2" x14ac:dyDescent="0.25">
      <c r="A46" s="27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6867.76</v>
      </c>
      <c r="E46" s="2"/>
      <c r="F46" s="7">
        <f t="shared" si="16"/>
        <v>0</v>
      </c>
      <c r="G46" s="2"/>
      <c r="H46" s="6">
        <v>7962.74</v>
      </c>
      <c r="I46" s="2"/>
      <c r="J46" s="7">
        <f t="shared" si="17"/>
        <v>0</v>
      </c>
      <c r="K46" s="2"/>
      <c r="L46" s="6">
        <f t="shared" si="18"/>
        <v>-1094.9799999999996</v>
      </c>
      <c r="M46" s="2"/>
      <c r="N46" s="7">
        <f t="shared" si="19"/>
        <v>-0.13751296664213569</v>
      </c>
      <c r="O46" s="10"/>
      <c r="P46" s="6">
        <v>72147.240000000005</v>
      </c>
      <c r="Q46" s="2"/>
      <c r="R46" s="7">
        <f t="shared" si="20"/>
        <v>0</v>
      </c>
      <c r="S46" s="2"/>
      <c r="T46" s="6">
        <v>85362.03</v>
      </c>
      <c r="U46" s="2"/>
      <c r="V46" s="7">
        <f t="shared" si="21"/>
        <v>0</v>
      </c>
      <c r="W46" s="2"/>
      <c r="X46" s="6">
        <f t="shared" si="22"/>
        <v>-13214.789999999994</v>
      </c>
      <c r="Y46" s="2"/>
      <c r="Z46" s="7">
        <f t="shared" si="23"/>
        <v>-0.15480875981979333</v>
      </c>
    </row>
    <row r="47" spans="1:26" s="26" customFormat="1" outlineLevel="1" collapsed="1" x14ac:dyDescent="0.25">
      <c r="A47" s="25"/>
      <c r="B47" s="12" t="str">
        <f>CONCATENATE("     ","Donations                                         ")</f>
        <v xml:space="preserve">     Donations                                         </v>
      </c>
      <c r="C47" s="12"/>
      <c r="D47" s="1">
        <f>SUM(OSRRefD22_6x_0)</f>
        <v>1500</v>
      </c>
      <c r="E47" s="1"/>
      <c r="F47" s="5">
        <f t="shared" si="16"/>
        <v>0</v>
      </c>
      <c r="G47" s="1"/>
      <c r="H47" s="1">
        <f>SUM(OSRRefH22_6x_0)</f>
        <v>0</v>
      </c>
      <c r="I47" s="1"/>
      <c r="J47" s="5">
        <f t="shared" si="17"/>
        <v>0</v>
      </c>
      <c r="K47" s="1"/>
      <c r="L47" s="1">
        <f t="shared" si="18"/>
        <v>1500</v>
      </c>
      <c r="M47" s="1"/>
      <c r="N47" s="5">
        <f t="shared" si="19"/>
        <v>0</v>
      </c>
      <c r="O47" s="12"/>
      <c r="P47" s="1">
        <f>SUM(OSRRefP22_6x_0)</f>
        <v>26500</v>
      </c>
      <c r="Q47" s="1"/>
      <c r="R47" s="5">
        <f t="shared" si="20"/>
        <v>0</v>
      </c>
      <c r="S47" s="1"/>
      <c r="T47" s="1">
        <f>SUM(OSRRefT22_6x_0)</f>
        <v>248773.19</v>
      </c>
      <c r="U47" s="1"/>
      <c r="V47" s="5">
        <f t="shared" si="21"/>
        <v>0</v>
      </c>
      <c r="W47" s="1"/>
      <c r="X47" s="1">
        <f t="shared" si="22"/>
        <v>-222273.19</v>
      </c>
      <c r="Y47" s="1"/>
      <c r="Z47" s="5">
        <f t="shared" si="23"/>
        <v>-0.89347726738560529</v>
      </c>
    </row>
    <row r="48" spans="1:26" s="23" customFormat="1" hidden="1" outlineLevel="2" x14ac:dyDescent="0.25">
      <c r="A48" s="27"/>
      <c r="B48" s="10" t="str">
        <f>CONCATENATE("          ", "6399", " - ", "DONATION-ON CAMPUS")</f>
        <v xml:space="preserve">          6399 - DONATION-ON CAMPUS</v>
      </c>
      <c r="C48" s="10"/>
      <c r="D48" s="6">
        <v>1500</v>
      </c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1500</v>
      </c>
      <c r="M48" s="2"/>
      <c r="N48" s="7">
        <f t="shared" si="19"/>
        <v>0</v>
      </c>
      <c r="O48" s="10"/>
      <c r="P48" s="6">
        <v>26500</v>
      </c>
      <c r="Q48" s="2"/>
      <c r="R48" s="7">
        <f t="shared" si="20"/>
        <v>0</v>
      </c>
      <c r="S48" s="2"/>
      <c r="T48" s="6">
        <v>248773.19</v>
      </c>
      <c r="U48" s="2"/>
      <c r="V48" s="7">
        <f t="shared" si="21"/>
        <v>0</v>
      </c>
      <c r="W48" s="2"/>
      <c r="X48" s="6">
        <f t="shared" si="22"/>
        <v>-222273.19</v>
      </c>
      <c r="Y48" s="2"/>
      <c r="Z48" s="7">
        <f t="shared" si="23"/>
        <v>-0.89347726738560529</v>
      </c>
    </row>
    <row r="49" spans="1:26" s="26" customFormat="1" outlineLevel="1" collapsed="1" x14ac:dyDescent="0.25">
      <c r="A49" s="25"/>
      <c r="B49" s="12" t="str">
        <f>CONCATENATE("     ","Employees' Appreciation                           ")</f>
        <v xml:space="preserve">     Employees' Appreciation                           </v>
      </c>
      <c r="C49" s="12"/>
      <c r="D49" s="1">
        <f>SUM(OSRRefD22_7x_0)</f>
        <v>0</v>
      </c>
      <c r="E49" s="1"/>
      <c r="F49" s="5">
        <f t="shared" si="16"/>
        <v>0</v>
      </c>
      <c r="G49" s="1"/>
      <c r="H49" s="1">
        <f>SUM(OSRRefH22_7x_0)</f>
        <v>159.37</v>
      </c>
      <c r="I49" s="1"/>
      <c r="J49" s="5">
        <f t="shared" si="17"/>
        <v>0</v>
      </c>
      <c r="K49" s="1"/>
      <c r="L49" s="1">
        <f t="shared" si="18"/>
        <v>-159.37</v>
      </c>
      <c r="M49" s="1"/>
      <c r="N49" s="5">
        <f t="shared" si="19"/>
        <v>-1</v>
      </c>
      <c r="O49" s="12"/>
      <c r="P49" s="1">
        <f>SUM(OSRRefP22_7x_0)</f>
        <v>81.56</v>
      </c>
      <c r="Q49" s="1"/>
      <c r="R49" s="5">
        <f t="shared" si="20"/>
        <v>0</v>
      </c>
      <c r="S49" s="1"/>
      <c r="T49" s="1">
        <f>SUM(OSRRefT22_7x_0)</f>
        <v>29556.05</v>
      </c>
      <c r="U49" s="1"/>
      <c r="V49" s="5">
        <f t="shared" si="21"/>
        <v>0</v>
      </c>
      <c r="W49" s="1"/>
      <c r="X49" s="1">
        <f t="shared" si="22"/>
        <v>-29474.489999999998</v>
      </c>
      <c r="Y49" s="1"/>
      <c r="Z49" s="5">
        <f t="shared" si="23"/>
        <v>-0.99724049729243247</v>
      </c>
    </row>
    <row r="50" spans="1:26" s="23" customFormat="1" hidden="1" outlineLevel="2" x14ac:dyDescent="0.25">
      <c r="A50" s="27"/>
      <c r="B50" s="10" t="str">
        <f>CONCATENATE("          ", "6277", " - ", "EMPLOYEE APPRECIATION")</f>
        <v xml:space="preserve">          6277 - EMPLOYEE APPRECIATION</v>
      </c>
      <c r="C50" s="10"/>
      <c r="D50" s="6"/>
      <c r="E50" s="2"/>
      <c r="F50" s="7">
        <f t="shared" si="16"/>
        <v>0</v>
      </c>
      <c r="G50" s="2"/>
      <c r="H50" s="6">
        <v>159.37</v>
      </c>
      <c r="I50" s="2"/>
      <c r="J50" s="7">
        <f t="shared" si="17"/>
        <v>0</v>
      </c>
      <c r="K50" s="2"/>
      <c r="L50" s="6">
        <f t="shared" si="18"/>
        <v>-159.37</v>
      </c>
      <c r="M50" s="2"/>
      <c r="N50" s="7">
        <f t="shared" si="19"/>
        <v>-1</v>
      </c>
      <c r="O50" s="10"/>
      <c r="P50" s="6">
        <v>81.56</v>
      </c>
      <c r="Q50" s="2"/>
      <c r="R50" s="7">
        <f t="shared" si="20"/>
        <v>0</v>
      </c>
      <c r="S50" s="2"/>
      <c r="T50" s="6">
        <v>29556.05</v>
      </c>
      <c r="U50" s="2"/>
      <c r="V50" s="7">
        <f t="shared" si="21"/>
        <v>0</v>
      </c>
      <c r="W50" s="2"/>
      <c r="X50" s="6">
        <f t="shared" si="22"/>
        <v>-29474.489999999998</v>
      </c>
      <c r="Y50" s="2"/>
      <c r="Z50" s="7">
        <f t="shared" si="23"/>
        <v>-0.99724049729243247</v>
      </c>
    </row>
    <row r="51" spans="1:26" s="26" customFormat="1" outlineLevel="1" collapsed="1" x14ac:dyDescent="0.25">
      <c r="A51" s="25"/>
      <c r="B51" s="12" t="str">
        <f>CONCATENATE("     ","Equipment Rental                                  ")</f>
        <v xml:space="preserve">     Equipment Rental                                  </v>
      </c>
      <c r="C51" s="12"/>
      <c r="D51" s="1">
        <f>SUM(OSRRefD22_8x_0)</f>
        <v>208.97</v>
      </c>
      <c r="E51" s="1"/>
      <c r="F51" s="5">
        <f t="shared" si="16"/>
        <v>0</v>
      </c>
      <c r="G51" s="1"/>
      <c r="H51" s="1">
        <f>SUM(OSRRefH22_8x_0)</f>
        <v>208.98</v>
      </c>
      <c r="I51" s="1"/>
      <c r="J51" s="5">
        <f t="shared" si="17"/>
        <v>0</v>
      </c>
      <c r="K51" s="1"/>
      <c r="L51" s="1">
        <f t="shared" si="18"/>
        <v>-9.9999999999909051E-3</v>
      </c>
      <c r="M51" s="1"/>
      <c r="N51" s="5">
        <f t="shared" si="19"/>
        <v>-4.7851469040056015E-5</v>
      </c>
      <c r="O51" s="12"/>
      <c r="P51" s="1">
        <f>SUM(OSRRefP22_8x_0)</f>
        <v>2180.96</v>
      </c>
      <c r="Q51" s="1"/>
      <c r="R51" s="5">
        <f t="shared" si="20"/>
        <v>0</v>
      </c>
      <c r="S51" s="1"/>
      <c r="T51" s="1">
        <f>SUM(OSRRefT22_8x_0)</f>
        <v>2363.58</v>
      </c>
      <c r="U51" s="1"/>
      <c r="V51" s="5">
        <f t="shared" si="21"/>
        <v>0</v>
      </c>
      <c r="W51" s="1"/>
      <c r="X51" s="1">
        <f t="shared" si="22"/>
        <v>-182.61999999999989</v>
      </c>
      <c r="Y51" s="1"/>
      <c r="Z51" s="5">
        <f t="shared" si="23"/>
        <v>-7.7264150145118796E-2</v>
      </c>
    </row>
    <row r="52" spans="1:26" s="23" customFormat="1" hidden="1" outlineLevel="2" x14ac:dyDescent="0.25">
      <c r="A52" s="27"/>
      <c r="B52" s="10" t="str">
        <f>CONCATENATE("          ", "6351", " - ", "EQUIPMENT RENTAL")</f>
        <v xml:space="preserve">          6351 - EQUIPMENT RENTAL</v>
      </c>
      <c r="C52" s="10"/>
      <c r="D52" s="6">
        <v>208.97</v>
      </c>
      <c r="E52" s="2"/>
      <c r="F52" s="7">
        <f t="shared" si="16"/>
        <v>0</v>
      </c>
      <c r="G52" s="2"/>
      <c r="H52" s="6">
        <v>208.98</v>
      </c>
      <c r="I52" s="2"/>
      <c r="J52" s="7">
        <f t="shared" si="17"/>
        <v>0</v>
      </c>
      <c r="K52" s="2"/>
      <c r="L52" s="6">
        <f t="shared" si="18"/>
        <v>-9.9999999999909051E-3</v>
      </c>
      <c r="M52" s="2"/>
      <c r="N52" s="7">
        <f t="shared" si="19"/>
        <v>-4.7851469040056015E-5</v>
      </c>
      <c r="O52" s="10"/>
      <c r="P52" s="6">
        <v>2180.96</v>
      </c>
      <c r="Q52" s="2"/>
      <c r="R52" s="7">
        <f t="shared" si="20"/>
        <v>0</v>
      </c>
      <c r="S52" s="2"/>
      <c r="T52" s="6">
        <v>2363.58</v>
      </c>
      <c r="U52" s="2"/>
      <c r="V52" s="7">
        <f t="shared" si="21"/>
        <v>0</v>
      </c>
      <c r="W52" s="2"/>
      <c r="X52" s="6">
        <f t="shared" si="22"/>
        <v>-182.61999999999989</v>
      </c>
      <c r="Y52" s="2"/>
      <c r="Z52" s="7">
        <f t="shared" si="23"/>
        <v>-7.7264150145118796E-2</v>
      </c>
    </row>
    <row r="53" spans="1:26" s="26" customFormat="1" outlineLevel="1" collapsed="1" x14ac:dyDescent="0.25">
      <c r="A53" s="25"/>
      <c r="B53" s="12" t="str">
        <f>CONCATENATE("     ","Freight out/Postage                               ")</f>
        <v xml:space="preserve">     Freight out/Postage                               </v>
      </c>
      <c r="C53" s="12"/>
      <c r="D53" s="1">
        <f>SUM(OSRRefD22_9x_0)</f>
        <v>84.75</v>
      </c>
      <c r="E53" s="1"/>
      <c r="F53" s="5">
        <f t="shared" si="16"/>
        <v>0</v>
      </c>
      <c r="G53" s="1"/>
      <c r="H53" s="1">
        <f>SUM(OSRRefH22_9x_0)</f>
        <v>144.44999999999999</v>
      </c>
      <c r="I53" s="1"/>
      <c r="J53" s="5">
        <f t="shared" si="17"/>
        <v>0</v>
      </c>
      <c r="K53" s="1"/>
      <c r="L53" s="1">
        <f t="shared" si="18"/>
        <v>-59.699999999999989</v>
      </c>
      <c r="M53" s="1"/>
      <c r="N53" s="5">
        <f t="shared" si="19"/>
        <v>-0.41329179646936653</v>
      </c>
      <c r="O53" s="12"/>
      <c r="P53" s="1">
        <f>SUM(OSRRefP22_9x_0)</f>
        <v>1088.8500000000001</v>
      </c>
      <c r="Q53" s="1"/>
      <c r="R53" s="5">
        <f t="shared" si="20"/>
        <v>0</v>
      </c>
      <c r="S53" s="1"/>
      <c r="T53" s="1">
        <f>SUM(OSRRefT22_9x_0)</f>
        <v>2500.66</v>
      </c>
      <c r="U53" s="1"/>
      <c r="V53" s="5">
        <f t="shared" si="21"/>
        <v>0</v>
      </c>
      <c r="W53" s="1"/>
      <c r="X53" s="1">
        <f t="shared" si="22"/>
        <v>-1411.8099999999997</v>
      </c>
      <c r="Y53" s="1"/>
      <c r="Z53" s="5">
        <f t="shared" si="23"/>
        <v>-0.56457495221261578</v>
      </c>
    </row>
    <row r="54" spans="1:26" s="23" customFormat="1" hidden="1" outlineLevel="2" x14ac:dyDescent="0.25">
      <c r="A54" s="27"/>
      <c r="B54" s="10" t="str">
        <f>CONCATENATE("          ", "6305", " - ", "FREIGHT OUT")</f>
        <v xml:space="preserve">          6305 - FREIGHT OUT</v>
      </c>
      <c r="C54" s="10"/>
      <c r="D54" s="6"/>
      <c r="E54" s="2"/>
      <c r="F54" s="7">
        <f t="shared" si="16"/>
        <v>0</v>
      </c>
      <c r="G54" s="2"/>
      <c r="H54" s="6"/>
      <c r="I54" s="2"/>
      <c r="J54" s="7">
        <f t="shared" si="17"/>
        <v>0</v>
      </c>
      <c r="K54" s="2"/>
      <c r="L54" s="6">
        <f t="shared" si="18"/>
        <v>0</v>
      </c>
      <c r="M54" s="2"/>
      <c r="N54" s="7">
        <f t="shared" si="19"/>
        <v>0</v>
      </c>
      <c r="O54" s="10"/>
      <c r="P54" s="6">
        <v>5.41</v>
      </c>
      <c r="Q54" s="2"/>
      <c r="R54" s="7">
        <f t="shared" si="20"/>
        <v>0</v>
      </c>
      <c r="S54" s="2"/>
      <c r="T54" s="6"/>
      <c r="U54" s="2"/>
      <c r="V54" s="7">
        <f t="shared" si="21"/>
        <v>0</v>
      </c>
      <c r="W54" s="2"/>
      <c r="X54" s="6">
        <f t="shared" si="22"/>
        <v>5.41</v>
      </c>
      <c r="Y54" s="2"/>
      <c r="Z54" s="7">
        <f t="shared" si="23"/>
        <v>0</v>
      </c>
    </row>
    <row r="55" spans="1:26" s="23" customFormat="1" hidden="1" outlineLevel="2" x14ac:dyDescent="0.25">
      <c r="A55" s="27"/>
      <c r="B55" s="10" t="str">
        <f>CONCATENATE("          ", "6307", " - ", "POSTAGE")</f>
        <v xml:space="preserve">          6307 - POSTAGE</v>
      </c>
      <c r="C55" s="10"/>
      <c r="D55" s="6">
        <v>84.75</v>
      </c>
      <c r="E55" s="2"/>
      <c r="F55" s="7">
        <f t="shared" si="16"/>
        <v>0</v>
      </c>
      <c r="G55" s="2"/>
      <c r="H55" s="6">
        <v>144.44999999999999</v>
      </c>
      <c r="I55" s="2"/>
      <c r="J55" s="7">
        <f t="shared" si="17"/>
        <v>0</v>
      </c>
      <c r="K55" s="2"/>
      <c r="L55" s="6">
        <f t="shared" si="18"/>
        <v>-59.699999999999989</v>
      </c>
      <c r="M55" s="2"/>
      <c r="N55" s="7">
        <f t="shared" si="19"/>
        <v>-0.41329179646936653</v>
      </c>
      <c r="O55" s="10"/>
      <c r="P55" s="6">
        <v>1083.44</v>
      </c>
      <c r="Q55" s="2"/>
      <c r="R55" s="7">
        <f t="shared" si="20"/>
        <v>0</v>
      </c>
      <c r="S55" s="2"/>
      <c r="T55" s="6">
        <v>2500.66</v>
      </c>
      <c r="U55" s="2"/>
      <c r="V55" s="7">
        <f t="shared" si="21"/>
        <v>0</v>
      </c>
      <c r="W55" s="2"/>
      <c r="X55" s="6">
        <f t="shared" si="22"/>
        <v>-1417.2199999999998</v>
      </c>
      <c r="Y55" s="2"/>
      <c r="Z55" s="7">
        <f t="shared" si="23"/>
        <v>-0.56673838106739816</v>
      </c>
    </row>
    <row r="56" spans="1:26" s="26" customFormat="1" outlineLevel="1" collapsed="1" x14ac:dyDescent="0.25">
      <c r="A56" s="25"/>
      <c r="B56" s="12" t="str">
        <f>CONCATENATE("     ","General                                           ")</f>
        <v xml:space="preserve">     General                                           </v>
      </c>
      <c r="C56" s="12"/>
      <c r="D56" s="1">
        <f>SUM(OSRRefD22_10x_0)</f>
        <v>52</v>
      </c>
      <c r="E56" s="1"/>
      <c r="F56" s="5">
        <f t="shared" ref="F56:F64" si="24">IF(D$12=0,0,D56/D$12)</f>
        <v>0</v>
      </c>
      <c r="G56" s="1"/>
      <c r="H56" s="1">
        <f>SUM(OSRRefH22_10x_0)</f>
        <v>0</v>
      </c>
      <c r="I56" s="1"/>
      <c r="J56" s="5">
        <f t="shared" ref="J56:J64" si="25">IF(H$12=0,0,H56/H$12)</f>
        <v>0</v>
      </c>
      <c r="K56" s="1"/>
      <c r="L56" s="1">
        <f t="shared" ref="L56:L64" si="26">+D56-H56</f>
        <v>52</v>
      </c>
      <c r="M56" s="1"/>
      <c r="N56" s="5">
        <f t="shared" ref="N56:N64" si="27">IF(H56=0,0,L56/H56)</f>
        <v>0</v>
      </c>
      <c r="O56" s="12"/>
      <c r="P56" s="1">
        <f>SUM(OSRRefP22_10x_0)</f>
        <v>42.34</v>
      </c>
      <c r="Q56" s="1"/>
      <c r="R56" s="5">
        <f t="shared" ref="R56:R64" si="28">IF(P$12=0,0,P56/P$12)</f>
        <v>0</v>
      </c>
      <c r="S56" s="1"/>
      <c r="T56" s="1">
        <f>SUM(OSRRefT22_10x_0)</f>
        <v>14594.69</v>
      </c>
      <c r="U56" s="1"/>
      <c r="V56" s="5">
        <f t="shared" ref="V56:V64" si="29">IF(T$12=0,0,T56/T$12)</f>
        <v>0</v>
      </c>
      <c r="W56" s="1"/>
      <c r="X56" s="1">
        <f t="shared" ref="X56:X64" si="30">+P56-T56</f>
        <v>-14552.35</v>
      </c>
      <c r="Y56" s="1"/>
      <c r="Z56" s="5">
        <f t="shared" ref="Z56:Z64" si="31">IF(T56=0,0,X56/T56)</f>
        <v>-0.99709894489023065</v>
      </c>
    </row>
    <row r="57" spans="1:26" s="23" customFormat="1" hidden="1" outlineLevel="2" x14ac:dyDescent="0.25">
      <c r="A57" s="27"/>
      <c r="B57" s="10" t="str">
        <f>CONCATENATE("          ", "6279", " - ", "GENERAL EXPENSE")</f>
        <v xml:space="preserve">          6279 - GENERAL EXPENSE</v>
      </c>
      <c r="C57" s="10"/>
      <c r="D57" s="6">
        <v>52</v>
      </c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52</v>
      </c>
      <c r="M57" s="2"/>
      <c r="N57" s="7">
        <f t="shared" si="27"/>
        <v>0</v>
      </c>
      <c r="O57" s="10"/>
      <c r="P57" s="6">
        <v>42.34</v>
      </c>
      <c r="Q57" s="2"/>
      <c r="R57" s="7">
        <f t="shared" si="28"/>
        <v>0</v>
      </c>
      <c r="S57" s="2"/>
      <c r="T57" s="6">
        <v>14594.69</v>
      </c>
      <c r="U57" s="2"/>
      <c r="V57" s="7">
        <f t="shared" si="29"/>
        <v>0</v>
      </c>
      <c r="W57" s="2"/>
      <c r="X57" s="6">
        <f t="shared" si="30"/>
        <v>-14552.35</v>
      </c>
      <c r="Y57" s="2"/>
      <c r="Z57" s="7">
        <f t="shared" si="31"/>
        <v>-0.99709894489023065</v>
      </c>
    </row>
    <row r="58" spans="1:26" s="26" customFormat="1" outlineLevel="1" collapsed="1" x14ac:dyDescent="0.25">
      <c r="A58" s="25"/>
      <c r="B58" s="12" t="str">
        <f>CONCATENATE("     ","Insurance                                         ")</f>
        <v xml:space="preserve">     Insurance                                         </v>
      </c>
      <c r="C58" s="12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393.67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2"/>
      <c r="P58" s="1">
        <f>SUM(OSRRefP22_11x_0)</f>
        <v>3936.7</v>
      </c>
      <c r="Q58" s="1"/>
      <c r="R58" s="5">
        <f t="shared" si="28"/>
        <v>0</v>
      </c>
      <c r="S58" s="1"/>
      <c r="T58" s="1">
        <f>SUM(OSRRefT22_11x_0)</f>
        <v>3936.7</v>
      </c>
      <c r="U58" s="1"/>
      <c r="V58" s="5">
        <f t="shared" si="29"/>
        <v>0</v>
      </c>
      <c r="W58" s="1"/>
      <c r="X58" s="1">
        <f t="shared" si="30"/>
        <v>0</v>
      </c>
      <c r="Y58" s="1"/>
      <c r="Z58" s="5">
        <f t="shared" si="31"/>
        <v>0</v>
      </c>
    </row>
    <row r="59" spans="1:26" s="23" customFormat="1" hidden="1" outlineLevel="2" x14ac:dyDescent="0.25">
      <c r="A59" s="27"/>
      <c r="B59" s="10" t="str">
        <f>CONCATENATE("          ", "6314", " - ", "LIABILITY INSURANCE")</f>
        <v xml:space="preserve">          6314 - LIABILITY INSURANCE</v>
      </c>
      <c r="C59" s="10"/>
      <c r="D59" s="6">
        <v>393.67</v>
      </c>
      <c r="E59" s="2"/>
      <c r="F59" s="7">
        <f t="shared" si="24"/>
        <v>0</v>
      </c>
      <c r="G59" s="2"/>
      <c r="H59" s="6">
        <v>393.67</v>
      </c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0"/>
      <c r="P59" s="6">
        <v>3936.7</v>
      </c>
      <c r="Q59" s="2"/>
      <c r="R59" s="7">
        <f t="shared" si="28"/>
        <v>0</v>
      </c>
      <c r="S59" s="2"/>
      <c r="T59" s="6">
        <v>3936.7</v>
      </c>
      <c r="U59" s="2"/>
      <c r="V59" s="7">
        <f t="shared" si="29"/>
        <v>0</v>
      </c>
      <c r="W59" s="2"/>
      <c r="X59" s="6">
        <f t="shared" si="30"/>
        <v>0</v>
      </c>
      <c r="Y59" s="2"/>
      <c r="Z59" s="7">
        <f t="shared" si="31"/>
        <v>0</v>
      </c>
    </row>
    <row r="60" spans="1:26" s="26" customFormat="1" outlineLevel="1" collapsed="1" x14ac:dyDescent="0.25">
      <c r="A60" s="25"/>
      <c r="B60" s="12" t="str">
        <f>CONCATENATE("     ","Professional Services                             ")</f>
        <v xml:space="preserve">     Professional Services                             </v>
      </c>
      <c r="C60" s="12"/>
      <c r="D60" s="1">
        <f>SUM(OSRRefD22_12x_0)</f>
        <v>13240.75</v>
      </c>
      <c r="E60" s="1"/>
      <c r="F60" s="5">
        <f t="shared" si="24"/>
        <v>0</v>
      </c>
      <c r="G60" s="1"/>
      <c r="H60" s="1">
        <f>SUM(OSRRefH22_12x_0)</f>
        <v>15642</v>
      </c>
      <c r="I60" s="1"/>
      <c r="J60" s="5">
        <f t="shared" si="25"/>
        <v>0</v>
      </c>
      <c r="K60" s="1"/>
      <c r="L60" s="1">
        <f t="shared" si="26"/>
        <v>-2401.25</v>
      </c>
      <c r="M60" s="1"/>
      <c r="N60" s="5">
        <f t="shared" si="27"/>
        <v>-0.15351297788006649</v>
      </c>
      <c r="O60" s="12"/>
      <c r="P60" s="1">
        <f>SUM(OSRRefP22_12x_0)</f>
        <v>107422.12000000001</v>
      </c>
      <c r="Q60" s="1"/>
      <c r="R60" s="5">
        <f t="shared" si="28"/>
        <v>0</v>
      </c>
      <c r="S60" s="1"/>
      <c r="T60" s="1">
        <f>SUM(OSRRefT22_12x_0)</f>
        <v>201991.25999999998</v>
      </c>
      <c r="U60" s="1"/>
      <c r="V60" s="5">
        <f t="shared" si="29"/>
        <v>0</v>
      </c>
      <c r="W60" s="1"/>
      <c r="X60" s="1">
        <f t="shared" si="30"/>
        <v>-94569.13999999997</v>
      </c>
      <c r="Y60" s="1"/>
      <c r="Z60" s="5">
        <f t="shared" si="31"/>
        <v>-0.46818431648973319</v>
      </c>
    </row>
    <row r="61" spans="1:26" s="23" customFormat="1" hidden="1" outlineLevel="2" x14ac:dyDescent="0.25">
      <c r="A61" s="27"/>
      <c r="B61" s="10" t="str">
        <f>CONCATENATE("          ", "6331", " - ", "INDIRECT COSTS-AUXILIARY ORGAN")</f>
        <v xml:space="preserve">          6331 - INDIRECT COSTS-AUXILIARY ORGAN</v>
      </c>
      <c r="C61" s="10"/>
      <c r="D61" s="6">
        <v>11585.75</v>
      </c>
      <c r="E61" s="2"/>
      <c r="F61" s="7">
        <f t="shared" si="24"/>
        <v>0</v>
      </c>
      <c r="G61" s="2"/>
      <c r="H61" s="6">
        <v>11487</v>
      </c>
      <c r="I61" s="2"/>
      <c r="J61" s="7">
        <f t="shared" si="25"/>
        <v>0</v>
      </c>
      <c r="K61" s="2"/>
      <c r="L61" s="6">
        <f t="shared" si="26"/>
        <v>98.75</v>
      </c>
      <c r="M61" s="2"/>
      <c r="N61" s="7">
        <f t="shared" si="27"/>
        <v>8.5966745016105156E-3</v>
      </c>
      <c r="O61" s="10"/>
      <c r="P61" s="6">
        <v>92418</v>
      </c>
      <c r="Q61" s="2"/>
      <c r="R61" s="7">
        <f t="shared" si="28"/>
        <v>0</v>
      </c>
      <c r="S61" s="2"/>
      <c r="T61" s="6">
        <v>91723</v>
      </c>
      <c r="U61" s="2"/>
      <c r="V61" s="7">
        <f t="shared" si="29"/>
        <v>0</v>
      </c>
      <c r="W61" s="2"/>
      <c r="X61" s="6">
        <f t="shared" si="30"/>
        <v>695</v>
      </c>
      <c r="Y61" s="2"/>
      <c r="Z61" s="7">
        <f t="shared" si="31"/>
        <v>7.5771616715545722E-3</v>
      </c>
    </row>
    <row r="62" spans="1:26" s="23" customFormat="1" hidden="1" outlineLevel="2" x14ac:dyDescent="0.25">
      <c r="A62" s="27"/>
      <c r="B62" s="10" t="str">
        <f>CONCATENATE("          ", "6332", " - ", "CONSULTANT FEES")</f>
        <v xml:space="preserve">          6332 - CONSULTANT FEES</v>
      </c>
      <c r="C62" s="10"/>
      <c r="D62" s="6"/>
      <c r="E62" s="2"/>
      <c r="F62" s="7">
        <f t="shared" si="24"/>
        <v>0</v>
      </c>
      <c r="G62" s="2"/>
      <c r="H62" s="6"/>
      <c r="I62" s="2"/>
      <c r="J62" s="7">
        <f t="shared" si="25"/>
        <v>0</v>
      </c>
      <c r="K62" s="2"/>
      <c r="L62" s="6">
        <f t="shared" si="26"/>
        <v>0</v>
      </c>
      <c r="M62" s="2"/>
      <c r="N62" s="7">
        <f t="shared" si="27"/>
        <v>0</v>
      </c>
      <c r="O62" s="10"/>
      <c r="P62" s="6"/>
      <c r="Q62" s="2"/>
      <c r="R62" s="7">
        <f t="shared" si="28"/>
        <v>0</v>
      </c>
      <c r="S62" s="2"/>
      <c r="T62" s="6">
        <v>36894.74</v>
      </c>
      <c r="U62" s="2"/>
      <c r="V62" s="7">
        <f t="shared" si="29"/>
        <v>0</v>
      </c>
      <c r="W62" s="2"/>
      <c r="X62" s="6">
        <f t="shared" si="30"/>
        <v>-36894.74</v>
      </c>
      <c r="Y62" s="2"/>
      <c r="Z62" s="7">
        <f t="shared" si="31"/>
        <v>-1</v>
      </c>
    </row>
    <row r="63" spans="1:26" s="23" customFormat="1" hidden="1" outlineLevel="2" x14ac:dyDescent="0.25">
      <c r="A63" s="27"/>
      <c r="B63" s="10" t="str">
        <f>CONCATENATE("          ", "6334", " - ", "LEGAL COUNCIL EXPENSE")</f>
        <v xml:space="preserve">          6334 - LEGAL COUNCIL EXPENSE</v>
      </c>
      <c r="C63" s="10"/>
      <c r="D63" s="6"/>
      <c r="E63" s="2"/>
      <c r="F63" s="7">
        <f t="shared" si="24"/>
        <v>0</v>
      </c>
      <c r="G63" s="2"/>
      <c r="H63" s="6"/>
      <c r="I63" s="2"/>
      <c r="J63" s="7">
        <f t="shared" si="25"/>
        <v>0</v>
      </c>
      <c r="K63" s="2"/>
      <c r="L63" s="6">
        <f t="shared" si="26"/>
        <v>0</v>
      </c>
      <c r="M63" s="2"/>
      <c r="N63" s="7">
        <f t="shared" si="27"/>
        <v>0</v>
      </c>
      <c r="O63" s="10"/>
      <c r="P63" s="6">
        <v>6979.24</v>
      </c>
      <c r="Q63" s="2"/>
      <c r="R63" s="7">
        <f t="shared" si="28"/>
        <v>0</v>
      </c>
      <c r="S63" s="2"/>
      <c r="T63" s="6">
        <v>39175</v>
      </c>
      <c r="U63" s="2"/>
      <c r="V63" s="7">
        <f t="shared" si="29"/>
        <v>0</v>
      </c>
      <c r="W63" s="2"/>
      <c r="X63" s="6">
        <f t="shared" si="30"/>
        <v>-32195.760000000002</v>
      </c>
      <c r="Y63" s="2"/>
      <c r="Z63" s="7">
        <f t="shared" si="31"/>
        <v>-0.82184454371410343</v>
      </c>
    </row>
    <row r="64" spans="1:26" s="23" customFormat="1" hidden="1" outlineLevel="2" x14ac:dyDescent="0.25">
      <c r="A64" s="27"/>
      <c r="B64" s="10" t="str">
        <f>CONCATENATE("          ", "6336", " - ", "PROFESSIONAL SERVICES")</f>
        <v xml:space="preserve">          6336 - PROFESSIONAL SERVICES</v>
      </c>
      <c r="C64" s="10"/>
      <c r="D64" s="6">
        <v>1655</v>
      </c>
      <c r="E64" s="2"/>
      <c r="F64" s="7">
        <f t="shared" si="24"/>
        <v>0</v>
      </c>
      <c r="G64" s="2"/>
      <c r="H64" s="6">
        <v>4155</v>
      </c>
      <c r="I64" s="2"/>
      <c r="J64" s="7">
        <f t="shared" si="25"/>
        <v>0</v>
      </c>
      <c r="K64" s="2"/>
      <c r="L64" s="6">
        <f t="shared" si="26"/>
        <v>-2500</v>
      </c>
      <c r="M64" s="2"/>
      <c r="N64" s="7">
        <f t="shared" si="27"/>
        <v>-0.60168471720818295</v>
      </c>
      <c r="O64" s="10"/>
      <c r="P64" s="6">
        <v>8024.88</v>
      </c>
      <c r="Q64" s="2"/>
      <c r="R64" s="7">
        <f t="shared" si="28"/>
        <v>0</v>
      </c>
      <c r="S64" s="2"/>
      <c r="T64" s="6">
        <v>34198.519999999997</v>
      </c>
      <c r="U64" s="2"/>
      <c r="V64" s="7">
        <f t="shared" si="29"/>
        <v>0</v>
      </c>
      <c r="W64" s="2"/>
      <c r="X64" s="6">
        <f t="shared" si="30"/>
        <v>-26173.639999999996</v>
      </c>
      <c r="Y64" s="2"/>
      <c r="Z64" s="7">
        <f t="shared" si="31"/>
        <v>-0.76534423127082685</v>
      </c>
    </row>
    <row r="65" spans="1:26" s="26" customFormat="1" outlineLevel="1" collapsed="1" x14ac:dyDescent="0.25">
      <c r="A65" s="25"/>
      <c r="B65" s="12" t="str">
        <f>CONCATENATE("     ","Repair and Maintenance                            ")</f>
        <v xml:space="preserve">     Repair and Maintenance                            </v>
      </c>
      <c r="C65" s="12"/>
      <c r="D65" s="1">
        <f>SUM(OSRRefD22_13x_0)</f>
        <v>21727.52</v>
      </c>
      <c r="E65" s="1"/>
      <c r="F65" s="5">
        <f t="shared" ref="F65:F68" si="32">IF(D$12=0,0,D65/D$12)</f>
        <v>0</v>
      </c>
      <c r="G65" s="1"/>
      <c r="H65" s="1">
        <f>SUM(OSRRefH22_13x_0)</f>
        <v>34563.730000000003</v>
      </c>
      <c r="I65" s="1"/>
      <c r="J65" s="5">
        <f t="shared" ref="J65:J68" si="33">IF(H$12=0,0,H65/H$12)</f>
        <v>0</v>
      </c>
      <c r="K65" s="1"/>
      <c r="L65" s="1">
        <f t="shared" ref="L65:L68" si="34">+D65-H65</f>
        <v>-12836.210000000003</v>
      </c>
      <c r="M65" s="1"/>
      <c r="N65" s="5">
        <f t="shared" ref="N65:N68" si="35">IF(H65=0,0,L65/H65)</f>
        <v>-0.37137803124836355</v>
      </c>
      <c r="O65" s="12"/>
      <c r="P65" s="1">
        <f>SUM(OSRRefP22_13x_0)</f>
        <v>244325.63999999998</v>
      </c>
      <c r="Q65" s="1"/>
      <c r="R65" s="5">
        <f t="shared" ref="R65:R68" si="36">IF(P$12=0,0,P65/P$12)</f>
        <v>0</v>
      </c>
      <c r="S65" s="1"/>
      <c r="T65" s="1">
        <f>SUM(OSRRefT22_13x_0)</f>
        <v>314127.3</v>
      </c>
      <c r="U65" s="1"/>
      <c r="V65" s="5">
        <f t="shared" ref="V65:V68" si="37">IF(T$12=0,0,T65/T$12)</f>
        <v>0</v>
      </c>
      <c r="W65" s="1"/>
      <c r="X65" s="1">
        <f t="shared" ref="X65:X68" si="38">+P65-T65</f>
        <v>-69801.66</v>
      </c>
      <c r="Y65" s="1"/>
      <c r="Z65" s="5">
        <f t="shared" ref="Z65:Z68" si="39">IF(T65=0,0,X65/T65)</f>
        <v>-0.22220819393920874</v>
      </c>
    </row>
    <row r="66" spans="1:26" s="23" customFormat="1" hidden="1" outlineLevel="2" x14ac:dyDescent="0.25">
      <c r="A66" s="27"/>
      <c r="B66" s="10" t="str">
        <f>CONCATENATE("          ", "6371", " - ", "COMPUTER SOFTWARE MAINTENANCE")</f>
        <v xml:space="preserve">          6371 - COMPUTER SOFTWARE MAINTENANCE</v>
      </c>
      <c r="C66" s="10"/>
      <c r="D66" s="6">
        <v>5878.21</v>
      </c>
      <c r="E66" s="2"/>
      <c r="F66" s="7">
        <f t="shared" si="32"/>
        <v>0</v>
      </c>
      <c r="G66" s="2"/>
      <c r="H66" s="6">
        <v>20181.34</v>
      </c>
      <c r="I66" s="2"/>
      <c r="J66" s="7">
        <f t="shared" si="33"/>
        <v>0</v>
      </c>
      <c r="K66" s="2"/>
      <c r="L66" s="6">
        <f t="shared" si="34"/>
        <v>-14303.130000000001</v>
      </c>
      <c r="M66" s="2"/>
      <c r="N66" s="7">
        <f t="shared" si="35"/>
        <v>-0.70873044109063132</v>
      </c>
      <c r="O66" s="10"/>
      <c r="P66" s="6">
        <v>87166.720000000001</v>
      </c>
      <c r="Q66" s="2"/>
      <c r="R66" s="7">
        <f t="shared" si="36"/>
        <v>0</v>
      </c>
      <c r="S66" s="2"/>
      <c r="T66" s="6">
        <v>166953.18</v>
      </c>
      <c r="U66" s="2"/>
      <c r="V66" s="7">
        <f t="shared" si="37"/>
        <v>0</v>
      </c>
      <c r="W66" s="2"/>
      <c r="X66" s="6">
        <f t="shared" si="38"/>
        <v>-79786.459999999992</v>
      </c>
      <c r="Y66" s="2"/>
      <c r="Z66" s="7">
        <f t="shared" si="39"/>
        <v>-0.47789721645313971</v>
      </c>
    </row>
    <row r="67" spans="1:26" s="23" customFormat="1" hidden="1" outlineLevel="2" x14ac:dyDescent="0.25">
      <c r="A67" s="27"/>
      <c r="B67" s="10" t="str">
        <f>CONCATENATE("          ", "6373", " - ", "MAINTENANCE CONTRACTS")</f>
        <v xml:space="preserve">          6373 - MAINTENANCE CONTRACTS</v>
      </c>
      <c r="C67" s="10"/>
      <c r="D67" s="6">
        <v>15799.19</v>
      </c>
      <c r="E67" s="2"/>
      <c r="F67" s="7">
        <f t="shared" si="32"/>
        <v>0</v>
      </c>
      <c r="G67" s="2"/>
      <c r="H67" s="6">
        <v>13925.32</v>
      </c>
      <c r="I67" s="2"/>
      <c r="J67" s="7">
        <f t="shared" si="33"/>
        <v>0</v>
      </c>
      <c r="K67" s="2"/>
      <c r="L67" s="6">
        <f t="shared" si="34"/>
        <v>1873.8700000000008</v>
      </c>
      <c r="M67" s="2"/>
      <c r="N67" s="7">
        <f t="shared" si="35"/>
        <v>0.13456566886793273</v>
      </c>
      <c r="O67" s="10"/>
      <c r="P67" s="6">
        <v>154811.49</v>
      </c>
      <c r="Q67" s="2"/>
      <c r="R67" s="7">
        <f t="shared" si="36"/>
        <v>0</v>
      </c>
      <c r="S67" s="2"/>
      <c r="T67" s="6">
        <v>143546.85999999999</v>
      </c>
      <c r="U67" s="2"/>
      <c r="V67" s="7">
        <f t="shared" si="37"/>
        <v>0</v>
      </c>
      <c r="W67" s="2"/>
      <c r="X67" s="6">
        <f t="shared" si="38"/>
        <v>11264.630000000005</v>
      </c>
      <c r="Y67" s="2"/>
      <c r="Z67" s="7">
        <f t="shared" si="39"/>
        <v>7.8473538188156861E-2</v>
      </c>
    </row>
    <row r="68" spans="1:26" s="23" customFormat="1" hidden="1" outlineLevel="2" x14ac:dyDescent="0.25">
      <c r="A68" s="27"/>
      <c r="B68" s="10" t="str">
        <f>CONCATENATE("          ", "6375", " - ", "OUTSIDE REPAIRS &amp; MAINTENANCE")</f>
        <v xml:space="preserve">          6375 - OUTSIDE REPAIRS &amp; MAINTENANCE</v>
      </c>
      <c r="C68" s="10"/>
      <c r="D68" s="6">
        <v>50.12</v>
      </c>
      <c r="E68" s="2"/>
      <c r="F68" s="7">
        <f t="shared" si="32"/>
        <v>0</v>
      </c>
      <c r="G68" s="2"/>
      <c r="H68" s="6">
        <v>457.07</v>
      </c>
      <c r="I68" s="2"/>
      <c r="J68" s="7">
        <f t="shared" si="33"/>
        <v>0</v>
      </c>
      <c r="K68" s="2"/>
      <c r="L68" s="6">
        <f t="shared" si="34"/>
        <v>-406.95</v>
      </c>
      <c r="M68" s="2"/>
      <c r="N68" s="7">
        <f t="shared" si="35"/>
        <v>-0.89034502373815827</v>
      </c>
      <c r="O68" s="10"/>
      <c r="P68" s="6">
        <v>2347.4299999999998</v>
      </c>
      <c r="Q68" s="2"/>
      <c r="R68" s="7">
        <f t="shared" si="36"/>
        <v>0</v>
      </c>
      <c r="S68" s="2"/>
      <c r="T68" s="6">
        <v>3627.26</v>
      </c>
      <c r="U68" s="2"/>
      <c r="V68" s="7">
        <f t="shared" si="37"/>
        <v>0</v>
      </c>
      <c r="W68" s="2"/>
      <c r="X68" s="6">
        <f t="shared" si="38"/>
        <v>-1279.8300000000004</v>
      </c>
      <c r="Y68" s="2"/>
      <c r="Z68" s="7">
        <f t="shared" si="39"/>
        <v>-0.35283657636893972</v>
      </c>
    </row>
    <row r="69" spans="1:26" s="26" customFormat="1" outlineLevel="1" collapsed="1" x14ac:dyDescent="0.25">
      <c r="A69" s="25"/>
      <c r="B69" s="12" t="str">
        <f>CONCATENATE("     ","Services                                          ")</f>
        <v xml:space="preserve">     Services                                          </v>
      </c>
      <c r="C69" s="12"/>
      <c r="D69" s="1">
        <f>SUM(OSRRefD22_14x_0)</f>
        <v>0</v>
      </c>
      <c r="E69" s="1"/>
      <c r="F69" s="5">
        <f t="shared" ref="F69:F71" si="40">IF(D$12=0,0,D69/D$12)</f>
        <v>0</v>
      </c>
      <c r="G69" s="1"/>
      <c r="H69" s="1">
        <f>SUM(OSRRefH22_14x_0)</f>
        <v>1024.96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-1024.96</v>
      </c>
      <c r="M69" s="1"/>
      <c r="N69" s="5">
        <f t="shared" ref="N69:N71" si="43">IF(H69=0,0,L69/H69)</f>
        <v>-1</v>
      </c>
      <c r="O69" s="12"/>
      <c r="P69" s="1">
        <f>SUM(OSRRefP22_14x_0)</f>
        <v>5580.34</v>
      </c>
      <c r="Q69" s="1"/>
      <c r="R69" s="5">
        <f t="shared" ref="R69:R71" si="44">IF(P$12=0,0,P69/P$12)</f>
        <v>0</v>
      </c>
      <c r="S69" s="1"/>
      <c r="T69" s="1">
        <f>SUM(OSRRefT22_14x_0)</f>
        <v>10538.91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-4958.57</v>
      </c>
      <c r="Y69" s="1"/>
      <c r="Z69" s="5">
        <f t="shared" ref="Z69:Z71" si="47">IF(T69=0,0,X69/T69)</f>
        <v>-0.47050121881674667</v>
      </c>
    </row>
    <row r="70" spans="1:26" s="23" customFormat="1" hidden="1" outlineLevel="2" x14ac:dyDescent="0.25">
      <c r="A70" s="27"/>
      <c r="B70" s="10" t="str">
        <f>CONCATENATE("          ", "6281", " - ", "STORAGE FEE")</f>
        <v xml:space="preserve">          6281 - STORAGE FEE</v>
      </c>
      <c r="C70" s="10"/>
      <c r="D70" s="6"/>
      <c r="E70" s="2"/>
      <c r="F70" s="7">
        <f t="shared" si="40"/>
        <v>0</v>
      </c>
      <c r="G70" s="2"/>
      <c r="H70" s="6">
        <v>1024.96</v>
      </c>
      <c r="I70" s="2"/>
      <c r="J70" s="7">
        <f t="shared" si="41"/>
        <v>0</v>
      </c>
      <c r="K70" s="2"/>
      <c r="L70" s="6">
        <f t="shared" si="42"/>
        <v>-1024.96</v>
      </c>
      <c r="M70" s="2"/>
      <c r="N70" s="7">
        <f t="shared" si="43"/>
        <v>-1</v>
      </c>
      <c r="O70" s="10"/>
      <c r="P70" s="6">
        <v>5580.34</v>
      </c>
      <c r="Q70" s="2"/>
      <c r="R70" s="7">
        <f t="shared" si="44"/>
        <v>0</v>
      </c>
      <c r="S70" s="2"/>
      <c r="T70" s="6">
        <v>10454.93</v>
      </c>
      <c r="U70" s="2"/>
      <c r="V70" s="7">
        <f t="shared" si="45"/>
        <v>0</v>
      </c>
      <c r="W70" s="2"/>
      <c r="X70" s="6">
        <f t="shared" si="46"/>
        <v>-4874.59</v>
      </c>
      <c r="Y70" s="2"/>
      <c r="Z70" s="7">
        <f t="shared" si="47"/>
        <v>-0.46624798061775641</v>
      </c>
    </row>
    <row r="71" spans="1:26" s="23" customFormat="1" hidden="1" outlineLevel="2" x14ac:dyDescent="0.25">
      <c r="A71" s="27"/>
      <c r="B71" s="10" t="str">
        <f>CONCATENATE("          ", "6286", " - ", "LAUNDRY EXPENSE")</f>
        <v xml:space="preserve">          6286 - LAUNDRY EXPENSE</v>
      </c>
      <c r="C71" s="10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0"/>
      <c r="P71" s="6"/>
      <c r="Q71" s="2"/>
      <c r="R71" s="7">
        <f t="shared" si="44"/>
        <v>0</v>
      </c>
      <c r="S71" s="2"/>
      <c r="T71" s="6">
        <v>83.98</v>
      </c>
      <c r="U71" s="2"/>
      <c r="V71" s="7">
        <f t="shared" si="45"/>
        <v>0</v>
      </c>
      <c r="W71" s="2"/>
      <c r="X71" s="6">
        <f t="shared" si="46"/>
        <v>-83.98</v>
      </c>
      <c r="Y71" s="2"/>
      <c r="Z71" s="7">
        <f t="shared" si="47"/>
        <v>-1</v>
      </c>
    </row>
    <row r="72" spans="1:26" s="26" customFormat="1" outlineLevel="1" collapsed="1" x14ac:dyDescent="0.25">
      <c r="A72" s="25"/>
      <c r="B72" s="12" t="str">
        <f>CONCATENATE("     ","Subscriptions &amp; Dues                              ")</f>
        <v xml:space="preserve">     Subscriptions &amp; Dues                              </v>
      </c>
      <c r="C72" s="12"/>
      <c r="D72" s="1">
        <f>SUM(OSRRefD22_15x_0)</f>
        <v>4668</v>
      </c>
      <c r="E72" s="1"/>
      <c r="F72" s="5">
        <f t="shared" ref="F72:F79" si="48">IF(D$12=0,0,D72/D$12)</f>
        <v>0</v>
      </c>
      <c r="G72" s="1"/>
      <c r="H72" s="1">
        <f>SUM(OSRRefH22_15x_0)</f>
        <v>6218</v>
      </c>
      <c r="I72" s="1"/>
      <c r="J72" s="5">
        <f t="shared" ref="J72:J79" si="49">IF(H$12=0,0,H72/H$12)</f>
        <v>0</v>
      </c>
      <c r="K72" s="1"/>
      <c r="L72" s="1">
        <f t="shared" ref="L72:L79" si="50">+D72-H72</f>
        <v>-1550</v>
      </c>
      <c r="M72" s="1"/>
      <c r="N72" s="5">
        <f t="shared" ref="N72:N79" si="51">IF(H72=0,0,L72/H72)</f>
        <v>-0.2492762946284979</v>
      </c>
      <c r="O72" s="12"/>
      <c r="P72" s="1">
        <f>SUM(OSRRefP22_15x_0)</f>
        <v>7722.99</v>
      </c>
      <c r="Q72" s="1"/>
      <c r="R72" s="5">
        <f t="shared" ref="R72:R79" si="52">IF(P$12=0,0,P72/P$12)</f>
        <v>0</v>
      </c>
      <c r="S72" s="1"/>
      <c r="T72" s="1">
        <f>SUM(OSRRefT22_15x_0)</f>
        <v>8639</v>
      </c>
      <c r="U72" s="1"/>
      <c r="V72" s="5">
        <f t="shared" ref="V72:V79" si="53">IF(T$12=0,0,T72/T$12)</f>
        <v>0</v>
      </c>
      <c r="W72" s="1"/>
      <c r="X72" s="1">
        <f t="shared" ref="X72:X79" si="54">+P72-T72</f>
        <v>-916.01000000000022</v>
      </c>
      <c r="Y72" s="1"/>
      <c r="Z72" s="5">
        <f t="shared" ref="Z72:Z79" si="55">IF(T72=0,0,X72/T72)</f>
        <v>-0.1060319481421461</v>
      </c>
    </row>
    <row r="73" spans="1:26" s="23" customFormat="1" hidden="1" outlineLevel="2" x14ac:dyDescent="0.25">
      <c r="A73" s="27"/>
      <c r="B73" s="10" t="str">
        <f>CONCATENATE("          ", "6258", " - ", "MEMBERSHIP DUES")</f>
        <v xml:space="preserve">          6258 - MEMBERSHIP DUES</v>
      </c>
      <c r="C73" s="10"/>
      <c r="D73" s="6">
        <v>4668</v>
      </c>
      <c r="E73" s="2"/>
      <c r="F73" s="7">
        <f t="shared" si="48"/>
        <v>0</v>
      </c>
      <c r="G73" s="2"/>
      <c r="H73" s="6">
        <v>6218</v>
      </c>
      <c r="I73" s="2"/>
      <c r="J73" s="7">
        <f t="shared" si="49"/>
        <v>0</v>
      </c>
      <c r="K73" s="2"/>
      <c r="L73" s="6">
        <f t="shared" si="50"/>
        <v>-1550</v>
      </c>
      <c r="M73" s="2"/>
      <c r="N73" s="7">
        <f t="shared" si="51"/>
        <v>-0.2492762946284979</v>
      </c>
      <c r="O73" s="10"/>
      <c r="P73" s="6">
        <v>7722.99</v>
      </c>
      <c r="Q73" s="2"/>
      <c r="R73" s="7">
        <f t="shared" si="52"/>
        <v>0</v>
      </c>
      <c r="S73" s="2"/>
      <c r="T73" s="6">
        <v>8639</v>
      </c>
      <c r="U73" s="2"/>
      <c r="V73" s="7">
        <f t="shared" si="53"/>
        <v>0</v>
      </c>
      <c r="W73" s="2"/>
      <c r="X73" s="6">
        <f t="shared" si="54"/>
        <v>-916.01000000000022</v>
      </c>
      <c r="Y73" s="2"/>
      <c r="Z73" s="7">
        <f t="shared" si="55"/>
        <v>-0.1060319481421461</v>
      </c>
    </row>
    <row r="74" spans="1:26" s="26" customFormat="1" outlineLevel="1" collapsed="1" x14ac:dyDescent="0.25">
      <c r="A74" s="25"/>
      <c r="B74" s="12" t="str">
        <f>CONCATENATE("     ","Supplies                                          ")</f>
        <v xml:space="preserve">     Supplies                                          </v>
      </c>
      <c r="C74" s="12"/>
      <c r="D74" s="1">
        <f>SUM(OSRRefD22_16x_0)</f>
        <v>251.76</v>
      </c>
      <c r="E74" s="1"/>
      <c r="F74" s="5">
        <f t="shared" si="48"/>
        <v>0</v>
      </c>
      <c r="G74" s="1"/>
      <c r="H74" s="1">
        <f>SUM(OSRRefH22_16x_0)</f>
        <v>8165.7699999999995</v>
      </c>
      <c r="I74" s="1"/>
      <c r="J74" s="5">
        <f t="shared" si="49"/>
        <v>0</v>
      </c>
      <c r="K74" s="1"/>
      <c r="L74" s="1">
        <f t="shared" si="50"/>
        <v>-7914.0099999999993</v>
      </c>
      <c r="M74" s="1"/>
      <c r="N74" s="5">
        <f t="shared" si="51"/>
        <v>-0.96916885976460265</v>
      </c>
      <c r="O74" s="12"/>
      <c r="P74" s="1">
        <f>SUM(OSRRefP22_16x_0)</f>
        <v>3606.3</v>
      </c>
      <c r="Q74" s="1"/>
      <c r="R74" s="5">
        <f t="shared" si="52"/>
        <v>0</v>
      </c>
      <c r="S74" s="1"/>
      <c r="T74" s="1">
        <f>SUM(OSRRefT22_16x_0)</f>
        <v>63508.020000000004</v>
      </c>
      <c r="U74" s="1"/>
      <c r="V74" s="5">
        <f t="shared" si="53"/>
        <v>0</v>
      </c>
      <c r="W74" s="1"/>
      <c r="X74" s="1">
        <f t="shared" si="54"/>
        <v>-59901.72</v>
      </c>
      <c r="Y74" s="1"/>
      <c r="Z74" s="5">
        <f t="shared" si="55"/>
        <v>-0.9432150459107369</v>
      </c>
    </row>
    <row r="75" spans="1:26" s="23" customFormat="1" hidden="1" outlineLevel="2" x14ac:dyDescent="0.25">
      <c r="A75" s="27"/>
      <c r="B75" s="10" t="str">
        <f>CONCATENATE("          ", "6234", " - ", "EXPENDABLE SUPPLIES &amp; EQUIPMEN")</f>
        <v xml:space="preserve">          6234 - EXPENDABLE SUPPLIES &amp; EQUIPMEN</v>
      </c>
      <c r="C75" s="10"/>
      <c r="D75" s="6"/>
      <c r="E75" s="2"/>
      <c r="F75" s="7">
        <f t="shared" si="48"/>
        <v>0</v>
      </c>
      <c r="G75" s="2"/>
      <c r="H75" s="6">
        <v>1550</v>
      </c>
      <c r="I75" s="2"/>
      <c r="J75" s="7">
        <f t="shared" si="49"/>
        <v>0</v>
      </c>
      <c r="K75" s="2"/>
      <c r="L75" s="6">
        <f t="shared" si="50"/>
        <v>-1550</v>
      </c>
      <c r="M75" s="2"/>
      <c r="N75" s="7">
        <f t="shared" si="51"/>
        <v>-1</v>
      </c>
      <c r="O75" s="10"/>
      <c r="P75" s="6"/>
      <c r="Q75" s="2"/>
      <c r="R75" s="7">
        <f t="shared" si="52"/>
        <v>0</v>
      </c>
      <c r="S75" s="2"/>
      <c r="T75" s="6">
        <v>2773.61</v>
      </c>
      <c r="U75" s="2"/>
      <c r="V75" s="7">
        <f t="shared" si="53"/>
        <v>0</v>
      </c>
      <c r="W75" s="2"/>
      <c r="X75" s="6">
        <f t="shared" si="54"/>
        <v>-2773.61</v>
      </c>
      <c r="Y75" s="2"/>
      <c r="Z75" s="7">
        <f t="shared" si="55"/>
        <v>-1</v>
      </c>
    </row>
    <row r="76" spans="1:26" s="23" customFormat="1" hidden="1" outlineLevel="2" x14ac:dyDescent="0.25">
      <c r="A76" s="27"/>
      <c r="B76" s="10" t="str">
        <f>CONCATENATE("          ", "6235", " - ", "COVID-19 EXPENSES")</f>
        <v xml:space="preserve">          6235 - COVID-19 EXPENSES</v>
      </c>
      <c r="C76" s="10"/>
      <c r="D76" s="6"/>
      <c r="E76" s="2"/>
      <c r="F76" s="7">
        <f t="shared" si="48"/>
        <v>0</v>
      </c>
      <c r="G76" s="2"/>
      <c r="H76" s="6">
        <v>4960</v>
      </c>
      <c r="I76" s="2"/>
      <c r="J76" s="7">
        <f t="shared" si="49"/>
        <v>0</v>
      </c>
      <c r="K76" s="2"/>
      <c r="L76" s="6">
        <f t="shared" si="50"/>
        <v>-4960</v>
      </c>
      <c r="M76" s="2"/>
      <c r="N76" s="7">
        <f t="shared" si="51"/>
        <v>-1</v>
      </c>
      <c r="O76" s="10"/>
      <c r="P76" s="6">
        <v>810.3</v>
      </c>
      <c r="Q76" s="2"/>
      <c r="R76" s="7">
        <f t="shared" si="52"/>
        <v>0</v>
      </c>
      <c r="S76" s="2"/>
      <c r="T76" s="6">
        <v>4960</v>
      </c>
      <c r="U76" s="2"/>
      <c r="V76" s="7">
        <f t="shared" si="53"/>
        <v>0</v>
      </c>
      <c r="W76" s="2"/>
      <c r="X76" s="6">
        <f t="shared" si="54"/>
        <v>-4149.7</v>
      </c>
      <c r="Y76" s="2"/>
      <c r="Z76" s="7">
        <f t="shared" si="55"/>
        <v>-0.83663306451612895</v>
      </c>
    </row>
    <row r="77" spans="1:26" s="23" customFormat="1" hidden="1" outlineLevel="2" x14ac:dyDescent="0.25">
      <c r="A77" s="27"/>
      <c r="B77" s="10" t="str">
        <f>CONCATENATE("          ", "6241", " - ", "OFFICE EXPENSE")</f>
        <v xml:space="preserve">          6241 - OFFICE EXPENSE</v>
      </c>
      <c r="C77" s="10"/>
      <c r="D77" s="6">
        <v>251.76</v>
      </c>
      <c r="E77" s="2"/>
      <c r="F77" s="7">
        <f t="shared" si="48"/>
        <v>0</v>
      </c>
      <c r="G77" s="2"/>
      <c r="H77" s="6">
        <v>1731.49</v>
      </c>
      <c r="I77" s="2"/>
      <c r="J77" s="7">
        <f t="shared" si="49"/>
        <v>0</v>
      </c>
      <c r="K77" s="2"/>
      <c r="L77" s="6">
        <f t="shared" si="50"/>
        <v>-1479.73</v>
      </c>
      <c r="M77" s="2"/>
      <c r="N77" s="7">
        <f t="shared" si="51"/>
        <v>-0.85459921801454242</v>
      </c>
      <c r="O77" s="10"/>
      <c r="P77" s="6">
        <v>2573.29</v>
      </c>
      <c r="Q77" s="2"/>
      <c r="R77" s="7">
        <f t="shared" si="52"/>
        <v>0</v>
      </c>
      <c r="S77" s="2"/>
      <c r="T77" s="6">
        <v>50494.87</v>
      </c>
      <c r="U77" s="2"/>
      <c r="V77" s="7">
        <f t="shared" si="53"/>
        <v>0</v>
      </c>
      <c r="W77" s="2"/>
      <c r="X77" s="6">
        <f t="shared" si="54"/>
        <v>-47921.58</v>
      </c>
      <c r="Y77" s="2"/>
      <c r="Z77" s="7">
        <f t="shared" si="55"/>
        <v>-0.94903858550383435</v>
      </c>
    </row>
    <row r="78" spans="1:26" s="23" customFormat="1" hidden="1" outlineLevel="2" x14ac:dyDescent="0.25">
      <c r="A78" s="27"/>
      <c r="B78" s="10" t="str">
        <f>CONCATENATE("          ", "6244", " - ", "SAFETY SUPPLY EXPENSE")</f>
        <v xml:space="preserve">          6244 - SAFETY SUPPLY EXPENSE</v>
      </c>
      <c r="C78" s="10"/>
      <c r="D78" s="6"/>
      <c r="E78" s="2"/>
      <c r="F78" s="7">
        <f t="shared" si="48"/>
        <v>0</v>
      </c>
      <c r="G78" s="2"/>
      <c r="H78" s="6">
        <v>-75.72</v>
      </c>
      <c r="I78" s="2"/>
      <c r="J78" s="7">
        <f t="shared" si="49"/>
        <v>0</v>
      </c>
      <c r="K78" s="2"/>
      <c r="L78" s="6">
        <f t="shared" si="50"/>
        <v>75.72</v>
      </c>
      <c r="M78" s="2"/>
      <c r="N78" s="7">
        <f t="shared" si="51"/>
        <v>-1</v>
      </c>
      <c r="O78" s="10"/>
      <c r="P78" s="6">
        <v>222.71</v>
      </c>
      <c r="Q78" s="2"/>
      <c r="R78" s="7">
        <f t="shared" si="52"/>
        <v>0</v>
      </c>
      <c r="S78" s="2"/>
      <c r="T78" s="6">
        <v>2034.69</v>
      </c>
      <c r="U78" s="2"/>
      <c r="V78" s="7">
        <f t="shared" si="53"/>
        <v>0</v>
      </c>
      <c r="W78" s="2"/>
      <c r="X78" s="6">
        <f t="shared" si="54"/>
        <v>-1811.98</v>
      </c>
      <c r="Y78" s="2"/>
      <c r="Z78" s="7">
        <f t="shared" si="55"/>
        <v>-0.89054352260049441</v>
      </c>
    </row>
    <row r="79" spans="1:26" s="23" customFormat="1" hidden="1" outlineLevel="2" x14ac:dyDescent="0.25">
      <c r="A79" s="27"/>
      <c r="B79" s="10" t="str">
        <f>CONCATENATE("          ", "6245", " - ", "PRINTING")</f>
        <v xml:space="preserve">          6245 - PRINTING</v>
      </c>
      <c r="C79" s="10"/>
      <c r="D79" s="6"/>
      <c r="E79" s="2"/>
      <c r="F79" s="7">
        <f t="shared" si="48"/>
        <v>0</v>
      </c>
      <c r="G79" s="2"/>
      <c r="H79" s="6"/>
      <c r="I79" s="2"/>
      <c r="J79" s="7">
        <f t="shared" si="49"/>
        <v>0</v>
      </c>
      <c r="K79" s="2"/>
      <c r="L79" s="6">
        <f t="shared" si="50"/>
        <v>0</v>
      </c>
      <c r="M79" s="2"/>
      <c r="N79" s="7">
        <f t="shared" si="51"/>
        <v>0</v>
      </c>
      <c r="O79" s="10"/>
      <c r="P79" s="6"/>
      <c r="Q79" s="2"/>
      <c r="R79" s="7">
        <f t="shared" si="52"/>
        <v>0</v>
      </c>
      <c r="S79" s="2"/>
      <c r="T79" s="6">
        <v>3244.85</v>
      </c>
      <c r="U79" s="2"/>
      <c r="V79" s="7">
        <f t="shared" si="53"/>
        <v>0</v>
      </c>
      <c r="W79" s="2"/>
      <c r="X79" s="6">
        <f t="shared" si="54"/>
        <v>-3244.85</v>
      </c>
      <c r="Y79" s="2"/>
      <c r="Z79" s="7">
        <f t="shared" si="55"/>
        <v>-1</v>
      </c>
    </row>
    <row r="80" spans="1:26" s="26" customFormat="1" outlineLevel="1" collapsed="1" x14ac:dyDescent="0.25">
      <c r="A80" s="25"/>
      <c r="B80" s="12" t="str">
        <f>CONCATENATE("     ","Telephone/Data Lines                              ")</f>
        <v xml:space="preserve">     Telephone/Data Lines                              </v>
      </c>
      <c r="C80" s="12"/>
      <c r="D80" s="1">
        <f>SUM(OSRRefD22_17x_0)</f>
        <v>1137.29</v>
      </c>
      <c r="E80" s="1"/>
      <c r="F80" s="5">
        <f t="shared" ref="F80:F82" si="56">IF(D$12=0,0,D80/D$12)</f>
        <v>0</v>
      </c>
      <c r="G80" s="1"/>
      <c r="H80" s="1">
        <f>SUM(OSRRefH22_17x_0)</f>
        <v>2690.38</v>
      </c>
      <c r="I80" s="1"/>
      <c r="J80" s="5">
        <f t="shared" ref="J80:J82" si="57">IF(H$12=0,0,H80/H$12)</f>
        <v>0</v>
      </c>
      <c r="K80" s="1"/>
      <c r="L80" s="1">
        <f t="shared" ref="L80:L82" si="58">+D80-H80</f>
        <v>-1553.0900000000001</v>
      </c>
      <c r="M80" s="1"/>
      <c r="N80" s="5">
        <f t="shared" ref="N80:N82" si="59">IF(H80=0,0,L80/H80)</f>
        <v>-0.57727532913566115</v>
      </c>
      <c r="O80" s="12"/>
      <c r="P80" s="1">
        <f>SUM(OSRRefP22_17x_0)</f>
        <v>20289.07</v>
      </c>
      <c r="Q80" s="1"/>
      <c r="R80" s="5">
        <f t="shared" ref="R80:R82" si="60">IF(P$12=0,0,P80/P$12)</f>
        <v>0</v>
      </c>
      <c r="S80" s="1"/>
      <c r="T80" s="1">
        <f>SUM(OSRRefT22_17x_0)</f>
        <v>25310.530000000002</v>
      </c>
      <c r="U80" s="1"/>
      <c r="V80" s="5">
        <f t="shared" ref="V80:V82" si="61">IF(T$12=0,0,T80/T$12)</f>
        <v>0</v>
      </c>
      <c r="W80" s="1"/>
      <c r="X80" s="1">
        <f t="shared" ref="X80:X82" si="62">+P80-T80</f>
        <v>-5021.4600000000028</v>
      </c>
      <c r="Y80" s="1"/>
      <c r="Z80" s="5">
        <f t="shared" ref="Z80:Z82" si="63">IF(T80=0,0,X80/T80)</f>
        <v>-0.19839410711668234</v>
      </c>
    </row>
    <row r="81" spans="1:26" s="23" customFormat="1" hidden="1" outlineLevel="2" x14ac:dyDescent="0.25">
      <c r="A81" s="27"/>
      <c r="B81" s="10" t="str">
        <f>CONCATENATE("          ", "6303", " - ", "DATA PHONE LINES")</f>
        <v xml:space="preserve">          6303 - DATA PHONE LINES</v>
      </c>
      <c r="C81" s="10"/>
      <c r="D81" s="6">
        <v>161.97999999999999</v>
      </c>
      <c r="E81" s="2"/>
      <c r="F81" s="7">
        <f t="shared" si="56"/>
        <v>0</v>
      </c>
      <c r="G81" s="2"/>
      <c r="H81" s="6">
        <v>273.95999999999998</v>
      </c>
      <c r="I81" s="2"/>
      <c r="J81" s="7">
        <f t="shared" si="57"/>
        <v>0</v>
      </c>
      <c r="K81" s="2"/>
      <c r="L81" s="6">
        <f t="shared" si="58"/>
        <v>-111.97999999999999</v>
      </c>
      <c r="M81" s="2"/>
      <c r="N81" s="7">
        <f t="shared" si="59"/>
        <v>-0.4087458023069061</v>
      </c>
      <c r="O81" s="10"/>
      <c r="P81" s="6">
        <v>1403.82</v>
      </c>
      <c r="Q81" s="2"/>
      <c r="R81" s="7">
        <f t="shared" si="60"/>
        <v>0</v>
      </c>
      <c r="S81" s="2"/>
      <c r="T81" s="6">
        <v>1601.99</v>
      </c>
      <c r="U81" s="2"/>
      <c r="V81" s="7">
        <f t="shared" si="61"/>
        <v>0</v>
      </c>
      <c r="W81" s="2"/>
      <c r="X81" s="6">
        <f t="shared" si="62"/>
        <v>-198.17000000000007</v>
      </c>
      <c r="Y81" s="2"/>
      <c r="Z81" s="7">
        <f t="shared" si="63"/>
        <v>-0.12370239514603716</v>
      </c>
    </row>
    <row r="82" spans="1:26" s="23" customFormat="1" hidden="1" outlineLevel="2" x14ac:dyDescent="0.25">
      <c r="A82" s="27"/>
      <c r="B82" s="10" t="str">
        <f>CONCATENATE("          ", "6309", " - ", "TELEPHONE")</f>
        <v xml:space="preserve">          6309 - TELEPHONE</v>
      </c>
      <c r="C82" s="10"/>
      <c r="D82" s="6">
        <v>975.31</v>
      </c>
      <c r="E82" s="2"/>
      <c r="F82" s="7">
        <f t="shared" si="56"/>
        <v>0</v>
      </c>
      <c r="G82" s="2"/>
      <c r="H82" s="6">
        <v>2416.42</v>
      </c>
      <c r="I82" s="2"/>
      <c r="J82" s="7">
        <f t="shared" si="57"/>
        <v>0</v>
      </c>
      <c r="K82" s="2"/>
      <c r="L82" s="6">
        <f t="shared" si="58"/>
        <v>-1441.1100000000001</v>
      </c>
      <c r="M82" s="2"/>
      <c r="N82" s="7">
        <f t="shared" si="59"/>
        <v>-0.59638225142980117</v>
      </c>
      <c r="O82" s="10"/>
      <c r="P82" s="6">
        <v>18885.25</v>
      </c>
      <c r="Q82" s="2"/>
      <c r="R82" s="7">
        <f t="shared" si="60"/>
        <v>0</v>
      </c>
      <c r="S82" s="2"/>
      <c r="T82" s="6">
        <v>23708.54</v>
      </c>
      <c r="U82" s="2"/>
      <c r="V82" s="7">
        <f t="shared" si="61"/>
        <v>0</v>
      </c>
      <c r="W82" s="2"/>
      <c r="X82" s="6">
        <f t="shared" si="62"/>
        <v>-4823.2900000000009</v>
      </c>
      <c r="Y82" s="2"/>
      <c r="Z82" s="7">
        <f t="shared" si="63"/>
        <v>-0.20344103854560427</v>
      </c>
    </row>
    <row r="83" spans="1:26" s="26" customFormat="1" outlineLevel="1" collapsed="1" x14ac:dyDescent="0.25">
      <c r="A83" s="25"/>
      <c r="B83" s="12" t="str">
        <f>CONCATENATE("     ","Training                                          ")</f>
        <v xml:space="preserve">     Training                                          </v>
      </c>
      <c r="C83" s="12"/>
      <c r="D83" s="1">
        <f>SUM(OSRRefD22_18x_0)</f>
        <v>3000</v>
      </c>
      <c r="E83" s="1"/>
      <c r="F83" s="5">
        <f t="shared" ref="F83:F87" si="64">IF(D$12=0,0,D83/D$12)</f>
        <v>0</v>
      </c>
      <c r="G83" s="1"/>
      <c r="H83" s="1">
        <f>SUM(OSRRefH22_18x_0)</f>
        <v>220.12</v>
      </c>
      <c r="I83" s="1"/>
      <c r="J83" s="5">
        <f t="shared" ref="J83:J87" si="65">IF(H$12=0,0,H83/H$12)</f>
        <v>0</v>
      </c>
      <c r="K83" s="1"/>
      <c r="L83" s="1">
        <f t="shared" ref="L83:L87" si="66">+D83-H83</f>
        <v>2779.88</v>
      </c>
      <c r="M83" s="1"/>
      <c r="N83" s="5">
        <f t="shared" ref="N83:N87" si="67">IF(H83=0,0,L83/H83)</f>
        <v>12.628929674722878</v>
      </c>
      <c r="O83" s="12"/>
      <c r="P83" s="1">
        <f>SUM(OSRRefP22_18x_0)</f>
        <v>5225.5</v>
      </c>
      <c r="Q83" s="1"/>
      <c r="R83" s="5">
        <f t="shared" ref="R83:R87" si="68">IF(P$12=0,0,P83/P$12)</f>
        <v>0</v>
      </c>
      <c r="S83" s="1"/>
      <c r="T83" s="1">
        <f>SUM(OSRRefT22_18x_0)</f>
        <v>22090.54</v>
      </c>
      <c r="U83" s="1"/>
      <c r="V83" s="5">
        <f t="shared" ref="V83:V87" si="69">IF(T$12=0,0,T83/T$12)</f>
        <v>0</v>
      </c>
      <c r="W83" s="1"/>
      <c r="X83" s="1">
        <f t="shared" ref="X83:X87" si="70">+P83-T83</f>
        <v>-16865.04</v>
      </c>
      <c r="Y83" s="1"/>
      <c r="Z83" s="5">
        <f t="shared" ref="Z83:Z87" si="71">IF(T83=0,0,X83/T83)</f>
        <v>-0.76345078028875712</v>
      </c>
    </row>
    <row r="84" spans="1:26" s="23" customFormat="1" hidden="1" outlineLevel="2" x14ac:dyDescent="0.25">
      <c r="A84" s="27"/>
      <c r="B84" s="10" t="str">
        <f>CONCATENATE("          ", "6376", " - ", "TRAINING")</f>
        <v xml:space="preserve">          6376 - TRAINING</v>
      </c>
      <c r="C84" s="10"/>
      <c r="D84" s="6">
        <v>3000</v>
      </c>
      <c r="E84" s="2"/>
      <c r="F84" s="7">
        <f t="shared" si="64"/>
        <v>0</v>
      </c>
      <c r="G84" s="2"/>
      <c r="H84" s="6">
        <v>220.12</v>
      </c>
      <c r="I84" s="2"/>
      <c r="J84" s="7">
        <f t="shared" si="65"/>
        <v>0</v>
      </c>
      <c r="K84" s="2"/>
      <c r="L84" s="6">
        <f t="shared" si="66"/>
        <v>2779.88</v>
      </c>
      <c r="M84" s="2"/>
      <c r="N84" s="7">
        <f t="shared" si="67"/>
        <v>12.628929674722878</v>
      </c>
      <c r="O84" s="10"/>
      <c r="P84" s="6">
        <v>5225.5</v>
      </c>
      <c r="Q84" s="2"/>
      <c r="R84" s="7">
        <f t="shared" si="68"/>
        <v>0</v>
      </c>
      <c r="S84" s="2"/>
      <c r="T84" s="6">
        <v>22090.54</v>
      </c>
      <c r="U84" s="2"/>
      <c r="V84" s="7">
        <f t="shared" si="69"/>
        <v>0</v>
      </c>
      <c r="W84" s="2"/>
      <c r="X84" s="6">
        <f t="shared" si="70"/>
        <v>-16865.04</v>
      </c>
      <c r="Y84" s="2"/>
      <c r="Z84" s="7">
        <f t="shared" si="71"/>
        <v>-0.76345078028875712</v>
      </c>
    </row>
    <row r="85" spans="1:26" s="26" customFormat="1" outlineLevel="1" collapsed="1" x14ac:dyDescent="0.25">
      <c r="A85" s="25"/>
      <c r="B85" s="12" t="str">
        <f>CONCATENATE("     ","Travel                                            ")</f>
        <v xml:space="preserve">     Travel                                            </v>
      </c>
      <c r="C85" s="12"/>
      <c r="D85" s="1">
        <f>SUM(OSRRefD22_19x_0)</f>
        <v>13.3</v>
      </c>
      <c r="E85" s="1"/>
      <c r="F85" s="5">
        <f t="shared" si="64"/>
        <v>0</v>
      </c>
      <c r="G85" s="1"/>
      <c r="H85" s="1">
        <f>SUM(OSRRefH22_19x_0)</f>
        <v>0</v>
      </c>
      <c r="I85" s="1"/>
      <c r="J85" s="5">
        <f t="shared" si="65"/>
        <v>0</v>
      </c>
      <c r="K85" s="1"/>
      <c r="L85" s="1">
        <f t="shared" si="66"/>
        <v>13.3</v>
      </c>
      <c r="M85" s="1"/>
      <c r="N85" s="5">
        <f t="shared" si="67"/>
        <v>0</v>
      </c>
      <c r="O85" s="12"/>
      <c r="P85" s="1">
        <f>SUM(OSRRefP22_19x_0)</f>
        <v>808.72</v>
      </c>
      <c r="Q85" s="1"/>
      <c r="R85" s="5">
        <f t="shared" si="68"/>
        <v>0</v>
      </c>
      <c r="S85" s="1"/>
      <c r="T85" s="1">
        <f>SUM(OSRRefT22_19x_0)</f>
        <v>12860.449999999999</v>
      </c>
      <c r="U85" s="1"/>
      <c r="V85" s="5">
        <f t="shared" si="69"/>
        <v>0</v>
      </c>
      <c r="W85" s="1"/>
      <c r="X85" s="1">
        <f t="shared" si="70"/>
        <v>-12051.73</v>
      </c>
      <c r="Y85" s="1"/>
      <c r="Z85" s="5">
        <f t="shared" si="71"/>
        <v>-0.93711573078702537</v>
      </c>
    </row>
    <row r="86" spans="1:26" s="23" customFormat="1" hidden="1" outlineLevel="2" x14ac:dyDescent="0.25">
      <c r="A86" s="27"/>
      <c r="B86" s="10" t="str">
        <f>CONCATENATE("          ", "6292", " - ", "TRAVEL/CONFERENCE")</f>
        <v xml:space="preserve">          6292 - TRAVEL/CONFERENCE</v>
      </c>
      <c r="C86" s="10"/>
      <c r="D86" s="6"/>
      <c r="E86" s="2"/>
      <c r="F86" s="7">
        <f t="shared" si="64"/>
        <v>0</v>
      </c>
      <c r="G86" s="2"/>
      <c r="H86" s="6"/>
      <c r="I86" s="2"/>
      <c r="J86" s="7">
        <f t="shared" si="65"/>
        <v>0</v>
      </c>
      <c r="K86" s="2"/>
      <c r="L86" s="6">
        <f t="shared" si="66"/>
        <v>0</v>
      </c>
      <c r="M86" s="2"/>
      <c r="N86" s="7">
        <f t="shared" si="67"/>
        <v>0</v>
      </c>
      <c r="O86" s="10"/>
      <c r="P86" s="6">
        <v>720</v>
      </c>
      <c r="Q86" s="2"/>
      <c r="R86" s="7">
        <f t="shared" si="68"/>
        <v>0</v>
      </c>
      <c r="S86" s="2"/>
      <c r="T86" s="6">
        <v>12836.55</v>
      </c>
      <c r="U86" s="2"/>
      <c r="V86" s="7">
        <f t="shared" si="69"/>
        <v>0</v>
      </c>
      <c r="W86" s="2"/>
      <c r="X86" s="6">
        <f t="shared" si="70"/>
        <v>-12116.55</v>
      </c>
      <c r="Y86" s="2"/>
      <c r="Z86" s="7">
        <f t="shared" si="71"/>
        <v>-0.94391016277738182</v>
      </c>
    </row>
    <row r="87" spans="1:26" s="23" customFormat="1" hidden="1" outlineLevel="2" x14ac:dyDescent="0.25">
      <c r="A87" s="27"/>
      <c r="B87" s="10" t="str">
        <f>CONCATENATE("          ", "6294", " - ", "TRAVEL OPERATIONAL")</f>
        <v xml:space="preserve">          6294 - TRAVEL OPERATIONAL</v>
      </c>
      <c r="C87" s="10"/>
      <c r="D87" s="6">
        <v>13.3</v>
      </c>
      <c r="E87" s="2"/>
      <c r="F87" s="7">
        <f t="shared" si="64"/>
        <v>0</v>
      </c>
      <c r="G87" s="2"/>
      <c r="H87" s="6"/>
      <c r="I87" s="2"/>
      <c r="J87" s="7">
        <f t="shared" si="65"/>
        <v>0</v>
      </c>
      <c r="K87" s="2"/>
      <c r="L87" s="6">
        <f t="shared" si="66"/>
        <v>13.3</v>
      </c>
      <c r="M87" s="2"/>
      <c r="N87" s="7">
        <f t="shared" si="67"/>
        <v>0</v>
      </c>
      <c r="O87" s="10"/>
      <c r="P87" s="6">
        <v>88.72</v>
      </c>
      <c r="Q87" s="2"/>
      <c r="R87" s="7">
        <f t="shared" si="68"/>
        <v>0</v>
      </c>
      <c r="S87" s="2"/>
      <c r="T87" s="6">
        <v>23.9</v>
      </c>
      <c r="U87" s="2"/>
      <c r="V87" s="7">
        <f t="shared" si="69"/>
        <v>0</v>
      </c>
      <c r="W87" s="2"/>
      <c r="X87" s="6">
        <f t="shared" si="70"/>
        <v>64.819999999999993</v>
      </c>
      <c r="Y87" s="2"/>
      <c r="Z87" s="7">
        <f t="shared" si="71"/>
        <v>2.712133891213389</v>
      </c>
    </row>
    <row r="88" spans="1:26" s="62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4" customFormat="1" x14ac:dyDescent="0.25">
      <c r="A89" s="11"/>
      <c r="B89" s="28" t="s">
        <v>292</v>
      </c>
      <c r="C89" s="11"/>
      <c r="D89" s="4">
        <f>SUM(0)</f>
        <v>0</v>
      </c>
      <c r="E89" s="4"/>
      <c r="F89" s="13">
        <f>IF(D$12=0,0,D89/D$12)</f>
        <v>0</v>
      </c>
      <c r="G89" s="4"/>
      <c r="H89" s="4">
        <f>SUM(0)</f>
        <v>0</v>
      </c>
      <c r="I89" s="4"/>
      <c r="J89" s="13">
        <f>IF(H$12=0,0,H89/H$12)</f>
        <v>0</v>
      </c>
      <c r="K89" s="4"/>
      <c r="L89" s="4">
        <f>+D89-H89</f>
        <v>0</v>
      </c>
      <c r="M89" s="4"/>
      <c r="N89" s="13">
        <f>IF(H89=0,0,L89/H89)</f>
        <v>0</v>
      </c>
      <c r="O89" s="11"/>
      <c r="P89" s="4">
        <f>SUM(0)</f>
        <v>0</v>
      </c>
      <c r="Q89" s="4"/>
      <c r="R89" s="13">
        <f>IF(P$12=0,0,P89/P$12)</f>
        <v>0</v>
      </c>
      <c r="S89" s="4"/>
      <c r="T89" s="4">
        <f>SUM(0)</f>
        <v>0</v>
      </c>
      <c r="U89" s="4"/>
      <c r="V89" s="13">
        <f>IF(T$12=0,0,T89/T$12)</f>
        <v>0</v>
      </c>
      <c r="W89" s="4"/>
      <c r="X89" s="4">
        <f>+P89-T89</f>
        <v>0</v>
      </c>
      <c r="Y89" s="4"/>
      <c r="Z89" s="13">
        <f>IF(T89=0,0,X89/T89)</f>
        <v>0</v>
      </c>
    </row>
    <row r="90" spans="1:26" x14ac:dyDescent="0.25">
      <c r="A90" s="9"/>
      <c r="B90" s="11"/>
      <c r="C90" s="11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1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4" customFormat="1" x14ac:dyDescent="0.25">
      <c r="A91" s="11"/>
      <c r="B91" s="29" t="s">
        <v>276</v>
      </c>
      <c r="C91" s="29"/>
      <c r="D91" s="20">
        <f>+D16-D18+D89</f>
        <v>-242086.47999999998</v>
      </c>
      <c r="E91" s="14"/>
      <c r="F91" s="22">
        <f>IF(D$12=0,0,D91/D$12)</f>
        <v>0</v>
      </c>
      <c r="G91" s="14"/>
      <c r="H91" s="20">
        <f>+H16-H18+H89</f>
        <v>-229399.66</v>
      </c>
      <c r="I91" s="14"/>
      <c r="J91" s="22">
        <f>IF(H$12=0,0,H91/H$12)</f>
        <v>0</v>
      </c>
      <c r="K91" s="16"/>
      <c r="L91" s="20">
        <f>+D91-H91</f>
        <v>-12686.819999999978</v>
      </c>
      <c r="M91" s="16"/>
      <c r="N91" s="22">
        <f>IF(H91=0,0,L91/H91)</f>
        <v>5.5304441166128919E-2</v>
      </c>
      <c r="O91" s="28"/>
      <c r="P91" s="20">
        <f>+P16-P18+P89</f>
        <v>-1883636.8299999998</v>
      </c>
      <c r="Q91" s="14"/>
      <c r="R91" s="22">
        <f>IF(P$12=0,0,P91/P$12)</f>
        <v>0</v>
      </c>
      <c r="S91" s="14"/>
      <c r="T91" s="20">
        <f>+T16-T18+T89</f>
        <v>-3127384.56</v>
      </c>
      <c r="U91" s="14"/>
      <c r="V91" s="22">
        <f>IF(T$12=0,0,T91/T$12)</f>
        <v>0</v>
      </c>
      <c r="W91" s="16"/>
      <c r="X91" s="20">
        <f>+P91-T91</f>
        <v>1243747.7300000002</v>
      </c>
      <c r="Y91" s="16"/>
      <c r="Z91" s="22">
        <f>IF(T91=0,0,X91/T91)</f>
        <v>-0.39769580815478611</v>
      </c>
    </row>
    <row r="92" spans="1:26" x14ac:dyDescent="0.25">
      <c r="A92" s="9"/>
      <c r="B92" s="11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4" customFormat="1" x14ac:dyDescent="0.25">
      <c r="A93" s="51"/>
      <c r="B93" s="11" t="s">
        <v>127</v>
      </c>
      <c r="C93" s="11"/>
      <c r="D93" s="4"/>
      <c r="E93" s="4"/>
      <c r="F93" s="13">
        <f>IF(D$12=0,0,D93/D$12)</f>
        <v>0</v>
      </c>
      <c r="G93" s="4"/>
      <c r="H93" s="4"/>
      <c r="I93" s="4"/>
      <c r="J93" s="13">
        <f>IF(H$12=0,0,H93/H$12)</f>
        <v>0</v>
      </c>
      <c r="K93" s="4"/>
      <c r="L93" s="4">
        <f>+D93-H93</f>
        <v>0</v>
      </c>
      <c r="M93" s="4"/>
      <c r="N93" s="13">
        <f>IF(H93=0,0,L93/H93)</f>
        <v>0</v>
      </c>
      <c r="O93" s="11"/>
      <c r="P93" s="4"/>
      <c r="Q93" s="4"/>
      <c r="R93" s="13">
        <f>IF(P$12=0,0,P93/P$12)</f>
        <v>0</v>
      </c>
      <c r="S93" s="4"/>
      <c r="T93" s="4"/>
      <c r="U93" s="4"/>
      <c r="V93" s="13">
        <f>IF(T$12=0,0,T93/T$12)</f>
        <v>0</v>
      </c>
      <c r="W93" s="4"/>
      <c r="X93" s="4">
        <f>+P93-T93</f>
        <v>0</v>
      </c>
      <c r="Y93" s="4"/>
      <c r="Z93" s="13">
        <f>IF(T93=0,0,X93/T93)</f>
        <v>0</v>
      </c>
    </row>
    <row r="94" spans="1:26" x14ac:dyDescent="0.25">
      <c r="A94" s="9"/>
      <c r="B94" s="11"/>
      <c r="C94" s="11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1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4" customFormat="1" ht="15.75" thickBot="1" x14ac:dyDescent="0.3">
      <c r="A95" s="11"/>
      <c r="B95" s="29" t="s">
        <v>125</v>
      </c>
      <c r="C95" s="29"/>
      <c r="D95" s="30">
        <f>+D91-D93</f>
        <v>-242086.47999999998</v>
      </c>
      <c r="E95" s="14"/>
      <c r="F95" s="34">
        <f>IF(D$12=0,0,D95/D$12)</f>
        <v>0</v>
      </c>
      <c r="G95" s="14"/>
      <c r="H95" s="30">
        <f>+H91-H93</f>
        <v>-229399.66</v>
      </c>
      <c r="I95" s="14"/>
      <c r="J95" s="34">
        <f>IF(H$12=0,0,H95/H$12)</f>
        <v>0</v>
      </c>
      <c r="K95" s="16"/>
      <c r="L95" s="30">
        <f>D95-H95</f>
        <v>-12686.819999999978</v>
      </c>
      <c r="M95" s="16"/>
      <c r="N95" s="34">
        <f>IF(H95=0,0,L95/H95)</f>
        <v>5.5304441166128919E-2</v>
      </c>
      <c r="O95" s="28"/>
      <c r="P95" s="30">
        <f>+P91-P93</f>
        <v>-1883636.8299999998</v>
      </c>
      <c r="Q95" s="14"/>
      <c r="R95" s="34">
        <f>IF(P$12=0,0,P95/P$12)</f>
        <v>0</v>
      </c>
      <c r="S95" s="14"/>
      <c r="T95" s="30">
        <f>+T91-T93</f>
        <v>-3127384.56</v>
      </c>
      <c r="U95" s="14"/>
      <c r="V95" s="34">
        <f>IF(T$12=0,0,T95/T$12)</f>
        <v>0</v>
      </c>
      <c r="W95" s="16"/>
      <c r="X95" s="30">
        <f>P95-T95</f>
        <v>1243747.7300000002</v>
      </c>
      <c r="Y95" s="16"/>
      <c r="Z95" s="34">
        <f>IF(T95=0,0,X95/T95)</f>
        <v>-0.39769580815478611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4" customFormat="1" ht="15.75" thickBot="1" x14ac:dyDescent="0.3">
      <c r="A98" s="11"/>
      <c r="B98" s="29" t="s">
        <v>293</v>
      </c>
      <c r="C98" s="29"/>
      <c r="D98" s="32">
        <f>SUM(D95:D97)</f>
        <v>-242086.47999999998</v>
      </c>
      <c r="E98" s="14"/>
      <c r="F98" s="35">
        <f>IF(D$12=0,0,D98/D$12)</f>
        <v>0</v>
      </c>
      <c r="G98" s="14"/>
      <c r="H98" s="32">
        <f>SUM(H95:H97)</f>
        <v>-229399.66</v>
      </c>
      <c r="I98" s="14"/>
      <c r="J98" s="35">
        <f>IF(H$12=0,0,H98/H$12)</f>
        <v>0</v>
      </c>
      <c r="K98" s="16"/>
      <c r="L98" s="32">
        <f>+D98-H98</f>
        <v>-12686.819999999978</v>
      </c>
      <c r="M98" s="16"/>
      <c r="N98" s="35">
        <f>IF(H98=0,0,L98/H98)</f>
        <v>5.5304441166128919E-2</v>
      </c>
      <c r="O98" s="28"/>
      <c r="P98" s="32">
        <f>SUM(P95:P97)</f>
        <v>-1883636.8299999998</v>
      </c>
      <c r="Q98" s="14"/>
      <c r="R98" s="35">
        <f>IF(P$12=0,0,P98/P$12)</f>
        <v>0</v>
      </c>
      <c r="S98" s="14"/>
      <c r="T98" s="32">
        <f>SUM(T95:T97)</f>
        <v>-3127384.56</v>
      </c>
      <c r="U98" s="14"/>
      <c r="V98" s="35">
        <f>IF(T$12=0,0,T98/T$12)</f>
        <v>0</v>
      </c>
      <c r="W98" s="16"/>
      <c r="X98" s="32">
        <f>+P98-T98</f>
        <v>1243747.7300000002</v>
      </c>
      <c r="Y98" s="16"/>
      <c r="Z98" s="35">
        <f>IF(T98=0,0,X98/T98)</f>
        <v>-0.39769580815478611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25">
      <c r="A100" s="9"/>
      <c r="B100" s="59">
        <v>44330.008783101854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52" t="s">
        <v>56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5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","200", " - ", "Corporate Expense")</f>
        <v>Department 200 - Corporate Expense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43971.69</v>
      </c>
      <c r="E18" s="21"/>
      <c r="F18" s="31">
        <f t="shared" ref="F18:F29" si="0">IF(D$12=0,0,D18/D$12)</f>
        <v>0</v>
      </c>
      <c r="G18" s="21"/>
      <c r="H18" s="21">
        <f>SUM(OSRRefH22x_0)</f>
        <v>48207.12</v>
      </c>
      <c r="I18" s="21"/>
      <c r="J18" s="31">
        <f t="shared" ref="J18:J29" si="1">IF(H$12=0,0,H18/H$12)</f>
        <v>0</v>
      </c>
      <c r="K18" s="4"/>
      <c r="L18" s="21">
        <f t="shared" ref="L18:L29" si="2">+D18-H18</f>
        <v>-4235.43</v>
      </c>
      <c r="M18" s="4"/>
      <c r="N18" s="31">
        <f t="shared" ref="N18:N29" si="3">IF(H18=0,0,L18/H18)</f>
        <v>-8.7859013357362986E-2</v>
      </c>
      <c r="O18" s="11"/>
      <c r="P18" s="21">
        <f>SUM(OSRRefP22x_0)</f>
        <v>-38105.579999999987</v>
      </c>
      <c r="Q18" s="21"/>
      <c r="R18" s="31">
        <f t="shared" ref="R18:R29" si="4">IF(P$12=0,0,P18/P$12)</f>
        <v>0</v>
      </c>
      <c r="S18" s="21"/>
      <c r="T18" s="21">
        <f>SUM(OSRRefT22x_0)</f>
        <v>545724.6100000001</v>
      </c>
      <c r="U18" s="21"/>
      <c r="V18" s="31">
        <f t="shared" ref="V18:V29" si="5">IF(T$12=0,0,T18/T$12)</f>
        <v>0</v>
      </c>
      <c r="W18" s="4"/>
      <c r="X18" s="21">
        <f t="shared" ref="X18:X29" si="6">+P18-T18</f>
        <v>-583830.19000000006</v>
      </c>
      <c r="Y18" s="4"/>
      <c r="Z18" s="31">
        <f t="shared" ref="Z18:Z29" si="7">IF(T18=0,0,X18/T18)</f>
        <v>-1.069825658036569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28198.66</v>
      </c>
      <c r="E19" s="1"/>
      <c r="F19" s="5">
        <f t="shared" si="0"/>
        <v>0</v>
      </c>
      <c r="G19" s="1"/>
      <c r="H19" s="1">
        <f>SUM(OSRRefH22_0x_0)</f>
        <v>22595.15</v>
      </c>
      <c r="I19" s="1"/>
      <c r="J19" s="5">
        <f t="shared" si="1"/>
        <v>0</v>
      </c>
      <c r="K19" s="1"/>
      <c r="L19" s="1">
        <f t="shared" si="2"/>
        <v>5603.5099999999984</v>
      </c>
      <c r="M19" s="1"/>
      <c r="N19" s="5">
        <f t="shared" si="3"/>
        <v>0.24799614076472154</v>
      </c>
      <c r="O19" s="12"/>
      <c r="P19" s="1">
        <f>SUM(OSRRefP22_0x_0)</f>
        <v>-104818.56</v>
      </c>
      <c r="Q19" s="1"/>
      <c r="R19" s="5">
        <f t="shared" si="4"/>
        <v>0</v>
      </c>
      <c r="S19" s="1"/>
      <c r="T19" s="1">
        <f>SUM(OSRRefT22_0x_0)</f>
        <v>287658.14</v>
      </c>
      <c r="U19" s="1"/>
      <c r="V19" s="5">
        <f t="shared" si="5"/>
        <v>0</v>
      </c>
      <c r="W19" s="1"/>
      <c r="X19" s="1">
        <f t="shared" si="6"/>
        <v>-392476.7</v>
      </c>
      <c r="Y19" s="1"/>
      <c r="Z19" s="5">
        <f t="shared" si="7"/>
        <v>-1.3643858644153091</v>
      </c>
    </row>
    <row r="20" spans="1:26" s="23" customFormat="1" hidden="1" outlineLevel="2" x14ac:dyDescent="0.25">
      <c r="A20" s="27"/>
      <c r="B20" s="10" t="str">
        <f>CONCATENATE("          ", "6120", " - ", "RETIREES HEALTH INSURANCE")</f>
        <v xml:space="preserve">          6120 - RETIREES HEALTH INSURANCE</v>
      </c>
      <c r="C20" s="10"/>
      <c r="D20" s="6">
        <v>28198.66</v>
      </c>
      <c r="E20" s="2"/>
      <c r="F20" s="7">
        <f t="shared" si="0"/>
        <v>0</v>
      </c>
      <c r="G20" s="2"/>
      <c r="H20" s="6">
        <v>22595.15</v>
      </c>
      <c r="I20" s="2"/>
      <c r="J20" s="7">
        <f t="shared" si="1"/>
        <v>0</v>
      </c>
      <c r="K20" s="2"/>
      <c r="L20" s="6">
        <f t="shared" si="2"/>
        <v>5603.5099999999984</v>
      </c>
      <c r="M20" s="2"/>
      <c r="N20" s="7">
        <f t="shared" si="3"/>
        <v>0.24799614076472154</v>
      </c>
      <c r="O20" s="10"/>
      <c r="P20" s="6">
        <v>-104818.56</v>
      </c>
      <c r="Q20" s="2"/>
      <c r="R20" s="7">
        <f t="shared" si="4"/>
        <v>0</v>
      </c>
      <c r="S20" s="2"/>
      <c r="T20" s="6">
        <v>287658.14</v>
      </c>
      <c r="U20" s="2"/>
      <c r="V20" s="7">
        <f t="shared" si="5"/>
        <v>0</v>
      </c>
      <c r="W20" s="2"/>
      <c r="X20" s="6">
        <f t="shared" si="6"/>
        <v>-392476.7</v>
      </c>
      <c r="Y20" s="2"/>
      <c r="Z20" s="7">
        <f t="shared" si="7"/>
        <v>-1.3643858644153091</v>
      </c>
    </row>
    <row r="21" spans="1:26" s="26" customFormat="1" outlineLevel="1" collapsed="1" x14ac:dyDescent="0.25">
      <c r="A21" s="25"/>
      <c r="B21" s="12" t="str">
        <f>CONCATENATE("     ","Bank/card Fees                                    ")</f>
        <v xml:space="preserve">     Bank/card Fees                                    </v>
      </c>
      <c r="C21" s="12"/>
      <c r="D21" s="1">
        <f>SUM(OSRRefD22_1x_0)</f>
        <v>1863.53</v>
      </c>
      <c r="E21" s="1"/>
      <c r="F21" s="5">
        <f t="shared" si="0"/>
        <v>0</v>
      </c>
      <c r="G21" s="1"/>
      <c r="H21" s="1">
        <f>SUM(OSRRefH22_1x_0)</f>
        <v>12884.97</v>
      </c>
      <c r="I21" s="1"/>
      <c r="J21" s="5">
        <f t="shared" si="1"/>
        <v>0</v>
      </c>
      <c r="K21" s="1"/>
      <c r="L21" s="1">
        <f t="shared" si="2"/>
        <v>-11021.439999999999</v>
      </c>
      <c r="M21" s="1"/>
      <c r="N21" s="5">
        <f t="shared" si="3"/>
        <v>-0.85537180140892832</v>
      </c>
      <c r="O21" s="12"/>
      <c r="P21" s="1">
        <f>SUM(OSRRefP22_1x_0)</f>
        <v>6989.07</v>
      </c>
      <c r="Q21" s="1"/>
      <c r="R21" s="5">
        <f t="shared" si="4"/>
        <v>0</v>
      </c>
      <c r="S21" s="1"/>
      <c r="T21" s="1">
        <f>SUM(OSRRefT22_1x_0)</f>
        <v>53960.33</v>
      </c>
      <c r="U21" s="1"/>
      <c r="V21" s="5">
        <f t="shared" si="5"/>
        <v>0</v>
      </c>
      <c r="W21" s="1"/>
      <c r="X21" s="1">
        <f t="shared" si="6"/>
        <v>-46971.26</v>
      </c>
      <c r="Y21" s="1"/>
      <c r="Z21" s="5">
        <f t="shared" si="7"/>
        <v>-0.87047762680472862</v>
      </c>
    </row>
    <row r="22" spans="1:26" s="23" customFormat="1" hidden="1" outlineLevel="2" x14ac:dyDescent="0.25">
      <c r="A22" s="27"/>
      <c r="B22" s="10" t="str">
        <f>CONCATENATE("          ", "6381", " - ", "BANK/CREDIT CARD FEES")</f>
        <v xml:space="preserve">          6381 - BANK/CREDIT CARD FEES</v>
      </c>
      <c r="C22" s="10"/>
      <c r="D22" s="6">
        <v>1863.53</v>
      </c>
      <c r="E22" s="2"/>
      <c r="F22" s="7">
        <f t="shared" si="0"/>
        <v>0</v>
      </c>
      <c r="G22" s="2"/>
      <c r="H22" s="6">
        <v>12884.97</v>
      </c>
      <c r="I22" s="2"/>
      <c r="J22" s="7">
        <f t="shared" si="1"/>
        <v>0</v>
      </c>
      <c r="K22" s="2"/>
      <c r="L22" s="6">
        <f t="shared" si="2"/>
        <v>-11021.439999999999</v>
      </c>
      <c r="M22" s="2"/>
      <c r="N22" s="7">
        <f t="shared" si="3"/>
        <v>-0.85537180140892832</v>
      </c>
      <c r="O22" s="10"/>
      <c r="P22" s="6">
        <v>6989.07</v>
      </c>
      <c r="Q22" s="2"/>
      <c r="R22" s="7">
        <f t="shared" si="4"/>
        <v>0</v>
      </c>
      <c r="S22" s="2"/>
      <c r="T22" s="6">
        <v>53960.33</v>
      </c>
      <c r="U22" s="2"/>
      <c r="V22" s="7">
        <f t="shared" si="5"/>
        <v>0</v>
      </c>
      <c r="W22" s="2"/>
      <c r="X22" s="6">
        <f t="shared" si="6"/>
        <v>-46971.26</v>
      </c>
      <c r="Y22" s="2"/>
      <c r="Z22" s="7">
        <f t="shared" si="7"/>
        <v>-0.87047762680472862</v>
      </c>
    </row>
    <row r="23" spans="1:26" s="26" customFormat="1" outlineLevel="1" collapsed="1" x14ac:dyDescent="0.25">
      <c r="A23" s="25"/>
      <c r="B23" s="12" t="str">
        <f>CONCATENATE("     ","Board                                             ")</f>
        <v xml:space="preserve">     Board                                             </v>
      </c>
      <c r="C23" s="12"/>
      <c r="D23" s="1">
        <f>SUM(OSRRefD22_2x_0)</f>
        <v>2323.75</v>
      </c>
      <c r="E23" s="1"/>
      <c r="F23" s="5">
        <f t="shared" si="0"/>
        <v>0</v>
      </c>
      <c r="G23" s="1"/>
      <c r="H23" s="1">
        <f>SUM(OSRRefH22_2x_0)</f>
        <v>1240</v>
      </c>
      <c r="I23" s="1"/>
      <c r="J23" s="5">
        <f t="shared" si="1"/>
        <v>0</v>
      </c>
      <c r="K23" s="1"/>
      <c r="L23" s="1">
        <f t="shared" si="2"/>
        <v>1083.75</v>
      </c>
      <c r="M23" s="1"/>
      <c r="N23" s="5">
        <f t="shared" si="3"/>
        <v>0.873991935483871</v>
      </c>
      <c r="O23" s="12"/>
      <c r="P23" s="1">
        <f>SUM(OSRRefP22_2x_0)</f>
        <v>13155.91</v>
      </c>
      <c r="Q23" s="1"/>
      <c r="R23" s="5">
        <f t="shared" si="4"/>
        <v>0</v>
      </c>
      <c r="S23" s="1"/>
      <c r="T23" s="1">
        <f>SUM(OSRRefT22_2x_0)</f>
        <v>39742.71</v>
      </c>
      <c r="U23" s="1"/>
      <c r="V23" s="5">
        <f t="shared" si="5"/>
        <v>0</v>
      </c>
      <c r="W23" s="1"/>
      <c r="X23" s="1">
        <f t="shared" si="6"/>
        <v>-26586.799999999999</v>
      </c>
      <c r="Y23" s="1"/>
      <c r="Z23" s="5">
        <f t="shared" si="7"/>
        <v>-0.66897300158947393</v>
      </c>
    </row>
    <row r="24" spans="1:26" s="23" customFormat="1" hidden="1" outlineLevel="2" x14ac:dyDescent="0.25">
      <c r="A24" s="27"/>
      <c r="B24" s="10" t="str">
        <f>CONCATENATE("          ", "6397", " - ", "BOARD EXPENSES")</f>
        <v xml:space="preserve">          6397 - BOARD EXPENSES</v>
      </c>
      <c r="C24" s="10"/>
      <c r="D24" s="6">
        <v>2323.75</v>
      </c>
      <c r="E24" s="2"/>
      <c r="F24" s="7">
        <f t="shared" si="0"/>
        <v>0</v>
      </c>
      <c r="G24" s="2"/>
      <c r="H24" s="6">
        <v>1240</v>
      </c>
      <c r="I24" s="2"/>
      <c r="J24" s="7">
        <f t="shared" si="1"/>
        <v>0</v>
      </c>
      <c r="K24" s="2"/>
      <c r="L24" s="6">
        <f t="shared" si="2"/>
        <v>1083.75</v>
      </c>
      <c r="M24" s="2"/>
      <c r="N24" s="7">
        <f t="shared" si="3"/>
        <v>0.873991935483871</v>
      </c>
      <c r="O24" s="10"/>
      <c r="P24" s="6">
        <v>13155.91</v>
      </c>
      <c r="Q24" s="2"/>
      <c r="R24" s="7">
        <f t="shared" si="4"/>
        <v>0</v>
      </c>
      <c r="S24" s="2"/>
      <c r="T24" s="6">
        <v>39742.71</v>
      </c>
      <c r="U24" s="2"/>
      <c r="V24" s="7">
        <f t="shared" si="5"/>
        <v>0</v>
      </c>
      <c r="W24" s="2"/>
      <c r="X24" s="6">
        <f t="shared" si="6"/>
        <v>-26586.799999999999</v>
      </c>
      <c r="Y24" s="2"/>
      <c r="Z24" s="7">
        <f t="shared" si="7"/>
        <v>-0.66897300158947393</v>
      </c>
    </row>
    <row r="25" spans="1:26" s="26" customFormat="1" outlineLevel="1" collapsed="1" x14ac:dyDescent="0.25">
      <c r="A25" s="25"/>
      <c r="B25" s="12" t="str">
        <f>CONCATENATE("     ","Donations                                         ")</f>
        <v xml:space="preserve">     Donations                                         </v>
      </c>
      <c r="C25" s="12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2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103128.19</v>
      </c>
      <c r="U25" s="1"/>
      <c r="V25" s="5">
        <f t="shared" si="5"/>
        <v>0</v>
      </c>
      <c r="W25" s="1"/>
      <c r="X25" s="1">
        <f t="shared" si="6"/>
        <v>-103128.19</v>
      </c>
      <c r="Y25" s="1"/>
      <c r="Z25" s="5">
        <f t="shared" si="7"/>
        <v>-1</v>
      </c>
    </row>
    <row r="26" spans="1:26" s="23" customFormat="1" hidden="1" outlineLevel="2" x14ac:dyDescent="0.25">
      <c r="A26" s="27"/>
      <c r="B26" s="10" t="str">
        <f>CONCATENATE("          ", "6399", " - ", "DONATION-ON CAMPUS")</f>
        <v xml:space="preserve">          6399 - DONATION-ON CAMPUS</v>
      </c>
      <c r="C26" s="10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/>
      <c r="Q26" s="2"/>
      <c r="R26" s="7">
        <f t="shared" si="4"/>
        <v>0</v>
      </c>
      <c r="S26" s="2"/>
      <c r="T26" s="6">
        <v>103128.19</v>
      </c>
      <c r="U26" s="2"/>
      <c r="V26" s="7">
        <f t="shared" si="5"/>
        <v>0</v>
      </c>
      <c r="W26" s="2"/>
      <c r="X26" s="6">
        <f t="shared" si="6"/>
        <v>-103128.19</v>
      </c>
      <c r="Y26" s="2"/>
      <c r="Z26" s="7">
        <f t="shared" si="7"/>
        <v>-1</v>
      </c>
    </row>
    <row r="27" spans="1:26" s="26" customFormat="1" outlineLevel="1" collapsed="1" x14ac:dyDescent="0.25">
      <c r="A27" s="25"/>
      <c r="B27" s="12" t="str">
        <f>CONCATENATE("     ","Professional Services                             ")</f>
        <v xml:space="preserve">     Professional Services                             </v>
      </c>
      <c r="C27" s="12"/>
      <c r="D27" s="1">
        <f>SUM(OSRRefD22_4x_0)</f>
        <v>11585.75</v>
      </c>
      <c r="E27" s="1"/>
      <c r="F27" s="5">
        <f t="shared" si="0"/>
        <v>0</v>
      </c>
      <c r="G27" s="1"/>
      <c r="H27" s="1">
        <f>SUM(OSRRefH22_4x_0)</f>
        <v>11487</v>
      </c>
      <c r="I27" s="1"/>
      <c r="J27" s="5">
        <f t="shared" si="1"/>
        <v>0</v>
      </c>
      <c r="K27" s="1"/>
      <c r="L27" s="1">
        <f t="shared" si="2"/>
        <v>98.75</v>
      </c>
      <c r="M27" s="1"/>
      <c r="N27" s="5">
        <f t="shared" si="3"/>
        <v>8.5966745016105156E-3</v>
      </c>
      <c r="O27" s="12"/>
      <c r="P27" s="1">
        <f>SUM(OSRRefP22_4x_0)</f>
        <v>46568</v>
      </c>
      <c r="Q27" s="1"/>
      <c r="R27" s="5">
        <f t="shared" si="4"/>
        <v>0</v>
      </c>
      <c r="S27" s="1"/>
      <c r="T27" s="1">
        <f>SUM(OSRRefT22_4x_0)</f>
        <v>61235.24</v>
      </c>
      <c r="U27" s="1"/>
      <c r="V27" s="5">
        <f t="shared" si="5"/>
        <v>0</v>
      </c>
      <c r="W27" s="1"/>
      <c r="X27" s="1">
        <f t="shared" si="6"/>
        <v>-14667.239999999998</v>
      </c>
      <c r="Y27" s="1"/>
      <c r="Z27" s="5">
        <f t="shared" si="7"/>
        <v>-0.23952286297889905</v>
      </c>
    </row>
    <row r="28" spans="1:26" s="23" customFormat="1" hidden="1" outlineLevel="2" x14ac:dyDescent="0.25">
      <c r="A28" s="27"/>
      <c r="B28" s="10" t="str">
        <f>CONCATENATE("          ", "6331", " - ", "INDIRECT COSTS-AUXILIARY ORGAN")</f>
        <v xml:space="preserve">          6331 - INDIRECT COSTS-AUXILIARY ORGAN</v>
      </c>
      <c r="C28" s="10"/>
      <c r="D28" s="6">
        <v>11585.75</v>
      </c>
      <c r="E28" s="2"/>
      <c r="F28" s="7">
        <f t="shared" si="0"/>
        <v>0</v>
      </c>
      <c r="G28" s="2"/>
      <c r="H28" s="6">
        <v>11487</v>
      </c>
      <c r="I28" s="2"/>
      <c r="J28" s="7">
        <f t="shared" si="1"/>
        <v>0</v>
      </c>
      <c r="K28" s="2"/>
      <c r="L28" s="6">
        <f t="shared" si="2"/>
        <v>98.75</v>
      </c>
      <c r="M28" s="2"/>
      <c r="N28" s="7">
        <f t="shared" si="3"/>
        <v>8.5966745016105156E-3</v>
      </c>
      <c r="O28" s="10"/>
      <c r="P28" s="6">
        <v>46568</v>
      </c>
      <c r="Q28" s="2"/>
      <c r="R28" s="7">
        <f t="shared" si="4"/>
        <v>0</v>
      </c>
      <c r="S28" s="2"/>
      <c r="T28" s="6">
        <v>46173</v>
      </c>
      <c r="U28" s="2"/>
      <c r="V28" s="7">
        <f t="shared" si="5"/>
        <v>0</v>
      </c>
      <c r="W28" s="2"/>
      <c r="X28" s="6">
        <f t="shared" si="6"/>
        <v>395</v>
      </c>
      <c r="Y28" s="2"/>
      <c r="Z28" s="7">
        <f t="shared" si="7"/>
        <v>8.5547830983475192E-3</v>
      </c>
    </row>
    <row r="29" spans="1:26" s="23" customFormat="1" hidden="1" outlineLevel="2" x14ac:dyDescent="0.25">
      <c r="A29" s="27"/>
      <c r="B29" s="10" t="str">
        <f>CONCATENATE("          ", "6332", " - ", "CONSULTANT FEES")</f>
        <v xml:space="preserve">          6332 - CONSULTANT FEES</v>
      </c>
      <c r="C29" s="10"/>
      <c r="D29" s="6"/>
      <c r="E29" s="2"/>
      <c r="F29" s="7">
        <f t="shared" si="0"/>
        <v>0</v>
      </c>
      <c r="G29" s="2"/>
      <c r="H29" s="6"/>
      <c r="I29" s="2"/>
      <c r="J29" s="7">
        <f t="shared" si="1"/>
        <v>0</v>
      </c>
      <c r="K29" s="2"/>
      <c r="L29" s="6">
        <f t="shared" si="2"/>
        <v>0</v>
      </c>
      <c r="M29" s="2"/>
      <c r="N29" s="7">
        <f t="shared" si="3"/>
        <v>0</v>
      </c>
      <c r="O29" s="10"/>
      <c r="P29" s="6"/>
      <c r="Q29" s="2"/>
      <c r="R29" s="7">
        <f t="shared" si="4"/>
        <v>0</v>
      </c>
      <c r="S29" s="2"/>
      <c r="T29" s="6">
        <v>15062.24</v>
      </c>
      <c r="U29" s="2"/>
      <c r="V29" s="7">
        <f t="shared" si="5"/>
        <v>0</v>
      </c>
      <c r="W29" s="2"/>
      <c r="X29" s="6">
        <f t="shared" si="6"/>
        <v>-15062.24</v>
      </c>
      <c r="Y29" s="2"/>
      <c r="Z29" s="7">
        <f t="shared" si="7"/>
        <v>-1</v>
      </c>
    </row>
    <row r="30" spans="1:26" s="62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4" customFormat="1" x14ac:dyDescent="0.25">
      <c r="A31" s="11"/>
      <c r="B31" s="28" t="s">
        <v>292</v>
      </c>
      <c r="C31" s="11"/>
      <c r="D31" s="4">
        <f>SUM(0)</f>
        <v>0</v>
      </c>
      <c r="E31" s="4"/>
      <c r="F31" s="13">
        <f>IF(D$12=0,0,D31/D$12)</f>
        <v>0</v>
      </c>
      <c r="G31" s="4"/>
      <c r="H31" s="4">
        <f>SUM(0)</f>
        <v>0</v>
      </c>
      <c r="I31" s="4"/>
      <c r="J31" s="13">
        <f>IF(H$12=0,0,H31/H$12)</f>
        <v>0</v>
      </c>
      <c r="K31" s="4"/>
      <c r="L31" s="4">
        <f>+D31-H31</f>
        <v>0</v>
      </c>
      <c r="M31" s="4"/>
      <c r="N31" s="13">
        <f>IF(H31=0,0,L31/H31)</f>
        <v>0</v>
      </c>
      <c r="O31" s="11"/>
      <c r="P31" s="4">
        <f>SUM(0)</f>
        <v>0</v>
      </c>
      <c r="Q31" s="4"/>
      <c r="R31" s="13">
        <f>IF(P$12=0,0,P31/P$12)</f>
        <v>0</v>
      </c>
      <c r="S31" s="4"/>
      <c r="T31" s="4">
        <f>SUM(0)</f>
        <v>0</v>
      </c>
      <c r="U31" s="4"/>
      <c r="V31" s="13">
        <f>IF(T$12=0,0,T31/T$12)</f>
        <v>0</v>
      </c>
      <c r="W31" s="4"/>
      <c r="X31" s="4">
        <f>+P31-T31</f>
        <v>0</v>
      </c>
      <c r="Y31" s="4"/>
      <c r="Z31" s="13">
        <f>IF(T31=0,0,X31/T31)</f>
        <v>0</v>
      </c>
    </row>
    <row r="32" spans="1:26" x14ac:dyDescent="0.25">
      <c r="A32" s="9"/>
      <c r="B32" s="11"/>
      <c r="C32" s="11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1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11"/>
      <c r="B33" s="29" t="s">
        <v>276</v>
      </c>
      <c r="C33" s="29"/>
      <c r="D33" s="20">
        <f>+D16-D18+D31</f>
        <v>-43971.69</v>
      </c>
      <c r="E33" s="14"/>
      <c r="F33" s="22">
        <f>IF(D$12=0,0,D33/D$12)</f>
        <v>0</v>
      </c>
      <c r="G33" s="14"/>
      <c r="H33" s="20">
        <f>+H16-H18+H31</f>
        <v>-48207.12</v>
      </c>
      <c r="I33" s="14"/>
      <c r="J33" s="22">
        <f>IF(H$12=0,0,H33/H$12)</f>
        <v>0</v>
      </c>
      <c r="K33" s="16"/>
      <c r="L33" s="20">
        <f>+D33-H33</f>
        <v>4235.43</v>
      </c>
      <c r="M33" s="16"/>
      <c r="N33" s="22">
        <f>IF(H33=0,0,L33/H33)</f>
        <v>-8.7859013357362986E-2</v>
      </c>
      <c r="O33" s="28"/>
      <c r="P33" s="20">
        <f>+P16-P18+P31</f>
        <v>38105.579999999987</v>
      </c>
      <c r="Q33" s="14"/>
      <c r="R33" s="22">
        <f>IF(P$12=0,0,P33/P$12)</f>
        <v>0</v>
      </c>
      <c r="S33" s="14"/>
      <c r="T33" s="20">
        <f>+T16-T18+T31</f>
        <v>-545724.6100000001</v>
      </c>
      <c r="U33" s="14"/>
      <c r="V33" s="22">
        <f>IF(T$12=0,0,T33/T$12)</f>
        <v>0</v>
      </c>
      <c r="W33" s="16"/>
      <c r="X33" s="20">
        <f>+P33-T33</f>
        <v>583830.19000000006</v>
      </c>
      <c r="Y33" s="16"/>
      <c r="Z33" s="22">
        <f>IF(T33=0,0,X33/T33)</f>
        <v>-1.069825658036569</v>
      </c>
    </row>
    <row r="34" spans="1:26" x14ac:dyDescent="0.25">
      <c r="A34" s="9"/>
      <c r="B34" s="11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4" customFormat="1" x14ac:dyDescent="0.25">
      <c r="A35" s="51"/>
      <c r="B35" s="11" t="s">
        <v>127</v>
      </c>
      <c r="C35" s="11"/>
      <c r="D35" s="4"/>
      <c r="E35" s="4"/>
      <c r="F35" s="13">
        <f>IF(D$12=0,0,D35/D$12)</f>
        <v>0</v>
      </c>
      <c r="G35" s="4"/>
      <c r="H35" s="4"/>
      <c r="I35" s="4"/>
      <c r="J35" s="13">
        <f>IF(H$12=0,0,H35/H$12)</f>
        <v>0</v>
      </c>
      <c r="K35" s="4"/>
      <c r="L35" s="4">
        <f>+D35-H35</f>
        <v>0</v>
      </c>
      <c r="M35" s="4"/>
      <c r="N35" s="13">
        <f>IF(H35=0,0,L35/H35)</f>
        <v>0</v>
      </c>
      <c r="O35" s="11"/>
      <c r="P35" s="4"/>
      <c r="Q35" s="4"/>
      <c r="R35" s="13">
        <f>IF(P$12=0,0,P35/P$12)</f>
        <v>0</v>
      </c>
      <c r="S35" s="4"/>
      <c r="T35" s="4"/>
      <c r="U35" s="4"/>
      <c r="V35" s="13">
        <f>IF(T$12=0,0,T35/T$12)</f>
        <v>0</v>
      </c>
      <c r="W35" s="4"/>
      <c r="X35" s="4">
        <f>+P35-T35</f>
        <v>0</v>
      </c>
      <c r="Y35" s="4"/>
      <c r="Z35" s="13">
        <f>IF(T35=0,0,X35/T35)</f>
        <v>0</v>
      </c>
    </row>
    <row r="36" spans="1:26" x14ac:dyDescent="0.25">
      <c r="A36" s="9"/>
      <c r="B36" s="11"/>
      <c r="C36" s="11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1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4" customFormat="1" ht="15.75" thickBot="1" x14ac:dyDescent="0.3">
      <c r="A37" s="11"/>
      <c r="B37" s="29" t="s">
        <v>125</v>
      </c>
      <c r="C37" s="29"/>
      <c r="D37" s="30">
        <f>+D33-D35</f>
        <v>-43971.69</v>
      </c>
      <c r="E37" s="14"/>
      <c r="F37" s="34">
        <f>IF(D$12=0,0,D37/D$12)</f>
        <v>0</v>
      </c>
      <c r="G37" s="14"/>
      <c r="H37" s="30">
        <f>+H33-H35</f>
        <v>-48207.12</v>
      </c>
      <c r="I37" s="14"/>
      <c r="J37" s="34">
        <f>IF(H$12=0,0,H37/H$12)</f>
        <v>0</v>
      </c>
      <c r="K37" s="16"/>
      <c r="L37" s="30">
        <f>D37-H37</f>
        <v>4235.43</v>
      </c>
      <c r="M37" s="16"/>
      <c r="N37" s="34">
        <f>IF(H37=0,0,L37/H37)</f>
        <v>-8.7859013357362986E-2</v>
      </c>
      <c r="O37" s="28"/>
      <c r="P37" s="30">
        <f>+P33-P35</f>
        <v>38105.579999999987</v>
      </c>
      <c r="Q37" s="14"/>
      <c r="R37" s="34">
        <f>IF(P$12=0,0,P37/P$12)</f>
        <v>0</v>
      </c>
      <c r="S37" s="14"/>
      <c r="T37" s="30">
        <f>+T33-T35</f>
        <v>-545724.6100000001</v>
      </c>
      <c r="U37" s="14"/>
      <c r="V37" s="34">
        <f>IF(T$12=0,0,T37/T$12)</f>
        <v>0</v>
      </c>
      <c r="W37" s="16"/>
      <c r="X37" s="30">
        <f>P37-T37</f>
        <v>583830.19000000006</v>
      </c>
      <c r="Y37" s="16"/>
      <c r="Z37" s="34">
        <f>IF(T37=0,0,X37/T37)</f>
        <v>-1.069825658036569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4" customFormat="1" ht="15.75" thickBot="1" x14ac:dyDescent="0.3">
      <c r="A40" s="11"/>
      <c r="B40" s="29" t="s">
        <v>293</v>
      </c>
      <c r="C40" s="29"/>
      <c r="D40" s="32">
        <f>SUM(D37:D39)</f>
        <v>-43971.69</v>
      </c>
      <c r="E40" s="14"/>
      <c r="F40" s="35">
        <f>IF(D$12=0,0,D40/D$12)</f>
        <v>0</v>
      </c>
      <c r="G40" s="14"/>
      <c r="H40" s="32">
        <f>SUM(H37:H39)</f>
        <v>-48207.12</v>
      </c>
      <c r="I40" s="14"/>
      <c r="J40" s="35">
        <f>IF(H$12=0,0,H40/H$12)</f>
        <v>0</v>
      </c>
      <c r="K40" s="16"/>
      <c r="L40" s="32">
        <f>+D40-H40</f>
        <v>4235.43</v>
      </c>
      <c r="M40" s="16"/>
      <c r="N40" s="35">
        <f>IF(H40=0,0,L40/H40)</f>
        <v>-8.7859013357362986E-2</v>
      </c>
      <c r="O40" s="28"/>
      <c r="P40" s="32">
        <f>SUM(P37:P39)</f>
        <v>38105.579999999987</v>
      </c>
      <c r="Q40" s="14"/>
      <c r="R40" s="35">
        <f>IF(P$12=0,0,P40/P$12)</f>
        <v>0</v>
      </c>
      <c r="S40" s="14"/>
      <c r="T40" s="32">
        <f>SUM(T37:T39)</f>
        <v>-545724.6100000001</v>
      </c>
      <c r="U40" s="14"/>
      <c r="V40" s="35">
        <f>IF(T$12=0,0,T40/T$12)</f>
        <v>0</v>
      </c>
      <c r="W40" s="16"/>
      <c r="X40" s="32">
        <f>+P40-T40</f>
        <v>583830.19000000006</v>
      </c>
      <c r="Y40" s="16"/>
      <c r="Z40" s="35">
        <f>IF(T40=0,0,X40/T40)</f>
        <v>-1.069825658036569</v>
      </c>
    </row>
    <row r="41" spans="1:26" ht="15.75" thickTop="1" x14ac:dyDescent="0.25">
      <c r="A41" s="9"/>
      <c r="C41" s="9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A42" s="9"/>
      <c r="B42" s="59">
        <v>44330.00886898148</v>
      </c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25">
      <c r="A43" s="9"/>
      <c r="B43" s="52" t="s">
        <v>56</v>
      </c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25">
      <c r="A44" s="9"/>
      <c r="B44" s="55"/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  <row r="45" spans="1:26" x14ac:dyDescent="0.25"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","201", " - ", "General Manager")</f>
        <v>Department 201 - General Manager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46371.579999999994</v>
      </c>
      <c r="E18" s="21"/>
      <c r="F18" s="31">
        <f t="shared" ref="F18:F27" si="0">IF(D$12=0,0,D18/D$12)</f>
        <v>0</v>
      </c>
      <c r="G18" s="21"/>
      <c r="H18" s="21">
        <f>SUM(OSRRefH22x_0)</f>
        <v>49313.53</v>
      </c>
      <c r="I18" s="21"/>
      <c r="J18" s="31">
        <f t="shared" ref="J18:J27" si="1">IF(H$12=0,0,H18/H$12)</f>
        <v>0</v>
      </c>
      <c r="K18" s="4"/>
      <c r="L18" s="21">
        <f t="shared" ref="L18:L27" si="2">+D18-H18</f>
        <v>-2941.9500000000044</v>
      </c>
      <c r="M18" s="4"/>
      <c r="N18" s="31">
        <f t="shared" ref="N18:N27" si="3">IF(H18=0,0,L18/H18)</f>
        <v>-5.9658069499384944E-2</v>
      </c>
      <c r="O18" s="11"/>
      <c r="P18" s="21">
        <f>SUM(OSRRefP22x_0)</f>
        <v>379487.04</v>
      </c>
      <c r="Q18" s="21"/>
      <c r="R18" s="31">
        <f t="shared" ref="R18:R27" si="4">IF(P$12=0,0,P18/P$12)</f>
        <v>0</v>
      </c>
      <c r="S18" s="21"/>
      <c r="T18" s="21">
        <f>SUM(OSRRefT22x_0)</f>
        <v>601681.70999999985</v>
      </c>
      <c r="U18" s="21"/>
      <c r="V18" s="31">
        <f t="shared" ref="V18:V27" si="5">IF(T$12=0,0,T18/T$12)</f>
        <v>0</v>
      </c>
      <c r="W18" s="4"/>
      <c r="X18" s="21">
        <f t="shared" ref="X18:X27" si="6">+P18-T18</f>
        <v>-222194.66999999987</v>
      </c>
      <c r="Y18" s="4"/>
      <c r="Z18" s="31">
        <f t="shared" ref="Z18:Z27" si="7">IF(T18=0,0,X18/T18)</f>
        <v>-0.36928938724097149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12083.72</v>
      </c>
      <c r="E19" s="1"/>
      <c r="F19" s="5">
        <f t="shared" si="0"/>
        <v>0</v>
      </c>
      <c r="G19" s="1"/>
      <c r="H19" s="1">
        <f>SUM(OSRRefH22_0x_0)</f>
        <v>11865.95</v>
      </c>
      <c r="I19" s="1"/>
      <c r="J19" s="5">
        <f t="shared" si="1"/>
        <v>0</v>
      </c>
      <c r="K19" s="1"/>
      <c r="L19" s="1">
        <f t="shared" si="2"/>
        <v>217.76999999999862</v>
      </c>
      <c r="M19" s="1"/>
      <c r="N19" s="5">
        <f t="shared" si="3"/>
        <v>1.835251286243399E-2</v>
      </c>
      <c r="O19" s="12"/>
      <c r="P19" s="1">
        <f>SUM(OSRRefP22_0x_0)</f>
        <v>108419.25999999998</v>
      </c>
      <c r="Q19" s="1"/>
      <c r="R19" s="5">
        <f t="shared" si="4"/>
        <v>0</v>
      </c>
      <c r="S19" s="1"/>
      <c r="T19" s="1">
        <f>SUM(OSRRefT22_0x_0)</f>
        <v>141509.69</v>
      </c>
      <c r="U19" s="1"/>
      <c r="V19" s="5">
        <f t="shared" si="5"/>
        <v>0</v>
      </c>
      <c r="W19" s="1"/>
      <c r="X19" s="1">
        <f t="shared" si="6"/>
        <v>-33090.430000000022</v>
      </c>
      <c r="Y19" s="1"/>
      <c r="Z19" s="5">
        <f t="shared" si="7"/>
        <v>-0.23383861557466504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2184.4699999999998</v>
      </c>
      <c r="E20" s="2"/>
      <c r="F20" s="7">
        <f t="shared" si="0"/>
        <v>0</v>
      </c>
      <c r="G20" s="2"/>
      <c r="H20" s="6">
        <v>2170.77</v>
      </c>
      <c r="I20" s="2"/>
      <c r="J20" s="7">
        <f t="shared" si="1"/>
        <v>0</v>
      </c>
      <c r="K20" s="2"/>
      <c r="L20" s="6">
        <f t="shared" si="2"/>
        <v>13.699999999999818</v>
      </c>
      <c r="M20" s="2"/>
      <c r="N20" s="7">
        <f t="shared" si="3"/>
        <v>6.3111246239812681E-3</v>
      </c>
      <c r="O20" s="10"/>
      <c r="P20" s="6">
        <v>13381.38</v>
      </c>
      <c r="Q20" s="2"/>
      <c r="R20" s="7">
        <f t="shared" si="4"/>
        <v>0</v>
      </c>
      <c r="S20" s="2"/>
      <c r="T20" s="6">
        <v>19450.88</v>
      </c>
      <c r="U20" s="2"/>
      <c r="V20" s="7">
        <f t="shared" si="5"/>
        <v>0</v>
      </c>
      <c r="W20" s="2"/>
      <c r="X20" s="6">
        <f t="shared" si="6"/>
        <v>-6069.5000000000018</v>
      </c>
      <c r="Y20" s="2"/>
      <c r="Z20" s="7">
        <f t="shared" si="7"/>
        <v>-0.31204243715451441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62.74</v>
      </c>
      <c r="E21" s="2"/>
      <c r="F21" s="7">
        <f t="shared" si="0"/>
        <v>0</v>
      </c>
      <c r="G21" s="2"/>
      <c r="H21" s="6">
        <v>64.319999999999993</v>
      </c>
      <c r="I21" s="2"/>
      <c r="J21" s="7">
        <f t="shared" si="1"/>
        <v>0</v>
      </c>
      <c r="K21" s="2"/>
      <c r="L21" s="6">
        <f t="shared" si="2"/>
        <v>-1.5799999999999912</v>
      </c>
      <c r="M21" s="2"/>
      <c r="N21" s="7">
        <f t="shared" si="3"/>
        <v>-2.4564676616915287E-2</v>
      </c>
      <c r="O21" s="10"/>
      <c r="P21" s="6">
        <v>756.81</v>
      </c>
      <c r="Q21" s="2"/>
      <c r="R21" s="7">
        <f t="shared" si="4"/>
        <v>0</v>
      </c>
      <c r="S21" s="2"/>
      <c r="T21" s="6">
        <v>1122.55</v>
      </c>
      <c r="U21" s="2"/>
      <c r="V21" s="7">
        <f t="shared" si="5"/>
        <v>0</v>
      </c>
      <c r="W21" s="2"/>
      <c r="X21" s="6">
        <f t="shared" si="6"/>
        <v>-365.74</v>
      </c>
      <c r="Y21" s="2"/>
      <c r="Z21" s="7">
        <f t="shared" si="7"/>
        <v>-0.32581176784998445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3917.15</v>
      </c>
      <c r="E22" s="2"/>
      <c r="F22" s="7">
        <f t="shared" si="0"/>
        <v>0</v>
      </c>
      <c r="G22" s="2"/>
      <c r="H22" s="6">
        <v>3965.44</v>
      </c>
      <c r="I22" s="2"/>
      <c r="J22" s="7">
        <f t="shared" si="1"/>
        <v>0</v>
      </c>
      <c r="K22" s="2"/>
      <c r="L22" s="6">
        <f t="shared" si="2"/>
        <v>-48.289999999999964</v>
      </c>
      <c r="M22" s="2"/>
      <c r="N22" s="7">
        <f t="shared" si="3"/>
        <v>-1.2177715461588112E-2</v>
      </c>
      <c r="O22" s="10"/>
      <c r="P22" s="6">
        <v>39882.519999999997</v>
      </c>
      <c r="Q22" s="2"/>
      <c r="R22" s="7">
        <f t="shared" si="4"/>
        <v>0</v>
      </c>
      <c r="S22" s="2"/>
      <c r="T22" s="6">
        <v>41001.620000000003</v>
      </c>
      <c r="U22" s="2"/>
      <c r="V22" s="7">
        <f t="shared" si="5"/>
        <v>0</v>
      </c>
      <c r="W22" s="2"/>
      <c r="X22" s="6">
        <f t="shared" si="6"/>
        <v>-1119.1000000000058</v>
      </c>
      <c r="Y22" s="2"/>
      <c r="Z22" s="7">
        <f t="shared" si="7"/>
        <v>-2.7294043503647069E-2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49.43</v>
      </c>
      <c r="E23" s="2"/>
      <c r="F23" s="7">
        <f t="shared" si="0"/>
        <v>0</v>
      </c>
      <c r="G23" s="2"/>
      <c r="H23" s="6">
        <v>49.19</v>
      </c>
      <c r="I23" s="2"/>
      <c r="J23" s="7">
        <f t="shared" si="1"/>
        <v>0</v>
      </c>
      <c r="K23" s="2"/>
      <c r="L23" s="6">
        <f t="shared" si="2"/>
        <v>0.24000000000000199</v>
      </c>
      <c r="M23" s="2"/>
      <c r="N23" s="7">
        <f t="shared" si="3"/>
        <v>4.8790404553771495E-3</v>
      </c>
      <c r="O23" s="10"/>
      <c r="P23" s="6">
        <v>596.28</v>
      </c>
      <c r="Q23" s="2"/>
      <c r="R23" s="7">
        <f t="shared" si="4"/>
        <v>0</v>
      </c>
      <c r="S23" s="2"/>
      <c r="T23" s="6">
        <v>1015.11</v>
      </c>
      <c r="U23" s="2"/>
      <c r="V23" s="7">
        <f t="shared" si="5"/>
        <v>0</v>
      </c>
      <c r="W23" s="2"/>
      <c r="X23" s="6">
        <f t="shared" si="6"/>
        <v>-418.83000000000004</v>
      </c>
      <c r="Y23" s="2"/>
      <c r="Z23" s="7">
        <f t="shared" si="7"/>
        <v>-0.41259567928598873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2049.0300000000002</v>
      </c>
      <c r="E24" s="2"/>
      <c r="F24" s="7">
        <f t="shared" si="0"/>
        <v>0</v>
      </c>
      <c r="G24" s="2"/>
      <c r="H24" s="6">
        <v>1898.57</v>
      </c>
      <c r="I24" s="2"/>
      <c r="J24" s="7">
        <f t="shared" si="1"/>
        <v>0</v>
      </c>
      <c r="K24" s="2"/>
      <c r="L24" s="6">
        <f t="shared" si="2"/>
        <v>150.46000000000026</v>
      </c>
      <c r="M24" s="2"/>
      <c r="N24" s="7">
        <f t="shared" si="3"/>
        <v>7.9249119073829394E-2</v>
      </c>
      <c r="O24" s="10"/>
      <c r="P24" s="6">
        <v>25714.65</v>
      </c>
      <c r="Q24" s="2"/>
      <c r="R24" s="7">
        <f t="shared" si="4"/>
        <v>0</v>
      </c>
      <c r="S24" s="2"/>
      <c r="T24" s="6">
        <v>28252.14</v>
      </c>
      <c r="U24" s="2"/>
      <c r="V24" s="7">
        <f t="shared" si="5"/>
        <v>0</v>
      </c>
      <c r="W24" s="2"/>
      <c r="X24" s="6">
        <f t="shared" si="6"/>
        <v>-2537.489999999998</v>
      </c>
      <c r="Y24" s="2"/>
      <c r="Z24" s="7">
        <f t="shared" si="7"/>
        <v>-8.981585111782675E-2</v>
      </c>
    </row>
    <row r="25" spans="1:26" s="23" customFormat="1" hidden="1" outlineLevel="2" x14ac:dyDescent="0.25">
      <c r="A25" s="27"/>
      <c r="B25" s="10" t="str">
        <f>CONCATENATE("          ", "6118", " - ", "VACATION")</f>
        <v xml:space="preserve">          6118 - VACATION</v>
      </c>
      <c r="C25" s="10"/>
      <c r="D25" s="6">
        <v>2488.4699999999998</v>
      </c>
      <c r="E25" s="2"/>
      <c r="F25" s="7">
        <f t="shared" si="0"/>
        <v>0</v>
      </c>
      <c r="G25" s="2"/>
      <c r="H25" s="6">
        <v>2432.46</v>
      </c>
      <c r="I25" s="2"/>
      <c r="J25" s="7">
        <f t="shared" si="1"/>
        <v>0</v>
      </c>
      <c r="K25" s="2"/>
      <c r="L25" s="6">
        <f t="shared" si="2"/>
        <v>56.009999999999764</v>
      </c>
      <c r="M25" s="2"/>
      <c r="N25" s="7">
        <f t="shared" si="3"/>
        <v>2.3026072371179696E-2</v>
      </c>
      <c r="O25" s="10"/>
      <c r="P25" s="6">
        <v>18248.78</v>
      </c>
      <c r="Q25" s="2"/>
      <c r="R25" s="7">
        <f t="shared" si="4"/>
        <v>0</v>
      </c>
      <c r="S25" s="2"/>
      <c r="T25" s="6">
        <v>23806.560000000001</v>
      </c>
      <c r="U25" s="2"/>
      <c r="V25" s="7">
        <f t="shared" si="5"/>
        <v>0</v>
      </c>
      <c r="W25" s="2"/>
      <c r="X25" s="6">
        <f t="shared" si="6"/>
        <v>-5557.7800000000025</v>
      </c>
      <c r="Y25" s="2"/>
      <c r="Z25" s="7">
        <f t="shared" si="7"/>
        <v>-0.23345582058054595</v>
      </c>
    </row>
    <row r="26" spans="1:26" s="23" customFormat="1" hidden="1" outlineLevel="2" x14ac:dyDescent="0.25">
      <c r="A26" s="27"/>
      <c r="B26" s="10" t="str">
        <f>CONCATENATE("          ", "6119", " - ", "SICK LEAVE")</f>
        <v xml:space="preserve">          6119 - SICK LEAVE</v>
      </c>
      <c r="C26" s="10"/>
      <c r="D26" s="6">
        <v>1285.2</v>
      </c>
      <c r="E26" s="2"/>
      <c r="F26" s="7">
        <f t="shared" si="0"/>
        <v>0</v>
      </c>
      <c r="G26" s="2"/>
      <c r="H26" s="6">
        <v>1285.2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>
        <v>9424.7999999999993</v>
      </c>
      <c r="Q26" s="2"/>
      <c r="R26" s="7">
        <f t="shared" si="4"/>
        <v>0</v>
      </c>
      <c r="S26" s="2"/>
      <c r="T26" s="6">
        <v>24255.200000000001</v>
      </c>
      <c r="U26" s="2"/>
      <c r="V26" s="7">
        <f t="shared" si="5"/>
        <v>0</v>
      </c>
      <c r="W26" s="2"/>
      <c r="X26" s="6">
        <f t="shared" si="6"/>
        <v>-14830.400000000001</v>
      </c>
      <c r="Y26" s="2"/>
      <c r="Z26" s="7">
        <f t="shared" si="7"/>
        <v>-0.61143177545433558</v>
      </c>
    </row>
    <row r="27" spans="1:26" s="23" customFormat="1" hidden="1" outlineLevel="2" x14ac:dyDescent="0.25">
      <c r="A27" s="27"/>
      <c r="B27" s="10" t="str">
        <f>CONCATENATE("          ", "6156", " - ", "EMPLOYEE MEALS")</f>
        <v xml:space="preserve">          6156 - EMPLOYEE MEALS</v>
      </c>
      <c r="C27" s="10"/>
      <c r="D27" s="6">
        <v>47.23</v>
      </c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47.23</v>
      </c>
      <c r="M27" s="2"/>
      <c r="N27" s="7">
        <f t="shared" si="3"/>
        <v>0</v>
      </c>
      <c r="O27" s="10"/>
      <c r="P27" s="6">
        <v>414.04</v>
      </c>
      <c r="Q27" s="2"/>
      <c r="R27" s="7">
        <f t="shared" si="4"/>
        <v>0</v>
      </c>
      <c r="S27" s="2"/>
      <c r="T27" s="6">
        <v>2605.63</v>
      </c>
      <c r="U27" s="2"/>
      <c r="V27" s="7">
        <f t="shared" si="5"/>
        <v>0</v>
      </c>
      <c r="W27" s="2"/>
      <c r="X27" s="6">
        <f t="shared" si="6"/>
        <v>-2191.59</v>
      </c>
      <c r="Y27" s="2"/>
      <c r="Z27" s="7">
        <f t="shared" si="7"/>
        <v>-0.84109793025103341</v>
      </c>
    </row>
    <row r="28" spans="1:26" s="26" customFormat="1" outlineLevel="1" collapsed="1" x14ac:dyDescent="0.25">
      <c r="A28" s="25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22003.08</v>
      </c>
      <c r="E28" s="1"/>
      <c r="F28" s="5">
        <f t="shared" ref="F28:F31" si="8">IF(D$12=0,0,D28/D$12)</f>
        <v>0</v>
      </c>
      <c r="G28" s="1"/>
      <c r="H28" s="1">
        <f>SUM(OSRRefH22_1x_0)</f>
        <v>21218.079999999998</v>
      </c>
      <c r="I28" s="1"/>
      <c r="J28" s="5">
        <f t="shared" ref="J28:J31" si="9">IF(H$12=0,0,H28/H$12)</f>
        <v>0</v>
      </c>
      <c r="K28" s="1"/>
      <c r="L28" s="1">
        <f t="shared" ref="L28:L31" si="10">+D28-H28</f>
        <v>785.00000000000364</v>
      </c>
      <c r="M28" s="1"/>
      <c r="N28" s="5">
        <f t="shared" ref="N28:N31" si="11">IF(H28=0,0,L28/H28)</f>
        <v>3.6996749941559451E-2</v>
      </c>
      <c r="O28" s="12"/>
      <c r="P28" s="1">
        <f>SUM(OSRRefP22_1x_0)</f>
        <v>150968.49</v>
      </c>
      <c r="Q28" s="1"/>
      <c r="R28" s="5">
        <f t="shared" ref="R28:R31" si="12">IF(P$12=0,0,P28/P$12)</f>
        <v>0</v>
      </c>
      <c r="S28" s="1"/>
      <c r="T28" s="1">
        <f>SUM(OSRRefT22_1x_0)</f>
        <v>166706.85999999999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-15738.369999999995</v>
      </c>
      <c r="Y28" s="1"/>
      <c r="Z28" s="5">
        <f t="shared" ref="Z28:Z31" si="15">IF(T28=0,0,X28/T28)</f>
        <v>-9.4407452698707164E-2</v>
      </c>
    </row>
    <row r="29" spans="1:26" s="23" customFormat="1" hidden="1" outlineLevel="2" x14ac:dyDescent="0.25">
      <c r="A29" s="27"/>
      <c r="B29" s="10" t="str">
        <f>CONCATENATE("          ", "6001", " - ", "ADMINISTRATIVE SALARIES")</f>
        <v xml:space="preserve">          6001 - ADMINISTRATIVE SALARIES</v>
      </c>
      <c r="C29" s="10"/>
      <c r="D29" s="6">
        <v>17106.48</v>
      </c>
      <c r="E29" s="2"/>
      <c r="F29" s="7">
        <f t="shared" si="8"/>
        <v>0</v>
      </c>
      <c r="G29" s="2"/>
      <c r="H29" s="6">
        <v>17790.419999999998</v>
      </c>
      <c r="I29" s="2"/>
      <c r="J29" s="7">
        <f t="shared" si="9"/>
        <v>0</v>
      </c>
      <c r="K29" s="2"/>
      <c r="L29" s="6">
        <f t="shared" si="10"/>
        <v>-683.93999999999869</v>
      </c>
      <c r="M29" s="2"/>
      <c r="N29" s="7">
        <f t="shared" si="11"/>
        <v>-3.8444286306899937E-2</v>
      </c>
      <c r="O29" s="10"/>
      <c r="P29" s="6">
        <v>150296.57</v>
      </c>
      <c r="Q29" s="2"/>
      <c r="R29" s="7">
        <f t="shared" si="12"/>
        <v>0</v>
      </c>
      <c r="S29" s="2"/>
      <c r="T29" s="6">
        <v>158904.46</v>
      </c>
      <c r="U29" s="2"/>
      <c r="V29" s="7">
        <f t="shared" si="13"/>
        <v>0</v>
      </c>
      <c r="W29" s="2"/>
      <c r="X29" s="6">
        <f t="shared" si="14"/>
        <v>-8607.8899999999849</v>
      </c>
      <c r="Y29" s="2"/>
      <c r="Z29" s="7">
        <f t="shared" si="15"/>
        <v>-5.417022278669828E-2</v>
      </c>
    </row>
    <row r="30" spans="1:26" s="23" customFormat="1" hidden="1" outlineLevel="2" x14ac:dyDescent="0.25">
      <c r="A30" s="27"/>
      <c r="B30" s="10" t="str">
        <f>CONCATENATE("          ", "6002", " - ", "STAFF SALARIES")</f>
        <v xml:space="preserve">          6002 - STAFF SALARIES</v>
      </c>
      <c r="C30" s="10"/>
      <c r="D30" s="6">
        <v>4896.6000000000004</v>
      </c>
      <c r="E30" s="2"/>
      <c r="F30" s="7">
        <f t="shared" si="8"/>
        <v>0</v>
      </c>
      <c r="G30" s="2"/>
      <c r="H30" s="6">
        <v>3427.66</v>
      </c>
      <c r="I30" s="2"/>
      <c r="J30" s="7">
        <f t="shared" si="9"/>
        <v>0</v>
      </c>
      <c r="K30" s="2"/>
      <c r="L30" s="6">
        <f t="shared" si="10"/>
        <v>1468.9400000000005</v>
      </c>
      <c r="M30" s="2"/>
      <c r="N30" s="7">
        <f t="shared" si="11"/>
        <v>0.4285547574730284</v>
      </c>
      <c r="O30" s="10"/>
      <c r="P30" s="6">
        <v>45629.21</v>
      </c>
      <c r="Q30" s="2"/>
      <c r="R30" s="7">
        <f t="shared" si="12"/>
        <v>0</v>
      </c>
      <c r="S30" s="2"/>
      <c r="T30" s="6">
        <v>45782.12</v>
      </c>
      <c r="U30" s="2"/>
      <c r="V30" s="7">
        <f t="shared" si="13"/>
        <v>0</v>
      </c>
      <c r="W30" s="2"/>
      <c r="X30" s="6">
        <f t="shared" si="14"/>
        <v>-152.91000000000349</v>
      </c>
      <c r="Y30" s="2"/>
      <c r="Z30" s="7">
        <f t="shared" si="15"/>
        <v>-3.3399501814246149E-3</v>
      </c>
    </row>
    <row r="31" spans="1:26" s="23" customFormat="1" hidden="1" outlineLevel="2" x14ac:dyDescent="0.25">
      <c r="A31" s="27"/>
      <c r="B31" s="10" t="str">
        <f>CONCATENATE("          ", "6007", " - ", "STUDENT HOURLY")</f>
        <v xml:space="preserve">          6007 - STUDENT HOURLY</v>
      </c>
      <c r="C31" s="10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0"/>
      <c r="P31" s="6">
        <v>-44957.29</v>
      </c>
      <c r="Q31" s="2"/>
      <c r="R31" s="7">
        <f t="shared" si="12"/>
        <v>0</v>
      </c>
      <c r="S31" s="2"/>
      <c r="T31" s="6">
        <v>-37979.72</v>
      </c>
      <c r="U31" s="2"/>
      <c r="V31" s="7">
        <f t="shared" si="13"/>
        <v>0</v>
      </c>
      <c r="W31" s="2"/>
      <c r="X31" s="6">
        <f t="shared" si="14"/>
        <v>-6977.57</v>
      </c>
      <c r="Y31" s="2"/>
      <c r="Z31" s="7">
        <f t="shared" si="15"/>
        <v>0.18371831071951028</v>
      </c>
    </row>
    <row r="32" spans="1:26" s="26" customFormat="1" outlineLevel="1" collapsed="1" x14ac:dyDescent="0.25">
      <c r="A32" s="25"/>
      <c r="B32" s="12" t="str">
        <f>CONCATENATE("     ","Advertising/Promo                                 ")</f>
        <v xml:space="preserve">     Advertising/Promo                                 </v>
      </c>
      <c r="C32" s="12"/>
      <c r="D32" s="1">
        <f>SUM(OSRRefD22_2x_0)</f>
        <v>106.3</v>
      </c>
      <c r="E32" s="1"/>
      <c r="F32" s="5">
        <f t="shared" ref="F32:F49" si="16">IF(D$12=0,0,D32/D$12)</f>
        <v>0</v>
      </c>
      <c r="G32" s="1"/>
      <c r="H32" s="1">
        <f>SUM(OSRRefH22_2x_0)</f>
        <v>0</v>
      </c>
      <c r="I32" s="1"/>
      <c r="J32" s="5">
        <f t="shared" ref="J32:J49" si="17">IF(H$12=0,0,H32/H$12)</f>
        <v>0</v>
      </c>
      <c r="K32" s="1"/>
      <c r="L32" s="1">
        <f t="shared" ref="L32:L49" si="18">+D32-H32</f>
        <v>106.3</v>
      </c>
      <c r="M32" s="1"/>
      <c r="N32" s="5">
        <f t="shared" ref="N32:N49" si="19">IF(H32=0,0,L32/H32)</f>
        <v>0</v>
      </c>
      <c r="O32" s="12"/>
      <c r="P32" s="1">
        <f>SUM(OSRRefP22_2x_0)</f>
        <v>173.1</v>
      </c>
      <c r="Q32" s="1"/>
      <c r="R32" s="5">
        <f t="shared" ref="R32:R49" si="20">IF(P$12=0,0,P32/P$12)</f>
        <v>0</v>
      </c>
      <c r="S32" s="1"/>
      <c r="T32" s="1">
        <f>SUM(OSRRefT22_2x_0)</f>
        <v>12880.83</v>
      </c>
      <c r="U32" s="1"/>
      <c r="V32" s="5">
        <f t="shared" ref="V32:V49" si="21">IF(T$12=0,0,T32/T$12)</f>
        <v>0</v>
      </c>
      <c r="W32" s="1"/>
      <c r="X32" s="1">
        <f t="shared" ref="X32:X49" si="22">+P32-T32</f>
        <v>-12707.73</v>
      </c>
      <c r="Y32" s="1"/>
      <c r="Z32" s="5">
        <f t="shared" ref="Z32:Z49" si="23">IF(T32=0,0,X32/T32)</f>
        <v>-0.98656142500133914</v>
      </c>
    </row>
    <row r="33" spans="1:26" s="23" customFormat="1" hidden="1" outlineLevel="2" x14ac:dyDescent="0.25">
      <c r="A33" s="27"/>
      <c r="B33" s="10" t="str">
        <f>CONCATENATE("          ", "6362", " - ", "ADVERTISING EXPENSE")</f>
        <v xml:space="preserve">          6362 - ADVERTISING EXPENSE</v>
      </c>
      <c r="C33" s="10"/>
      <c r="D33" s="6">
        <v>106.3</v>
      </c>
      <c r="E33" s="2"/>
      <c r="F33" s="7">
        <f t="shared" si="16"/>
        <v>0</v>
      </c>
      <c r="G33" s="2"/>
      <c r="H33" s="6"/>
      <c r="I33" s="2"/>
      <c r="J33" s="7">
        <f t="shared" si="17"/>
        <v>0</v>
      </c>
      <c r="K33" s="2"/>
      <c r="L33" s="6">
        <f t="shared" si="18"/>
        <v>106.3</v>
      </c>
      <c r="M33" s="2"/>
      <c r="N33" s="7">
        <f t="shared" si="19"/>
        <v>0</v>
      </c>
      <c r="O33" s="10"/>
      <c r="P33" s="6">
        <v>173.1</v>
      </c>
      <c r="Q33" s="2"/>
      <c r="R33" s="7">
        <f t="shared" si="20"/>
        <v>0</v>
      </c>
      <c r="S33" s="2"/>
      <c r="T33" s="6">
        <v>12880.83</v>
      </c>
      <c r="U33" s="2"/>
      <c r="V33" s="7">
        <f t="shared" si="21"/>
        <v>0</v>
      </c>
      <c r="W33" s="2"/>
      <c r="X33" s="6">
        <f t="shared" si="22"/>
        <v>-12707.73</v>
      </c>
      <c r="Y33" s="2"/>
      <c r="Z33" s="7">
        <f t="shared" si="23"/>
        <v>-0.98656142500133914</v>
      </c>
    </row>
    <row r="34" spans="1:26" s="26" customFormat="1" outlineLevel="1" collapsed="1" x14ac:dyDescent="0.25">
      <c r="A34" s="25"/>
      <c r="B34" s="12" t="str">
        <f>CONCATENATE("     ","Depreciation                                      ")</f>
        <v xml:space="preserve">     Depreciation                                      </v>
      </c>
      <c r="C34" s="12"/>
      <c r="D34" s="1">
        <f>SUM(OSRRefD22_3x_0)</f>
        <v>314.87</v>
      </c>
      <c r="E34" s="1"/>
      <c r="F34" s="5">
        <f t="shared" si="16"/>
        <v>0</v>
      </c>
      <c r="G34" s="1"/>
      <c r="H34" s="1">
        <f>SUM(OSRRefH22_3x_0)</f>
        <v>314.89999999999998</v>
      </c>
      <c r="I34" s="1"/>
      <c r="J34" s="5">
        <f t="shared" si="17"/>
        <v>0</v>
      </c>
      <c r="K34" s="1"/>
      <c r="L34" s="1">
        <f t="shared" si="18"/>
        <v>-2.9999999999972715E-2</v>
      </c>
      <c r="M34" s="1"/>
      <c r="N34" s="5">
        <f t="shared" si="19"/>
        <v>-9.526833915520076E-5</v>
      </c>
      <c r="O34" s="12"/>
      <c r="P34" s="1">
        <f>SUM(OSRRefP22_3x_0)</f>
        <v>3148.7</v>
      </c>
      <c r="Q34" s="1"/>
      <c r="R34" s="5">
        <f t="shared" si="20"/>
        <v>0</v>
      </c>
      <c r="S34" s="1"/>
      <c r="T34" s="1">
        <f>SUM(OSRRefT22_3x_0)</f>
        <v>3421.97</v>
      </c>
      <c r="U34" s="1"/>
      <c r="V34" s="5">
        <f t="shared" si="21"/>
        <v>0</v>
      </c>
      <c r="W34" s="1"/>
      <c r="X34" s="1">
        <f t="shared" si="22"/>
        <v>-273.27</v>
      </c>
      <c r="Y34" s="1"/>
      <c r="Z34" s="5">
        <f t="shared" si="23"/>
        <v>-7.9857508978746161E-2</v>
      </c>
    </row>
    <row r="35" spans="1:26" s="23" customFormat="1" hidden="1" outlineLevel="2" x14ac:dyDescent="0.25">
      <c r="A35" s="27"/>
      <c r="B35" s="10" t="str">
        <f>CONCATENATE("          ", "6322", " - ", "EQUIPMENT DEPRECIATION EXPENSE")</f>
        <v xml:space="preserve">          6322 - EQUIPMENT DEPRECIATION EXPENSE</v>
      </c>
      <c r="C35" s="10"/>
      <c r="D35" s="6">
        <v>314.87</v>
      </c>
      <c r="E35" s="2"/>
      <c r="F35" s="7">
        <f t="shared" si="16"/>
        <v>0</v>
      </c>
      <c r="G35" s="2"/>
      <c r="H35" s="6">
        <v>314.89999999999998</v>
      </c>
      <c r="I35" s="2"/>
      <c r="J35" s="7">
        <f t="shared" si="17"/>
        <v>0</v>
      </c>
      <c r="K35" s="2"/>
      <c r="L35" s="6">
        <f t="shared" si="18"/>
        <v>-2.9999999999972715E-2</v>
      </c>
      <c r="M35" s="2"/>
      <c r="N35" s="7">
        <f t="shared" si="19"/>
        <v>-9.526833915520076E-5</v>
      </c>
      <c r="O35" s="10"/>
      <c r="P35" s="6">
        <v>3148.7</v>
      </c>
      <c r="Q35" s="2"/>
      <c r="R35" s="7">
        <f t="shared" si="20"/>
        <v>0</v>
      </c>
      <c r="S35" s="2"/>
      <c r="T35" s="6">
        <v>3421.97</v>
      </c>
      <c r="U35" s="2"/>
      <c r="V35" s="7">
        <f t="shared" si="21"/>
        <v>0</v>
      </c>
      <c r="W35" s="2"/>
      <c r="X35" s="6">
        <f t="shared" si="22"/>
        <v>-273.27</v>
      </c>
      <c r="Y35" s="2"/>
      <c r="Z35" s="7">
        <f t="shared" si="23"/>
        <v>-7.9857508978746161E-2</v>
      </c>
    </row>
    <row r="36" spans="1:26" s="26" customFormat="1" outlineLevel="1" collapsed="1" x14ac:dyDescent="0.25">
      <c r="A36" s="25"/>
      <c r="B36" s="12" t="str">
        <f>CONCATENATE("     ","Donations                                         ")</f>
        <v xml:space="preserve">     Donations                                         </v>
      </c>
      <c r="C36" s="12"/>
      <c r="D36" s="1">
        <f>SUM(OSRRefD22_4x_0)</f>
        <v>1500</v>
      </c>
      <c r="E36" s="1"/>
      <c r="F36" s="5">
        <f t="shared" si="16"/>
        <v>0</v>
      </c>
      <c r="G36" s="1"/>
      <c r="H36" s="1">
        <f>SUM(OSRRefH22_4x_0)</f>
        <v>0</v>
      </c>
      <c r="I36" s="1"/>
      <c r="J36" s="5">
        <f t="shared" si="17"/>
        <v>0</v>
      </c>
      <c r="K36" s="1"/>
      <c r="L36" s="1">
        <f t="shared" si="18"/>
        <v>1500</v>
      </c>
      <c r="M36" s="1"/>
      <c r="N36" s="5">
        <f t="shared" si="19"/>
        <v>0</v>
      </c>
      <c r="O36" s="12"/>
      <c r="P36" s="1">
        <f>SUM(OSRRefP22_4x_0)</f>
        <v>26500</v>
      </c>
      <c r="Q36" s="1"/>
      <c r="R36" s="5">
        <f t="shared" si="20"/>
        <v>0</v>
      </c>
      <c r="S36" s="1"/>
      <c r="T36" s="1">
        <f>SUM(OSRRefT22_4x_0)</f>
        <v>145645</v>
      </c>
      <c r="U36" s="1"/>
      <c r="V36" s="5">
        <f t="shared" si="21"/>
        <v>0</v>
      </c>
      <c r="W36" s="1"/>
      <c r="X36" s="1">
        <f t="shared" si="22"/>
        <v>-119145</v>
      </c>
      <c r="Y36" s="1"/>
      <c r="Z36" s="5">
        <f t="shared" si="23"/>
        <v>-0.81805073981255794</v>
      </c>
    </row>
    <row r="37" spans="1:26" s="23" customFormat="1" hidden="1" outlineLevel="2" x14ac:dyDescent="0.25">
      <c r="A37" s="27"/>
      <c r="B37" s="10" t="str">
        <f>CONCATENATE("          ", "6399", " - ", "DONATION-ON CAMPUS")</f>
        <v xml:space="preserve">          6399 - DONATION-ON CAMPUS</v>
      </c>
      <c r="C37" s="10"/>
      <c r="D37" s="6">
        <v>1500</v>
      </c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1500</v>
      </c>
      <c r="M37" s="2"/>
      <c r="N37" s="7">
        <f t="shared" si="19"/>
        <v>0</v>
      </c>
      <c r="O37" s="10"/>
      <c r="P37" s="6">
        <v>26500</v>
      </c>
      <c r="Q37" s="2"/>
      <c r="R37" s="7">
        <f t="shared" si="20"/>
        <v>0</v>
      </c>
      <c r="S37" s="2"/>
      <c r="T37" s="6">
        <v>145645</v>
      </c>
      <c r="U37" s="2"/>
      <c r="V37" s="7">
        <f t="shared" si="21"/>
        <v>0</v>
      </c>
      <c r="W37" s="2"/>
      <c r="X37" s="6">
        <f t="shared" si="22"/>
        <v>-119145</v>
      </c>
      <c r="Y37" s="2"/>
      <c r="Z37" s="7">
        <f t="shared" si="23"/>
        <v>-0.81805073981255794</v>
      </c>
    </row>
    <row r="38" spans="1:26" s="26" customFormat="1" outlineLevel="1" collapsed="1" x14ac:dyDescent="0.25">
      <c r="A38" s="25"/>
      <c r="B38" s="12" t="str">
        <f>CONCATENATE("     ","Equipment Rental                                  ")</f>
        <v xml:space="preserve">     Equipment Rental                                  </v>
      </c>
      <c r="C38" s="12"/>
      <c r="D38" s="1">
        <f>SUM(OSRRefD22_5x_0)</f>
        <v>117.71</v>
      </c>
      <c r="E38" s="1"/>
      <c r="F38" s="5">
        <f t="shared" si="16"/>
        <v>0</v>
      </c>
      <c r="G38" s="1"/>
      <c r="H38" s="1">
        <f>SUM(OSRRefH22_5x_0)</f>
        <v>117.72</v>
      </c>
      <c r="I38" s="1"/>
      <c r="J38" s="5">
        <f t="shared" si="17"/>
        <v>0</v>
      </c>
      <c r="K38" s="1"/>
      <c r="L38" s="1">
        <f t="shared" si="18"/>
        <v>-1.0000000000005116E-2</v>
      </c>
      <c r="M38" s="1"/>
      <c r="N38" s="5">
        <f t="shared" si="19"/>
        <v>-8.4947332653798128E-5</v>
      </c>
      <c r="O38" s="12"/>
      <c r="P38" s="1">
        <f>SUM(OSRRefP22_5x_0)</f>
        <v>1268.3599999999999</v>
      </c>
      <c r="Q38" s="1"/>
      <c r="R38" s="5">
        <f t="shared" si="20"/>
        <v>0</v>
      </c>
      <c r="S38" s="1"/>
      <c r="T38" s="1">
        <f>SUM(OSRRefT22_5x_0)</f>
        <v>1177.2</v>
      </c>
      <c r="U38" s="1"/>
      <c r="V38" s="5">
        <f t="shared" si="21"/>
        <v>0</v>
      </c>
      <c r="W38" s="1"/>
      <c r="X38" s="1">
        <f t="shared" si="22"/>
        <v>91.159999999999854</v>
      </c>
      <c r="Y38" s="1"/>
      <c r="Z38" s="5">
        <f t="shared" si="23"/>
        <v>7.7437988447162626E-2</v>
      </c>
    </row>
    <row r="39" spans="1:26" s="23" customFormat="1" hidden="1" outlineLevel="2" x14ac:dyDescent="0.25">
      <c r="A39" s="27"/>
      <c r="B39" s="10" t="str">
        <f>CONCATENATE("          ", "6351", " - ", "EQUIPMENT RENTAL")</f>
        <v xml:space="preserve">          6351 - EQUIPMENT RENTAL</v>
      </c>
      <c r="C39" s="10"/>
      <c r="D39" s="6">
        <v>117.71</v>
      </c>
      <c r="E39" s="2"/>
      <c r="F39" s="7">
        <f t="shared" si="16"/>
        <v>0</v>
      </c>
      <c r="G39" s="2"/>
      <c r="H39" s="6">
        <v>117.72</v>
      </c>
      <c r="I39" s="2"/>
      <c r="J39" s="7">
        <f t="shared" si="17"/>
        <v>0</v>
      </c>
      <c r="K39" s="2"/>
      <c r="L39" s="6">
        <f t="shared" si="18"/>
        <v>-1.0000000000005116E-2</v>
      </c>
      <c r="M39" s="2"/>
      <c r="N39" s="7">
        <f t="shared" si="19"/>
        <v>-8.4947332653798128E-5</v>
      </c>
      <c r="O39" s="10"/>
      <c r="P39" s="6">
        <v>1268.3599999999999</v>
      </c>
      <c r="Q39" s="2"/>
      <c r="R39" s="7">
        <f t="shared" si="20"/>
        <v>0</v>
      </c>
      <c r="S39" s="2"/>
      <c r="T39" s="6">
        <v>1177.2</v>
      </c>
      <c r="U39" s="2"/>
      <c r="V39" s="7">
        <f t="shared" si="21"/>
        <v>0</v>
      </c>
      <c r="W39" s="2"/>
      <c r="X39" s="6">
        <f t="shared" si="22"/>
        <v>91.159999999999854</v>
      </c>
      <c r="Y39" s="2"/>
      <c r="Z39" s="7">
        <f t="shared" si="23"/>
        <v>7.7437988447162626E-2</v>
      </c>
    </row>
    <row r="40" spans="1:26" s="26" customFormat="1" outlineLevel="1" collapsed="1" x14ac:dyDescent="0.25">
      <c r="A40" s="25"/>
      <c r="B40" s="12" t="str">
        <f>CONCATENATE("     ","Freight out/Postage                               ")</f>
        <v xml:space="preserve">     Freight out/Postage                               </v>
      </c>
      <c r="C40" s="12"/>
      <c r="D40" s="1">
        <f>SUM(OSRRefD22_6x_0)</f>
        <v>0</v>
      </c>
      <c r="E40" s="1"/>
      <c r="F40" s="5">
        <f t="shared" si="16"/>
        <v>0</v>
      </c>
      <c r="G40" s="1"/>
      <c r="H40" s="1">
        <f>SUM(OSRRefH22_6x_0)</f>
        <v>0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2"/>
      <c r="P40" s="1">
        <f>SUM(OSRRefP22_6x_0)</f>
        <v>66.59</v>
      </c>
      <c r="Q40" s="1"/>
      <c r="R40" s="5">
        <f t="shared" si="20"/>
        <v>0</v>
      </c>
      <c r="S40" s="1"/>
      <c r="T40" s="1">
        <f>SUM(OSRRefT22_6x_0)</f>
        <v>171.76</v>
      </c>
      <c r="U40" s="1"/>
      <c r="V40" s="5">
        <f t="shared" si="21"/>
        <v>0</v>
      </c>
      <c r="W40" s="1"/>
      <c r="X40" s="1">
        <f t="shared" si="22"/>
        <v>-105.16999999999999</v>
      </c>
      <c r="Y40" s="1"/>
      <c r="Z40" s="5">
        <f t="shared" si="23"/>
        <v>-0.61230787144853283</v>
      </c>
    </row>
    <row r="41" spans="1:26" s="23" customFormat="1" hidden="1" outlineLevel="2" x14ac:dyDescent="0.25">
      <c r="A41" s="27"/>
      <c r="B41" s="10" t="str">
        <f>CONCATENATE("          ", "6307", " - ", "POSTAGE")</f>
        <v xml:space="preserve">          6307 - POSTAGE</v>
      </c>
      <c r="C41" s="10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0"/>
      <c r="P41" s="6">
        <v>66.59</v>
      </c>
      <c r="Q41" s="2"/>
      <c r="R41" s="7">
        <f t="shared" si="20"/>
        <v>0</v>
      </c>
      <c r="S41" s="2"/>
      <c r="T41" s="6">
        <v>171.76</v>
      </c>
      <c r="U41" s="2"/>
      <c r="V41" s="7">
        <f t="shared" si="21"/>
        <v>0</v>
      </c>
      <c r="W41" s="2"/>
      <c r="X41" s="6">
        <f t="shared" si="22"/>
        <v>-105.16999999999999</v>
      </c>
      <c r="Y41" s="2"/>
      <c r="Z41" s="7">
        <f t="shared" si="23"/>
        <v>-0.61230787144853283</v>
      </c>
    </row>
    <row r="42" spans="1:26" s="26" customFormat="1" outlineLevel="1" collapsed="1" x14ac:dyDescent="0.25">
      <c r="A42" s="25"/>
      <c r="B42" s="12" t="str">
        <f>CONCATENATE("     ","General                                           ")</f>
        <v xml:space="preserve">     General                                           </v>
      </c>
      <c r="C42" s="12"/>
      <c r="D42" s="1">
        <f>SUM(OSRRefD22_7x_0)</f>
        <v>0</v>
      </c>
      <c r="E42" s="1"/>
      <c r="F42" s="5">
        <f t="shared" si="16"/>
        <v>0</v>
      </c>
      <c r="G42" s="1"/>
      <c r="H42" s="1">
        <f>SUM(OSRRefH22_7x_0)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2"/>
      <c r="P42" s="1">
        <f>SUM(OSRRefP22_7x_0)</f>
        <v>0</v>
      </c>
      <c r="Q42" s="1"/>
      <c r="R42" s="5">
        <f t="shared" si="20"/>
        <v>0</v>
      </c>
      <c r="S42" s="1"/>
      <c r="T42" s="1">
        <f>SUM(OSRRefT22_7x_0)</f>
        <v>13430.41</v>
      </c>
      <c r="U42" s="1"/>
      <c r="V42" s="5">
        <f t="shared" si="21"/>
        <v>0</v>
      </c>
      <c r="W42" s="1"/>
      <c r="X42" s="1">
        <f t="shared" si="22"/>
        <v>-13430.41</v>
      </c>
      <c r="Y42" s="1"/>
      <c r="Z42" s="5">
        <f t="shared" si="23"/>
        <v>-1</v>
      </c>
    </row>
    <row r="43" spans="1:26" s="23" customFormat="1" hidden="1" outlineLevel="2" x14ac:dyDescent="0.25">
      <c r="A43" s="27"/>
      <c r="B43" s="10" t="str">
        <f>CONCATENATE("          ", "6279", " - ", "GENERAL EXPENSE")</f>
        <v xml:space="preserve">          6279 - GENERAL EXPENSE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/>
      <c r="Q43" s="2"/>
      <c r="R43" s="7">
        <f t="shared" si="20"/>
        <v>0</v>
      </c>
      <c r="S43" s="2"/>
      <c r="T43" s="6">
        <v>13430.41</v>
      </c>
      <c r="U43" s="2"/>
      <c r="V43" s="7">
        <f t="shared" si="21"/>
        <v>0</v>
      </c>
      <c r="W43" s="2"/>
      <c r="X43" s="6">
        <f t="shared" si="22"/>
        <v>-13430.41</v>
      </c>
      <c r="Y43" s="2"/>
      <c r="Z43" s="7">
        <f t="shared" si="23"/>
        <v>-1</v>
      </c>
    </row>
    <row r="44" spans="1:26" s="26" customFormat="1" outlineLevel="1" collapsed="1" x14ac:dyDescent="0.25">
      <c r="A44" s="25"/>
      <c r="B44" s="12" t="str">
        <f>CONCATENATE("     ","Insurance                                         ")</f>
        <v xml:space="preserve">     Insurance                                         </v>
      </c>
      <c r="C44" s="12"/>
      <c r="D44" s="1">
        <f>SUM(OSRRefD22_8x_0)</f>
        <v>115.13</v>
      </c>
      <c r="E44" s="1"/>
      <c r="F44" s="5">
        <f t="shared" si="16"/>
        <v>0</v>
      </c>
      <c r="G44" s="1"/>
      <c r="H44" s="1">
        <f>SUM(OSRRefH22_8x_0)</f>
        <v>115.13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2"/>
      <c r="P44" s="1">
        <f>SUM(OSRRefP22_8x_0)</f>
        <v>1151.3</v>
      </c>
      <c r="Q44" s="1"/>
      <c r="R44" s="5">
        <f t="shared" si="20"/>
        <v>0</v>
      </c>
      <c r="S44" s="1"/>
      <c r="T44" s="1">
        <f>SUM(OSRRefT22_8x_0)</f>
        <v>1151.3</v>
      </c>
      <c r="U44" s="1"/>
      <c r="V44" s="5">
        <f t="shared" si="21"/>
        <v>0</v>
      </c>
      <c r="W44" s="1"/>
      <c r="X44" s="1">
        <f t="shared" si="22"/>
        <v>0</v>
      </c>
      <c r="Y44" s="1"/>
      <c r="Z44" s="5">
        <f t="shared" si="23"/>
        <v>0</v>
      </c>
    </row>
    <row r="45" spans="1:26" s="23" customFormat="1" hidden="1" outlineLevel="2" x14ac:dyDescent="0.25">
      <c r="A45" s="27"/>
      <c r="B45" s="10" t="str">
        <f>CONCATENATE("          ", "6314", " - ", "LIABILITY INSURANCE")</f>
        <v xml:space="preserve">          6314 - LIABILITY INSURANCE</v>
      </c>
      <c r="C45" s="10"/>
      <c r="D45" s="6">
        <v>115.13</v>
      </c>
      <c r="E45" s="2"/>
      <c r="F45" s="7">
        <f t="shared" si="16"/>
        <v>0</v>
      </c>
      <c r="G45" s="2"/>
      <c r="H45" s="6">
        <v>115.13</v>
      </c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0"/>
      <c r="P45" s="6">
        <v>1151.3</v>
      </c>
      <c r="Q45" s="2"/>
      <c r="R45" s="7">
        <f t="shared" si="20"/>
        <v>0</v>
      </c>
      <c r="S45" s="2"/>
      <c r="T45" s="6">
        <v>1151.3</v>
      </c>
      <c r="U45" s="2"/>
      <c r="V45" s="7">
        <f t="shared" si="21"/>
        <v>0</v>
      </c>
      <c r="W45" s="2"/>
      <c r="X45" s="6">
        <f t="shared" si="22"/>
        <v>0</v>
      </c>
      <c r="Y45" s="2"/>
      <c r="Z45" s="7">
        <f t="shared" si="23"/>
        <v>0</v>
      </c>
    </row>
    <row r="46" spans="1:26" s="26" customFormat="1" outlineLevel="1" collapsed="1" x14ac:dyDescent="0.25">
      <c r="A46" s="25"/>
      <c r="B46" s="12" t="str">
        <f>CONCATENATE("     ","Professional Services                             ")</f>
        <v xml:space="preserve">     Professional Services                             </v>
      </c>
      <c r="C46" s="12"/>
      <c r="D46" s="1">
        <f>SUM(OSRRefD22_9x_0)</f>
        <v>0</v>
      </c>
      <c r="E46" s="1"/>
      <c r="F46" s="5">
        <f t="shared" si="16"/>
        <v>0</v>
      </c>
      <c r="G46" s="1"/>
      <c r="H46" s="1">
        <f>SUM(OSRRefH22_9x_0)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2"/>
      <c r="P46" s="1">
        <f>SUM(OSRRefP22_9x_0)</f>
        <v>50379.24</v>
      </c>
      <c r="Q46" s="1"/>
      <c r="R46" s="5">
        <f t="shared" si="20"/>
        <v>0</v>
      </c>
      <c r="S46" s="1"/>
      <c r="T46" s="1">
        <f>SUM(OSRRefT22_9x_0)</f>
        <v>51735</v>
      </c>
      <c r="U46" s="1"/>
      <c r="V46" s="5">
        <f t="shared" si="21"/>
        <v>0</v>
      </c>
      <c r="W46" s="1"/>
      <c r="X46" s="1">
        <f t="shared" si="22"/>
        <v>-1355.760000000002</v>
      </c>
      <c r="Y46" s="1"/>
      <c r="Z46" s="5">
        <f t="shared" si="23"/>
        <v>-2.6205856770078324E-2</v>
      </c>
    </row>
    <row r="47" spans="1:26" s="23" customFormat="1" hidden="1" outlineLevel="2" x14ac:dyDescent="0.25">
      <c r="A47" s="27"/>
      <c r="B47" s="10" t="str">
        <f>CONCATENATE("          ", "6331", " - ", "INDIRECT COSTS-AUXILIARY ORGAN")</f>
        <v xml:space="preserve">          6331 - INDIRECT COSTS-AUXILIARY ORGAN</v>
      </c>
      <c r="C47" s="10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0"/>
      <c r="P47" s="6">
        <v>45850</v>
      </c>
      <c r="Q47" s="2"/>
      <c r="R47" s="7">
        <f t="shared" si="20"/>
        <v>0</v>
      </c>
      <c r="S47" s="2"/>
      <c r="T47" s="6">
        <v>45550</v>
      </c>
      <c r="U47" s="2"/>
      <c r="V47" s="7">
        <f t="shared" si="21"/>
        <v>0</v>
      </c>
      <c r="W47" s="2"/>
      <c r="X47" s="6">
        <f t="shared" si="22"/>
        <v>300</v>
      </c>
      <c r="Y47" s="2"/>
      <c r="Z47" s="7">
        <f t="shared" si="23"/>
        <v>6.5861690450054883E-3</v>
      </c>
    </row>
    <row r="48" spans="1:26" s="23" customFormat="1" hidden="1" outlineLevel="2" x14ac:dyDescent="0.25">
      <c r="A48" s="27"/>
      <c r="B48" s="10" t="str">
        <f>CONCATENATE("          ", "6334", " - ", "LEGAL COUNCIL EXPENSE")</f>
        <v xml:space="preserve">          6334 - LEGAL COUNCIL EXPENSE</v>
      </c>
      <c r="C48" s="10"/>
      <c r="D48" s="6"/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0</v>
      </c>
      <c r="M48" s="2"/>
      <c r="N48" s="7">
        <f t="shared" si="19"/>
        <v>0</v>
      </c>
      <c r="O48" s="10"/>
      <c r="P48" s="6">
        <v>4529.24</v>
      </c>
      <c r="Q48" s="2"/>
      <c r="R48" s="7">
        <f t="shared" si="20"/>
        <v>0</v>
      </c>
      <c r="S48" s="2"/>
      <c r="T48" s="6">
        <v>1165</v>
      </c>
      <c r="U48" s="2"/>
      <c r="V48" s="7">
        <f t="shared" si="21"/>
        <v>0</v>
      </c>
      <c r="W48" s="2"/>
      <c r="X48" s="6">
        <f t="shared" si="22"/>
        <v>3364.24</v>
      </c>
      <c r="Y48" s="2"/>
      <c r="Z48" s="7">
        <f t="shared" si="23"/>
        <v>2.8877596566523605</v>
      </c>
    </row>
    <row r="49" spans="1:26" s="23" customFormat="1" hidden="1" outlineLevel="2" x14ac:dyDescent="0.25">
      <c r="A49" s="27"/>
      <c r="B49" s="10" t="str">
        <f>CONCATENATE("          ", "6336", " - ", "PROFESSIONAL SERVICES")</f>
        <v xml:space="preserve">          6336 - PROFESSIONAL SERVICES</v>
      </c>
      <c r="C49" s="10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0"/>
      <c r="P49" s="6"/>
      <c r="Q49" s="2"/>
      <c r="R49" s="7">
        <f t="shared" si="20"/>
        <v>0</v>
      </c>
      <c r="S49" s="2"/>
      <c r="T49" s="6">
        <v>5020</v>
      </c>
      <c r="U49" s="2"/>
      <c r="V49" s="7">
        <f t="shared" si="21"/>
        <v>0</v>
      </c>
      <c r="W49" s="2"/>
      <c r="X49" s="6">
        <f t="shared" si="22"/>
        <v>-5020</v>
      </c>
      <c r="Y49" s="2"/>
      <c r="Z49" s="7">
        <f t="shared" si="23"/>
        <v>-1</v>
      </c>
    </row>
    <row r="50" spans="1:26" s="26" customFormat="1" outlineLevel="1" collapsed="1" x14ac:dyDescent="0.25">
      <c r="A50" s="25"/>
      <c r="B50" s="12" t="str">
        <f>CONCATENATE("     ","Repair and Maintenance                            ")</f>
        <v xml:space="preserve">     Repair and Maintenance                            </v>
      </c>
      <c r="C50" s="12"/>
      <c r="D50" s="1">
        <f>SUM(OSRRefD22_10x_0)</f>
        <v>2217.46</v>
      </c>
      <c r="E50" s="1"/>
      <c r="F50" s="5">
        <f t="shared" ref="F50:F53" si="24">IF(D$12=0,0,D50/D$12)</f>
        <v>0</v>
      </c>
      <c r="G50" s="1"/>
      <c r="H50" s="1">
        <f>SUM(OSRRefH22_10x_0)</f>
        <v>2581.5</v>
      </c>
      <c r="I50" s="1"/>
      <c r="J50" s="5">
        <f t="shared" ref="J50:J53" si="25">IF(H$12=0,0,H50/H$12)</f>
        <v>0</v>
      </c>
      <c r="K50" s="1"/>
      <c r="L50" s="1">
        <f t="shared" ref="L50:L53" si="26">+D50-H50</f>
        <v>-364.03999999999996</v>
      </c>
      <c r="M50" s="1"/>
      <c r="N50" s="5">
        <f t="shared" ref="N50:N53" si="27">IF(H50=0,0,L50/H50)</f>
        <v>-0.1410187875266318</v>
      </c>
      <c r="O50" s="12"/>
      <c r="P50" s="1">
        <f>SUM(OSRRefP22_10x_0)</f>
        <v>22129.19</v>
      </c>
      <c r="Q50" s="1"/>
      <c r="R50" s="5">
        <f t="shared" ref="R50:R53" si="28">IF(P$12=0,0,P50/P$12)</f>
        <v>0</v>
      </c>
      <c r="S50" s="1"/>
      <c r="T50" s="1">
        <f>SUM(OSRRefT22_10x_0)</f>
        <v>30853.960000000003</v>
      </c>
      <c r="U50" s="1"/>
      <c r="V50" s="5">
        <f t="shared" ref="V50:V53" si="29">IF(T$12=0,0,T50/T$12)</f>
        <v>0</v>
      </c>
      <c r="W50" s="1"/>
      <c r="X50" s="1">
        <f t="shared" ref="X50:X53" si="30">+P50-T50</f>
        <v>-8724.7700000000041</v>
      </c>
      <c r="Y50" s="1"/>
      <c r="Z50" s="5">
        <f t="shared" ref="Z50:Z53" si="31">IF(T50=0,0,X50/T50)</f>
        <v>-0.28277634378212724</v>
      </c>
    </row>
    <row r="51" spans="1:26" s="23" customFormat="1" hidden="1" outlineLevel="2" x14ac:dyDescent="0.25">
      <c r="A51" s="27"/>
      <c r="B51" s="10" t="str">
        <f>CONCATENATE("          ", "6371", " - ", "COMPUTER SOFTWARE MAINTENANCE")</f>
        <v xml:space="preserve">          6371 - COMPUTER SOFTWARE MAINTENANCE</v>
      </c>
      <c r="C51" s="10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0"/>
      <c r="P51" s="6">
        <v>1980</v>
      </c>
      <c r="Q51" s="2"/>
      <c r="R51" s="7">
        <f t="shared" si="28"/>
        <v>0</v>
      </c>
      <c r="S51" s="2"/>
      <c r="T51" s="6">
        <v>31.58</v>
      </c>
      <c r="U51" s="2"/>
      <c r="V51" s="7">
        <f t="shared" si="29"/>
        <v>0</v>
      </c>
      <c r="W51" s="2"/>
      <c r="X51" s="6">
        <f t="shared" si="30"/>
        <v>1948.42</v>
      </c>
      <c r="Y51" s="2"/>
      <c r="Z51" s="7">
        <f t="shared" si="31"/>
        <v>61.697910069664353</v>
      </c>
    </row>
    <row r="52" spans="1:26" s="23" customFormat="1" hidden="1" outlineLevel="2" x14ac:dyDescent="0.25">
      <c r="A52" s="27"/>
      <c r="B52" s="10" t="str">
        <f>CONCATENATE("          ", "6373", " - ", "MAINTENANCE CONTRACTS")</f>
        <v xml:space="preserve">          6373 - MAINTENANCE CONTRACTS</v>
      </c>
      <c r="C52" s="10"/>
      <c r="D52" s="6">
        <v>2217.46</v>
      </c>
      <c r="E52" s="2"/>
      <c r="F52" s="7">
        <f t="shared" si="24"/>
        <v>0</v>
      </c>
      <c r="G52" s="2"/>
      <c r="H52" s="6">
        <v>2581.5</v>
      </c>
      <c r="I52" s="2"/>
      <c r="J52" s="7">
        <f t="shared" si="25"/>
        <v>0</v>
      </c>
      <c r="K52" s="2"/>
      <c r="L52" s="6">
        <f t="shared" si="26"/>
        <v>-364.03999999999996</v>
      </c>
      <c r="M52" s="2"/>
      <c r="N52" s="7">
        <f t="shared" si="27"/>
        <v>-0.1410187875266318</v>
      </c>
      <c r="O52" s="10"/>
      <c r="P52" s="6">
        <v>20149.189999999999</v>
      </c>
      <c r="Q52" s="2"/>
      <c r="R52" s="7">
        <f t="shared" si="28"/>
        <v>0</v>
      </c>
      <c r="S52" s="2"/>
      <c r="T52" s="6">
        <v>30297.39</v>
      </c>
      <c r="U52" s="2"/>
      <c r="V52" s="7">
        <f t="shared" si="29"/>
        <v>0</v>
      </c>
      <c r="W52" s="2"/>
      <c r="X52" s="6">
        <f t="shared" si="30"/>
        <v>-10148.200000000001</v>
      </c>
      <c r="Y52" s="2"/>
      <c r="Z52" s="7">
        <f t="shared" si="31"/>
        <v>-0.33495294479161408</v>
      </c>
    </row>
    <row r="53" spans="1:26" s="23" customFormat="1" hidden="1" outlineLevel="2" x14ac:dyDescent="0.25">
      <c r="A53" s="27"/>
      <c r="B53" s="10" t="str">
        <f>CONCATENATE("          ", "6375", " - ", "OUTSIDE REPAIRS &amp; MAINTENANCE")</f>
        <v xml:space="preserve">          6375 - OUTSIDE REPAIRS &amp; MAINTENANCE</v>
      </c>
      <c r="C53" s="10"/>
      <c r="D53" s="6"/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0"/>
      <c r="P53" s="6"/>
      <c r="Q53" s="2"/>
      <c r="R53" s="7">
        <f t="shared" si="28"/>
        <v>0</v>
      </c>
      <c r="S53" s="2"/>
      <c r="T53" s="6">
        <v>524.99</v>
      </c>
      <c r="U53" s="2"/>
      <c r="V53" s="7">
        <f t="shared" si="29"/>
        <v>0</v>
      </c>
      <c r="W53" s="2"/>
      <c r="X53" s="6">
        <f t="shared" si="30"/>
        <v>-524.99</v>
      </c>
      <c r="Y53" s="2"/>
      <c r="Z53" s="7">
        <f t="shared" si="31"/>
        <v>-1</v>
      </c>
    </row>
    <row r="54" spans="1:26" s="26" customFormat="1" outlineLevel="1" collapsed="1" x14ac:dyDescent="0.25">
      <c r="A54" s="25"/>
      <c r="B54" s="12" t="str">
        <f>CONCATENATE("     ","Subscriptions &amp; Dues                              ")</f>
        <v xml:space="preserve">     Subscriptions &amp; Dues                              </v>
      </c>
      <c r="C54" s="12"/>
      <c r="D54" s="1">
        <f>SUM(OSRRefD22_11x_0)</f>
        <v>4668</v>
      </c>
      <c r="E54" s="1"/>
      <c r="F54" s="5">
        <f t="shared" ref="F54:F60" si="32">IF(D$12=0,0,D54/D$12)</f>
        <v>0</v>
      </c>
      <c r="G54" s="1"/>
      <c r="H54" s="1">
        <f>SUM(OSRRefH22_11x_0)</f>
        <v>6218</v>
      </c>
      <c r="I54" s="1"/>
      <c r="J54" s="5">
        <f t="shared" ref="J54:J60" si="33">IF(H$12=0,0,H54/H$12)</f>
        <v>0</v>
      </c>
      <c r="K54" s="1"/>
      <c r="L54" s="1">
        <f t="shared" ref="L54:L60" si="34">+D54-H54</f>
        <v>-1550</v>
      </c>
      <c r="M54" s="1"/>
      <c r="N54" s="5">
        <f t="shared" ref="N54:N60" si="35">IF(H54=0,0,L54/H54)</f>
        <v>-0.2492762946284979</v>
      </c>
      <c r="O54" s="12"/>
      <c r="P54" s="1">
        <f>SUM(OSRRefP22_11x_0)</f>
        <v>6393</v>
      </c>
      <c r="Q54" s="1"/>
      <c r="R54" s="5">
        <f t="shared" ref="R54:R60" si="36">IF(P$12=0,0,P54/P$12)</f>
        <v>0</v>
      </c>
      <c r="S54" s="1"/>
      <c r="T54" s="1">
        <f>SUM(OSRRefT22_11x_0)</f>
        <v>8013</v>
      </c>
      <c r="U54" s="1"/>
      <c r="V54" s="5">
        <f t="shared" ref="V54:V60" si="37">IF(T$12=0,0,T54/T$12)</f>
        <v>0</v>
      </c>
      <c r="W54" s="1"/>
      <c r="X54" s="1">
        <f t="shared" ref="X54:X60" si="38">+P54-T54</f>
        <v>-1620</v>
      </c>
      <c r="Y54" s="1"/>
      <c r="Z54" s="5">
        <f t="shared" ref="Z54:Z60" si="39">IF(T54=0,0,X54/T54)</f>
        <v>-0.20217147135904157</v>
      </c>
    </row>
    <row r="55" spans="1:26" s="23" customFormat="1" hidden="1" outlineLevel="2" x14ac:dyDescent="0.25">
      <c r="A55" s="27"/>
      <c r="B55" s="10" t="str">
        <f>CONCATENATE("          ", "6258", " - ", "MEMBERSHIP DUES")</f>
        <v xml:space="preserve">          6258 - MEMBERSHIP DUES</v>
      </c>
      <c r="C55" s="10"/>
      <c r="D55" s="6">
        <v>4668</v>
      </c>
      <c r="E55" s="2"/>
      <c r="F55" s="7">
        <f t="shared" si="32"/>
        <v>0</v>
      </c>
      <c r="G55" s="2"/>
      <c r="H55" s="6">
        <v>6218</v>
      </c>
      <c r="I55" s="2"/>
      <c r="J55" s="7">
        <f t="shared" si="33"/>
        <v>0</v>
      </c>
      <c r="K55" s="2"/>
      <c r="L55" s="6">
        <f t="shared" si="34"/>
        <v>-1550</v>
      </c>
      <c r="M55" s="2"/>
      <c r="N55" s="7">
        <f t="shared" si="35"/>
        <v>-0.2492762946284979</v>
      </c>
      <c r="O55" s="10"/>
      <c r="P55" s="6">
        <v>6393</v>
      </c>
      <c r="Q55" s="2"/>
      <c r="R55" s="7">
        <f t="shared" si="36"/>
        <v>0</v>
      </c>
      <c r="S55" s="2"/>
      <c r="T55" s="6">
        <v>8013</v>
      </c>
      <c r="U55" s="2"/>
      <c r="V55" s="7">
        <f t="shared" si="37"/>
        <v>0</v>
      </c>
      <c r="W55" s="2"/>
      <c r="X55" s="6">
        <f t="shared" si="38"/>
        <v>-1620</v>
      </c>
      <c r="Y55" s="2"/>
      <c r="Z55" s="7">
        <f t="shared" si="39"/>
        <v>-0.20217147135904157</v>
      </c>
    </row>
    <row r="56" spans="1:26" s="26" customFormat="1" outlineLevel="1" collapsed="1" x14ac:dyDescent="0.25">
      <c r="A56" s="25"/>
      <c r="B56" s="12" t="str">
        <f>CONCATENATE("     ","Supplies                                          ")</f>
        <v xml:space="preserve">     Supplies                                          </v>
      </c>
      <c r="C56" s="12"/>
      <c r="D56" s="1">
        <f>SUM(OSRRefD22_12x_0)</f>
        <v>0</v>
      </c>
      <c r="E56" s="1"/>
      <c r="F56" s="5">
        <f t="shared" si="32"/>
        <v>0</v>
      </c>
      <c r="G56" s="1"/>
      <c r="H56" s="1">
        <f>SUM(OSRRefH22_12x_0)</f>
        <v>6510</v>
      </c>
      <c r="I56" s="1"/>
      <c r="J56" s="5">
        <f t="shared" si="33"/>
        <v>0</v>
      </c>
      <c r="K56" s="1"/>
      <c r="L56" s="1">
        <f t="shared" si="34"/>
        <v>-6510</v>
      </c>
      <c r="M56" s="1"/>
      <c r="N56" s="5">
        <f t="shared" si="35"/>
        <v>-1</v>
      </c>
      <c r="O56" s="12"/>
      <c r="P56" s="1">
        <f>SUM(OSRRefP22_12x_0)</f>
        <v>643.69000000000005</v>
      </c>
      <c r="Q56" s="1"/>
      <c r="R56" s="5">
        <f t="shared" si="36"/>
        <v>0</v>
      </c>
      <c r="S56" s="1"/>
      <c r="T56" s="1">
        <f>SUM(OSRRefT22_12x_0)</f>
        <v>10711.830000000002</v>
      </c>
      <c r="U56" s="1"/>
      <c r="V56" s="5">
        <f t="shared" si="37"/>
        <v>0</v>
      </c>
      <c r="W56" s="1"/>
      <c r="X56" s="1">
        <f t="shared" si="38"/>
        <v>-10068.140000000001</v>
      </c>
      <c r="Y56" s="1"/>
      <c r="Z56" s="5">
        <f t="shared" si="39"/>
        <v>-0.93990849369342111</v>
      </c>
    </row>
    <row r="57" spans="1:26" s="23" customFormat="1" hidden="1" outlineLevel="2" x14ac:dyDescent="0.25">
      <c r="A57" s="27"/>
      <c r="B57" s="10" t="str">
        <f>CONCATENATE("          ", "6234", " - ", "EXPENDABLE SUPPLIES &amp; EQUIPMEN")</f>
        <v xml:space="preserve">          6234 - EXPENDABLE SUPPLIES &amp; EQUIPMEN</v>
      </c>
      <c r="C57" s="10"/>
      <c r="D57" s="6"/>
      <c r="E57" s="2"/>
      <c r="F57" s="7">
        <f t="shared" si="32"/>
        <v>0</v>
      </c>
      <c r="G57" s="2"/>
      <c r="H57" s="6">
        <v>1550</v>
      </c>
      <c r="I57" s="2"/>
      <c r="J57" s="7">
        <f t="shared" si="33"/>
        <v>0</v>
      </c>
      <c r="K57" s="2"/>
      <c r="L57" s="6">
        <f t="shared" si="34"/>
        <v>-1550</v>
      </c>
      <c r="M57" s="2"/>
      <c r="N57" s="7">
        <f t="shared" si="35"/>
        <v>-1</v>
      </c>
      <c r="O57" s="10"/>
      <c r="P57" s="6"/>
      <c r="Q57" s="2"/>
      <c r="R57" s="7">
        <f t="shared" si="36"/>
        <v>0</v>
      </c>
      <c r="S57" s="2"/>
      <c r="T57" s="6">
        <v>1767.02</v>
      </c>
      <c r="U57" s="2"/>
      <c r="V57" s="7">
        <f t="shared" si="37"/>
        <v>0</v>
      </c>
      <c r="W57" s="2"/>
      <c r="X57" s="6">
        <f t="shared" si="38"/>
        <v>-1767.02</v>
      </c>
      <c r="Y57" s="2"/>
      <c r="Z57" s="7">
        <f t="shared" si="39"/>
        <v>-1</v>
      </c>
    </row>
    <row r="58" spans="1:26" s="23" customFormat="1" hidden="1" outlineLevel="2" x14ac:dyDescent="0.25">
      <c r="A58" s="27"/>
      <c r="B58" s="10" t="str">
        <f>CONCATENATE("          ", "6235", " - ", "COVID-19 EXPENSES")</f>
        <v xml:space="preserve">          6235 - COVID-19 EXPENSES</v>
      </c>
      <c r="C58" s="10"/>
      <c r="D58" s="6"/>
      <c r="E58" s="2"/>
      <c r="F58" s="7">
        <f t="shared" si="32"/>
        <v>0</v>
      </c>
      <c r="G58" s="2"/>
      <c r="H58" s="6">
        <v>4960</v>
      </c>
      <c r="I58" s="2"/>
      <c r="J58" s="7">
        <f t="shared" si="33"/>
        <v>0</v>
      </c>
      <c r="K58" s="2"/>
      <c r="L58" s="6">
        <f t="shared" si="34"/>
        <v>-4960</v>
      </c>
      <c r="M58" s="2"/>
      <c r="N58" s="7">
        <f t="shared" si="35"/>
        <v>-1</v>
      </c>
      <c r="O58" s="10"/>
      <c r="P58" s="6">
        <v>106.94</v>
      </c>
      <c r="Q58" s="2"/>
      <c r="R58" s="7">
        <f t="shared" si="36"/>
        <v>0</v>
      </c>
      <c r="S58" s="2"/>
      <c r="T58" s="6">
        <v>4960</v>
      </c>
      <c r="U58" s="2"/>
      <c r="V58" s="7">
        <f t="shared" si="37"/>
        <v>0</v>
      </c>
      <c r="W58" s="2"/>
      <c r="X58" s="6">
        <f t="shared" si="38"/>
        <v>-4853.0600000000004</v>
      </c>
      <c r="Y58" s="2"/>
      <c r="Z58" s="7">
        <f t="shared" si="39"/>
        <v>-0.97843951612903235</v>
      </c>
    </row>
    <row r="59" spans="1:26" s="23" customFormat="1" hidden="1" outlineLevel="2" x14ac:dyDescent="0.25">
      <c r="A59" s="27"/>
      <c r="B59" s="10" t="str">
        <f>CONCATENATE("          ", "6241", " - ", "OFFICE EXPENSE")</f>
        <v xml:space="preserve">          6241 - OFFICE EXPENSE</v>
      </c>
      <c r="C59" s="10"/>
      <c r="D59" s="6"/>
      <c r="E59" s="2"/>
      <c r="F59" s="7">
        <f t="shared" si="32"/>
        <v>0</v>
      </c>
      <c r="G59" s="2"/>
      <c r="H59" s="6"/>
      <c r="I59" s="2"/>
      <c r="J59" s="7">
        <f t="shared" si="33"/>
        <v>0</v>
      </c>
      <c r="K59" s="2"/>
      <c r="L59" s="6">
        <f t="shared" si="34"/>
        <v>0</v>
      </c>
      <c r="M59" s="2"/>
      <c r="N59" s="7">
        <f t="shared" si="35"/>
        <v>0</v>
      </c>
      <c r="O59" s="10"/>
      <c r="P59" s="6">
        <v>536.75</v>
      </c>
      <c r="Q59" s="2"/>
      <c r="R59" s="7">
        <f t="shared" si="36"/>
        <v>0</v>
      </c>
      <c r="S59" s="2"/>
      <c r="T59" s="6">
        <v>3952.95</v>
      </c>
      <c r="U59" s="2"/>
      <c r="V59" s="7">
        <f t="shared" si="37"/>
        <v>0</v>
      </c>
      <c r="W59" s="2"/>
      <c r="X59" s="6">
        <f t="shared" si="38"/>
        <v>-3416.2</v>
      </c>
      <c r="Y59" s="2"/>
      <c r="Z59" s="7">
        <f t="shared" si="39"/>
        <v>-0.8642153328526796</v>
      </c>
    </row>
    <row r="60" spans="1:26" s="23" customFormat="1" hidden="1" outlineLevel="2" x14ac:dyDescent="0.25">
      <c r="A60" s="27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0"/>
      <c r="P60" s="6"/>
      <c r="Q60" s="2"/>
      <c r="R60" s="7">
        <f t="shared" si="36"/>
        <v>0</v>
      </c>
      <c r="S60" s="2"/>
      <c r="T60" s="6">
        <v>31.86</v>
      </c>
      <c r="U60" s="2"/>
      <c r="V60" s="7">
        <f t="shared" si="37"/>
        <v>0</v>
      </c>
      <c r="W60" s="2"/>
      <c r="X60" s="6">
        <f t="shared" si="38"/>
        <v>-31.86</v>
      </c>
      <c r="Y60" s="2"/>
      <c r="Z60" s="7">
        <f t="shared" si="39"/>
        <v>-1</v>
      </c>
    </row>
    <row r="61" spans="1:26" s="26" customFormat="1" outlineLevel="1" collapsed="1" x14ac:dyDescent="0.25">
      <c r="A61" s="25"/>
      <c r="B61" s="12" t="str">
        <f>CONCATENATE("     ","Telephone/Data Lines                              ")</f>
        <v xml:space="preserve">     Telephone/Data Lines                              </v>
      </c>
      <c r="C61" s="12"/>
      <c r="D61" s="1">
        <f>SUM(OSRRefD22_13x_0)</f>
        <v>245.31</v>
      </c>
      <c r="E61" s="1"/>
      <c r="F61" s="5">
        <f t="shared" ref="F61:F66" si="40">IF(D$12=0,0,D61/D$12)</f>
        <v>0</v>
      </c>
      <c r="G61" s="1"/>
      <c r="H61" s="1">
        <f>SUM(OSRRefH22_13x_0)</f>
        <v>372.25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-126.94</v>
      </c>
      <c r="M61" s="1"/>
      <c r="N61" s="5">
        <f t="shared" ref="N61:N66" si="43">IF(H61=0,0,L61/H61)</f>
        <v>-0.34100738750839488</v>
      </c>
      <c r="O61" s="12"/>
      <c r="P61" s="1">
        <f>SUM(OSRRefP22_13x_0)</f>
        <v>3969.62</v>
      </c>
      <c r="Q61" s="1"/>
      <c r="R61" s="5">
        <f t="shared" ref="R61:R66" si="44">IF(P$12=0,0,P61/P$12)</f>
        <v>0</v>
      </c>
      <c r="S61" s="1"/>
      <c r="T61" s="1">
        <f>SUM(OSRRefT22_13x_0)</f>
        <v>3838.2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131.42000000000007</v>
      </c>
      <c r="Y61" s="1"/>
      <c r="Z61" s="5">
        <f t="shared" ref="Z61:Z66" si="47">IF(T61=0,0,X61/T61)</f>
        <v>3.4240008337241438E-2</v>
      </c>
    </row>
    <row r="62" spans="1:26" s="23" customFormat="1" hidden="1" outlineLevel="2" x14ac:dyDescent="0.25">
      <c r="A62" s="27"/>
      <c r="B62" s="10" t="str">
        <f>CONCATENATE("          ", "6309", " - ", "TELEPHONE")</f>
        <v xml:space="preserve">          6309 - TELEPHONE</v>
      </c>
      <c r="C62" s="10"/>
      <c r="D62" s="6">
        <v>245.31</v>
      </c>
      <c r="E62" s="2"/>
      <c r="F62" s="7">
        <f t="shared" si="40"/>
        <v>0</v>
      </c>
      <c r="G62" s="2"/>
      <c r="H62" s="6">
        <v>372.25</v>
      </c>
      <c r="I62" s="2"/>
      <c r="J62" s="7">
        <f t="shared" si="41"/>
        <v>0</v>
      </c>
      <c r="K62" s="2"/>
      <c r="L62" s="6">
        <f t="shared" si="42"/>
        <v>-126.94</v>
      </c>
      <c r="M62" s="2"/>
      <c r="N62" s="7">
        <f t="shared" si="43"/>
        <v>-0.34100738750839488</v>
      </c>
      <c r="O62" s="10"/>
      <c r="P62" s="6">
        <v>3969.62</v>
      </c>
      <c r="Q62" s="2"/>
      <c r="R62" s="7">
        <f t="shared" si="44"/>
        <v>0</v>
      </c>
      <c r="S62" s="2"/>
      <c r="T62" s="6">
        <v>3838.2</v>
      </c>
      <c r="U62" s="2"/>
      <c r="V62" s="7">
        <f t="shared" si="45"/>
        <v>0</v>
      </c>
      <c r="W62" s="2"/>
      <c r="X62" s="6">
        <f t="shared" si="46"/>
        <v>131.42000000000007</v>
      </c>
      <c r="Y62" s="2"/>
      <c r="Z62" s="7">
        <f t="shared" si="47"/>
        <v>3.4240008337241438E-2</v>
      </c>
    </row>
    <row r="63" spans="1:26" s="26" customFormat="1" outlineLevel="1" collapsed="1" x14ac:dyDescent="0.25">
      <c r="A63" s="25"/>
      <c r="B63" s="12" t="str">
        <f>CONCATENATE("     ","Training                                          ")</f>
        <v xml:space="preserve">     Training                                          </v>
      </c>
      <c r="C63" s="12"/>
      <c r="D63" s="1">
        <f>SUM(OSRRefD22_14x_0)</f>
        <v>3000</v>
      </c>
      <c r="E63" s="1"/>
      <c r="F63" s="5">
        <f t="shared" si="40"/>
        <v>0</v>
      </c>
      <c r="G63" s="1"/>
      <c r="H63" s="1">
        <f>SUM(OSRRefH22_14x_0)</f>
        <v>0</v>
      </c>
      <c r="I63" s="1"/>
      <c r="J63" s="5">
        <f t="shared" si="41"/>
        <v>0</v>
      </c>
      <c r="K63" s="1"/>
      <c r="L63" s="1">
        <f t="shared" si="42"/>
        <v>3000</v>
      </c>
      <c r="M63" s="1"/>
      <c r="N63" s="5">
        <f t="shared" si="43"/>
        <v>0</v>
      </c>
      <c r="O63" s="12"/>
      <c r="P63" s="1">
        <f>SUM(OSRRefP22_14x_0)</f>
        <v>4276.5</v>
      </c>
      <c r="Q63" s="1"/>
      <c r="R63" s="5">
        <f t="shared" si="44"/>
        <v>0</v>
      </c>
      <c r="S63" s="1"/>
      <c r="T63" s="1">
        <f>SUM(OSRRefT22_14x_0)</f>
        <v>6622.71</v>
      </c>
      <c r="U63" s="1"/>
      <c r="V63" s="5">
        <f t="shared" si="45"/>
        <v>0</v>
      </c>
      <c r="W63" s="1"/>
      <c r="X63" s="1">
        <f t="shared" si="46"/>
        <v>-2346.21</v>
      </c>
      <c r="Y63" s="1"/>
      <c r="Z63" s="5">
        <f t="shared" si="47"/>
        <v>-0.35426736185036034</v>
      </c>
    </row>
    <row r="64" spans="1:26" s="23" customFormat="1" hidden="1" outlineLevel="2" x14ac:dyDescent="0.25">
      <c r="A64" s="27"/>
      <c r="B64" s="10" t="str">
        <f>CONCATENATE("          ", "6376", " - ", "TRAINING")</f>
        <v xml:space="preserve">          6376 - TRAINING</v>
      </c>
      <c r="C64" s="10"/>
      <c r="D64" s="6">
        <v>3000</v>
      </c>
      <c r="E64" s="2"/>
      <c r="F64" s="7">
        <f t="shared" si="40"/>
        <v>0</v>
      </c>
      <c r="G64" s="2"/>
      <c r="H64" s="6"/>
      <c r="I64" s="2"/>
      <c r="J64" s="7">
        <f t="shared" si="41"/>
        <v>0</v>
      </c>
      <c r="K64" s="2"/>
      <c r="L64" s="6">
        <f t="shared" si="42"/>
        <v>3000</v>
      </c>
      <c r="M64" s="2"/>
      <c r="N64" s="7">
        <f t="shared" si="43"/>
        <v>0</v>
      </c>
      <c r="O64" s="10"/>
      <c r="P64" s="6">
        <v>4276.5</v>
      </c>
      <c r="Q64" s="2"/>
      <c r="R64" s="7">
        <f t="shared" si="44"/>
        <v>0</v>
      </c>
      <c r="S64" s="2"/>
      <c r="T64" s="6">
        <v>6622.71</v>
      </c>
      <c r="U64" s="2"/>
      <c r="V64" s="7">
        <f t="shared" si="45"/>
        <v>0</v>
      </c>
      <c r="W64" s="2"/>
      <c r="X64" s="6">
        <f t="shared" si="46"/>
        <v>-2346.21</v>
      </c>
      <c r="Y64" s="2"/>
      <c r="Z64" s="7">
        <f t="shared" si="47"/>
        <v>-0.35426736185036034</v>
      </c>
    </row>
    <row r="65" spans="1:26" s="26" customFormat="1" outlineLevel="1" collapsed="1" x14ac:dyDescent="0.25">
      <c r="A65" s="25"/>
      <c r="B65" s="12" t="str">
        <f>CONCATENATE("     ","Travel                                            ")</f>
        <v xml:space="preserve">     Travel                                            </v>
      </c>
      <c r="C65" s="12"/>
      <c r="D65" s="1">
        <f>SUM(OSRRefD22_15x_0)</f>
        <v>0</v>
      </c>
      <c r="E65" s="1"/>
      <c r="F65" s="5">
        <f t="shared" si="40"/>
        <v>0</v>
      </c>
      <c r="G65" s="1"/>
      <c r="H65" s="1">
        <f>SUM(OSRRefH22_15x_0)</f>
        <v>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2"/>
      <c r="P65" s="1">
        <f>SUM(OSRRefP22_15x_0)</f>
        <v>0</v>
      </c>
      <c r="Q65" s="1"/>
      <c r="R65" s="5">
        <f t="shared" si="44"/>
        <v>0</v>
      </c>
      <c r="S65" s="1"/>
      <c r="T65" s="1">
        <f>SUM(OSRRefT22_15x_0)</f>
        <v>3811.99</v>
      </c>
      <c r="U65" s="1"/>
      <c r="V65" s="5">
        <f t="shared" si="45"/>
        <v>0</v>
      </c>
      <c r="W65" s="1"/>
      <c r="X65" s="1">
        <f t="shared" si="46"/>
        <v>-3811.99</v>
      </c>
      <c r="Y65" s="1"/>
      <c r="Z65" s="5">
        <f t="shared" si="47"/>
        <v>-1</v>
      </c>
    </row>
    <row r="66" spans="1:26" s="23" customFormat="1" hidden="1" outlineLevel="2" x14ac:dyDescent="0.25">
      <c r="A66" s="27"/>
      <c r="B66" s="10" t="str">
        <f>CONCATENATE("          ", "6292", " - ", "TRAVEL/CONFERENCE")</f>
        <v xml:space="preserve">          6292 - TRAVEL/CONFERENCE</v>
      </c>
      <c r="C66" s="10"/>
      <c r="D66" s="6"/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0"/>
      <c r="P66" s="6"/>
      <c r="Q66" s="2"/>
      <c r="R66" s="7">
        <f t="shared" si="44"/>
        <v>0</v>
      </c>
      <c r="S66" s="2"/>
      <c r="T66" s="6">
        <v>3811.99</v>
      </c>
      <c r="U66" s="2"/>
      <c r="V66" s="7">
        <f t="shared" si="45"/>
        <v>0</v>
      </c>
      <c r="W66" s="2"/>
      <c r="X66" s="6">
        <f t="shared" si="46"/>
        <v>-3811.99</v>
      </c>
      <c r="Y66" s="2"/>
      <c r="Z66" s="7">
        <f t="shared" si="47"/>
        <v>-1</v>
      </c>
    </row>
    <row r="67" spans="1:26" s="62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4" customFormat="1" x14ac:dyDescent="0.25">
      <c r="A68" s="11"/>
      <c r="B68" s="28" t="s">
        <v>292</v>
      </c>
      <c r="C68" s="11"/>
      <c r="D68" s="4">
        <f>SUM(0)</f>
        <v>0</v>
      </c>
      <c r="E68" s="4"/>
      <c r="F68" s="13">
        <f>IF(D$12=0,0,D68/D$12)</f>
        <v>0</v>
      </c>
      <c r="G68" s="4"/>
      <c r="H68" s="4">
        <f>SUM(0)</f>
        <v>0</v>
      </c>
      <c r="I68" s="4"/>
      <c r="J68" s="13">
        <f>IF(H$12=0,0,H68/H$12)</f>
        <v>0</v>
      </c>
      <c r="K68" s="4"/>
      <c r="L68" s="4">
        <f>+D68-H68</f>
        <v>0</v>
      </c>
      <c r="M68" s="4"/>
      <c r="N68" s="13">
        <f>IF(H68=0,0,L68/H68)</f>
        <v>0</v>
      </c>
      <c r="O68" s="11"/>
      <c r="P68" s="4">
        <f>SUM(0)</f>
        <v>0</v>
      </c>
      <c r="Q68" s="4"/>
      <c r="R68" s="13">
        <f>IF(P$12=0,0,P68/P$12)</f>
        <v>0</v>
      </c>
      <c r="S68" s="4"/>
      <c r="T68" s="4">
        <f>SUM(0)</f>
        <v>0</v>
      </c>
      <c r="U68" s="4"/>
      <c r="V68" s="13">
        <f>IF(T$12=0,0,T68/T$12)</f>
        <v>0</v>
      </c>
      <c r="W68" s="4"/>
      <c r="X68" s="4">
        <f>+P68-T68</f>
        <v>0</v>
      </c>
      <c r="Y68" s="4"/>
      <c r="Z68" s="13">
        <f>IF(T68=0,0,X68/T68)</f>
        <v>0</v>
      </c>
    </row>
    <row r="69" spans="1:26" x14ac:dyDescent="0.25">
      <c r="A69" s="9"/>
      <c r="B69" s="11"/>
      <c r="C69" s="11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1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4" customFormat="1" x14ac:dyDescent="0.25">
      <c r="A70" s="11"/>
      <c r="B70" s="29" t="s">
        <v>276</v>
      </c>
      <c r="C70" s="29"/>
      <c r="D70" s="20">
        <f>+D16-D18+D68</f>
        <v>-46371.579999999994</v>
      </c>
      <c r="E70" s="14"/>
      <c r="F70" s="22">
        <f>IF(D$12=0,0,D70/D$12)</f>
        <v>0</v>
      </c>
      <c r="G70" s="14"/>
      <c r="H70" s="20">
        <f>+H16-H18+H68</f>
        <v>-49313.53</v>
      </c>
      <c r="I70" s="14"/>
      <c r="J70" s="22">
        <f>IF(H$12=0,0,H70/H$12)</f>
        <v>0</v>
      </c>
      <c r="K70" s="16"/>
      <c r="L70" s="20">
        <f>+D70-H70</f>
        <v>2941.9500000000044</v>
      </c>
      <c r="M70" s="16"/>
      <c r="N70" s="22">
        <f>IF(H70=0,0,L70/H70)</f>
        <v>-5.9658069499384944E-2</v>
      </c>
      <c r="O70" s="28"/>
      <c r="P70" s="20">
        <f>+P16-P18+P68</f>
        <v>-379487.04</v>
      </c>
      <c r="Q70" s="14"/>
      <c r="R70" s="22">
        <f>IF(P$12=0,0,P70/P$12)</f>
        <v>0</v>
      </c>
      <c r="S70" s="14"/>
      <c r="T70" s="20">
        <f>+T16-T18+T68</f>
        <v>-601681.70999999985</v>
      </c>
      <c r="U70" s="14"/>
      <c r="V70" s="22">
        <f>IF(T$12=0,0,T70/T$12)</f>
        <v>0</v>
      </c>
      <c r="W70" s="16"/>
      <c r="X70" s="20">
        <f>+P70-T70</f>
        <v>222194.66999999987</v>
      </c>
      <c r="Y70" s="16"/>
      <c r="Z70" s="22">
        <f>IF(T70=0,0,X70/T70)</f>
        <v>-0.36928938724097149</v>
      </c>
    </row>
    <row r="71" spans="1:26" x14ac:dyDescent="0.25">
      <c r="A71" s="9"/>
      <c r="B71" s="11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4" customFormat="1" x14ac:dyDescent="0.25">
      <c r="A72" s="51"/>
      <c r="B72" s="11" t="s">
        <v>127</v>
      </c>
      <c r="C72" s="11"/>
      <c r="D72" s="4"/>
      <c r="E72" s="4"/>
      <c r="F72" s="13">
        <f>IF(D$12=0,0,D72/D$12)</f>
        <v>0</v>
      </c>
      <c r="G72" s="4"/>
      <c r="H72" s="4"/>
      <c r="I72" s="4"/>
      <c r="J72" s="13">
        <f>IF(H$12=0,0,H72/H$12)</f>
        <v>0</v>
      </c>
      <c r="K72" s="4"/>
      <c r="L72" s="4">
        <f>+D72-H72</f>
        <v>0</v>
      </c>
      <c r="M72" s="4"/>
      <c r="N72" s="13">
        <f>IF(H72=0,0,L72/H72)</f>
        <v>0</v>
      </c>
      <c r="O72" s="11"/>
      <c r="P72" s="4"/>
      <c r="Q72" s="4"/>
      <c r="R72" s="13">
        <f>IF(P$12=0,0,P72/P$12)</f>
        <v>0</v>
      </c>
      <c r="S72" s="4"/>
      <c r="T72" s="4"/>
      <c r="U72" s="4"/>
      <c r="V72" s="13">
        <f>IF(T$12=0,0,T72/T$12)</f>
        <v>0</v>
      </c>
      <c r="W72" s="4"/>
      <c r="X72" s="4">
        <f>+P72-T72</f>
        <v>0</v>
      </c>
      <c r="Y72" s="4"/>
      <c r="Z72" s="13">
        <f>IF(T72=0,0,X72/T72)</f>
        <v>0</v>
      </c>
    </row>
    <row r="73" spans="1:26" x14ac:dyDescent="0.25">
      <c r="A73" s="9"/>
      <c r="B73" s="11"/>
      <c r="C73" s="11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1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4" customFormat="1" ht="15.75" thickBot="1" x14ac:dyDescent="0.3">
      <c r="A74" s="11"/>
      <c r="B74" s="29" t="s">
        <v>125</v>
      </c>
      <c r="C74" s="29"/>
      <c r="D74" s="30">
        <f>+D70-D72</f>
        <v>-46371.579999999994</v>
      </c>
      <c r="E74" s="14"/>
      <c r="F74" s="34">
        <f>IF(D$12=0,0,D74/D$12)</f>
        <v>0</v>
      </c>
      <c r="G74" s="14"/>
      <c r="H74" s="30">
        <f>+H70-H72</f>
        <v>-49313.53</v>
      </c>
      <c r="I74" s="14"/>
      <c r="J74" s="34">
        <f>IF(H$12=0,0,H74/H$12)</f>
        <v>0</v>
      </c>
      <c r="K74" s="16"/>
      <c r="L74" s="30">
        <f>D74-H74</f>
        <v>2941.9500000000044</v>
      </c>
      <c r="M74" s="16"/>
      <c r="N74" s="34">
        <f>IF(H74=0,0,L74/H74)</f>
        <v>-5.9658069499384944E-2</v>
      </c>
      <c r="O74" s="28"/>
      <c r="P74" s="30">
        <f>+P70-P72</f>
        <v>-379487.04</v>
      </c>
      <c r="Q74" s="14"/>
      <c r="R74" s="34">
        <f>IF(P$12=0,0,P74/P$12)</f>
        <v>0</v>
      </c>
      <c r="S74" s="14"/>
      <c r="T74" s="30">
        <f>+T70-T72</f>
        <v>-601681.70999999985</v>
      </c>
      <c r="U74" s="14"/>
      <c r="V74" s="34">
        <f>IF(T$12=0,0,T74/T$12)</f>
        <v>0</v>
      </c>
      <c r="W74" s="16"/>
      <c r="X74" s="30">
        <f>P74-T74</f>
        <v>222194.66999999987</v>
      </c>
      <c r="Y74" s="16"/>
      <c r="Z74" s="34">
        <f>IF(T74=0,0,X74/T74)</f>
        <v>-0.36928938724097149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ht="15.75" thickBot="1" x14ac:dyDescent="0.3">
      <c r="A77" s="11"/>
      <c r="B77" s="29" t="s">
        <v>293</v>
      </c>
      <c r="C77" s="29"/>
      <c r="D77" s="32">
        <f>SUM(D74:D76)</f>
        <v>-46371.579999999994</v>
      </c>
      <c r="E77" s="14"/>
      <c r="F77" s="35">
        <f>IF(D$12=0,0,D77/D$12)</f>
        <v>0</v>
      </c>
      <c r="G77" s="14"/>
      <c r="H77" s="32">
        <f>SUM(H74:H76)</f>
        <v>-49313.53</v>
      </c>
      <c r="I77" s="14"/>
      <c r="J77" s="35">
        <f>IF(H$12=0,0,H77/H$12)</f>
        <v>0</v>
      </c>
      <c r="K77" s="16"/>
      <c r="L77" s="32">
        <f>+D77-H77</f>
        <v>2941.9500000000044</v>
      </c>
      <c r="M77" s="16"/>
      <c r="N77" s="35">
        <f>IF(H77=0,0,L77/H77)</f>
        <v>-5.9658069499384944E-2</v>
      </c>
      <c r="O77" s="28"/>
      <c r="P77" s="32">
        <f>SUM(P74:P76)</f>
        <v>-379487.04</v>
      </c>
      <c r="Q77" s="14"/>
      <c r="R77" s="35">
        <f>IF(P$12=0,0,P77/P$12)</f>
        <v>0</v>
      </c>
      <c r="S77" s="14"/>
      <c r="T77" s="32">
        <f>SUM(T74:T76)</f>
        <v>-601681.70999999985</v>
      </c>
      <c r="U77" s="14"/>
      <c r="V77" s="35">
        <f>IF(T$12=0,0,T77/T$12)</f>
        <v>0</v>
      </c>
      <c r="W77" s="16"/>
      <c r="X77" s="32">
        <f>+P77-T77</f>
        <v>222194.66999999987</v>
      </c>
      <c r="Y77" s="16"/>
      <c r="Z77" s="35">
        <f>IF(T77=0,0,X77/T77)</f>
        <v>-0.36928938724097149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59">
        <v>44330.00886898148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2" t="s">
        <v>56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5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","202", " - ", "Accounting")</f>
        <v>Department 202 - Accounting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39295.32</v>
      </c>
      <c r="E18" s="21"/>
      <c r="F18" s="31">
        <f t="shared" ref="F18:F27" si="0">IF(D$12=0,0,D18/D$12)</f>
        <v>0</v>
      </c>
      <c r="G18" s="21"/>
      <c r="H18" s="21">
        <f>SUM(OSRRefH22x_0)</f>
        <v>-7537.7599999999975</v>
      </c>
      <c r="I18" s="21"/>
      <c r="J18" s="31">
        <f t="shared" ref="J18:J27" si="1">IF(H$12=0,0,H18/H$12)</f>
        <v>0</v>
      </c>
      <c r="K18" s="4"/>
      <c r="L18" s="21">
        <f t="shared" ref="L18:L27" si="2">+D18-H18</f>
        <v>46833.079999999994</v>
      </c>
      <c r="M18" s="4"/>
      <c r="N18" s="31">
        <f t="shared" ref="N18:N27" si="3">IF(H18=0,0,L18/H18)</f>
        <v>-6.2131296300227135</v>
      </c>
      <c r="O18" s="11"/>
      <c r="P18" s="21">
        <f>SUM(OSRRefP22x_0)</f>
        <v>417060.2699999999</v>
      </c>
      <c r="Q18" s="21"/>
      <c r="R18" s="31">
        <f t="shared" ref="R18:R27" si="4">IF(P$12=0,0,P18/P$12)</f>
        <v>0</v>
      </c>
      <c r="S18" s="21"/>
      <c r="T18" s="21">
        <f>SUM(OSRRefT22x_0)</f>
        <v>506101.7699999999</v>
      </c>
      <c r="U18" s="21"/>
      <c r="V18" s="31">
        <f t="shared" ref="V18:V27" si="5">IF(T$12=0,0,T18/T$12)</f>
        <v>0</v>
      </c>
      <c r="W18" s="4"/>
      <c r="X18" s="21">
        <f t="shared" ref="X18:X27" si="6">+P18-T18</f>
        <v>-89041.5</v>
      </c>
      <c r="Y18" s="4"/>
      <c r="Z18" s="31">
        <f t="shared" ref="Z18:Z27" si="7">IF(T18=0,0,X18/T18)</f>
        <v>-0.17593595849309127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14986.869999999999</v>
      </c>
      <c r="E19" s="1"/>
      <c r="F19" s="5">
        <f t="shared" si="0"/>
        <v>0</v>
      </c>
      <c r="G19" s="1"/>
      <c r="H19" s="1">
        <f>SUM(OSRRefH22_0x_0)</f>
        <v>-21928.38</v>
      </c>
      <c r="I19" s="1"/>
      <c r="J19" s="5">
        <f t="shared" si="1"/>
        <v>0</v>
      </c>
      <c r="K19" s="1"/>
      <c r="L19" s="1">
        <f t="shared" si="2"/>
        <v>36915.25</v>
      </c>
      <c r="M19" s="1"/>
      <c r="N19" s="5">
        <f t="shared" si="3"/>
        <v>-1.6834462919741449</v>
      </c>
      <c r="O19" s="12"/>
      <c r="P19" s="1">
        <f>SUM(OSRRefP22_0x_0)</f>
        <v>134062.5</v>
      </c>
      <c r="Q19" s="1"/>
      <c r="R19" s="5">
        <f t="shared" si="4"/>
        <v>0</v>
      </c>
      <c r="S19" s="1"/>
      <c r="T19" s="1">
        <f>SUM(OSRRefT22_0x_0)</f>
        <v>122575.5</v>
      </c>
      <c r="U19" s="1"/>
      <c r="V19" s="5">
        <f t="shared" si="5"/>
        <v>0</v>
      </c>
      <c r="W19" s="1"/>
      <c r="X19" s="1">
        <f t="shared" si="6"/>
        <v>11487</v>
      </c>
      <c r="Y19" s="1"/>
      <c r="Z19" s="5">
        <f t="shared" si="7"/>
        <v>9.3713670350110745E-2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2448.02</v>
      </c>
      <c r="E20" s="2"/>
      <c r="F20" s="7">
        <f t="shared" si="0"/>
        <v>0</v>
      </c>
      <c r="G20" s="2"/>
      <c r="H20" s="6">
        <v>2433.59</v>
      </c>
      <c r="I20" s="2"/>
      <c r="J20" s="7">
        <f t="shared" si="1"/>
        <v>0</v>
      </c>
      <c r="K20" s="2"/>
      <c r="L20" s="6">
        <f t="shared" si="2"/>
        <v>14.429999999999836</v>
      </c>
      <c r="M20" s="2"/>
      <c r="N20" s="7">
        <f t="shared" si="3"/>
        <v>5.9295115446726179E-3</v>
      </c>
      <c r="O20" s="10"/>
      <c r="P20" s="6">
        <v>19139.77</v>
      </c>
      <c r="Q20" s="2"/>
      <c r="R20" s="7">
        <f t="shared" si="4"/>
        <v>0</v>
      </c>
      <c r="S20" s="2"/>
      <c r="T20" s="6">
        <v>26495.119999999999</v>
      </c>
      <c r="U20" s="2"/>
      <c r="V20" s="7">
        <f t="shared" si="5"/>
        <v>0</v>
      </c>
      <c r="W20" s="2"/>
      <c r="X20" s="6">
        <f t="shared" si="6"/>
        <v>-7355.3499999999985</v>
      </c>
      <c r="Y20" s="2"/>
      <c r="Z20" s="7">
        <f t="shared" si="7"/>
        <v>-0.27761149977807231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70.319999999999993</v>
      </c>
      <c r="E21" s="2"/>
      <c r="F21" s="7">
        <f t="shared" si="0"/>
        <v>0</v>
      </c>
      <c r="G21" s="2"/>
      <c r="H21" s="6">
        <v>72.930000000000007</v>
      </c>
      <c r="I21" s="2"/>
      <c r="J21" s="7">
        <f t="shared" si="1"/>
        <v>0</v>
      </c>
      <c r="K21" s="2"/>
      <c r="L21" s="6">
        <f t="shared" si="2"/>
        <v>-2.6100000000000136</v>
      </c>
      <c r="M21" s="2"/>
      <c r="N21" s="7">
        <f t="shared" si="3"/>
        <v>-3.5787741670094797E-2</v>
      </c>
      <c r="O21" s="10"/>
      <c r="P21" s="6">
        <v>788.53</v>
      </c>
      <c r="Q21" s="2"/>
      <c r="R21" s="7">
        <f t="shared" si="4"/>
        <v>0</v>
      </c>
      <c r="S21" s="2"/>
      <c r="T21" s="6">
        <v>1086.07</v>
      </c>
      <c r="U21" s="2"/>
      <c r="V21" s="7">
        <f t="shared" si="5"/>
        <v>0</v>
      </c>
      <c r="W21" s="2"/>
      <c r="X21" s="6">
        <f t="shared" si="6"/>
        <v>-297.53999999999996</v>
      </c>
      <c r="Y21" s="2"/>
      <c r="Z21" s="7">
        <f t="shared" si="7"/>
        <v>-0.27396024197335345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6236.66</v>
      </c>
      <c r="E22" s="2"/>
      <c r="F22" s="7">
        <f t="shared" si="0"/>
        <v>0</v>
      </c>
      <c r="G22" s="2"/>
      <c r="H22" s="6">
        <v>5567.04</v>
      </c>
      <c r="I22" s="2"/>
      <c r="J22" s="7">
        <f t="shared" si="1"/>
        <v>0</v>
      </c>
      <c r="K22" s="2"/>
      <c r="L22" s="6">
        <f t="shared" si="2"/>
        <v>669.61999999999989</v>
      </c>
      <c r="M22" s="2"/>
      <c r="N22" s="7">
        <f t="shared" si="3"/>
        <v>0.12028295108352013</v>
      </c>
      <c r="O22" s="10"/>
      <c r="P22" s="6">
        <v>60387.92</v>
      </c>
      <c r="Q22" s="2"/>
      <c r="R22" s="7">
        <f t="shared" si="4"/>
        <v>0</v>
      </c>
      <c r="S22" s="2"/>
      <c r="T22" s="6">
        <v>60742.71</v>
      </c>
      <c r="U22" s="2"/>
      <c r="V22" s="7">
        <f t="shared" si="5"/>
        <v>0</v>
      </c>
      <c r="W22" s="2"/>
      <c r="X22" s="6">
        <f t="shared" si="6"/>
        <v>-354.79000000000087</v>
      </c>
      <c r="Y22" s="2"/>
      <c r="Z22" s="7">
        <f t="shared" si="7"/>
        <v>-5.8408655129150626E-3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55.4</v>
      </c>
      <c r="E23" s="2"/>
      <c r="F23" s="7">
        <f t="shared" si="0"/>
        <v>0</v>
      </c>
      <c r="G23" s="2"/>
      <c r="H23" s="6">
        <v>55.77</v>
      </c>
      <c r="I23" s="2"/>
      <c r="J23" s="7">
        <f t="shared" si="1"/>
        <v>0</v>
      </c>
      <c r="K23" s="2"/>
      <c r="L23" s="6">
        <f t="shared" si="2"/>
        <v>-0.37000000000000455</v>
      </c>
      <c r="M23" s="2"/>
      <c r="N23" s="7">
        <f t="shared" si="3"/>
        <v>-6.6343912497759464E-3</v>
      </c>
      <c r="O23" s="10"/>
      <c r="P23" s="6">
        <v>621.23</v>
      </c>
      <c r="Q23" s="2"/>
      <c r="R23" s="7">
        <f t="shared" si="4"/>
        <v>0</v>
      </c>
      <c r="S23" s="2"/>
      <c r="T23" s="6">
        <v>971.28</v>
      </c>
      <c r="U23" s="2"/>
      <c r="V23" s="7">
        <f t="shared" si="5"/>
        <v>0</v>
      </c>
      <c r="W23" s="2"/>
      <c r="X23" s="6">
        <f t="shared" si="6"/>
        <v>-350.04999999999995</v>
      </c>
      <c r="Y23" s="2"/>
      <c r="Z23" s="7">
        <f t="shared" si="7"/>
        <v>-0.36040070834362897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1978.76</v>
      </c>
      <c r="E24" s="2"/>
      <c r="F24" s="7">
        <f t="shared" si="0"/>
        <v>0</v>
      </c>
      <c r="G24" s="2"/>
      <c r="H24" s="6">
        <v>3089.01</v>
      </c>
      <c r="I24" s="2"/>
      <c r="J24" s="7">
        <f t="shared" si="1"/>
        <v>0</v>
      </c>
      <c r="K24" s="2"/>
      <c r="L24" s="6">
        <f t="shared" si="2"/>
        <v>-1110.2500000000002</v>
      </c>
      <c r="M24" s="2"/>
      <c r="N24" s="7">
        <f t="shared" si="3"/>
        <v>-0.35941936089556203</v>
      </c>
      <c r="O24" s="10"/>
      <c r="P24" s="6">
        <v>22617.67</v>
      </c>
      <c r="Q24" s="2"/>
      <c r="R24" s="7">
        <f t="shared" si="4"/>
        <v>0</v>
      </c>
      <c r="S24" s="2"/>
      <c r="T24" s="6">
        <v>25906.32</v>
      </c>
      <c r="U24" s="2"/>
      <c r="V24" s="7">
        <f t="shared" si="5"/>
        <v>0</v>
      </c>
      <c r="W24" s="2"/>
      <c r="X24" s="6">
        <f t="shared" si="6"/>
        <v>-3288.6500000000015</v>
      </c>
      <c r="Y24" s="2"/>
      <c r="Z24" s="7">
        <f t="shared" si="7"/>
        <v>-0.1269439271961437</v>
      </c>
    </row>
    <row r="25" spans="1:26" s="23" customFormat="1" hidden="1" outlineLevel="2" x14ac:dyDescent="0.25">
      <c r="A25" s="27"/>
      <c r="B25" s="10" t="str">
        <f>CONCATENATE("          ", "6118", " - ", "VACATION")</f>
        <v xml:space="preserve">          6118 - VACATION</v>
      </c>
      <c r="C25" s="10"/>
      <c r="D25" s="6">
        <v>2409.15</v>
      </c>
      <c r="E25" s="2"/>
      <c r="F25" s="7">
        <f t="shared" si="0"/>
        <v>0</v>
      </c>
      <c r="G25" s="2"/>
      <c r="H25" s="6">
        <v>2281.11</v>
      </c>
      <c r="I25" s="2"/>
      <c r="J25" s="7">
        <f t="shared" si="1"/>
        <v>0</v>
      </c>
      <c r="K25" s="2"/>
      <c r="L25" s="6">
        <f t="shared" si="2"/>
        <v>128.03999999999996</v>
      </c>
      <c r="M25" s="2"/>
      <c r="N25" s="7">
        <f t="shared" si="3"/>
        <v>5.613056801294105E-2</v>
      </c>
      <c r="O25" s="10"/>
      <c r="P25" s="6">
        <v>17325.12</v>
      </c>
      <c r="Q25" s="2"/>
      <c r="R25" s="7">
        <f t="shared" si="4"/>
        <v>0</v>
      </c>
      <c r="S25" s="2"/>
      <c r="T25" s="6">
        <v>21182.400000000001</v>
      </c>
      <c r="U25" s="2"/>
      <c r="V25" s="7">
        <f t="shared" si="5"/>
        <v>0</v>
      </c>
      <c r="W25" s="2"/>
      <c r="X25" s="6">
        <f t="shared" si="6"/>
        <v>-3857.2800000000025</v>
      </c>
      <c r="Y25" s="2"/>
      <c r="Z25" s="7">
        <f t="shared" si="7"/>
        <v>-0.18209834579651041</v>
      </c>
    </row>
    <row r="26" spans="1:26" s="23" customFormat="1" hidden="1" outlineLevel="2" x14ac:dyDescent="0.25">
      <c r="A26" s="27"/>
      <c r="B26" s="10" t="str">
        <f>CONCATENATE("          ", "6119", " - ", "SICK LEAVE")</f>
        <v xml:space="preserve">          6119 - SICK LEAVE</v>
      </c>
      <c r="C26" s="10"/>
      <c r="D26" s="6">
        <v>1469.13</v>
      </c>
      <c r="E26" s="2"/>
      <c r="F26" s="7">
        <f t="shared" si="0"/>
        <v>0</v>
      </c>
      <c r="G26" s="2"/>
      <c r="H26" s="6">
        <v>-35515.33</v>
      </c>
      <c r="I26" s="2"/>
      <c r="J26" s="7">
        <f t="shared" si="1"/>
        <v>0</v>
      </c>
      <c r="K26" s="2"/>
      <c r="L26" s="6">
        <f t="shared" si="2"/>
        <v>36984.46</v>
      </c>
      <c r="M26" s="2"/>
      <c r="N26" s="7">
        <f t="shared" si="3"/>
        <v>-1.0413660805066431</v>
      </c>
      <c r="O26" s="10"/>
      <c r="P26" s="6">
        <v>10773.62</v>
      </c>
      <c r="Q26" s="2"/>
      <c r="R26" s="7">
        <f t="shared" si="4"/>
        <v>0</v>
      </c>
      <c r="S26" s="2"/>
      <c r="T26" s="6">
        <v>-21311.279999999999</v>
      </c>
      <c r="U26" s="2"/>
      <c r="V26" s="7">
        <f t="shared" si="5"/>
        <v>0</v>
      </c>
      <c r="W26" s="2"/>
      <c r="X26" s="6">
        <f t="shared" si="6"/>
        <v>32084.9</v>
      </c>
      <c r="Y26" s="2"/>
      <c r="Z26" s="7">
        <f t="shared" si="7"/>
        <v>-1.5055360353765708</v>
      </c>
    </row>
    <row r="27" spans="1:26" s="23" customFormat="1" hidden="1" outlineLevel="2" x14ac:dyDescent="0.25">
      <c r="A27" s="27"/>
      <c r="B27" s="10" t="str">
        <f>CONCATENATE("          ", "6156", " - ", "EMPLOYEE MEALS")</f>
        <v xml:space="preserve">          6156 - EMPLOYEE MEALS</v>
      </c>
      <c r="C27" s="10"/>
      <c r="D27" s="6">
        <v>319.43</v>
      </c>
      <c r="E27" s="2"/>
      <c r="F27" s="7">
        <f t="shared" si="0"/>
        <v>0</v>
      </c>
      <c r="G27" s="2"/>
      <c r="H27" s="6">
        <v>87.5</v>
      </c>
      <c r="I27" s="2"/>
      <c r="J27" s="7">
        <f t="shared" si="1"/>
        <v>0</v>
      </c>
      <c r="K27" s="2"/>
      <c r="L27" s="6">
        <f t="shared" si="2"/>
        <v>231.93</v>
      </c>
      <c r="M27" s="2"/>
      <c r="N27" s="7">
        <f t="shared" si="3"/>
        <v>2.6506285714285713</v>
      </c>
      <c r="O27" s="10"/>
      <c r="P27" s="6">
        <v>2408.64</v>
      </c>
      <c r="Q27" s="2"/>
      <c r="R27" s="7">
        <f t="shared" si="4"/>
        <v>0</v>
      </c>
      <c r="S27" s="2"/>
      <c r="T27" s="6">
        <v>7502.88</v>
      </c>
      <c r="U27" s="2"/>
      <c r="V27" s="7">
        <f t="shared" si="5"/>
        <v>0</v>
      </c>
      <c r="W27" s="2"/>
      <c r="X27" s="6">
        <f t="shared" si="6"/>
        <v>-5094.24</v>
      </c>
      <c r="Y27" s="2"/>
      <c r="Z27" s="7">
        <f t="shared" si="7"/>
        <v>-0.67897127503038834</v>
      </c>
    </row>
    <row r="28" spans="1:26" s="26" customFormat="1" outlineLevel="1" collapsed="1" x14ac:dyDescent="0.25">
      <c r="A28" s="25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21432.38</v>
      </c>
      <c r="E28" s="1"/>
      <c r="F28" s="5">
        <f t="shared" ref="F28:F33" si="8">IF(D$12=0,0,D28/D$12)</f>
        <v>0</v>
      </c>
      <c r="G28" s="1"/>
      <c r="H28" s="1">
        <f>SUM(OSRRefH22_1x_0)</f>
        <v>9529.02</v>
      </c>
      <c r="I28" s="1"/>
      <c r="J28" s="5">
        <f t="shared" ref="J28:J33" si="9">IF(H$12=0,0,H28/H$12)</f>
        <v>0</v>
      </c>
      <c r="K28" s="1"/>
      <c r="L28" s="1">
        <f t="shared" ref="L28:L33" si="10">+D28-H28</f>
        <v>11903.36</v>
      </c>
      <c r="M28" s="1"/>
      <c r="N28" s="5">
        <f t="shared" ref="N28:N33" si="11">IF(H28=0,0,L28/H28)</f>
        <v>1.2491693794325125</v>
      </c>
      <c r="O28" s="12"/>
      <c r="P28" s="1">
        <f>SUM(OSRRefP22_1x_0)</f>
        <v>213194.76</v>
      </c>
      <c r="Q28" s="1"/>
      <c r="R28" s="5">
        <f t="shared" ref="R28:R33" si="12">IF(P$12=0,0,P28/P$12)</f>
        <v>0</v>
      </c>
      <c r="S28" s="1"/>
      <c r="T28" s="1">
        <f>SUM(OSRRefT22_1x_0)</f>
        <v>309901.15999999997</v>
      </c>
      <c r="U28" s="1"/>
      <c r="V28" s="5">
        <f t="shared" ref="V28:V33" si="13">IF(T$12=0,0,T28/T$12)</f>
        <v>0</v>
      </c>
      <c r="W28" s="1"/>
      <c r="X28" s="1">
        <f t="shared" ref="X28:X33" si="14">+P28-T28</f>
        <v>-96706.399999999965</v>
      </c>
      <c r="Y28" s="1"/>
      <c r="Z28" s="5">
        <f t="shared" ref="Z28:Z33" si="15">IF(T28=0,0,X28/T28)</f>
        <v>-0.31205562444490359</v>
      </c>
    </row>
    <row r="29" spans="1:26" s="23" customFormat="1" hidden="1" outlineLevel="2" x14ac:dyDescent="0.25">
      <c r="A29" s="27"/>
      <c r="B29" s="10" t="str">
        <f>CONCATENATE("          ", "6002", " - ", "STAFF SALARIES")</f>
        <v xml:space="preserve">          6002 - STAFF SALARIES</v>
      </c>
      <c r="C29" s="10"/>
      <c r="D29" s="6">
        <v>21432.38</v>
      </c>
      <c r="E29" s="2"/>
      <c r="F29" s="7">
        <f t="shared" si="8"/>
        <v>0</v>
      </c>
      <c r="G29" s="2"/>
      <c r="H29" s="6">
        <v>18790.04</v>
      </c>
      <c r="I29" s="2"/>
      <c r="J29" s="7">
        <f t="shared" si="9"/>
        <v>0</v>
      </c>
      <c r="K29" s="2"/>
      <c r="L29" s="6">
        <f t="shared" si="10"/>
        <v>2642.34</v>
      </c>
      <c r="M29" s="2"/>
      <c r="N29" s="7">
        <f t="shared" si="11"/>
        <v>0.1406245010654581</v>
      </c>
      <c r="O29" s="10"/>
      <c r="P29" s="6">
        <v>212813</v>
      </c>
      <c r="Q29" s="2"/>
      <c r="R29" s="7">
        <f t="shared" si="12"/>
        <v>0</v>
      </c>
      <c r="S29" s="2"/>
      <c r="T29" s="6">
        <v>260598.14</v>
      </c>
      <c r="U29" s="2"/>
      <c r="V29" s="7">
        <f t="shared" si="13"/>
        <v>0</v>
      </c>
      <c r="W29" s="2"/>
      <c r="X29" s="6">
        <f t="shared" si="14"/>
        <v>-47785.140000000014</v>
      </c>
      <c r="Y29" s="2"/>
      <c r="Z29" s="7">
        <f t="shared" si="15"/>
        <v>-0.18336715680319135</v>
      </c>
    </row>
    <row r="30" spans="1:26" s="23" customFormat="1" hidden="1" outlineLevel="2" x14ac:dyDescent="0.25">
      <c r="A30" s="27"/>
      <c r="B30" s="10" t="str">
        <f>CONCATENATE("          ", "6004", " - ", "STAFF HOURLY")</f>
        <v xml:space="preserve">          6004 - STAFF HOURLY</v>
      </c>
      <c r="C30" s="10"/>
      <c r="D30" s="6"/>
      <c r="E30" s="2"/>
      <c r="F30" s="7">
        <f t="shared" si="8"/>
        <v>0</v>
      </c>
      <c r="G30" s="2"/>
      <c r="H30" s="6">
        <v>-9381.52</v>
      </c>
      <c r="I30" s="2"/>
      <c r="J30" s="7">
        <f t="shared" si="9"/>
        <v>0</v>
      </c>
      <c r="K30" s="2"/>
      <c r="L30" s="6">
        <f t="shared" si="10"/>
        <v>9381.52</v>
      </c>
      <c r="M30" s="2"/>
      <c r="N30" s="7">
        <f t="shared" si="11"/>
        <v>-1</v>
      </c>
      <c r="O30" s="10"/>
      <c r="P30" s="6"/>
      <c r="Q30" s="2"/>
      <c r="R30" s="7">
        <f t="shared" si="12"/>
        <v>0</v>
      </c>
      <c r="S30" s="2"/>
      <c r="T30" s="6">
        <v>-9381.52</v>
      </c>
      <c r="U30" s="2"/>
      <c r="V30" s="7">
        <f t="shared" si="13"/>
        <v>0</v>
      </c>
      <c r="W30" s="2"/>
      <c r="X30" s="6">
        <f t="shared" si="14"/>
        <v>9381.52</v>
      </c>
      <c r="Y30" s="2"/>
      <c r="Z30" s="7">
        <f t="shared" si="15"/>
        <v>-1</v>
      </c>
    </row>
    <row r="31" spans="1:26" s="23" customFormat="1" hidden="1" outlineLevel="2" x14ac:dyDescent="0.25">
      <c r="A31" s="27"/>
      <c r="B31" s="10" t="str">
        <f>CONCATENATE("          ", "6005", " - ", "TEMPORARY WAGES-HOURLY")</f>
        <v xml:space="preserve">          6005 - TEMPORARY WAGES-HOURLY</v>
      </c>
      <c r="C31" s="10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0"/>
      <c r="P31" s="6">
        <v>265.48</v>
      </c>
      <c r="Q31" s="2"/>
      <c r="R31" s="7">
        <f t="shared" si="12"/>
        <v>0</v>
      </c>
      <c r="S31" s="2"/>
      <c r="T31" s="6">
        <v>20823.22</v>
      </c>
      <c r="U31" s="2"/>
      <c r="V31" s="7">
        <f t="shared" si="13"/>
        <v>0</v>
      </c>
      <c r="W31" s="2"/>
      <c r="X31" s="6">
        <f t="shared" si="14"/>
        <v>-20557.740000000002</v>
      </c>
      <c r="Y31" s="2"/>
      <c r="Z31" s="7">
        <f t="shared" si="15"/>
        <v>-0.98725077101428116</v>
      </c>
    </row>
    <row r="32" spans="1:26" s="23" customFormat="1" hidden="1" outlineLevel="2" x14ac:dyDescent="0.25">
      <c r="A32" s="27"/>
      <c r="B32" s="10" t="str">
        <f>CONCATENATE("          ", "6007", " - ", "STUDENT HOURLY")</f>
        <v xml:space="preserve">          6007 - STUDENT HOURLY</v>
      </c>
      <c r="C32" s="10"/>
      <c r="D32" s="6"/>
      <c r="E32" s="2"/>
      <c r="F32" s="7">
        <f t="shared" si="8"/>
        <v>0</v>
      </c>
      <c r="G32" s="2"/>
      <c r="H32" s="6">
        <v>-120</v>
      </c>
      <c r="I32" s="2"/>
      <c r="J32" s="7">
        <f t="shared" si="9"/>
        <v>0</v>
      </c>
      <c r="K32" s="2"/>
      <c r="L32" s="6">
        <f t="shared" si="10"/>
        <v>120</v>
      </c>
      <c r="M32" s="2"/>
      <c r="N32" s="7">
        <f t="shared" si="11"/>
        <v>-1</v>
      </c>
      <c r="O32" s="10"/>
      <c r="P32" s="6">
        <v>116.28</v>
      </c>
      <c r="Q32" s="2"/>
      <c r="R32" s="7">
        <f t="shared" si="12"/>
        <v>0</v>
      </c>
      <c r="S32" s="2"/>
      <c r="T32" s="6">
        <v>32551.35</v>
      </c>
      <c r="U32" s="2"/>
      <c r="V32" s="7">
        <f t="shared" si="13"/>
        <v>0</v>
      </c>
      <c r="W32" s="2"/>
      <c r="X32" s="6">
        <f t="shared" si="14"/>
        <v>-32435.07</v>
      </c>
      <c r="Y32" s="2"/>
      <c r="Z32" s="7">
        <f t="shared" si="15"/>
        <v>-0.99642779792543168</v>
      </c>
    </row>
    <row r="33" spans="1:26" s="23" customFormat="1" hidden="1" outlineLevel="2" x14ac:dyDescent="0.25">
      <c r="A33" s="27"/>
      <c r="B33" s="10" t="str">
        <f>CONCATENATE("          ", "6008", " - ", "STUDENT HOURLY-FICA EXEMPT")</f>
        <v xml:space="preserve">          6008 - STUDENT HOURLY-FICA EXEMPT</v>
      </c>
      <c r="C33" s="10"/>
      <c r="D33" s="6"/>
      <c r="E33" s="2"/>
      <c r="F33" s="7">
        <f t="shared" si="8"/>
        <v>0</v>
      </c>
      <c r="G33" s="2"/>
      <c r="H33" s="6">
        <v>240.5</v>
      </c>
      <c r="I33" s="2"/>
      <c r="J33" s="7">
        <f t="shared" si="9"/>
        <v>0</v>
      </c>
      <c r="K33" s="2"/>
      <c r="L33" s="6">
        <f t="shared" si="10"/>
        <v>-240.5</v>
      </c>
      <c r="M33" s="2"/>
      <c r="N33" s="7">
        <f t="shared" si="11"/>
        <v>-1</v>
      </c>
      <c r="O33" s="10"/>
      <c r="P33" s="6"/>
      <c r="Q33" s="2"/>
      <c r="R33" s="7">
        <f t="shared" si="12"/>
        <v>0</v>
      </c>
      <c r="S33" s="2"/>
      <c r="T33" s="6">
        <v>5309.97</v>
      </c>
      <c r="U33" s="2"/>
      <c r="V33" s="7">
        <f t="shared" si="13"/>
        <v>0</v>
      </c>
      <c r="W33" s="2"/>
      <c r="X33" s="6">
        <f t="shared" si="14"/>
        <v>-5309.97</v>
      </c>
      <c r="Y33" s="2"/>
      <c r="Z33" s="7">
        <f t="shared" si="15"/>
        <v>-1</v>
      </c>
    </row>
    <row r="34" spans="1:26" s="26" customFormat="1" outlineLevel="1" collapsed="1" x14ac:dyDescent="0.25">
      <c r="A34" s="25"/>
      <c r="B34" s="12" t="str">
        <f>CONCATENATE("     ","Advertising/Promo                                 ")</f>
        <v xml:space="preserve">     Advertising/Promo                                 </v>
      </c>
      <c r="C34" s="12"/>
      <c r="D34" s="1">
        <f>SUM(OSRRefD22_2x_0)</f>
        <v>0</v>
      </c>
      <c r="E34" s="1"/>
      <c r="F34" s="5">
        <f t="shared" ref="F34:F44" si="16">IF(D$12=0,0,D34/D$12)</f>
        <v>0</v>
      </c>
      <c r="G34" s="1"/>
      <c r="H34" s="1">
        <f>SUM(OSRRefH22_2x_0)</f>
        <v>0</v>
      </c>
      <c r="I34" s="1"/>
      <c r="J34" s="5">
        <f t="shared" ref="J34:J44" si="17">IF(H$12=0,0,H34/H$12)</f>
        <v>0</v>
      </c>
      <c r="K34" s="1"/>
      <c r="L34" s="1">
        <f t="shared" ref="L34:L44" si="18">+D34-H34</f>
        <v>0</v>
      </c>
      <c r="M34" s="1"/>
      <c r="N34" s="5">
        <f t="shared" ref="N34:N44" si="19">IF(H34=0,0,L34/H34)</f>
        <v>0</v>
      </c>
      <c r="O34" s="12"/>
      <c r="P34" s="1">
        <f>SUM(OSRRefP22_2x_0)</f>
        <v>0</v>
      </c>
      <c r="Q34" s="1"/>
      <c r="R34" s="5">
        <f t="shared" ref="R34:R44" si="20">IF(P$12=0,0,P34/P$12)</f>
        <v>0</v>
      </c>
      <c r="S34" s="1"/>
      <c r="T34" s="1">
        <f>SUM(OSRRefT22_2x_0)</f>
        <v>62</v>
      </c>
      <c r="U34" s="1"/>
      <c r="V34" s="5">
        <f t="shared" ref="V34:V44" si="21">IF(T$12=0,0,T34/T$12)</f>
        <v>0</v>
      </c>
      <c r="W34" s="1"/>
      <c r="X34" s="1">
        <f t="shared" ref="X34:X44" si="22">+P34-T34</f>
        <v>-62</v>
      </c>
      <c r="Y34" s="1"/>
      <c r="Z34" s="5">
        <f t="shared" ref="Z34:Z44" si="23">IF(T34=0,0,X34/T34)</f>
        <v>-1</v>
      </c>
    </row>
    <row r="35" spans="1:26" s="23" customFormat="1" hidden="1" outlineLevel="2" x14ac:dyDescent="0.25">
      <c r="A35" s="27"/>
      <c r="B35" s="10" t="str">
        <f>CONCATENATE("          ", "6362", " - ", "ADVERTISING EXPENSE")</f>
        <v xml:space="preserve">          6362 - ADVERTISING EXPENSE</v>
      </c>
      <c r="C35" s="10"/>
      <c r="D35" s="6"/>
      <c r="E35" s="2"/>
      <c r="F35" s="7">
        <f t="shared" si="16"/>
        <v>0</v>
      </c>
      <c r="G35" s="2"/>
      <c r="H35" s="6"/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0"/>
      <c r="P35" s="6"/>
      <c r="Q35" s="2"/>
      <c r="R35" s="7">
        <f t="shared" si="20"/>
        <v>0</v>
      </c>
      <c r="S35" s="2"/>
      <c r="T35" s="6">
        <v>62</v>
      </c>
      <c r="U35" s="2"/>
      <c r="V35" s="7">
        <f t="shared" si="21"/>
        <v>0</v>
      </c>
      <c r="W35" s="2"/>
      <c r="X35" s="6">
        <f t="shared" si="22"/>
        <v>-62</v>
      </c>
      <c r="Y35" s="2"/>
      <c r="Z35" s="7">
        <f t="shared" si="23"/>
        <v>-1</v>
      </c>
    </row>
    <row r="36" spans="1:26" s="26" customFormat="1" outlineLevel="1" collapsed="1" x14ac:dyDescent="0.25">
      <c r="A36" s="25"/>
      <c r="B36" s="12" t="str">
        <f>CONCATENATE("     ","Depreciation                                      ")</f>
        <v xml:space="preserve">     Depreciation                                      </v>
      </c>
      <c r="C36" s="12"/>
      <c r="D36" s="1">
        <f>SUM(OSRRefD22_3x_0)</f>
        <v>1558.88</v>
      </c>
      <c r="E36" s="1"/>
      <c r="F36" s="5">
        <f t="shared" si="16"/>
        <v>0</v>
      </c>
      <c r="G36" s="1"/>
      <c r="H36" s="1">
        <f>SUM(OSRRefH22_3x_0)</f>
        <v>1558.88</v>
      </c>
      <c r="I36" s="1"/>
      <c r="J36" s="5">
        <f t="shared" si="17"/>
        <v>0</v>
      </c>
      <c r="K36" s="1"/>
      <c r="L36" s="1">
        <f t="shared" si="18"/>
        <v>0</v>
      </c>
      <c r="M36" s="1"/>
      <c r="N36" s="5">
        <f t="shared" si="19"/>
        <v>0</v>
      </c>
      <c r="O36" s="12"/>
      <c r="P36" s="1">
        <f>SUM(OSRRefP22_3x_0)</f>
        <v>15588.8</v>
      </c>
      <c r="Q36" s="1"/>
      <c r="R36" s="5">
        <f t="shared" si="20"/>
        <v>0</v>
      </c>
      <c r="S36" s="1"/>
      <c r="T36" s="1">
        <f>SUM(OSRRefT22_3x_0)</f>
        <v>15588.8</v>
      </c>
      <c r="U36" s="1"/>
      <c r="V36" s="5">
        <f t="shared" si="21"/>
        <v>0</v>
      </c>
      <c r="W36" s="1"/>
      <c r="X36" s="1">
        <f t="shared" si="22"/>
        <v>0</v>
      </c>
      <c r="Y36" s="1"/>
      <c r="Z36" s="5">
        <f t="shared" si="23"/>
        <v>0</v>
      </c>
    </row>
    <row r="37" spans="1:26" s="23" customFormat="1" hidden="1" outlineLevel="2" x14ac:dyDescent="0.25">
      <c r="A37" s="27"/>
      <c r="B37" s="10" t="str">
        <f>CONCATENATE("          ", "6322", " - ", "EQUIPMENT DEPRECIATION EXPENSE")</f>
        <v xml:space="preserve">          6322 - EQUIPMENT DEPRECIATION EXPENSE</v>
      </c>
      <c r="C37" s="10"/>
      <c r="D37" s="6">
        <v>1558.88</v>
      </c>
      <c r="E37" s="2"/>
      <c r="F37" s="7">
        <f t="shared" si="16"/>
        <v>0</v>
      </c>
      <c r="G37" s="2"/>
      <c r="H37" s="6">
        <v>1558.88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>
        <v>15588.8</v>
      </c>
      <c r="Q37" s="2"/>
      <c r="R37" s="7">
        <f t="shared" si="20"/>
        <v>0</v>
      </c>
      <c r="S37" s="2"/>
      <c r="T37" s="6">
        <v>15588.8</v>
      </c>
      <c r="U37" s="2"/>
      <c r="V37" s="7">
        <f t="shared" si="21"/>
        <v>0</v>
      </c>
      <c r="W37" s="2"/>
      <c r="X37" s="6">
        <f t="shared" si="22"/>
        <v>0</v>
      </c>
      <c r="Y37" s="2"/>
      <c r="Z37" s="7">
        <f t="shared" si="23"/>
        <v>0</v>
      </c>
    </row>
    <row r="38" spans="1:26" s="26" customFormat="1" outlineLevel="1" collapsed="1" x14ac:dyDescent="0.25">
      <c r="A38" s="25"/>
      <c r="B38" s="12" t="str">
        <f>CONCATENATE("     ","Employees' Appreciation                           ")</f>
        <v xml:space="preserve">     Employees' Appreciation                           </v>
      </c>
      <c r="C38" s="12"/>
      <c r="D38" s="1">
        <f>SUM(OSRRefD22_4x_0)</f>
        <v>0</v>
      </c>
      <c r="E38" s="1"/>
      <c r="F38" s="5">
        <f t="shared" si="16"/>
        <v>0</v>
      </c>
      <c r="G38" s="1"/>
      <c r="H38" s="1">
        <f>SUM(OSRRefH22_4x_0)</f>
        <v>0</v>
      </c>
      <c r="I38" s="1"/>
      <c r="J38" s="5">
        <f t="shared" si="17"/>
        <v>0</v>
      </c>
      <c r="K38" s="1"/>
      <c r="L38" s="1">
        <f t="shared" si="18"/>
        <v>0</v>
      </c>
      <c r="M38" s="1"/>
      <c r="N38" s="5">
        <f t="shared" si="19"/>
        <v>0</v>
      </c>
      <c r="O38" s="12"/>
      <c r="P38" s="1">
        <f>SUM(OSRRefP22_4x_0)</f>
        <v>0</v>
      </c>
      <c r="Q38" s="1"/>
      <c r="R38" s="5">
        <f t="shared" si="20"/>
        <v>0</v>
      </c>
      <c r="S38" s="1"/>
      <c r="T38" s="1">
        <f>SUM(OSRRefT22_4x_0)</f>
        <v>3.96</v>
      </c>
      <c r="U38" s="1"/>
      <c r="V38" s="5">
        <f t="shared" si="21"/>
        <v>0</v>
      </c>
      <c r="W38" s="1"/>
      <c r="X38" s="1">
        <f t="shared" si="22"/>
        <v>-3.96</v>
      </c>
      <c r="Y38" s="1"/>
      <c r="Z38" s="5">
        <f t="shared" si="23"/>
        <v>-1</v>
      </c>
    </row>
    <row r="39" spans="1:26" s="23" customFormat="1" hidden="1" outlineLevel="2" x14ac:dyDescent="0.25">
      <c r="A39" s="27"/>
      <c r="B39" s="10" t="str">
        <f>CONCATENATE("          ", "6277", " - ", "EMPLOYEE APPRECIATION")</f>
        <v xml:space="preserve">          6277 - EMPLOYEE APPRECIATION</v>
      </c>
      <c r="C39" s="10"/>
      <c r="D39" s="6"/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0"/>
      <c r="P39" s="6"/>
      <c r="Q39" s="2"/>
      <c r="R39" s="7">
        <f t="shared" si="20"/>
        <v>0</v>
      </c>
      <c r="S39" s="2"/>
      <c r="T39" s="6">
        <v>3.96</v>
      </c>
      <c r="U39" s="2"/>
      <c r="V39" s="7">
        <f t="shared" si="21"/>
        <v>0</v>
      </c>
      <c r="W39" s="2"/>
      <c r="X39" s="6">
        <f t="shared" si="22"/>
        <v>-3.96</v>
      </c>
      <c r="Y39" s="2"/>
      <c r="Z39" s="7">
        <f t="shared" si="23"/>
        <v>-1</v>
      </c>
    </row>
    <row r="40" spans="1:26" s="26" customFormat="1" outlineLevel="1" collapsed="1" x14ac:dyDescent="0.25">
      <c r="A40" s="25"/>
      <c r="B40" s="12" t="str">
        <f>CONCATENATE("     ","Equipment Rental                                  ")</f>
        <v xml:space="preserve">     Equipment Rental                                  </v>
      </c>
      <c r="C40" s="12"/>
      <c r="D40" s="1">
        <f>SUM(OSRRefD22_5x_0)</f>
        <v>91.26</v>
      </c>
      <c r="E40" s="1"/>
      <c r="F40" s="5">
        <f t="shared" si="16"/>
        <v>0</v>
      </c>
      <c r="G40" s="1"/>
      <c r="H40" s="1">
        <f>SUM(OSRRefH22_5x_0)</f>
        <v>91.26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2"/>
      <c r="P40" s="1">
        <f>SUM(OSRRefP22_5x_0)</f>
        <v>912.6</v>
      </c>
      <c r="Q40" s="1"/>
      <c r="R40" s="5">
        <f t="shared" si="20"/>
        <v>0</v>
      </c>
      <c r="S40" s="1"/>
      <c r="T40" s="1">
        <f>SUM(OSRRefT22_5x_0)</f>
        <v>912.6</v>
      </c>
      <c r="U40" s="1"/>
      <c r="V40" s="5">
        <f t="shared" si="21"/>
        <v>0</v>
      </c>
      <c r="W40" s="1"/>
      <c r="X40" s="1">
        <f t="shared" si="22"/>
        <v>0</v>
      </c>
      <c r="Y40" s="1"/>
      <c r="Z40" s="5">
        <f t="shared" si="23"/>
        <v>0</v>
      </c>
    </row>
    <row r="41" spans="1:26" s="23" customFormat="1" hidden="1" outlineLevel="2" x14ac:dyDescent="0.25">
      <c r="A41" s="27"/>
      <c r="B41" s="10" t="str">
        <f>CONCATENATE("          ", "6351", " - ", "EQUIPMENT RENTAL")</f>
        <v xml:space="preserve">          6351 - EQUIPMENT RENTAL</v>
      </c>
      <c r="C41" s="10"/>
      <c r="D41" s="6">
        <v>91.26</v>
      </c>
      <c r="E41" s="2"/>
      <c r="F41" s="7">
        <f t="shared" si="16"/>
        <v>0</v>
      </c>
      <c r="G41" s="2"/>
      <c r="H41" s="6">
        <v>91.26</v>
      </c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0"/>
      <c r="P41" s="6">
        <v>912.6</v>
      </c>
      <c r="Q41" s="2"/>
      <c r="R41" s="7">
        <f t="shared" si="20"/>
        <v>0</v>
      </c>
      <c r="S41" s="2"/>
      <c r="T41" s="6">
        <v>912.6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6" customFormat="1" outlineLevel="1" collapsed="1" x14ac:dyDescent="0.25">
      <c r="A42" s="25"/>
      <c r="B42" s="12" t="str">
        <f>CONCATENATE("     ","Freight out/Postage                               ")</f>
        <v xml:space="preserve">     Freight out/Postage                               </v>
      </c>
      <c r="C42" s="12"/>
      <c r="D42" s="1">
        <f>SUM(OSRRefD22_6x_0)</f>
        <v>84.75</v>
      </c>
      <c r="E42" s="1"/>
      <c r="F42" s="5">
        <f t="shared" si="16"/>
        <v>0</v>
      </c>
      <c r="G42" s="1"/>
      <c r="H42" s="1">
        <f>SUM(OSRRefH22_6x_0)</f>
        <v>123.5</v>
      </c>
      <c r="I42" s="1"/>
      <c r="J42" s="5">
        <f t="shared" si="17"/>
        <v>0</v>
      </c>
      <c r="K42" s="1"/>
      <c r="L42" s="1">
        <f t="shared" si="18"/>
        <v>-38.75</v>
      </c>
      <c r="M42" s="1"/>
      <c r="N42" s="5">
        <f t="shared" si="19"/>
        <v>-0.31376518218623484</v>
      </c>
      <c r="O42" s="12"/>
      <c r="P42" s="1">
        <f>SUM(OSRRefP22_6x_0)</f>
        <v>899.79</v>
      </c>
      <c r="Q42" s="1"/>
      <c r="R42" s="5">
        <f t="shared" si="20"/>
        <v>0</v>
      </c>
      <c r="S42" s="1"/>
      <c r="T42" s="1">
        <f>SUM(OSRRefT22_6x_0)</f>
        <v>1264.4000000000001</v>
      </c>
      <c r="U42" s="1"/>
      <c r="V42" s="5">
        <f t="shared" si="21"/>
        <v>0</v>
      </c>
      <c r="W42" s="1"/>
      <c r="X42" s="1">
        <f t="shared" si="22"/>
        <v>-364.61000000000013</v>
      </c>
      <c r="Y42" s="1"/>
      <c r="Z42" s="5">
        <f t="shared" si="23"/>
        <v>-0.28836602341031325</v>
      </c>
    </row>
    <row r="43" spans="1:26" s="23" customFormat="1" hidden="1" outlineLevel="2" x14ac:dyDescent="0.25">
      <c r="A43" s="27"/>
      <c r="B43" s="10" t="str">
        <f>CONCATENATE("          ", "6305", " - ", "FREIGHT OUT")</f>
        <v xml:space="preserve">          6305 - FREIGHT OUT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>
        <v>5.41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5.41</v>
      </c>
      <c r="Y43" s="2"/>
      <c r="Z43" s="7">
        <f t="shared" si="23"/>
        <v>0</v>
      </c>
    </row>
    <row r="44" spans="1:26" s="23" customFormat="1" hidden="1" outlineLevel="2" x14ac:dyDescent="0.25">
      <c r="A44" s="27"/>
      <c r="B44" s="10" t="str">
        <f>CONCATENATE("          ", "6307", " - ", "POSTAGE")</f>
        <v xml:space="preserve">          6307 - POSTAGE</v>
      </c>
      <c r="C44" s="10"/>
      <c r="D44" s="6">
        <v>84.75</v>
      </c>
      <c r="E44" s="2"/>
      <c r="F44" s="7">
        <f t="shared" si="16"/>
        <v>0</v>
      </c>
      <c r="G44" s="2"/>
      <c r="H44" s="6">
        <v>123.5</v>
      </c>
      <c r="I44" s="2"/>
      <c r="J44" s="7">
        <f t="shared" si="17"/>
        <v>0</v>
      </c>
      <c r="K44" s="2"/>
      <c r="L44" s="6">
        <f t="shared" si="18"/>
        <v>-38.75</v>
      </c>
      <c r="M44" s="2"/>
      <c r="N44" s="7">
        <f t="shared" si="19"/>
        <v>-0.31376518218623484</v>
      </c>
      <c r="O44" s="10"/>
      <c r="P44" s="6">
        <v>894.38</v>
      </c>
      <c r="Q44" s="2"/>
      <c r="R44" s="7">
        <f t="shared" si="20"/>
        <v>0</v>
      </c>
      <c r="S44" s="2"/>
      <c r="T44" s="6">
        <v>1264.4000000000001</v>
      </c>
      <c r="U44" s="2"/>
      <c r="V44" s="7">
        <f t="shared" si="21"/>
        <v>0</v>
      </c>
      <c r="W44" s="2"/>
      <c r="X44" s="6">
        <f t="shared" si="22"/>
        <v>-370.0200000000001</v>
      </c>
      <c r="Y44" s="2"/>
      <c r="Z44" s="7">
        <f t="shared" si="23"/>
        <v>-0.29264473267953184</v>
      </c>
    </row>
    <row r="45" spans="1:26" s="26" customFormat="1" outlineLevel="1" collapsed="1" x14ac:dyDescent="0.25">
      <c r="A45" s="25"/>
      <c r="B45" s="12" t="str">
        <f>CONCATENATE("     ","Insurance                                         ")</f>
        <v xml:space="preserve">     Insurance                                         </v>
      </c>
      <c r="C45" s="12"/>
      <c r="D45" s="1">
        <f>SUM(OSRRefD22_7x_0)</f>
        <v>132.16999999999999</v>
      </c>
      <c r="E45" s="1"/>
      <c r="F45" s="5">
        <f t="shared" ref="F45:F52" si="24">IF(D$12=0,0,D45/D$12)</f>
        <v>0</v>
      </c>
      <c r="G45" s="1"/>
      <c r="H45" s="1">
        <f>SUM(OSRRefH22_7x_0)</f>
        <v>132.16999999999999</v>
      </c>
      <c r="I45" s="1"/>
      <c r="J45" s="5">
        <f t="shared" ref="J45:J52" si="25">IF(H$12=0,0,H45/H$12)</f>
        <v>0</v>
      </c>
      <c r="K45" s="1"/>
      <c r="L45" s="1">
        <f t="shared" ref="L45:L52" si="26">+D45-H45</f>
        <v>0</v>
      </c>
      <c r="M45" s="1"/>
      <c r="N45" s="5">
        <f t="shared" ref="N45:N52" si="27">IF(H45=0,0,L45/H45)</f>
        <v>0</v>
      </c>
      <c r="O45" s="12"/>
      <c r="P45" s="1">
        <f>SUM(OSRRefP22_7x_0)</f>
        <v>1321.7</v>
      </c>
      <c r="Q45" s="1"/>
      <c r="R45" s="5">
        <f t="shared" ref="R45:R52" si="28">IF(P$12=0,0,P45/P$12)</f>
        <v>0</v>
      </c>
      <c r="S45" s="1"/>
      <c r="T45" s="1">
        <f>SUM(OSRRefT22_7x_0)</f>
        <v>1321.7</v>
      </c>
      <c r="U45" s="1"/>
      <c r="V45" s="5">
        <f t="shared" ref="V45:V52" si="29">IF(T$12=0,0,T45/T$12)</f>
        <v>0</v>
      </c>
      <c r="W45" s="1"/>
      <c r="X45" s="1">
        <f t="shared" ref="X45:X52" si="30">+P45-T45</f>
        <v>0</v>
      </c>
      <c r="Y45" s="1"/>
      <c r="Z45" s="5">
        <f t="shared" ref="Z45:Z52" si="31">IF(T45=0,0,X45/T45)</f>
        <v>0</v>
      </c>
    </row>
    <row r="46" spans="1:26" s="23" customFormat="1" hidden="1" outlineLevel="2" x14ac:dyDescent="0.25">
      <c r="A46" s="27"/>
      <c r="B46" s="10" t="str">
        <f>CONCATENATE("          ", "6314", " - ", "LIABILITY INSURANCE")</f>
        <v xml:space="preserve">          6314 - LIABILITY INSURANCE</v>
      </c>
      <c r="C46" s="10"/>
      <c r="D46" s="6">
        <v>132.16999999999999</v>
      </c>
      <c r="E46" s="2"/>
      <c r="F46" s="7">
        <f t="shared" si="24"/>
        <v>0</v>
      </c>
      <c r="G46" s="2"/>
      <c r="H46" s="6">
        <v>132.16999999999999</v>
      </c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0"/>
      <c r="P46" s="6">
        <v>1321.7</v>
      </c>
      <c r="Q46" s="2"/>
      <c r="R46" s="7">
        <f t="shared" si="28"/>
        <v>0</v>
      </c>
      <c r="S46" s="2"/>
      <c r="T46" s="6">
        <v>1321.7</v>
      </c>
      <c r="U46" s="2"/>
      <c r="V46" s="7">
        <f t="shared" si="29"/>
        <v>0</v>
      </c>
      <c r="W46" s="2"/>
      <c r="X46" s="6">
        <f t="shared" si="30"/>
        <v>0</v>
      </c>
      <c r="Y46" s="2"/>
      <c r="Z46" s="7">
        <f t="shared" si="31"/>
        <v>0</v>
      </c>
    </row>
    <row r="47" spans="1:26" s="26" customFormat="1" outlineLevel="1" collapsed="1" x14ac:dyDescent="0.25">
      <c r="A47" s="25"/>
      <c r="B47" s="12" t="str">
        <f>CONCATENATE("     ","Professional Services                             ")</f>
        <v xml:space="preserve">     Professional Services                             </v>
      </c>
      <c r="C47" s="12"/>
      <c r="D47" s="1">
        <f>SUM(OSRRefD22_8x_0)</f>
        <v>0</v>
      </c>
      <c r="E47" s="1"/>
      <c r="F47" s="5">
        <f t="shared" si="24"/>
        <v>0</v>
      </c>
      <c r="G47" s="1"/>
      <c r="H47" s="1">
        <f>SUM(OSRRefH22_8x_0)</f>
        <v>0</v>
      </c>
      <c r="I47" s="1"/>
      <c r="J47" s="5">
        <f t="shared" si="25"/>
        <v>0</v>
      </c>
      <c r="K47" s="1"/>
      <c r="L47" s="1">
        <f t="shared" si="26"/>
        <v>0</v>
      </c>
      <c r="M47" s="1"/>
      <c r="N47" s="5">
        <f t="shared" si="27"/>
        <v>0</v>
      </c>
      <c r="O47" s="12"/>
      <c r="P47" s="1">
        <f>SUM(OSRRefP22_8x_0)</f>
        <v>0</v>
      </c>
      <c r="Q47" s="1"/>
      <c r="R47" s="5">
        <f t="shared" si="28"/>
        <v>0</v>
      </c>
      <c r="S47" s="1"/>
      <c r="T47" s="1">
        <f>SUM(OSRRefT22_8x_0)</f>
        <v>82.5</v>
      </c>
      <c r="U47" s="1"/>
      <c r="V47" s="5">
        <f t="shared" si="29"/>
        <v>0</v>
      </c>
      <c r="W47" s="1"/>
      <c r="X47" s="1">
        <f t="shared" si="30"/>
        <v>-82.5</v>
      </c>
      <c r="Y47" s="1"/>
      <c r="Z47" s="5">
        <f t="shared" si="31"/>
        <v>-1</v>
      </c>
    </row>
    <row r="48" spans="1:26" s="23" customFormat="1" hidden="1" outlineLevel="2" x14ac:dyDescent="0.25">
      <c r="A48" s="27"/>
      <c r="B48" s="10" t="str">
        <f>CONCATENATE("          ", "6332", " - ", "CONSULTANT FEES")</f>
        <v xml:space="preserve">          6332 - CONSULTANT FEES</v>
      </c>
      <c r="C48" s="10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0"/>
      <c r="P48" s="6"/>
      <c r="Q48" s="2"/>
      <c r="R48" s="7">
        <f t="shared" si="28"/>
        <v>0</v>
      </c>
      <c r="S48" s="2"/>
      <c r="T48" s="6">
        <v>82.5</v>
      </c>
      <c r="U48" s="2"/>
      <c r="V48" s="7">
        <f t="shared" si="29"/>
        <v>0</v>
      </c>
      <c r="W48" s="2"/>
      <c r="X48" s="6">
        <f t="shared" si="30"/>
        <v>-82.5</v>
      </c>
      <c r="Y48" s="2"/>
      <c r="Z48" s="7">
        <f t="shared" si="31"/>
        <v>-1</v>
      </c>
    </row>
    <row r="49" spans="1:26" s="26" customFormat="1" outlineLevel="1" collapsed="1" x14ac:dyDescent="0.25">
      <c r="A49" s="25"/>
      <c r="B49" s="12" t="str">
        <f>CONCATENATE("     ","Repair and Maintenance                            ")</f>
        <v xml:space="preserve">     Repair and Maintenance                            </v>
      </c>
      <c r="C49" s="12"/>
      <c r="D49" s="1">
        <f>SUM(OSRRefD22_9x_0)</f>
        <v>607.82000000000005</v>
      </c>
      <c r="E49" s="1"/>
      <c r="F49" s="5">
        <f t="shared" si="24"/>
        <v>0</v>
      </c>
      <c r="G49" s="1"/>
      <c r="H49" s="1">
        <f>SUM(OSRRefH22_9x_0)</f>
        <v>818.69</v>
      </c>
      <c r="I49" s="1"/>
      <c r="J49" s="5">
        <f t="shared" si="25"/>
        <v>0</v>
      </c>
      <c r="K49" s="1"/>
      <c r="L49" s="1">
        <f t="shared" si="26"/>
        <v>-210.87</v>
      </c>
      <c r="M49" s="1"/>
      <c r="N49" s="5">
        <f t="shared" si="27"/>
        <v>-0.2575700203984414</v>
      </c>
      <c r="O49" s="12"/>
      <c r="P49" s="1">
        <f>SUM(OSRRefP22_9x_0)</f>
        <v>37643.919999999998</v>
      </c>
      <c r="Q49" s="1"/>
      <c r="R49" s="5">
        <f t="shared" si="28"/>
        <v>0</v>
      </c>
      <c r="S49" s="1"/>
      <c r="T49" s="1">
        <f>SUM(OSRRefT22_9x_0)</f>
        <v>32612.59</v>
      </c>
      <c r="U49" s="1"/>
      <c r="V49" s="5">
        <f t="shared" si="29"/>
        <v>0</v>
      </c>
      <c r="W49" s="1"/>
      <c r="X49" s="1">
        <f t="shared" si="30"/>
        <v>5031.3299999999981</v>
      </c>
      <c r="Y49" s="1"/>
      <c r="Z49" s="5">
        <f t="shared" si="31"/>
        <v>0.15427569536795446</v>
      </c>
    </row>
    <row r="50" spans="1:26" s="23" customFormat="1" hidden="1" outlineLevel="2" x14ac:dyDescent="0.25">
      <c r="A50" s="27"/>
      <c r="B50" s="10" t="str">
        <f>CONCATENATE("          ", "6371", " - ", "COMPUTER SOFTWARE MAINTENANCE")</f>
        <v xml:space="preserve">          6371 - COMPUTER SOFTWARE MAINTENANCE</v>
      </c>
      <c r="C50" s="10"/>
      <c r="D50" s="6">
        <v>59.95</v>
      </c>
      <c r="E50" s="2"/>
      <c r="F50" s="7">
        <f t="shared" si="24"/>
        <v>0</v>
      </c>
      <c r="G50" s="2"/>
      <c r="H50" s="6">
        <v>330</v>
      </c>
      <c r="I50" s="2"/>
      <c r="J50" s="7">
        <f t="shared" si="25"/>
        <v>0</v>
      </c>
      <c r="K50" s="2"/>
      <c r="L50" s="6">
        <f t="shared" si="26"/>
        <v>-270.05</v>
      </c>
      <c r="M50" s="2"/>
      <c r="N50" s="7">
        <f t="shared" si="27"/>
        <v>-0.81833333333333336</v>
      </c>
      <c r="O50" s="10"/>
      <c r="P50" s="6">
        <v>32293.42</v>
      </c>
      <c r="Q50" s="2"/>
      <c r="R50" s="7">
        <f t="shared" si="28"/>
        <v>0</v>
      </c>
      <c r="S50" s="2"/>
      <c r="T50" s="6">
        <v>26963.83</v>
      </c>
      <c r="U50" s="2"/>
      <c r="V50" s="7">
        <f t="shared" si="29"/>
        <v>0</v>
      </c>
      <c r="W50" s="2"/>
      <c r="X50" s="6">
        <f t="shared" si="30"/>
        <v>5329.5899999999965</v>
      </c>
      <c r="Y50" s="2"/>
      <c r="Z50" s="7">
        <f t="shared" si="31"/>
        <v>0.19765700940852973</v>
      </c>
    </row>
    <row r="51" spans="1:26" s="23" customFormat="1" hidden="1" outlineLevel="2" x14ac:dyDescent="0.25">
      <c r="A51" s="27"/>
      <c r="B51" s="10" t="str">
        <f>CONCATENATE("          ", "6373", " - ", "MAINTENANCE CONTRACTS")</f>
        <v xml:space="preserve">          6373 - MAINTENANCE CONTRACTS</v>
      </c>
      <c r="C51" s="10"/>
      <c r="D51" s="6">
        <v>497.75</v>
      </c>
      <c r="E51" s="2"/>
      <c r="F51" s="7">
        <f t="shared" si="24"/>
        <v>0</v>
      </c>
      <c r="G51" s="2"/>
      <c r="H51" s="6">
        <v>488.69</v>
      </c>
      <c r="I51" s="2"/>
      <c r="J51" s="7">
        <f t="shared" si="25"/>
        <v>0</v>
      </c>
      <c r="K51" s="2"/>
      <c r="L51" s="6">
        <f t="shared" si="26"/>
        <v>9.0600000000000023</v>
      </c>
      <c r="M51" s="2"/>
      <c r="N51" s="7">
        <f t="shared" si="27"/>
        <v>1.8539360330679985E-2</v>
      </c>
      <c r="O51" s="10"/>
      <c r="P51" s="6">
        <v>5173.3599999999997</v>
      </c>
      <c r="Q51" s="2"/>
      <c r="R51" s="7">
        <f t="shared" si="28"/>
        <v>0</v>
      </c>
      <c r="S51" s="2"/>
      <c r="T51" s="6">
        <v>5110.82</v>
      </c>
      <c r="U51" s="2"/>
      <c r="V51" s="7">
        <f t="shared" si="29"/>
        <v>0</v>
      </c>
      <c r="W51" s="2"/>
      <c r="X51" s="6">
        <f t="shared" si="30"/>
        <v>62.539999999999964</v>
      </c>
      <c r="Y51" s="2"/>
      <c r="Z51" s="7">
        <f t="shared" si="31"/>
        <v>1.2236783921171156E-2</v>
      </c>
    </row>
    <row r="52" spans="1:26" s="23" customFormat="1" hidden="1" outlineLevel="2" x14ac:dyDescent="0.25">
      <c r="A52" s="27"/>
      <c r="B52" s="10" t="str">
        <f>CONCATENATE("          ", "6375", " - ", "OUTSIDE REPAIRS &amp; MAINTENANCE")</f>
        <v xml:space="preserve">          6375 - OUTSIDE REPAIRS &amp; MAINTENANCE</v>
      </c>
      <c r="C52" s="10"/>
      <c r="D52" s="6">
        <v>50.12</v>
      </c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50.12</v>
      </c>
      <c r="M52" s="2"/>
      <c r="N52" s="7">
        <f t="shared" si="27"/>
        <v>0</v>
      </c>
      <c r="O52" s="10"/>
      <c r="P52" s="6">
        <v>177.14</v>
      </c>
      <c r="Q52" s="2"/>
      <c r="R52" s="7">
        <f t="shared" si="28"/>
        <v>0</v>
      </c>
      <c r="S52" s="2"/>
      <c r="T52" s="6">
        <v>537.94000000000005</v>
      </c>
      <c r="U52" s="2"/>
      <c r="V52" s="7">
        <f t="shared" si="29"/>
        <v>0</v>
      </c>
      <c r="W52" s="2"/>
      <c r="X52" s="6">
        <f t="shared" si="30"/>
        <v>-360.80000000000007</v>
      </c>
      <c r="Y52" s="2"/>
      <c r="Z52" s="7">
        <f t="shared" si="31"/>
        <v>-0.67070677027177761</v>
      </c>
    </row>
    <row r="53" spans="1:26" s="26" customFormat="1" outlineLevel="1" collapsed="1" x14ac:dyDescent="0.25">
      <c r="A53" s="25"/>
      <c r="B53" s="12" t="str">
        <f>CONCATENATE("     ","Services                                          ")</f>
        <v xml:space="preserve">     Services                                          </v>
      </c>
      <c r="C53" s="12"/>
      <c r="D53" s="1">
        <f>SUM(OSRRefD22_10x_0)</f>
        <v>0</v>
      </c>
      <c r="E53" s="1"/>
      <c r="F53" s="5">
        <f t="shared" ref="F53:F60" si="32">IF(D$12=0,0,D53/D$12)</f>
        <v>0</v>
      </c>
      <c r="G53" s="1"/>
      <c r="H53" s="1">
        <f>SUM(OSRRefH22_10x_0)</f>
        <v>1024.96</v>
      </c>
      <c r="I53" s="1"/>
      <c r="J53" s="5">
        <f t="shared" ref="J53:J60" si="33">IF(H$12=0,0,H53/H$12)</f>
        <v>0</v>
      </c>
      <c r="K53" s="1"/>
      <c r="L53" s="1">
        <f t="shared" ref="L53:L60" si="34">+D53-H53</f>
        <v>-1024.96</v>
      </c>
      <c r="M53" s="1"/>
      <c r="N53" s="5">
        <f t="shared" ref="N53:N60" si="35">IF(H53=0,0,L53/H53)</f>
        <v>-1</v>
      </c>
      <c r="O53" s="12"/>
      <c r="P53" s="1">
        <f>SUM(OSRRefP22_10x_0)</f>
        <v>5580.34</v>
      </c>
      <c r="Q53" s="1"/>
      <c r="R53" s="5">
        <f t="shared" ref="R53:R60" si="36">IF(P$12=0,0,P53/P$12)</f>
        <v>0</v>
      </c>
      <c r="S53" s="1"/>
      <c r="T53" s="1">
        <f>SUM(OSRRefT22_10x_0)</f>
        <v>10454.93</v>
      </c>
      <c r="U53" s="1"/>
      <c r="V53" s="5">
        <f t="shared" ref="V53:V60" si="37">IF(T$12=0,0,T53/T$12)</f>
        <v>0</v>
      </c>
      <c r="W53" s="1"/>
      <c r="X53" s="1">
        <f t="shared" ref="X53:X60" si="38">+P53-T53</f>
        <v>-4874.59</v>
      </c>
      <c r="Y53" s="1"/>
      <c r="Z53" s="5">
        <f t="shared" ref="Z53:Z60" si="39">IF(T53=0,0,X53/T53)</f>
        <v>-0.46624798061775641</v>
      </c>
    </row>
    <row r="54" spans="1:26" s="23" customFormat="1" hidden="1" outlineLevel="2" x14ac:dyDescent="0.25">
      <c r="A54" s="27"/>
      <c r="B54" s="10" t="str">
        <f>CONCATENATE("          ", "6281", " - ", "STORAGE FEE")</f>
        <v xml:space="preserve">          6281 - STORAGE FEE</v>
      </c>
      <c r="C54" s="10"/>
      <c r="D54" s="6"/>
      <c r="E54" s="2"/>
      <c r="F54" s="7">
        <f t="shared" si="32"/>
        <v>0</v>
      </c>
      <c r="G54" s="2"/>
      <c r="H54" s="6">
        <v>1024.96</v>
      </c>
      <c r="I54" s="2"/>
      <c r="J54" s="7">
        <f t="shared" si="33"/>
        <v>0</v>
      </c>
      <c r="K54" s="2"/>
      <c r="L54" s="6">
        <f t="shared" si="34"/>
        <v>-1024.96</v>
      </c>
      <c r="M54" s="2"/>
      <c r="N54" s="7">
        <f t="shared" si="35"/>
        <v>-1</v>
      </c>
      <c r="O54" s="10"/>
      <c r="P54" s="6">
        <v>5580.34</v>
      </c>
      <c r="Q54" s="2"/>
      <c r="R54" s="7">
        <f t="shared" si="36"/>
        <v>0</v>
      </c>
      <c r="S54" s="2"/>
      <c r="T54" s="6">
        <v>10454.93</v>
      </c>
      <c r="U54" s="2"/>
      <c r="V54" s="7">
        <f t="shared" si="37"/>
        <v>0</v>
      </c>
      <c r="W54" s="2"/>
      <c r="X54" s="6">
        <f t="shared" si="38"/>
        <v>-4874.59</v>
      </c>
      <c r="Y54" s="2"/>
      <c r="Z54" s="7">
        <f t="shared" si="39"/>
        <v>-0.46624798061775641</v>
      </c>
    </row>
    <row r="55" spans="1:26" s="26" customFormat="1" outlineLevel="1" collapsed="1" x14ac:dyDescent="0.25">
      <c r="A55" s="25"/>
      <c r="B55" s="12" t="str">
        <f>CONCATENATE("     ","Subscriptions &amp; Dues                              ")</f>
        <v xml:space="preserve">     Subscriptions &amp; Dues                              </v>
      </c>
      <c r="C55" s="12"/>
      <c r="D55" s="1">
        <f>SUM(OSRRefD22_11x_0)</f>
        <v>0</v>
      </c>
      <c r="E55" s="1"/>
      <c r="F55" s="5">
        <f t="shared" si="32"/>
        <v>0</v>
      </c>
      <c r="G55" s="1"/>
      <c r="H55" s="1">
        <f>SUM(OSRRefH22_11x_0)</f>
        <v>0</v>
      </c>
      <c r="I55" s="1"/>
      <c r="J55" s="5">
        <f t="shared" si="33"/>
        <v>0</v>
      </c>
      <c r="K55" s="1"/>
      <c r="L55" s="1">
        <f t="shared" si="34"/>
        <v>0</v>
      </c>
      <c r="M55" s="1"/>
      <c r="N55" s="5">
        <f t="shared" si="35"/>
        <v>0</v>
      </c>
      <c r="O55" s="12"/>
      <c r="P55" s="1">
        <f>SUM(OSRRefP22_11x_0)</f>
        <v>0</v>
      </c>
      <c r="Q55" s="1"/>
      <c r="R55" s="5">
        <f t="shared" si="36"/>
        <v>0</v>
      </c>
      <c r="S55" s="1"/>
      <c r="T55" s="1">
        <f>SUM(OSRRefT22_11x_0)</f>
        <v>39</v>
      </c>
      <c r="U55" s="1"/>
      <c r="V55" s="5">
        <f t="shared" si="37"/>
        <v>0</v>
      </c>
      <c r="W55" s="1"/>
      <c r="X55" s="1">
        <f t="shared" si="38"/>
        <v>-39</v>
      </c>
      <c r="Y55" s="1"/>
      <c r="Z55" s="5">
        <f t="shared" si="39"/>
        <v>-1</v>
      </c>
    </row>
    <row r="56" spans="1:26" s="23" customFormat="1" hidden="1" outlineLevel="2" x14ac:dyDescent="0.25">
      <c r="A56" s="27"/>
      <c r="B56" s="10" t="str">
        <f>CONCATENATE("          ", "6258", " - ", "MEMBERSHIP DUES")</f>
        <v xml:space="preserve">          6258 - MEMBERSHIP DUES</v>
      </c>
      <c r="C56" s="10"/>
      <c r="D56" s="6"/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0"/>
      <c r="P56" s="6"/>
      <c r="Q56" s="2"/>
      <c r="R56" s="7">
        <f t="shared" si="36"/>
        <v>0</v>
      </c>
      <c r="S56" s="2"/>
      <c r="T56" s="6">
        <v>39</v>
      </c>
      <c r="U56" s="2"/>
      <c r="V56" s="7">
        <f t="shared" si="37"/>
        <v>0</v>
      </c>
      <c r="W56" s="2"/>
      <c r="X56" s="6">
        <f t="shared" si="38"/>
        <v>-39</v>
      </c>
      <c r="Y56" s="2"/>
      <c r="Z56" s="7">
        <f t="shared" si="39"/>
        <v>-1</v>
      </c>
    </row>
    <row r="57" spans="1:26" s="26" customFormat="1" outlineLevel="1" collapsed="1" x14ac:dyDescent="0.25">
      <c r="A57" s="25"/>
      <c r="B57" s="12" t="str">
        <f>CONCATENATE("     ","Supplies                                          ")</f>
        <v xml:space="preserve">     Supplies                                          </v>
      </c>
      <c r="C57" s="12"/>
      <c r="D57" s="1">
        <f>SUM(OSRRefD22_12x_0)</f>
        <v>42.19</v>
      </c>
      <c r="E57" s="1"/>
      <c r="F57" s="5">
        <f t="shared" si="32"/>
        <v>0</v>
      </c>
      <c r="G57" s="1"/>
      <c r="H57" s="1">
        <f>SUM(OSRRefH22_12x_0)</f>
        <v>692.79</v>
      </c>
      <c r="I57" s="1"/>
      <c r="J57" s="5">
        <f t="shared" si="33"/>
        <v>0</v>
      </c>
      <c r="K57" s="1"/>
      <c r="L57" s="1">
        <f t="shared" si="34"/>
        <v>-650.59999999999991</v>
      </c>
      <c r="M57" s="1"/>
      <c r="N57" s="5">
        <f t="shared" si="35"/>
        <v>-0.93910131497279115</v>
      </c>
      <c r="O57" s="12"/>
      <c r="P57" s="1">
        <f>SUM(OSRRefP22_12x_0)</f>
        <v>2067.16</v>
      </c>
      <c r="Q57" s="1"/>
      <c r="R57" s="5">
        <f t="shared" si="36"/>
        <v>0</v>
      </c>
      <c r="S57" s="1"/>
      <c r="T57" s="1">
        <f>SUM(OSRRefT22_12x_0)</f>
        <v>6766.91</v>
      </c>
      <c r="U57" s="1"/>
      <c r="V57" s="5">
        <f t="shared" si="37"/>
        <v>0</v>
      </c>
      <c r="W57" s="1"/>
      <c r="X57" s="1">
        <f t="shared" si="38"/>
        <v>-4699.75</v>
      </c>
      <c r="Y57" s="1"/>
      <c r="Z57" s="5">
        <f t="shared" si="39"/>
        <v>-0.6945193596486432</v>
      </c>
    </row>
    <row r="58" spans="1:26" s="23" customFormat="1" hidden="1" outlineLevel="2" x14ac:dyDescent="0.25">
      <c r="A58" s="27"/>
      <c r="B58" s="10" t="str">
        <f>CONCATENATE("          ", "6235", " - ", "COVID-19 EXPENSES")</f>
        <v xml:space="preserve">          6235 - COVID-19 EXPENSES</v>
      </c>
      <c r="C58" s="10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0"/>
      <c r="P58" s="6">
        <v>426.66</v>
      </c>
      <c r="Q58" s="2"/>
      <c r="R58" s="7">
        <f t="shared" si="36"/>
        <v>0</v>
      </c>
      <c r="S58" s="2"/>
      <c r="T58" s="6"/>
      <c r="U58" s="2"/>
      <c r="V58" s="7">
        <f t="shared" si="37"/>
        <v>0</v>
      </c>
      <c r="W58" s="2"/>
      <c r="X58" s="6">
        <f t="shared" si="38"/>
        <v>426.66</v>
      </c>
      <c r="Y58" s="2"/>
      <c r="Z58" s="7">
        <f t="shared" si="39"/>
        <v>0</v>
      </c>
    </row>
    <row r="59" spans="1:26" s="23" customFormat="1" hidden="1" outlineLevel="2" x14ac:dyDescent="0.25">
      <c r="A59" s="27"/>
      <c r="B59" s="10" t="str">
        <f>CONCATENATE("          ", "6241", " - ", "OFFICE EXPENSE")</f>
        <v xml:space="preserve">          6241 - OFFICE EXPENSE</v>
      </c>
      <c r="C59" s="10"/>
      <c r="D59" s="6">
        <v>42.19</v>
      </c>
      <c r="E59" s="2"/>
      <c r="F59" s="7">
        <f t="shared" si="32"/>
        <v>0</v>
      </c>
      <c r="G59" s="2"/>
      <c r="H59" s="6">
        <v>692.79</v>
      </c>
      <c r="I59" s="2"/>
      <c r="J59" s="7">
        <f t="shared" si="33"/>
        <v>0</v>
      </c>
      <c r="K59" s="2"/>
      <c r="L59" s="6">
        <f t="shared" si="34"/>
        <v>-650.59999999999991</v>
      </c>
      <c r="M59" s="2"/>
      <c r="N59" s="7">
        <f t="shared" si="35"/>
        <v>-0.93910131497279115</v>
      </c>
      <c r="O59" s="10"/>
      <c r="P59" s="6">
        <v>1640.5</v>
      </c>
      <c r="Q59" s="2"/>
      <c r="R59" s="7">
        <f t="shared" si="36"/>
        <v>0</v>
      </c>
      <c r="S59" s="2"/>
      <c r="T59" s="6">
        <v>6104</v>
      </c>
      <c r="U59" s="2"/>
      <c r="V59" s="7">
        <f t="shared" si="37"/>
        <v>0</v>
      </c>
      <c r="W59" s="2"/>
      <c r="X59" s="6">
        <f t="shared" si="38"/>
        <v>-4463.5</v>
      </c>
      <c r="Y59" s="2"/>
      <c r="Z59" s="7">
        <f t="shared" si="39"/>
        <v>-0.73124180865006549</v>
      </c>
    </row>
    <row r="60" spans="1:26" s="23" customFormat="1" hidden="1" outlineLevel="2" x14ac:dyDescent="0.25">
      <c r="A60" s="27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0"/>
      <c r="P60" s="6"/>
      <c r="Q60" s="2"/>
      <c r="R60" s="7">
        <f t="shared" si="36"/>
        <v>0</v>
      </c>
      <c r="S60" s="2"/>
      <c r="T60" s="6">
        <v>662.91</v>
      </c>
      <c r="U60" s="2"/>
      <c r="V60" s="7">
        <f t="shared" si="37"/>
        <v>0</v>
      </c>
      <c r="W60" s="2"/>
      <c r="X60" s="6">
        <f t="shared" si="38"/>
        <v>-662.91</v>
      </c>
      <c r="Y60" s="2"/>
      <c r="Z60" s="7">
        <f t="shared" si="39"/>
        <v>-1</v>
      </c>
    </row>
    <row r="61" spans="1:26" s="26" customFormat="1" outlineLevel="1" collapsed="1" x14ac:dyDescent="0.25">
      <c r="A61" s="25"/>
      <c r="B61" s="12" t="str">
        <f>CONCATENATE("     ","Telephone/Data Lines                              ")</f>
        <v xml:space="preserve">     Telephone/Data Lines                              </v>
      </c>
      <c r="C61" s="12"/>
      <c r="D61" s="1">
        <f>SUM(OSRRefD22_13x_0)</f>
        <v>345.7</v>
      </c>
      <c r="E61" s="1"/>
      <c r="F61" s="5">
        <f t="shared" ref="F61:F66" si="40">IF(D$12=0,0,D61/D$12)</f>
        <v>0</v>
      </c>
      <c r="G61" s="1"/>
      <c r="H61" s="1">
        <f>SUM(OSRRefH22_13x_0)</f>
        <v>419.35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-73.650000000000034</v>
      </c>
      <c r="M61" s="1"/>
      <c r="N61" s="5">
        <f t="shared" ref="N61:N66" si="43">IF(H61=0,0,L61/H61)</f>
        <v>-0.17562894956480274</v>
      </c>
      <c r="O61" s="12"/>
      <c r="P61" s="1">
        <f>SUM(OSRRefP22_13x_0)</f>
        <v>5151.9799999999996</v>
      </c>
      <c r="Q61" s="1"/>
      <c r="R61" s="5">
        <f t="shared" ref="R61:R66" si="44">IF(P$12=0,0,P61/P$12)</f>
        <v>0</v>
      </c>
      <c r="S61" s="1"/>
      <c r="T61" s="1">
        <f>SUM(OSRRefT22_13x_0)</f>
        <v>4115.54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1036.4399999999996</v>
      </c>
      <c r="Y61" s="1"/>
      <c r="Z61" s="5">
        <f t="shared" ref="Z61:Z66" si="47">IF(T61=0,0,X61/T61)</f>
        <v>0.25183572508103425</v>
      </c>
    </row>
    <row r="62" spans="1:26" s="23" customFormat="1" hidden="1" outlineLevel="2" x14ac:dyDescent="0.25">
      <c r="A62" s="27"/>
      <c r="B62" s="10" t="str">
        <f>CONCATENATE("          ", "6309", " - ", "TELEPHONE")</f>
        <v xml:space="preserve">          6309 - TELEPHONE</v>
      </c>
      <c r="C62" s="10"/>
      <c r="D62" s="6">
        <v>345.7</v>
      </c>
      <c r="E62" s="2"/>
      <c r="F62" s="7">
        <f t="shared" si="40"/>
        <v>0</v>
      </c>
      <c r="G62" s="2"/>
      <c r="H62" s="6">
        <v>419.35</v>
      </c>
      <c r="I62" s="2"/>
      <c r="J62" s="7">
        <f t="shared" si="41"/>
        <v>0</v>
      </c>
      <c r="K62" s="2"/>
      <c r="L62" s="6">
        <f t="shared" si="42"/>
        <v>-73.650000000000034</v>
      </c>
      <c r="M62" s="2"/>
      <c r="N62" s="7">
        <f t="shared" si="43"/>
        <v>-0.17562894956480274</v>
      </c>
      <c r="O62" s="10"/>
      <c r="P62" s="6">
        <v>5151.9799999999996</v>
      </c>
      <c r="Q62" s="2"/>
      <c r="R62" s="7">
        <f t="shared" si="44"/>
        <v>0</v>
      </c>
      <c r="S62" s="2"/>
      <c r="T62" s="6">
        <v>4115.54</v>
      </c>
      <c r="U62" s="2"/>
      <c r="V62" s="7">
        <f t="shared" si="45"/>
        <v>0</v>
      </c>
      <c r="W62" s="2"/>
      <c r="X62" s="6">
        <f t="shared" si="46"/>
        <v>1036.4399999999996</v>
      </c>
      <c r="Y62" s="2"/>
      <c r="Z62" s="7">
        <f t="shared" si="47"/>
        <v>0.25183572508103425</v>
      </c>
    </row>
    <row r="63" spans="1:26" s="26" customFormat="1" outlineLevel="1" collapsed="1" x14ac:dyDescent="0.25">
      <c r="A63" s="25"/>
      <c r="B63" s="12" t="str">
        <f>CONCATENATE("     ","Training                                          ")</f>
        <v xml:space="preserve">     Training                                          </v>
      </c>
      <c r="C63" s="12"/>
      <c r="D63" s="1">
        <f>SUM(OSRRefD22_14x_0)</f>
        <v>0</v>
      </c>
      <c r="E63" s="1"/>
      <c r="F63" s="5">
        <f t="shared" si="40"/>
        <v>0</v>
      </c>
      <c r="G63" s="1"/>
      <c r="H63" s="1">
        <f>SUM(OSRRefH22_14x_0)</f>
        <v>0</v>
      </c>
      <c r="I63" s="1"/>
      <c r="J63" s="5">
        <f t="shared" si="41"/>
        <v>0</v>
      </c>
      <c r="K63" s="1"/>
      <c r="L63" s="1">
        <f t="shared" si="42"/>
        <v>0</v>
      </c>
      <c r="M63" s="1"/>
      <c r="N63" s="5">
        <f t="shared" si="43"/>
        <v>0</v>
      </c>
      <c r="O63" s="12"/>
      <c r="P63" s="1">
        <f>SUM(OSRRefP22_14x_0)</f>
        <v>548</v>
      </c>
      <c r="Q63" s="1"/>
      <c r="R63" s="5">
        <f t="shared" si="44"/>
        <v>0</v>
      </c>
      <c r="S63" s="1"/>
      <c r="T63" s="1">
        <f>SUM(OSRRefT22_14x_0)</f>
        <v>400.18</v>
      </c>
      <c r="U63" s="1"/>
      <c r="V63" s="5">
        <f t="shared" si="45"/>
        <v>0</v>
      </c>
      <c r="W63" s="1"/>
      <c r="X63" s="1">
        <f t="shared" si="46"/>
        <v>147.82</v>
      </c>
      <c r="Y63" s="1"/>
      <c r="Z63" s="5">
        <f t="shared" si="47"/>
        <v>0.36938377730021488</v>
      </c>
    </row>
    <row r="64" spans="1:26" s="23" customFormat="1" hidden="1" outlineLevel="2" x14ac:dyDescent="0.25">
      <c r="A64" s="27"/>
      <c r="B64" s="10" t="str">
        <f>CONCATENATE("          ", "6376", " - ", "TRAINING")</f>
        <v xml:space="preserve">          6376 - TRAINING</v>
      </c>
      <c r="C64" s="10"/>
      <c r="D64" s="6"/>
      <c r="E64" s="2"/>
      <c r="F64" s="7">
        <f t="shared" si="40"/>
        <v>0</v>
      </c>
      <c r="G64" s="2"/>
      <c r="H64" s="6"/>
      <c r="I64" s="2"/>
      <c r="J64" s="7">
        <f t="shared" si="41"/>
        <v>0</v>
      </c>
      <c r="K64" s="2"/>
      <c r="L64" s="6">
        <f t="shared" si="42"/>
        <v>0</v>
      </c>
      <c r="M64" s="2"/>
      <c r="N64" s="7">
        <f t="shared" si="43"/>
        <v>0</v>
      </c>
      <c r="O64" s="10"/>
      <c r="P64" s="6">
        <v>548</v>
      </c>
      <c r="Q64" s="2"/>
      <c r="R64" s="7">
        <f t="shared" si="44"/>
        <v>0</v>
      </c>
      <c r="S64" s="2"/>
      <c r="T64" s="6">
        <v>400.18</v>
      </c>
      <c r="U64" s="2"/>
      <c r="V64" s="7">
        <f t="shared" si="45"/>
        <v>0</v>
      </c>
      <c r="W64" s="2"/>
      <c r="X64" s="6">
        <f t="shared" si="46"/>
        <v>147.82</v>
      </c>
      <c r="Y64" s="2"/>
      <c r="Z64" s="7">
        <f t="shared" si="47"/>
        <v>0.36938377730021488</v>
      </c>
    </row>
    <row r="65" spans="1:26" s="26" customFormat="1" outlineLevel="1" collapsed="1" x14ac:dyDescent="0.25">
      <c r="A65" s="25"/>
      <c r="B65" s="12" t="str">
        <f>CONCATENATE("     ","Travel                                            ")</f>
        <v xml:space="preserve">     Travel                                            </v>
      </c>
      <c r="C65" s="12"/>
      <c r="D65" s="1">
        <f>SUM(OSRRefD22_15x_0)</f>
        <v>13.3</v>
      </c>
      <c r="E65" s="1"/>
      <c r="F65" s="5">
        <f t="shared" si="40"/>
        <v>0</v>
      </c>
      <c r="G65" s="1"/>
      <c r="H65" s="1">
        <f>SUM(OSRRefH22_15x_0)</f>
        <v>0</v>
      </c>
      <c r="I65" s="1"/>
      <c r="J65" s="5">
        <f t="shared" si="41"/>
        <v>0</v>
      </c>
      <c r="K65" s="1"/>
      <c r="L65" s="1">
        <f t="shared" si="42"/>
        <v>13.3</v>
      </c>
      <c r="M65" s="1"/>
      <c r="N65" s="5">
        <f t="shared" si="43"/>
        <v>0</v>
      </c>
      <c r="O65" s="12"/>
      <c r="P65" s="1">
        <f>SUM(OSRRefP22_15x_0)</f>
        <v>88.72</v>
      </c>
      <c r="Q65" s="1"/>
      <c r="R65" s="5">
        <f t="shared" si="44"/>
        <v>0</v>
      </c>
      <c r="S65" s="1"/>
      <c r="T65" s="1">
        <f>SUM(OSRRefT22_15x_0)</f>
        <v>0</v>
      </c>
      <c r="U65" s="1"/>
      <c r="V65" s="5">
        <f t="shared" si="45"/>
        <v>0</v>
      </c>
      <c r="W65" s="1"/>
      <c r="X65" s="1">
        <f t="shared" si="46"/>
        <v>88.72</v>
      </c>
      <c r="Y65" s="1"/>
      <c r="Z65" s="5">
        <f t="shared" si="47"/>
        <v>0</v>
      </c>
    </row>
    <row r="66" spans="1:26" s="23" customFormat="1" hidden="1" outlineLevel="2" x14ac:dyDescent="0.25">
      <c r="A66" s="27"/>
      <c r="B66" s="10" t="str">
        <f>CONCATENATE("          ", "6294", " - ", "TRAVEL OPERATIONAL")</f>
        <v xml:space="preserve">          6294 - TRAVEL OPERATIONAL</v>
      </c>
      <c r="C66" s="10"/>
      <c r="D66" s="6">
        <v>13.3</v>
      </c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13.3</v>
      </c>
      <c r="M66" s="2"/>
      <c r="N66" s="7">
        <f t="shared" si="43"/>
        <v>0</v>
      </c>
      <c r="O66" s="10"/>
      <c r="P66" s="6">
        <v>88.72</v>
      </c>
      <c r="Q66" s="2"/>
      <c r="R66" s="7">
        <f t="shared" si="44"/>
        <v>0</v>
      </c>
      <c r="S66" s="2"/>
      <c r="T66" s="6"/>
      <c r="U66" s="2"/>
      <c r="V66" s="7">
        <f t="shared" si="45"/>
        <v>0</v>
      </c>
      <c r="W66" s="2"/>
      <c r="X66" s="6">
        <f t="shared" si="46"/>
        <v>88.72</v>
      </c>
      <c r="Y66" s="2"/>
      <c r="Z66" s="7">
        <f t="shared" si="47"/>
        <v>0</v>
      </c>
    </row>
    <row r="67" spans="1:26" s="62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4" customFormat="1" x14ac:dyDescent="0.25">
      <c r="A68" s="11"/>
      <c r="B68" s="28" t="s">
        <v>292</v>
      </c>
      <c r="C68" s="11"/>
      <c r="D68" s="4">
        <f>SUM(0)</f>
        <v>0</v>
      </c>
      <c r="E68" s="4"/>
      <c r="F68" s="13">
        <f>IF(D$12=0,0,D68/D$12)</f>
        <v>0</v>
      </c>
      <c r="G68" s="4"/>
      <c r="H68" s="4">
        <f>SUM(0)</f>
        <v>0</v>
      </c>
      <c r="I68" s="4"/>
      <c r="J68" s="13">
        <f>IF(H$12=0,0,H68/H$12)</f>
        <v>0</v>
      </c>
      <c r="K68" s="4"/>
      <c r="L68" s="4">
        <f>+D68-H68</f>
        <v>0</v>
      </c>
      <c r="M68" s="4"/>
      <c r="N68" s="13">
        <f>IF(H68=0,0,L68/H68)</f>
        <v>0</v>
      </c>
      <c r="O68" s="11"/>
      <c r="P68" s="4">
        <f>SUM(0)</f>
        <v>0</v>
      </c>
      <c r="Q68" s="4"/>
      <c r="R68" s="13">
        <f>IF(P$12=0,0,P68/P$12)</f>
        <v>0</v>
      </c>
      <c r="S68" s="4"/>
      <c r="T68" s="4">
        <f>SUM(0)</f>
        <v>0</v>
      </c>
      <c r="U68" s="4"/>
      <c r="V68" s="13">
        <f>IF(T$12=0,0,T68/T$12)</f>
        <v>0</v>
      </c>
      <c r="W68" s="4"/>
      <c r="X68" s="4">
        <f>+P68-T68</f>
        <v>0</v>
      </c>
      <c r="Y68" s="4"/>
      <c r="Z68" s="13">
        <f>IF(T68=0,0,X68/T68)</f>
        <v>0</v>
      </c>
    </row>
    <row r="69" spans="1:26" x14ac:dyDescent="0.25">
      <c r="A69" s="9"/>
      <c r="B69" s="11"/>
      <c r="C69" s="11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1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4" customFormat="1" x14ac:dyDescent="0.25">
      <c r="A70" s="11"/>
      <c r="B70" s="29" t="s">
        <v>276</v>
      </c>
      <c r="C70" s="29"/>
      <c r="D70" s="20">
        <f>+D16-D18+D68</f>
        <v>-39295.32</v>
      </c>
      <c r="E70" s="14"/>
      <c r="F70" s="22">
        <f>IF(D$12=0,0,D70/D$12)</f>
        <v>0</v>
      </c>
      <c r="G70" s="14"/>
      <c r="H70" s="20">
        <f>+H16-H18+H68</f>
        <v>7537.7599999999975</v>
      </c>
      <c r="I70" s="14"/>
      <c r="J70" s="22">
        <f>IF(H$12=0,0,H70/H$12)</f>
        <v>0</v>
      </c>
      <c r="K70" s="16"/>
      <c r="L70" s="20">
        <f>+D70-H70</f>
        <v>-46833.079999999994</v>
      </c>
      <c r="M70" s="16"/>
      <c r="N70" s="22">
        <f>IF(H70=0,0,L70/H70)</f>
        <v>-6.2131296300227135</v>
      </c>
      <c r="O70" s="28"/>
      <c r="P70" s="20">
        <f>+P16-P18+P68</f>
        <v>-417060.2699999999</v>
      </c>
      <c r="Q70" s="14"/>
      <c r="R70" s="22">
        <f>IF(P$12=0,0,P70/P$12)</f>
        <v>0</v>
      </c>
      <c r="S70" s="14"/>
      <c r="T70" s="20">
        <f>+T16-T18+T68</f>
        <v>-506101.7699999999</v>
      </c>
      <c r="U70" s="14"/>
      <c r="V70" s="22">
        <f>IF(T$12=0,0,T70/T$12)</f>
        <v>0</v>
      </c>
      <c r="W70" s="16"/>
      <c r="X70" s="20">
        <f>+P70-T70</f>
        <v>89041.5</v>
      </c>
      <c r="Y70" s="16"/>
      <c r="Z70" s="22">
        <f>IF(T70=0,0,X70/T70)</f>
        <v>-0.17593595849309127</v>
      </c>
    </row>
    <row r="71" spans="1:26" x14ac:dyDescent="0.25">
      <c r="A71" s="9"/>
      <c r="B71" s="11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4" customFormat="1" x14ac:dyDescent="0.25">
      <c r="A72" s="51"/>
      <c r="B72" s="11" t="s">
        <v>127</v>
      </c>
      <c r="C72" s="11"/>
      <c r="D72" s="4"/>
      <c r="E72" s="4"/>
      <c r="F72" s="13">
        <f>IF(D$12=0,0,D72/D$12)</f>
        <v>0</v>
      </c>
      <c r="G72" s="4"/>
      <c r="H72" s="4"/>
      <c r="I72" s="4"/>
      <c r="J72" s="13">
        <f>IF(H$12=0,0,H72/H$12)</f>
        <v>0</v>
      </c>
      <c r="K72" s="4"/>
      <c r="L72" s="4">
        <f>+D72-H72</f>
        <v>0</v>
      </c>
      <c r="M72" s="4"/>
      <c r="N72" s="13">
        <f>IF(H72=0,0,L72/H72)</f>
        <v>0</v>
      </c>
      <c r="O72" s="11"/>
      <c r="P72" s="4"/>
      <c r="Q72" s="4"/>
      <c r="R72" s="13">
        <f>IF(P$12=0,0,P72/P$12)</f>
        <v>0</v>
      </c>
      <c r="S72" s="4"/>
      <c r="T72" s="4"/>
      <c r="U72" s="4"/>
      <c r="V72" s="13">
        <f>IF(T$12=0,0,T72/T$12)</f>
        <v>0</v>
      </c>
      <c r="W72" s="4"/>
      <c r="X72" s="4">
        <f>+P72-T72</f>
        <v>0</v>
      </c>
      <c r="Y72" s="4"/>
      <c r="Z72" s="13">
        <f>IF(T72=0,0,X72/T72)</f>
        <v>0</v>
      </c>
    </row>
    <row r="73" spans="1:26" x14ac:dyDescent="0.25">
      <c r="A73" s="9"/>
      <c r="B73" s="11"/>
      <c r="C73" s="11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1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4" customFormat="1" ht="15.75" thickBot="1" x14ac:dyDescent="0.3">
      <c r="A74" s="11"/>
      <c r="B74" s="29" t="s">
        <v>125</v>
      </c>
      <c r="C74" s="29"/>
      <c r="D74" s="30">
        <f>+D70-D72</f>
        <v>-39295.32</v>
      </c>
      <c r="E74" s="14"/>
      <c r="F74" s="34">
        <f>IF(D$12=0,0,D74/D$12)</f>
        <v>0</v>
      </c>
      <c r="G74" s="14"/>
      <c r="H74" s="30">
        <f>+H70-H72</f>
        <v>7537.7599999999975</v>
      </c>
      <c r="I74" s="14"/>
      <c r="J74" s="34">
        <f>IF(H$12=0,0,H74/H$12)</f>
        <v>0</v>
      </c>
      <c r="K74" s="16"/>
      <c r="L74" s="30">
        <f>D74-H74</f>
        <v>-46833.079999999994</v>
      </c>
      <c r="M74" s="16"/>
      <c r="N74" s="34">
        <f>IF(H74=0,0,L74/H74)</f>
        <v>-6.2131296300227135</v>
      </c>
      <c r="O74" s="28"/>
      <c r="P74" s="30">
        <f>+P70-P72</f>
        <v>-417060.2699999999</v>
      </c>
      <c r="Q74" s="14"/>
      <c r="R74" s="34">
        <f>IF(P$12=0,0,P74/P$12)</f>
        <v>0</v>
      </c>
      <c r="S74" s="14"/>
      <c r="T74" s="30">
        <f>+T70-T72</f>
        <v>-506101.7699999999</v>
      </c>
      <c r="U74" s="14"/>
      <c r="V74" s="34">
        <f>IF(T$12=0,0,T74/T$12)</f>
        <v>0</v>
      </c>
      <c r="W74" s="16"/>
      <c r="X74" s="30">
        <f>P74-T74</f>
        <v>89041.5</v>
      </c>
      <c r="Y74" s="16"/>
      <c r="Z74" s="34">
        <f>IF(T74=0,0,X74/T74)</f>
        <v>-0.17593595849309127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ht="15.75" thickBot="1" x14ac:dyDescent="0.3">
      <c r="A77" s="11"/>
      <c r="B77" s="29" t="s">
        <v>293</v>
      </c>
      <c r="C77" s="29"/>
      <c r="D77" s="32">
        <f>SUM(D74:D76)</f>
        <v>-39295.32</v>
      </c>
      <c r="E77" s="14"/>
      <c r="F77" s="35">
        <f>IF(D$12=0,0,D77/D$12)</f>
        <v>0</v>
      </c>
      <c r="G77" s="14"/>
      <c r="H77" s="32">
        <f>SUM(H74:H76)</f>
        <v>7537.7599999999975</v>
      </c>
      <c r="I77" s="14"/>
      <c r="J77" s="35">
        <f>IF(H$12=0,0,H77/H$12)</f>
        <v>0</v>
      </c>
      <c r="K77" s="16"/>
      <c r="L77" s="32">
        <f>+D77-H77</f>
        <v>-46833.079999999994</v>
      </c>
      <c r="M77" s="16"/>
      <c r="N77" s="35">
        <f>IF(H77=0,0,L77/H77)</f>
        <v>-6.2131296300227135</v>
      </c>
      <c r="O77" s="28"/>
      <c r="P77" s="32">
        <f>SUM(P74:P76)</f>
        <v>-417060.2699999999</v>
      </c>
      <c r="Q77" s="14"/>
      <c r="R77" s="35">
        <f>IF(P$12=0,0,P77/P$12)</f>
        <v>0</v>
      </c>
      <c r="S77" s="14"/>
      <c r="T77" s="32">
        <f>SUM(T74:T76)</f>
        <v>-506101.7699999999</v>
      </c>
      <c r="U77" s="14"/>
      <c r="V77" s="35">
        <f>IF(T$12=0,0,T77/T$12)</f>
        <v>0</v>
      </c>
      <c r="W77" s="16"/>
      <c r="X77" s="32">
        <f>+P77-T77</f>
        <v>89041.5</v>
      </c>
      <c r="Y77" s="16"/>
      <c r="Z77" s="35">
        <f>IF(T77=0,0,X77/T77)</f>
        <v>-0.17593595849309127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59">
        <v>44330.00886898148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2" t="s">
        <v>56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5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","203", " - ", "Human Resources")</f>
        <v>Department 203 - Human Resources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43462.69</v>
      </c>
      <c r="E18" s="21"/>
      <c r="F18" s="31">
        <f t="shared" ref="F18:F29" si="0">IF(D$12=0,0,D18/D$12)</f>
        <v>0</v>
      </c>
      <c r="G18" s="21"/>
      <c r="H18" s="21">
        <f>SUM(OSRRefH22x_0)</f>
        <v>66029.459999999992</v>
      </c>
      <c r="I18" s="21"/>
      <c r="J18" s="31">
        <f t="shared" ref="J18:J29" si="1">IF(H$12=0,0,H18/H$12)</f>
        <v>0</v>
      </c>
      <c r="K18" s="4"/>
      <c r="L18" s="21">
        <f t="shared" ref="L18:L29" si="2">+D18-H18</f>
        <v>-22566.76999999999</v>
      </c>
      <c r="M18" s="4"/>
      <c r="N18" s="31">
        <f t="shared" ref="N18:N29" si="3">IF(H18=0,0,L18/H18)</f>
        <v>-0.34176820467712432</v>
      </c>
      <c r="O18" s="11"/>
      <c r="P18" s="21">
        <f>SUM(OSRRefP22x_0)</f>
        <v>450007.96000000014</v>
      </c>
      <c r="Q18" s="21"/>
      <c r="R18" s="31">
        <f t="shared" ref="R18:R29" si="4">IF(P$12=0,0,P18/P$12)</f>
        <v>0</v>
      </c>
      <c r="S18" s="21"/>
      <c r="T18" s="21">
        <f>SUM(OSRRefT22x_0)</f>
        <v>711963.41000000027</v>
      </c>
      <c r="U18" s="21"/>
      <c r="V18" s="31">
        <f t="shared" ref="V18:V29" si="5">IF(T$12=0,0,T18/T$12)</f>
        <v>0</v>
      </c>
      <c r="W18" s="4"/>
      <c r="X18" s="21">
        <f t="shared" ref="X18:X29" si="6">+P18-T18</f>
        <v>-261955.45000000013</v>
      </c>
      <c r="Y18" s="4"/>
      <c r="Z18" s="31">
        <f t="shared" ref="Z18:Z29" si="7">IF(T18=0,0,X18/T18)</f>
        <v>-0.36793386615191365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13891.150000000001</v>
      </c>
      <c r="E19" s="1"/>
      <c r="F19" s="5">
        <f t="shared" si="0"/>
        <v>0</v>
      </c>
      <c r="G19" s="1"/>
      <c r="H19" s="1">
        <f>SUM(OSRRefH22_0x_0)</f>
        <v>13882.88</v>
      </c>
      <c r="I19" s="1"/>
      <c r="J19" s="5">
        <f t="shared" si="1"/>
        <v>0</v>
      </c>
      <c r="K19" s="1"/>
      <c r="L19" s="1">
        <f t="shared" si="2"/>
        <v>8.2700000000022555</v>
      </c>
      <c r="M19" s="1"/>
      <c r="N19" s="5">
        <f t="shared" si="3"/>
        <v>5.956977226628953E-4</v>
      </c>
      <c r="O19" s="12"/>
      <c r="P19" s="1">
        <f>SUM(OSRRefP22_0x_0)</f>
        <v>124171.91000000002</v>
      </c>
      <c r="Q19" s="1"/>
      <c r="R19" s="5">
        <f t="shared" si="4"/>
        <v>0</v>
      </c>
      <c r="S19" s="1"/>
      <c r="T19" s="1">
        <f>SUM(OSRRefT22_0x_0)</f>
        <v>144364.20000000001</v>
      </c>
      <c r="U19" s="1"/>
      <c r="V19" s="5">
        <f t="shared" si="5"/>
        <v>0</v>
      </c>
      <c r="W19" s="1"/>
      <c r="X19" s="1">
        <f t="shared" si="6"/>
        <v>-20192.289999999994</v>
      </c>
      <c r="Y19" s="1"/>
      <c r="Z19" s="5">
        <f t="shared" si="7"/>
        <v>-0.13987048035454769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2692.57</v>
      </c>
      <c r="E20" s="2"/>
      <c r="F20" s="7">
        <f t="shared" si="0"/>
        <v>0</v>
      </c>
      <c r="G20" s="2"/>
      <c r="H20" s="6">
        <v>3037.31</v>
      </c>
      <c r="I20" s="2"/>
      <c r="J20" s="7">
        <f t="shared" si="1"/>
        <v>0</v>
      </c>
      <c r="K20" s="2"/>
      <c r="L20" s="6">
        <f t="shared" si="2"/>
        <v>-344.73999999999978</v>
      </c>
      <c r="M20" s="2"/>
      <c r="N20" s="7">
        <f t="shared" si="3"/>
        <v>-0.11350174990369762</v>
      </c>
      <c r="O20" s="10"/>
      <c r="P20" s="6">
        <v>21566.17</v>
      </c>
      <c r="Q20" s="2"/>
      <c r="R20" s="7">
        <f t="shared" si="4"/>
        <v>0</v>
      </c>
      <c r="S20" s="2"/>
      <c r="T20" s="6">
        <v>22934.58</v>
      </c>
      <c r="U20" s="2"/>
      <c r="V20" s="7">
        <f t="shared" si="5"/>
        <v>0</v>
      </c>
      <c r="W20" s="2"/>
      <c r="X20" s="6">
        <f t="shared" si="6"/>
        <v>-1368.4100000000035</v>
      </c>
      <c r="Y20" s="2"/>
      <c r="Z20" s="7">
        <f t="shared" si="7"/>
        <v>-5.9665797237185222E-2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75.95</v>
      </c>
      <c r="E21" s="2"/>
      <c r="F21" s="7">
        <f t="shared" si="0"/>
        <v>0</v>
      </c>
      <c r="G21" s="2"/>
      <c r="H21" s="6">
        <v>90.73</v>
      </c>
      <c r="I21" s="2"/>
      <c r="J21" s="7">
        <f t="shared" si="1"/>
        <v>0</v>
      </c>
      <c r="K21" s="2"/>
      <c r="L21" s="6">
        <f t="shared" si="2"/>
        <v>-14.780000000000001</v>
      </c>
      <c r="M21" s="2"/>
      <c r="N21" s="7">
        <f t="shared" si="3"/>
        <v>-0.16290091480216026</v>
      </c>
      <c r="O21" s="10"/>
      <c r="P21" s="6">
        <v>897.27</v>
      </c>
      <c r="Q21" s="2"/>
      <c r="R21" s="7">
        <f t="shared" si="4"/>
        <v>0</v>
      </c>
      <c r="S21" s="2"/>
      <c r="T21" s="6">
        <v>847</v>
      </c>
      <c r="U21" s="2"/>
      <c r="V21" s="7">
        <f t="shared" si="5"/>
        <v>0</v>
      </c>
      <c r="W21" s="2"/>
      <c r="X21" s="6">
        <f t="shared" si="6"/>
        <v>50.269999999999982</v>
      </c>
      <c r="Y21" s="2"/>
      <c r="Z21" s="7">
        <f t="shared" si="7"/>
        <v>5.9350649350649327E-2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6028.29</v>
      </c>
      <c r="E22" s="2"/>
      <c r="F22" s="7">
        <f t="shared" si="0"/>
        <v>0</v>
      </c>
      <c r="G22" s="2"/>
      <c r="H22" s="6">
        <v>6091.67</v>
      </c>
      <c r="I22" s="2"/>
      <c r="J22" s="7">
        <f t="shared" si="1"/>
        <v>0</v>
      </c>
      <c r="K22" s="2"/>
      <c r="L22" s="6">
        <f t="shared" si="2"/>
        <v>-63.380000000000109</v>
      </c>
      <c r="M22" s="2"/>
      <c r="N22" s="7">
        <f t="shared" si="3"/>
        <v>-1.0404371871752756E-2</v>
      </c>
      <c r="O22" s="10"/>
      <c r="P22" s="6">
        <v>60663.18</v>
      </c>
      <c r="Q22" s="2"/>
      <c r="R22" s="7">
        <f t="shared" si="4"/>
        <v>0</v>
      </c>
      <c r="S22" s="2"/>
      <c r="T22" s="6">
        <v>61615.74</v>
      </c>
      <c r="U22" s="2"/>
      <c r="V22" s="7">
        <f t="shared" si="5"/>
        <v>0</v>
      </c>
      <c r="W22" s="2"/>
      <c r="X22" s="6">
        <f t="shared" si="6"/>
        <v>-952.55999999999767</v>
      </c>
      <c r="Y22" s="2"/>
      <c r="Z22" s="7">
        <f t="shared" si="7"/>
        <v>-1.5459686112671822E-2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59.84</v>
      </c>
      <c r="E23" s="2"/>
      <c r="F23" s="7">
        <f t="shared" si="0"/>
        <v>0</v>
      </c>
      <c r="G23" s="2"/>
      <c r="H23" s="6">
        <v>69.38</v>
      </c>
      <c r="I23" s="2"/>
      <c r="J23" s="7">
        <f t="shared" si="1"/>
        <v>0</v>
      </c>
      <c r="K23" s="2"/>
      <c r="L23" s="6">
        <f t="shared" si="2"/>
        <v>-9.539999999999992</v>
      </c>
      <c r="M23" s="2"/>
      <c r="N23" s="7">
        <f t="shared" si="3"/>
        <v>-0.13750360334390305</v>
      </c>
      <c r="O23" s="10"/>
      <c r="P23" s="6">
        <v>706.94</v>
      </c>
      <c r="Q23" s="2"/>
      <c r="R23" s="7">
        <f t="shared" si="4"/>
        <v>0</v>
      </c>
      <c r="S23" s="2"/>
      <c r="T23" s="6">
        <v>746.39</v>
      </c>
      <c r="U23" s="2"/>
      <c r="V23" s="7">
        <f t="shared" si="5"/>
        <v>0</v>
      </c>
      <c r="W23" s="2"/>
      <c r="X23" s="6">
        <f t="shared" si="6"/>
        <v>-39.449999999999932</v>
      </c>
      <c r="Y23" s="2"/>
      <c r="Z23" s="7">
        <f t="shared" si="7"/>
        <v>-5.2854405873604862E-2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1091.48</v>
      </c>
      <c r="E24" s="2"/>
      <c r="F24" s="7">
        <f t="shared" si="0"/>
        <v>0</v>
      </c>
      <c r="G24" s="2"/>
      <c r="H24" s="6">
        <v>1167.43</v>
      </c>
      <c r="I24" s="2"/>
      <c r="J24" s="7">
        <f t="shared" si="1"/>
        <v>0</v>
      </c>
      <c r="K24" s="2"/>
      <c r="L24" s="6">
        <f t="shared" si="2"/>
        <v>-75.950000000000045</v>
      </c>
      <c r="M24" s="2"/>
      <c r="N24" s="7">
        <f t="shared" si="3"/>
        <v>-6.5057433850423618E-2</v>
      </c>
      <c r="O24" s="10"/>
      <c r="P24" s="6">
        <v>13283.32</v>
      </c>
      <c r="Q24" s="2"/>
      <c r="R24" s="7">
        <f t="shared" si="4"/>
        <v>0</v>
      </c>
      <c r="S24" s="2"/>
      <c r="T24" s="6">
        <v>12632.47</v>
      </c>
      <c r="U24" s="2"/>
      <c r="V24" s="7">
        <f t="shared" si="5"/>
        <v>0</v>
      </c>
      <c r="W24" s="2"/>
      <c r="X24" s="6">
        <f t="shared" si="6"/>
        <v>650.85000000000036</v>
      </c>
      <c r="Y24" s="2"/>
      <c r="Z24" s="7">
        <f t="shared" si="7"/>
        <v>5.1521990552916445E-2</v>
      </c>
    </row>
    <row r="25" spans="1:26" s="23" customFormat="1" hidden="1" outlineLevel="2" x14ac:dyDescent="0.25">
      <c r="A25" s="27"/>
      <c r="B25" s="10" t="str">
        <f>CONCATENATE("          ", "6116", " - ", "EDUCATIONAL BENEFITS")</f>
        <v xml:space="preserve">          6116 - EDUCATIONAL BENEFITS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/>
      <c r="Q25" s="2"/>
      <c r="R25" s="7">
        <f t="shared" si="4"/>
        <v>0</v>
      </c>
      <c r="S25" s="2"/>
      <c r="T25" s="6">
        <v>4936.88</v>
      </c>
      <c r="U25" s="2"/>
      <c r="V25" s="7">
        <f t="shared" si="5"/>
        <v>0</v>
      </c>
      <c r="W25" s="2"/>
      <c r="X25" s="6">
        <f t="shared" si="6"/>
        <v>-4936.88</v>
      </c>
      <c r="Y25" s="2"/>
      <c r="Z25" s="7">
        <f t="shared" si="7"/>
        <v>-1</v>
      </c>
    </row>
    <row r="26" spans="1:26" s="23" customFormat="1" hidden="1" outlineLevel="2" x14ac:dyDescent="0.25">
      <c r="A26" s="27"/>
      <c r="B26" s="10" t="str">
        <f>CONCATENATE("          ", "6117", " - ", "RETIREMENT STAFF HOURLY")</f>
        <v xml:space="preserve">          6117 - RETIREMENT STAFF HOURLY</v>
      </c>
      <c r="C26" s="10"/>
      <c r="D26" s="6">
        <v>491.79</v>
      </c>
      <c r="E26" s="2"/>
      <c r="F26" s="7">
        <f t="shared" si="0"/>
        <v>0</v>
      </c>
      <c r="G26" s="2"/>
      <c r="H26" s="6">
        <v>992.81</v>
      </c>
      <c r="I26" s="2"/>
      <c r="J26" s="7">
        <f t="shared" si="1"/>
        <v>0</v>
      </c>
      <c r="K26" s="2"/>
      <c r="L26" s="6">
        <f t="shared" si="2"/>
        <v>-501.01999999999992</v>
      </c>
      <c r="M26" s="2"/>
      <c r="N26" s="7">
        <f t="shared" si="3"/>
        <v>-0.50464842215529648</v>
      </c>
      <c r="O26" s="10"/>
      <c r="P26" s="6">
        <v>6131.5</v>
      </c>
      <c r="Q26" s="2"/>
      <c r="R26" s="7">
        <f t="shared" si="4"/>
        <v>0</v>
      </c>
      <c r="S26" s="2"/>
      <c r="T26" s="6">
        <v>4783.49</v>
      </c>
      <c r="U26" s="2"/>
      <c r="V26" s="7">
        <f t="shared" si="5"/>
        <v>0</v>
      </c>
      <c r="W26" s="2"/>
      <c r="X26" s="6">
        <f t="shared" si="6"/>
        <v>1348.0100000000002</v>
      </c>
      <c r="Y26" s="2"/>
      <c r="Z26" s="7">
        <f t="shared" si="7"/>
        <v>0.28180470744163788</v>
      </c>
    </row>
    <row r="27" spans="1:26" s="23" customFormat="1" hidden="1" outlineLevel="2" x14ac:dyDescent="0.25">
      <c r="A27" s="27"/>
      <c r="B27" s="10" t="str">
        <f>CONCATENATE("          ", "6118", " - ", "VACATION")</f>
        <v xml:space="preserve">          6118 - VACATION</v>
      </c>
      <c r="C27" s="10"/>
      <c r="D27" s="6">
        <v>2089.0500000000002</v>
      </c>
      <c r="E27" s="2"/>
      <c r="F27" s="7">
        <f t="shared" si="0"/>
        <v>0</v>
      </c>
      <c r="G27" s="2"/>
      <c r="H27" s="6">
        <v>1499.44</v>
      </c>
      <c r="I27" s="2"/>
      <c r="J27" s="7">
        <f t="shared" si="1"/>
        <v>0</v>
      </c>
      <c r="K27" s="2"/>
      <c r="L27" s="6">
        <f t="shared" si="2"/>
        <v>589.61000000000013</v>
      </c>
      <c r="M27" s="2"/>
      <c r="N27" s="7">
        <f t="shared" si="3"/>
        <v>0.39322013551725987</v>
      </c>
      <c r="O27" s="10"/>
      <c r="P27" s="6">
        <v>10594.38</v>
      </c>
      <c r="Q27" s="2"/>
      <c r="R27" s="7">
        <f t="shared" si="4"/>
        <v>0</v>
      </c>
      <c r="S27" s="2"/>
      <c r="T27" s="6">
        <v>19436.59</v>
      </c>
      <c r="U27" s="2"/>
      <c r="V27" s="7">
        <f t="shared" si="5"/>
        <v>0</v>
      </c>
      <c r="W27" s="2"/>
      <c r="X27" s="6">
        <f t="shared" si="6"/>
        <v>-8842.2100000000009</v>
      </c>
      <c r="Y27" s="2"/>
      <c r="Z27" s="7">
        <f t="shared" si="7"/>
        <v>-0.45492599267669898</v>
      </c>
    </row>
    <row r="28" spans="1:26" s="23" customFormat="1" hidden="1" outlineLevel="2" x14ac:dyDescent="0.25">
      <c r="A28" s="27"/>
      <c r="B28" s="10" t="str">
        <f>CONCATENATE("          ", "6119", " - ", "SICK LEAVE")</f>
        <v xml:space="preserve">          6119 - SICK LEAVE</v>
      </c>
      <c r="C28" s="10"/>
      <c r="D28" s="6">
        <v>1362.18</v>
      </c>
      <c r="E28" s="2"/>
      <c r="F28" s="7">
        <f t="shared" si="0"/>
        <v>0</v>
      </c>
      <c r="G28" s="2"/>
      <c r="H28" s="6">
        <v>934.11</v>
      </c>
      <c r="I28" s="2"/>
      <c r="J28" s="7">
        <f t="shared" si="1"/>
        <v>0</v>
      </c>
      <c r="K28" s="2"/>
      <c r="L28" s="6">
        <f t="shared" si="2"/>
        <v>428.07000000000005</v>
      </c>
      <c r="M28" s="2"/>
      <c r="N28" s="7">
        <f t="shared" si="3"/>
        <v>0.4582650865529756</v>
      </c>
      <c r="O28" s="10"/>
      <c r="P28" s="6">
        <v>9989.32</v>
      </c>
      <c r="Q28" s="2"/>
      <c r="R28" s="7">
        <f t="shared" si="4"/>
        <v>0</v>
      </c>
      <c r="S28" s="2"/>
      <c r="T28" s="6">
        <v>12778.1</v>
      </c>
      <c r="U28" s="2"/>
      <c r="V28" s="7">
        <f t="shared" si="5"/>
        <v>0</v>
      </c>
      <c r="W28" s="2"/>
      <c r="X28" s="6">
        <f t="shared" si="6"/>
        <v>-2788.7800000000007</v>
      </c>
      <c r="Y28" s="2"/>
      <c r="Z28" s="7">
        <f t="shared" si="7"/>
        <v>-0.21824684421001561</v>
      </c>
    </row>
    <row r="29" spans="1:26" s="23" customFormat="1" hidden="1" outlineLevel="2" x14ac:dyDescent="0.25">
      <c r="A29" s="27"/>
      <c r="B29" s="10" t="str">
        <f>CONCATENATE("          ", "6156", " - ", "EMPLOYEE MEALS")</f>
        <v xml:space="preserve">          6156 - EMPLOYEE MEALS</v>
      </c>
      <c r="C29" s="10"/>
      <c r="D29" s="6"/>
      <c r="E29" s="2"/>
      <c r="F29" s="7">
        <f t="shared" si="0"/>
        <v>0</v>
      </c>
      <c r="G29" s="2"/>
      <c r="H29" s="6"/>
      <c r="I29" s="2"/>
      <c r="J29" s="7">
        <f t="shared" si="1"/>
        <v>0</v>
      </c>
      <c r="K29" s="2"/>
      <c r="L29" s="6">
        <f t="shared" si="2"/>
        <v>0</v>
      </c>
      <c r="M29" s="2"/>
      <c r="N29" s="7">
        <f t="shared" si="3"/>
        <v>0</v>
      </c>
      <c r="O29" s="10"/>
      <c r="P29" s="6">
        <v>339.83</v>
      </c>
      <c r="Q29" s="2"/>
      <c r="R29" s="7">
        <f t="shared" si="4"/>
        <v>0</v>
      </c>
      <c r="S29" s="2"/>
      <c r="T29" s="6">
        <v>3652.96</v>
      </c>
      <c r="U29" s="2"/>
      <c r="V29" s="7">
        <f t="shared" si="5"/>
        <v>0</v>
      </c>
      <c r="W29" s="2"/>
      <c r="X29" s="6">
        <f t="shared" si="6"/>
        <v>-3313.13</v>
      </c>
      <c r="Y29" s="2"/>
      <c r="Z29" s="7">
        <f t="shared" si="7"/>
        <v>-0.90697133283693221</v>
      </c>
    </row>
    <row r="30" spans="1:26" s="26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23553.25</v>
      </c>
      <c r="E30" s="1"/>
      <c r="F30" s="5">
        <f t="shared" ref="F30:F35" si="8">IF(D$12=0,0,D30/D$12)</f>
        <v>0</v>
      </c>
      <c r="G30" s="1"/>
      <c r="H30" s="1">
        <f>SUM(OSRRefH22_1x_0)</f>
        <v>32256.309999999998</v>
      </c>
      <c r="I30" s="1"/>
      <c r="J30" s="5">
        <f t="shared" ref="J30:J35" si="9">IF(H$12=0,0,H30/H$12)</f>
        <v>0</v>
      </c>
      <c r="K30" s="1"/>
      <c r="L30" s="1">
        <f t="shared" ref="L30:L35" si="10">+D30-H30</f>
        <v>-8703.0599999999977</v>
      </c>
      <c r="M30" s="1"/>
      <c r="N30" s="5">
        <f t="shared" ref="N30:N35" si="11">IF(H30=0,0,L30/H30)</f>
        <v>-0.26980953494060539</v>
      </c>
      <c r="O30" s="12"/>
      <c r="P30" s="1">
        <f>SUM(OSRRefP22_1x_0)</f>
        <v>259727.05</v>
      </c>
      <c r="Q30" s="1"/>
      <c r="R30" s="5">
        <f t="shared" ref="R30:R35" si="12">IF(P$12=0,0,P30/P$12)</f>
        <v>0</v>
      </c>
      <c r="S30" s="1"/>
      <c r="T30" s="1">
        <f>SUM(OSRRefT22_1x_0)</f>
        <v>273359.71000000002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-13632.660000000033</v>
      </c>
      <c r="Y30" s="1"/>
      <c r="Z30" s="5">
        <f t="shared" ref="Z30:Z35" si="15">IF(T30=0,0,X30/T30)</f>
        <v>-4.9870772836275071E-2</v>
      </c>
    </row>
    <row r="31" spans="1:26" s="23" customFormat="1" hidden="1" outlineLevel="2" x14ac:dyDescent="0.25">
      <c r="A31" s="27"/>
      <c r="B31" s="10" t="str">
        <f>CONCATENATE("          ", "6001", " - ", "ADMINISTRATIVE SALARIES")</f>
        <v xml:space="preserve">          6001 - ADMINISTRATIVE SALARIES</v>
      </c>
      <c r="C31" s="10"/>
      <c r="D31" s="6">
        <v>8410.14</v>
      </c>
      <c r="E31" s="2"/>
      <c r="F31" s="7">
        <f t="shared" si="8"/>
        <v>0</v>
      </c>
      <c r="G31" s="2"/>
      <c r="H31" s="6">
        <v>11873.29</v>
      </c>
      <c r="I31" s="2"/>
      <c r="J31" s="7">
        <f t="shared" si="9"/>
        <v>0</v>
      </c>
      <c r="K31" s="2"/>
      <c r="L31" s="6">
        <f t="shared" si="10"/>
        <v>-3463.1500000000015</v>
      </c>
      <c r="M31" s="2"/>
      <c r="N31" s="7">
        <f t="shared" si="11"/>
        <v>-0.29167568550923972</v>
      </c>
      <c r="O31" s="10"/>
      <c r="P31" s="6">
        <v>100161.28</v>
      </c>
      <c r="Q31" s="2"/>
      <c r="R31" s="7">
        <f t="shared" si="12"/>
        <v>0</v>
      </c>
      <c r="S31" s="2"/>
      <c r="T31" s="6">
        <v>93054.94</v>
      </c>
      <c r="U31" s="2"/>
      <c r="V31" s="7">
        <f t="shared" si="13"/>
        <v>0</v>
      </c>
      <c r="W31" s="2"/>
      <c r="X31" s="6">
        <f t="shared" si="14"/>
        <v>7106.3399999999965</v>
      </c>
      <c r="Y31" s="2"/>
      <c r="Z31" s="7">
        <f t="shared" si="15"/>
        <v>7.6367143968928422E-2</v>
      </c>
    </row>
    <row r="32" spans="1:26" s="23" customFormat="1" hidden="1" outlineLevel="2" x14ac:dyDescent="0.25">
      <c r="A32" s="27"/>
      <c r="B32" s="10" t="str">
        <f>CONCATENATE("          ", "6002", " - ", "STAFF SALARIES")</f>
        <v xml:space="preserve">          6002 - STAFF SALARIES</v>
      </c>
      <c r="C32" s="10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0"/>
      <c r="P32" s="6"/>
      <c r="Q32" s="2"/>
      <c r="R32" s="7">
        <f t="shared" si="12"/>
        <v>0</v>
      </c>
      <c r="S32" s="2"/>
      <c r="T32" s="6">
        <v>21069.18</v>
      </c>
      <c r="U32" s="2"/>
      <c r="V32" s="7">
        <f t="shared" si="13"/>
        <v>0</v>
      </c>
      <c r="W32" s="2"/>
      <c r="X32" s="6">
        <f t="shared" si="14"/>
        <v>-21069.18</v>
      </c>
      <c r="Y32" s="2"/>
      <c r="Z32" s="7">
        <f t="shared" si="15"/>
        <v>-1</v>
      </c>
    </row>
    <row r="33" spans="1:26" s="23" customFormat="1" hidden="1" outlineLevel="2" x14ac:dyDescent="0.25">
      <c r="A33" s="27"/>
      <c r="B33" s="10" t="str">
        <f>CONCATENATE("          ", "6004", " - ", "STAFF HOURLY")</f>
        <v xml:space="preserve">          6004 - STAFF HOURLY</v>
      </c>
      <c r="C33" s="10"/>
      <c r="D33" s="6">
        <v>13245.9</v>
      </c>
      <c r="E33" s="2"/>
      <c r="F33" s="7">
        <f t="shared" si="8"/>
        <v>0</v>
      </c>
      <c r="G33" s="2"/>
      <c r="H33" s="6">
        <v>14590.64</v>
      </c>
      <c r="I33" s="2"/>
      <c r="J33" s="7">
        <f t="shared" si="9"/>
        <v>0</v>
      </c>
      <c r="K33" s="2"/>
      <c r="L33" s="6">
        <f t="shared" si="10"/>
        <v>-1344.7399999999998</v>
      </c>
      <c r="M33" s="2"/>
      <c r="N33" s="7">
        <f t="shared" si="11"/>
        <v>-9.2164565776415561E-2</v>
      </c>
      <c r="O33" s="10"/>
      <c r="P33" s="6">
        <v>106497.37</v>
      </c>
      <c r="Q33" s="2"/>
      <c r="R33" s="7">
        <f t="shared" si="12"/>
        <v>0</v>
      </c>
      <c r="S33" s="2"/>
      <c r="T33" s="6">
        <v>102313.89</v>
      </c>
      <c r="U33" s="2"/>
      <c r="V33" s="7">
        <f t="shared" si="13"/>
        <v>0</v>
      </c>
      <c r="W33" s="2"/>
      <c r="X33" s="6">
        <f t="shared" si="14"/>
        <v>4183.4799999999959</v>
      </c>
      <c r="Y33" s="2"/>
      <c r="Z33" s="7">
        <f t="shared" si="15"/>
        <v>4.0888680901488506E-2</v>
      </c>
    </row>
    <row r="34" spans="1:26" s="23" customFormat="1" hidden="1" outlineLevel="2" x14ac:dyDescent="0.25">
      <c r="A34" s="27"/>
      <c r="B34" s="10" t="str">
        <f>CONCATENATE("          ", "6005", " - ", "TEMPORARY WAGES-HOURLY")</f>
        <v xml:space="preserve">          6005 - TEMPORARY WAGES-HOURLY</v>
      </c>
      <c r="C34" s="10"/>
      <c r="D34" s="6">
        <v>5393.21</v>
      </c>
      <c r="E34" s="2"/>
      <c r="F34" s="7">
        <f t="shared" si="8"/>
        <v>0</v>
      </c>
      <c r="G34" s="2"/>
      <c r="H34" s="6">
        <v>10255.379999999999</v>
      </c>
      <c r="I34" s="2"/>
      <c r="J34" s="7">
        <f t="shared" si="9"/>
        <v>0</v>
      </c>
      <c r="K34" s="2"/>
      <c r="L34" s="6">
        <f t="shared" si="10"/>
        <v>-4862.1699999999992</v>
      </c>
      <c r="M34" s="2"/>
      <c r="N34" s="7">
        <f t="shared" si="11"/>
        <v>-0.47410919926906653</v>
      </c>
      <c r="O34" s="10"/>
      <c r="P34" s="6">
        <v>53068.4</v>
      </c>
      <c r="Q34" s="2"/>
      <c r="R34" s="7">
        <f t="shared" si="12"/>
        <v>0</v>
      </c>
      <c r="S34" s="2"/>
      <c r="T34" s="6">
        <v>56921.7</v>
      </c>
      <c r="U34" s="2"/>
      <c r="V34" s="7">
        <f t="shared" si="13"/>
        <v>0</v>
      </c>
      <c r="W34" s="2"/>
      <c r="X34" s="6">
        <f t="shared" si="14"/>
        <v>-3853.2999999999956</v>
      </c>
      <c r="Y34" s="2"/>
      <c r="Z34" s="7">
        <f t="shared" si="15"/>
        <v>-6.7694745589116201E-2</v>
      </c>
    </row>
    <row r="35" spans="1:26" s="23" customFormat="1" hidden="1" outlineLevel="2" x14ac:dyDescent="0.25">
      <c r="A35" s="27"/>
      <c r="B35" s="10" t="str">
        <f>CONCATENATE("          ", "6007", " - ", "STUDENT HOURLY")</f>
        <v xml:space="preserve">          6007 - STUDENT HOURLY</v>
      </c>
      <c r="C35" s="10"/>
      <c r="D35" s="6">
        <v>-3496</v>
      </c>
      <c r="E35" s="2"/>
      <c r="F35" s="7">
        <f t="shared" si="8"/>
        <v>0</v>
      </c>
      <c r="G35" s="2"/>
      <c r="H35" s="6">
        <v>-4463</v>
      </c>
      <c r="I35" s="2"/>
      <c r="J35" s="7">
        <f t="shared" si="9"/>
        <v>0</v>
      </c>
      <c r="K35" s="2"/>
      <c r="L35" s="6">
        <f t="shared" si="10"/>
        <v>967</v>
      </c>
      <c r="M35" s="2"/>
      <c r="N35" s="7">
        <f t="shared" si="11"/>
        <v>-0.21667040107550975</v>
      </c>
      <c r="O35" s="10"/>
      <c r="P35" s="6">
        <v>0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6" customFormat="1" outlineLevel="1" collapsed="1" x14ac:dyDescent="0.25">
      <c r="A36" s="25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53" si="16">IF(D$12=0,0,D36/D$12)</f>
        <v>0</v>
      </c>
      <c r="G36" s="1"/>
      <c r="H36" s="1">
        <f>SUM(OSRRefH22_2x_0)</f>
        <v>0</v>
      </c>
      <c r="I36" s="1"/>
      <c r="J36" s="5">
        <f t="shared" ref="J36:J53" si="17">IF(H$12=0,0,H36/H$12)</f>
        <v>0</v>
      </c>
      <c r="K36" s="1"/>
      <c r="L36" s="1">
        <f t="shared" ref="L36:L53" si="18">+D36-H36</f>
        <v>0</v>
      </c>
      <c r="M36" s="1"/>
      <c r="N36" s="5">
        <f t="shared" ref="N36:N53" si="19">IF(H36=0,0,L36/H36)</f>
        <v>0</v>
      </c>
      <c r="O36" s="12"/>
      <c r="P36" s="1">
        <f>SUM(OSRRefP22_2x_0)</f>
        <v>0</v>
      </c>
      <c r="Q36" s="1"/>
      <c r="R36" s="5">
        <f t="shared" ref="R36:R53" si="20">IF(P$12=0,0,P36/P$12)</f>
        <v>0</v>
      </c>
      <c r="S36" s="1"/>
      <c r="T36" s="1">
        <f>SUM(OSRRefT22_2x_0)</f>
        <v>1556.04</v>
      </c>
      <c r="U36" s="1"/>
      <c r="V36" s="5">
        <f t="shared" ref="V36:V53" si="21">IF(T$12=0,0,T36/T$12)</f>
        <v>0</v>
      </c>
      <c r="W36" s="1"/>
      <c r="X36" s="1">
        <f t="shared" ref="X36:X53" si="22">+P36-T36</f>
        <v>-1556.04</v>
      </c>
      <c r="Y36" s="1"/>
      <c r="Z36" s="5">
        <f t="shared" ref="Z36:Z53" si="23">IF(T36=0,0,X36/T36)</f>
        <v>-1</v>
      </c>
    </row>
    <row r="37" spans="1:26" s="23" customFormat="1" hidden="1" outlineLevel="2" x14ac:dyDescent="0.25">
      <c r="A37" s="27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/>
      <c r="Q37" s="2"/>
      <c r="R37" s="7">
        <f t="shared" si="20"/>
        <v>0</v>
      </c>
      <c r="S37" s="2"/>
      <c r="T37" s="6">
        <v>1556.04</v>
      </c>
      <c r="U37" s="2"/>
      <c r="V37" s="7">
        <f t="shared" si="21"/>
        <v>0</v>
      </c>
      <c r="W37" s="2"/>
      <c r="X37" s="6">
        <f t="shared" si="22"/>
        <v>-1556.04</v>
      </c>
      <c r="Y37" s="2"/>
      <c r="Z37" s="7">
        <f t="shared" si="23"/>
        <v>-1</v>
      </c>
    </row>
    <row r="38" spans="1:26" s="26" customFormat="1" outlineLevel="1" collapsed="1" x14ac:dyDescent="0.25">
      <c r="A38" s="25"/>
      <c r="B38" s="12" t="str">
        <f>CONCATENATE("     ","Depreciation                                      ")</f>
        <v xml:space="preserve">     Depreciation                                      </v>
      </c>
      <c r="C38" s="12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0</v>
      </c>
      <c r="M38" s="1"/>
      <c r="N38" s="5">
        <f t="shared" si="19"/>
        <v>0</v>
      </c>
      <c r="O38" s="12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2017.57</v>
      </c>
      <c r="U38" s="1"/>
      <c r="V38" s="5">
        <f t="shared" si="21"/>
        <v>0</v>
      </c>
      <c r="W38" s="1"/>
      <c r="X38" s="1">
        <f t="shared" si="22"/>
        <v>-2017.57</v>
      </c>
      <c r="Y38" s="1"/>
      <c r="Z38" s="5">
        <f t="shared" si="23"/>
        <v>-1</v>
      </c>
    </row>
    <row r="39" spans="1:26" s="23" customFormat="1" hidden="1" outlineLevel="2" x14ac:dyDescent="0.25">
      <c r="A39" s="27"/>
      <c r="B39" s="10" t="str">
        <f>CONCATENATE("          ", "6322", " - ", "EQUIPMENT DEPRECIATION EXPENSE")</f>
        <v xml:space="preserve">          6322 - EQUIPMENT DEPRECIATION EXPENSE</v>
      </c>
      <c r="C39" s="10"/>
      <c r="D39" s="6"/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0"/>
      <c r="P39" s="6"/>
      <c r="Q39" s="2"/>
      <c r="R39" s="7">
        <f t="shared" si="20"/>
        <v>0</v>
      </c>
      <c r="S39" s="2"/>
      <c r="T39" s="6">
        <v>2017.57</v>
      </c>
      <c r="U39" s="2"/>
      <c r="V39" s="7">
        <f t="shared" si="21"/>
        <v>0</v>
      </c>
      <c r="W39" s="2"/>
      <c r="X39" s="6">
        <f t="shared" si="22"/>
        <v>-2017.57</v>
      </c>
      <c r="Y39" s="2"/>
      <c r="Z39" s="7">
        <f t="shared" si="23"/>
        <v>-1</v>
      </c>
    </row>
    <row r="40" spans="1:26" s="26" customFormat="1" outlineLevel="1" collapsed="1" x14ac:dyDescent="0.25">
      <c r="A40" s="25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195.74</v>
      </c>
      <c r="I40" s="1"/>
      <c r="J40" s="5">
        <f t="shared" si="17"/>
        <v>0</v>
      </c>
      <c r="K40" s="1"/>
      <c r="L40" s="1">
        <f t="shared" si="18"/>
        <v>-195.74</v>
      </c>
      <c r="M40" s="1"/>
      <c r="N40" s="5">
        <f t="shared" si="19"/>
        <v>-1</v>
      </c>
      <c r="O40" s="12"/>
      <c r="P40" s="1">
        <f>SUM(OSRRefP22_4x_0)</f>
        <v>81.56</v>
      </c>
      <c r="Q40" s="1"/>
      <c r="R40" s="5">
        <f t="shared" si="20"/>
        <v>0</v>
      </c>
      <c r="S40" s="1"/>
      <c r="T40" s="1">
        <f>SUM(OSRRefT22_4x_0)</f>
        <v>29521.94</v>
      </c>
      <c r="U40" s="1"/>
      <c r="V40" s="5">
        <f t="shared" si="21"/>
        <v>0</v>
      </c>
      <c r="W40" s="1"/>
      <c r="X40" s="1">
        <f t="shared" si="22"/>
        <v>-29440.379999999997</v>
      </c>
      <c r="Y40" s="1"/>
      <c r="Z40" s="5">
        <f t="shared" si="23"/>
        <v>-0.99723730893023965</v>
      </c>
    </row>
    <row r="41" spans="1:26" s="23" customFormat="1" hidden="1" outlineLevel="2" x14ac:dyDescent="0.25">
      <c r="A41" s="27"/>
      <c r="B41" s="10" t="str">
        <f>CONCATENATE("          ", "6277", " - ", "EMPLOYEE APPRECIATION")</f>
        <v xml:space="preserve">          6277 - EMPLOYEE APPRECIATION</v>
      </c>
      <c r="C41" s="10"/>
      <c r="D41" s="6"/>
      <c r="E41" s="2"/>
      <c r="F41" s="7">
        <f t="shared" si="16"/>
        <v>0</v>
      </c>
      <c r="G41" s="2"/>
      <c r="H41" s="6">
        <v>195.74</v>
      </c>
      <c r="I41" s="2"/>
      <c r="J41" s="7">
        <f t="shared" si="17"/>
        <v>0</v>
      </c>
      <c r="K41" s="2"/>
      <c r="L41" s="6">
        <f t="shared" si="18"/>
        <v>-195.74</v>
      </c>
      <c r="M41" s="2"/>
      <c r="N41" s="7">
        <f t="shared" si="19"/>
        <v>-1</v>
      </c>
      <c r="O41" s="10"/>
      <c r="P41" s="6">
        <v>81.56</v>
      </c>
      <c r="Q41" s="2"/>
      <c r="R41" s="7">
        <f t="shared" si="20"/>
        <v>0</v>
      </c>
      <c r="S41" s="2"/>
      <c r="T41" s="6">
        <v>29521.94</v>
      </c>
      <c r="U41" s="2"/>
      <c r="V41" s="7">
        <f t="shared" si="21"/>
        <v>0</v>
      </c>
      <c r="W41" s="2"/>
      <c r="X41" s="6">
        <f t="shared" si="22"/>
        <v>-29440.379999999997</v>
      </c>
      <c r="Y41" s="2"/>
      <c r="Z41" s="7">
        <f t="shared" si="23"/>
        <v>-0.99723730893023965</v>
      </c>
    </row>
    <row r="42" spans="1:26" s="26" customFormat="1" outlineLevel="1" collapsed="1" x14ac:dyDescent="0.25">
      <c r="A42" s="25"/>
      <c r="B42" s="12" t="str">
        <f>CONCATENATE("     ","Equipment Rental                                  ")</f>
        <v xml:space="preserve">     Equipment Rental                                  </v>
      </c>
      <c r="C42" s="12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2"/>
      <c r="P42" s="1">
        <f>SUM(OSRRefP22_5x_0)</f>
        <v>0</v>
      </c>
      <c r="Q42" s="1"/>
      <c r="R42" s="5">
        <f t="shared" si="20"/>
        <v>0</v>
      </c>
      <c r="S42" s="1"/>
      <c r="T42" s="1">
        <f>SUM(OSRRefT22_5x_0)</f>
        <v>273.77999999999997</v>
      </c>
      <c r="U42" s="1"/>
      <c r="V42" s="5">
        <f t="shared" si="21"/>
        <v>0</v>
      </c>
      <c r="W42" s="1"/>
      <c r="X42" s="1">
        <f t="shared" si="22"/>
        <v>-273.77999999999997</v>
      </c>
      <c r="Y42" s="1"/>
      <c r="Z42" s="5">
        <f t="shared" si="23"/>
        <v>-1</v>
      </c>
    </row>
    <row r="43" spans="1:26" s="23" customFormat="1" hidden="1" outlineLevel="2" x14ac:dyDescent="0.25">
      <c r="A43" s="27"/>
      <c r="B43" s="10" t="str">
        <f>CONCATENATE("          ", "6351", " - ", "EQUIPMENT RENTAL")</f>
        <v xml:space="preserve">          6351 - EQUIPMENT RENTAL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/>
      <c r="Q43" s="2"/>
      <c r="R43" s="7">
        <f t="shared" si="20"/>
        <v>0</v>
      </c>
      <c r="S43" s="2"/>
      <c r="T43" s="6">
        <v>273.77999999999997</v>
      </c>
      <c r="U43" s="2"/>
      <c r="V43" s="7">
        <f t="shared" si="21"/>
        <v>0</v>
      </c>
      <c r="W43" s="2"/>
      <c r="X43" s="6">
        <f t="shared" si="22"/>
        <v>-273.77999999999997</v>
      </c>
      <c r="Y43" s="2"/>
      <c r="Z43" s="7">
        <f t="shared" si="23"/>
        <v>-1</v>
      </c>
    </row>
    <row r="44" spans="1:26" s="26" customFormat="1" outlineLevel="1" collapsed="1" x14ac:dyDescent="0.25">
      <c r="A44" s="25"/>
      <c r="B44" s="12" t="str">
        <f>CONCATENATE("     ","Freight out/Postage                               ")</f>
        <v xml:space="preserve">     Freight out/Postage                               </v>
      </c>
      <c r="C44" s="12"/>
      <c r="D44" s="1">
        <f>SUM(OSRRefD22_6x_0)</f>
        <v>0</v>
      </c>
      <c r="E44" s="1"/>
      <c r="F44" s="5">
        <f t="shared" si="16"/>
        <v>0</v>
      </c>
      <c r="G44" s="1"/>
      <c r="H44" s="1">
        <f>SUM(OSRRefH22_6x_0)</f>
        <v>20.95</v>
      </c>
      <c r="I44" s="1"/>
      <c r="J44" s="5">
        <f t="shared" si="17"/>
        <v>0</v>
      </c>
      <c r="K44" s="1"/>
      <c r="L44" s="1">
        <f t="shared" si="18"/>
        <v>-20.95</v>
      </c>
      <c r="M44" s="1"/>
      <c r="N44" s="5">
        <f t="shared" si="19"/>
        <v>-1</v>
      </c>
      <c r="O44" s="12"/>
      <c r="P44" s="1">
        <f>SUM(OSRRefP22_6x_0)</f>
        <v>116.77</v>
      </c>
      <c r="Q44" s="1"/>
      <c r="R44" s="5">
        <f t="shared" si="20"/>
        <v>0</v>
      </c>
      <c r="S44" s="1"/>
      <c r="T44" s="1">
        <f>SUM(OSRRefT22_6x_0)</f>
        <v>1064.5</v>
      </c>
      <c r="U44" s="1"/>
      <c r="V44" s="5">
        <f t="shared" si="21"/>
        <v>0</v>
      </c>
      <c r="W44" s="1"/>
      <c r="X44" s="1">
        <f t="shared" si="22"/>
        <v>-947.73</v>
      </c>
      <c r="Y44" s="1"/>
      <c r="Z44" s="5">
        <f t="shared" si="23"/>
        <v>-0.89030530765617666</v>
      </c>
    </row>
    <row r="45" spans="1:26" s="23" customFormat="1" hidden="1" outlineLevel="2" x14ac:dyDescent="0.25">
      <c r="A45" s="27"/>
      <c r="B45" s="10" t="str">
        <f>CONCATENATE("          ", "6307", " - ", "POSTAGE")</f>
        <v xml:space="preserve">          6307 - POSTAGE</v>
      </c>
      <c r="C45" s="10"/>
      <c r="D45" s="6"/>
      <c r="E45" s="2"/>
      <c r="F45" s="7">
        <f t="shared" si="16"/>
        <v>0</v>
      </c>
      <c r="G45" s="2"/>
      <c r="H45" s="6">
        <v>20.95</v>
      </c>
      <c r="I45" s="2"/>
      <c r="J45" s="7">
        <f t="shared" si="17"/>
        <v>0</v>
      </c>
      <c r="K45" s="2"/>
      <c r="L45" s="6">
        <f t="shared" si="18"/>
        <v>-20.95</v>
      </c>
      <c r="M45" s="2"/>
      <c r="N45" s="7">
        <f t="shared" si="19"/>
        <v>-1</v>
      </c>
      <c r="O45" s="10"/>
      <c r="P45" s="6">
        <v>116.77</v>
      </c>
      <c r="Q45" s="2"/>
      <c r="R45" s="7">
        <f t="shared" si="20"/>
        <v>0</v>
      </c>
      <c r="S45" s="2"/>
      <c r="T45" s="6">
        <v>1064.5</v>
      </c>
      <c r="U45" s="2"/>
      <c r="V45" s="7">
        <f t="shared" si="21"/>
        <v>0</v>
      </c>
      <c r="W45" s="2"/>
      <c r="X45" s="6">
        <f t="shared" si="22"/>
        <v>-947.73</v>
      </c>
      <c r="Y45" s="2"/>
      <c r="Z45" s="7">
        <f t="shared" si="23"/>
        <v>-0.89030530765617666</v>
      </c>
    </row>
    <row r="46" spans="1:26" s="26" customFormat="1" outlineLevel="1" collapsed="1" x14ac:dyDescent="0.25">
      <c r="A46" s="25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SUM(OSRRefD22_7x_0)</f>
        <v>52</v>
      </c>
      <c r="E46" s="1"/>
      <c r="F46" s="5">
        <f t="shared" si="16"/>
        <v>0</v>
      </c>
      <c r="G46" s="1"/>
      <c r="H46" s="1">
        <f>SUM(OSRRefH22_7x_0)</f>
        <v>0</v>
      </c>
      <c r="I46" s="1"/>
      <c r="J46" s="5">
        <f t="shared" si="17"/>
        <v>0</v>
      </c>
      <c r="K46" s="1"/>
      <c r="L46" s="1">
        <f t="shared" si="18"/>
        <v>52</v>
      </c>
      <c r="M46" s="1"/>
      <c r="N46" s="5">
        <f t="shared" si="19"/>
        <v>0</v>
      </c>
      <c r="O46" s="12"/>
      <c r="P46" s="1">
        <f>SUM(OSRRefP22_7x_0)</f>
        <v>281.14</v>
      </c>
      <c r="Q46" s="1"/>
      <c r="R46" s="5">
        <f t="shared" si="20"/>
        <v>0</v>
      </c>
      <c r="S46" s="1"/>
      <c r="T46" s="1">
        <f>SUM(OSRRefT22_7x_0)</f>
        <v>700</v>
      </c>
      <c r="U46" s="1"/>
      <c r="V46" s="5">
        <f t="shared" si="21"/>
        <v>0</v>
      </c>
      <c r="W46" s="1"/>
      <c r="X46" s="1">
        <f t="shared" si="22"/>
        <v>-418.86</v>
      </c>
      <c r="Y46" s="1"/>
      <c r="Z46" s="5">
        <f t="shared" si="23"/>
        <v>-0.59837142857142855</v>
      </c>
    </row>
    <row r="47" spans="1:26" s="23" customFormat="1" hidden="1" outlineLevel="2" x14ac:dyDescent="0.25">
      <c r="A47" s="27"/>
      <c r="B47" s="10" t="str">
        <f>CONCATENATE("          ", "6279", " - ", "GENERAL EXPENSE")</f>
        <v xml:space="preserve">          6279 - GENERAL EXPENSE</v>
      </c>
      <c r="C47" s="10"/>
      <c r="D47" s="6">
        <v>52</v>
      </c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52</v>
      </c>
      <c r="M47" s="2"/>
      <c r="N47" s="7">
        <f t="shared" si="19"/>
        <v>0</v>
      </c>
      <c r="O47" s="10"/>
      <c r="P47" s="6">
        <v>281.14</v>
      </c>
      <c r="Q47" s="2"/>
      <c r="R47" s="7">
        <f t="shared" si="20"/>
        <v>0</v>
      </c>
      <c r="S47" s="2"/>
      <c r="T47" s="6">
        <v>700</v>
      </c>
      <c r="U47" s="2"/>
      <c r="V47" s="7">
        <f t="shared" si="21"/>
        <v>0</v>
      </c>
      <c r="W47" s="2"/>
      <c r="X47" s="6">
        <f t="shared" si="22"/>
        <v>-418.86</v>
      </c>
      <c r="Y47" s="2"/>
      <c r="Z47" s="7">
        <f t="shared" si="23"/>
        <v>-0.59837142857142855</v>
      </c>
    </row>
    <row r="48" spans="1:26" s="26" customFormat="1" outlineLevel="1" collapsed="1" x14ac:dyDescent="0.25">
      <c r="A48" s="25"/>
      <c r="B48" s="12" t="str">
        <f>CONCATENATE("     ","Insurance                                         ")</f>
        <v xml:space="preserve">     Insurance                                         </v>
      </c>
      <c r="C48" s="12"/>
      <c r="D48" s="1">
        <f>SUM(OSRRefD22_8x_0)</f>
        <v>65.47</v>
      </c>
      <c r="E48" s="1"/>
      <c r="F48" s="5">
        <f t="shared" si="16"/>
        <v>0</v>
      </c>
      <c r="G48" s="1"/>
      <c r="H48" s="1">
        <f>SUM(OSRRefH22_8x_0)</f>
        <v>65.47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2"/>
      <c r="P48" s="1">
        <f>SUM(OSRRefP22_8x_0)</f>
        <v>654.70000000000005</v>
      </c>
      <c r="Q48" s="1"/>
      <c r="R48" s="5">
        <f t="shared" si="20"/>
        <v>0</v>
      </c>
      <c r="S48" s="1"/>
      <c r="T48" s="1">
        <f>SUM(OSRRefT22_8x_0)</f>
        <v>654.70000000000005</v>
      </c>
      <c r="U48" s="1"/>
      <c r="V48" s="5">
        <f t="shared" si="21"/>
        <v>0</v>
      </c>
      <c r="W48" s="1"/>
      <c r="X48" s="1">
        <f t="shared" si="22"/>
        <v>0</v>
      </c>
      <c r="Y48" s="1"/>
      <c r="Z48" s="5">
        <f t="shared" si="23"/>
        <v>0</v>
      </c>
    </row>
    <row r="49" spans="1:26" s="23" customFormat="1" hidden="1" outlineLevel="2" x14ac:dyDescent="0.25">
      <c r="A49" s="27"/>
      <c r="B49" s="10" t="str">
        <f>CONCATENATE("          ", "6314", " - ", "LIABILITY INSURANCE")</f>
        <v xml:space="preserve">          6314 - LIABILITY INSURANCE</v>
      </c>
      <c r="C49" s="10"/>
      <c r="D49" s="6">
        <v>65.47</v>
      </c>
      <c r="E49" s="2"/>
      <c r="F49" s="7">
        <f t="shared" si="16"/>
        <v>0</v>
      </c>
      <c r="G49" s="2"/>
      <c r="H49" s="6">
        <v>65.47</v>
      </c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0"/>
      <c r="P49" s="6">
        <v>654.70000000000005</v>
      </c>
      <c r="Q49" s="2"/>
      <c r="R49" s="7">
        <f t="shared" si="20"/>
        <v>0</v>
      </c>
      <c r="S49" s="2"/>
      <c r="T49" s="6">
        <v>654.70000000000005</v>
      </c>
      <c r="U49" s="2"/>
      <c r="V49" s="7">
        <f t="shared" si="21"/>
        <v>0</v>
      </c>
      <c r="W49" s="2"/>
      <c r="X49" s="6">
        <f t="shared" si="22"/>
        <v>0</v>
      </c>
      <c r="Y49" s="2"/>
      <c r="Z49" s="7">
        <f t="shared" si="23"/>
        <v>0</v>
      </c>
    </row>
    <row r="50" spans="1:26" s="26" customFormat="1" outlineLevel="1" collapsed="1" x14ac:dyDescent="0.25">
      <c r="A50" s="25"/>
      <c r="B50" s="12" t="str">
        <f>CONCATENATE("     ","Professional Services                             ")</f>
        <v xml:space="preserve">     Professional Services                             </v>
      </c>
      <c r="C50" s="12"/>
      <c r="D50" s="1">
        <f>SUM(OSRRefD22_9x_0)</f>
        <v>1655</v>
      </c>
      <c r="E50" s="1"/>
      <c r="F50" s="5">
        <f t="shared" si="16"/>
        <v>0</v>
      </c>
      <c r="G50" s="1"/>
      <c r="H50" s="1">
        <f>SUM(OSRRefH22_9x_0)</f>
        <v>4155</v>
      </c>
      <c r="I50" s="1"/>
      <c r="J50" s="5">
        <f t="shared" si="17"/>
        <v>0</v>
      </c>
      <c r="K50" s="1"/>
      <c r="L50" s="1">
        <f t="shared" si="18"/>
        <v>-2500</v>
      </c>
      <c r="M50" s="1"/>
      <c r="N50" s="5">
        <f t="shared" si="19"/>
        <v>-0.60168471720818295</v>
      </c>
      <c r="O50" s="12"/>
      <c r="P50" s="1">
        <f>SUM(OSRRefP22_9x_0)</f>
        <v>10474.880000000001</v>
      </c>
      <c r="Q50" s="1"/>
      <c r="R50" s="5">
        <f t="shared" si="20"/>
        <v>0</v>
      </c>
      <c r="S50" s="1"/>
      <c r="T50" s="1">
        <f>SUM(OSRRefT22_9x_0)</f>
        <v>88938.52</v>
      </c>
      <c r="U50" s="1"/>
      <c r="V50" s="5">
        <f t="shared" si="21"/>
        <v>0</v>
      </c>
      <c r="W50" s="1"/>
      <c r="X50" s="1">
        <f t="shared" si="22"/>
        <v>-78463.64</v>
      </c>
      <c r="Y50" s="1"/>
      <c r="Z50" s="5">
        <f t="shared" si="23"/>
        <v>-0.88222336058661643</v>
      </c>
    </row>
    <row r="51" spans="1:26" s="23" customFormat="1" hidden="1" outlineLevel="2" x14ac:dyDescent="0.25">
      <c r="A51" s="27"/>
      <c r="B51" s="10" t="str">
        <f>CONCATENATE("          ", "6332", " - ", "CONSULTANT FEES")</f>
        <v xml:space="preserve">          6332 - CONSULTANT FEES</v>
      </c>
      <c r="C51" s="10"/>
      <c r="D51" s="6"/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0"/>
      <c r="P51" s="6"/>
      <c r="Q51" s="2"/>
      <c r="R51" s="7">
        <f t="shared" si="20"/>
        <v>0</v>
      </c>
      <c r="S51" s="2"/>
      <c r="T51" s="6">
        <v>21750</v>
      </c>
      <c r="U51" s="2"/>
      <c r="V51" s="7">
        <f t="shared" si="21"/>
        <v>0</v>
      </c>
      <c r="W51" s="2"/>
      <c r="X51" s="6">
        <f t="shared" si="22"/>
        <v>-21750</v>
      </c>
      <c r="Y51" s="2"/>
      <c r="Z51" s="7">
        <f t="shared" si="23"/>
        <v>-1</v>
      </c>
    </row>
    <row r="52" spans="1:26" s="23" customFormat="1" hidden="1" outlineLevel="2" x14ac:dyDescent="0.25">
      <c r="A52" s="27"/>
      <c r="B52" s="10" t="str">
        <f>CONCATENATE("          ", "6334", " - ", "LEGAL COUNCIL EXPENSE")</f>
        <v xml:space="preserve">          6334 - LEGAL COUNCIL EXPENSE</v>
      </c>
      <c r="C52" s="10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0"/>
      <c r="P52" s="6">
        <v>2450</v>
      </c>
      <c r="Q52" s="2"/>
      <c r="R52" s="7">
        <f t="shared" si="20"/>
        <v>0</v>
      </c>
      <c r="S52" s="2"/>
      <c r="T52" s="6">
        <v>38010</v>
      </c>
      <c r="U52" s="2"/>
      <c r="V52" s="7">
        <f t="shared" si="21"/>
        <v>0</v>
      </c>
      <c r="W52" s="2"/>
      <c r="X52" s="6">
        <f t="shared" si="22"/>
        <v>-35560</v>
      </c>
      <c r="Y52" s="2"/>
      <c r="Z52" s="7">
        <f t="shared" si="23"/>
        <v>-0.9355432780847146</v>
      </c>
    </row>
    <row r="53" spans="1:26" s="23" customFormat="1" hidden="1" outlineLevel="2" x14ac:dyDescent="0.25">
      <c r="A53" s="27"/>
      <c r="B53" s="10" t="str">
        <f>CONCATENATE("          ", "6336", " - ", "PROFESSIONAL SERVICES")</f>
        <v xml:space="preserve">          6336 - PROFESSIONAL SERVICES</v>
      </c>
      <c r="C53" s="10"/>
      <c r="D53" s="6">
        <v>1655</v>
      </c>
      <c r="E53" s="2"/>
      <c r="F53" s="7">
        <f t="shared" si="16"/>
        <v>0</v>
      </c>
      <c r="G53" s="2"/>
      <c r="H53" s="6">
        <v>4155</v>
      </c>
      <c r="I53" s="2"/>
      <c r="J53" s="7">
        <f t="shared" si="17"/>
        <v>0</v>
      </c>
      <c r="K53" s="2"/>
      <c r="L53" s="6">
        <f t="shared" si="18"/>
        <v>-2500</v>
      </c>
      <c r="M53" s="2"/>
      <c r="N53" s="7">
        <f t="shared" si="19"/>
        <v>-0.60168471720818295</v>
      </c>
      <c r="O53" s="10"/>
      <c r="P53" s="6">
        <v>8024.88</v>
      </c>
      <c r="Q53" s="2"/>
      <c r="R53" s="7">
        <f t="shared" si="20"/>
        <v>0</v>
      </c>
      <c r="S53" s="2"/>
      <c r="T53" s="6">
        <v>29178.52</v>
      </c>
      <c r="U53" s="2"/>
      <c r="V53" s="7">
        <f t="shared" si="21"/>
        <v>0</v>
      </c>
      <c r="W53" s="2"/>
      <c r="X53" s="6">
        <f t="shared" si="22"/>
        <v>-21153.64</v>
      </c>
      <c r="Y53" s="2"/>
      <c r="Z53" s="7">
        <f t="shared" si="23"/>
        <v>-0.72497302810423558</v>
      </c>
    </row>
    <row r="54" spans="1:26" s="26" customFormat="1" outlineLevel="1" collapsed="1" x14ac:dyDescent="0.25">
      <c r="A54" s="25"/>
      <c r="B54" s="12" t="str">
        <f>CONCATENATE("     ","Repair and Maintenance                            ")</f>
        <v xml:space="preserve">     Repair and Maintenance                            </v>
      </c>
      <c r="C54" s="12"/>
      <c r="D54" s="1">
        <f>SUM(OSRRefD22_10x_0)</f>
        <v>3821.76</v>
      </c>
      <c r="E54" s="1"/>
      <c r="F54" s="5">
        <f t="shared" ref="F54:F56" si="24">IF(D$12=0,0,D54/D$12)</f>
        <v>0</v>
      </c>
      <c r="G54" s="1"/>
      <c r="H54" s="1">
        <f>SUM(OSRRefH22_10x_0)</f>
        <v>14791.41</v>
      </c>
      <c r="I54" s="1"/>
      <c r="J54" s="5">
        <f t="shared" ref="J54:J56" si="25">IF(H$12=0,0,H54/H$12)</f>
        <v>0</v>
      </c>
      <c r="K54" s="1"/>
      <c r="L54" s="1">
        <f t="shared" ref="L54:L56" si="26">+D54-H54</f>
        <v>-10969.65</v>
      </c>
      <c r="M54" s="1"/>
      <c r="N54" s="5">
        <f t="shared" ref="N54:N56" si="27">IF(H54=0,0,L54/H54)</f>
        <v>-0.74162300957109561</v>
      </c>
      <c r="O54" s="12"/>
      <c r="P54" s="1">
        <f>SUM(OSRRefP22_10x_0)</f>
        <v>46935.34</v>
      </c>
      <c r="Q54" s="1"/>
      <c r="R54" s="5">
        <f t="shared" ref="R54:R56" si="28">IF(P$12=0,0,P54/P$12)</f>
        <v>0</v>
      </c>
      <c r="S54" s="1"/>
      <c r="T54" s="1">
        <f>SUM(OSRRefT22_10x_0)</f>
        <v>134436.21000000002</v>
      </c>
      <c r="U54" s="1"/>
      <c r="V54" s="5">
        <f t="shared" ref="V54:V56" si="29">IF(T$12=0,0,T54/T$12)</f>
        <v>0</v>
      </c>
      <c r="W54" s="1"/>
      <c r="X54" s="1">
        <f t="shared" ref="X54:X56" si="30">+P54-T54</f>
        <v>-87500.870000000024</v>
      </c>
      <c r="Y54" s="1"/>
      <c r="Z54" s="5">
        <f t="shared" ref="Z54:Z56" si="31">IF(T54=0,0,X54/T54)</f>
        <v>-0.65087278196848908</v>
      </c>
    </row>
    <row r="55" spans="1:26" s="23" customFormat="1" hidden="1" outlineLevel="2" x14ac:dyDescent="0.25">
      <c r="A55" s="27"/>
      <c r="B55" s="10" t="str">
        <f>CONCATENATE("          ", "6371", " - ", "COMPUTER SOFTWARE MAINTENANCE")</f>
        <v xml:space="preserve">          6371 - COMPUTER SOFTWARE MAINTENANCE</v>
      </c>
      <c r="C55" s="10"/>
      <c r="D55" s="6">
        <v>3821.76</v>
      </c>
      <c r="E55" s="2"/>
      <c r="F55" s="7">
        <f t="shared" si="24"/>
        <v>0</v>
      </c>
      <c r="G55" s="2"/>
      <c r="H55" s="6">
        <v>14791.41</v>
      </c>
      <c r="I55" s="2"/>
      <c r="J55" s="7">
        <f t="shared" si="25"/>
        <v>0</v>
      </c>
      <c r="K55" s="2"/>
      <c r="L55" s="6">
        <f t="shared" si="26"/>
        <v>-10969.65</v>
      </c>
      <c r="M55" s="2"/>
      <c r="N55" s="7">
        <f t="shared" si="27"/>
        <v>-0.74162300957109561</v>
      </c>
      <c r="O55" s="10"/>
      <c r="P55" s="6">
        <v>46829.32</v>
      </c>
      <c r="Q55" s="2"/>
      <c r="R55" s="7">
        <f t="shared" si="28"/>
        <v>0</v>
      </c>
      <c r="S55" s="2"/>
      <c r="T55" s="6">
        <v>133742.54</v>
      </c>
      <c r="U55" s="2"/>
      <c r="V55" s="7">
        <f t="shared" si="29"/>
        <v>0</v>
      </c>
      <c r="W55" s="2"/>
      <c r="X55" s="6">
        <f t="shared" si="30"/>
        <v>-86913.22</v>
      </c>
      <c r="Y55" s="2"/>
      <c r="Z55" s="7">
        <f t="shared" si="31"/>
        <v>-0.64985471339186462</v>
      </c>
    </row>
    <row r="56" spans="1:26" s="23" customFormat="1" hidden="1" outlineLevel="2" x14ac:dyDescent="0.25">
      <c r="A56" s="27"/>
      <c r="B56" s="10" t="str">
        <f>CONCATENATE("          ", "6373", " - ", "MAINTENANCE CONTRACTS")</f>
        <v xml:space="preserve">          6373 - MAINTENANCE CONTRACTS</v>
      </c>
      <c r="C56" s="10"/>
      <c r="D56" s="6"/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0</v>
      </c>
      <c r="M56" s="2"/>
      <c r="N56" s="7">
        <f t="shared" si="27"/>
        <v>0</v>
      </c>
      <c r="O56" s="10"/>
      <c r="P56" s="6">
        <v>106.02</v>
      </c>
      <c r="Q56" s="2"/>
      <c r="R56" s="7">
        <f t="shared" si="28"/>
        <v>0</v>
      </c>
      <c r="S56" s="2"/>
      <c r="T56" s="6">
        <v>693.67</v>
      </c>
      <c r="U56" s="2"/>
      <c r="V56" s="7">
        <f t="shared" si="29"/>
        <v>0</v>
      </c>
      <c r="W56" s="2"/>
      <c r="X56" s="6">
        <f t="shared" si="30"/>
        <v>-587.65</v>
      </c>
      <c r="Y56" s="2"/>
      <c r="Z56" s="7">
        <f t="shared" si="31"/>
        <v>-0.84716075367249555</v>
      </c>
    </row>
    <row r="57" spans="1:26" s="26" customFormat="1" outlineLevel="1" collapsed="1" x14ac:dyDescent="0.25">
      <c r="A57" s="25"/>
      <c r="B57" s="12" t="str">
        <f>CONCATENATE("     ","Subscriptions &amp; Dues                              ")</f>
        <v xml:space="preserve">     Subscriptions &amp; Dues                              </v>
      </c>
      <c r="C57" s="12"/>
      <c r="D57" s="1">
        <f>SUM(OSRRefD22_11x_0)</f>
        <v>0</v>
      </c>
      <c r="E57" s="1"/>
      <c r="F57" s="5">
        <f t="shared" ref="F57:F63" si="32">IF(D$12=0,0,D57/D$12)</f>
        <v>0</v>
      </c>
      <c r="G57" s="1"/>
      <c r="H57" s="1">
        <f>SUM(OSRRefH22_11x_0)</f>
        <v>0</v>
      </c>
      <c r="I57" s="1"/>
      <c r="J57" s="5">
        <f t="shared" ref="J57:J63" si="33">IF(H$12=0,0,H57/H$12)</f>
        <v>0</v>
      </c>
      <c r="K57" s="1"/>
      <c r="L57" s="1">
        <f t="shared" ref="L57:L63" si="34">+D57-H57</f>
        <v>0</v>
      </c>
      <c r="M57" s="1"/>
      <c r="N57" s="5">
        <f t="shared" ref="N57:N63" si="35">IF(H57=0,0,L57/H57)</f>
        <v>0</v>
      </c>
      <c r="O57" s="12"/>
      <c r="P57" s="1">
        <f>SUM(OSRRefP22_11x_0)</f>
        <v>1329.99</v>
      </c>
      <c r="Q57" s="1"/>
      <c r="R57" s="5">
        <f t="shared" ref="R57:R63" si="36">IF(P$12=0,0,P57/P$12)</f>
        <v>0</v>
      </c>
      <c r="S57" s="1"/>
      <c r="T57" s="1">
        <f>SUM(OSRRefT22_11x_0)</f>
        <v>587</v>
      </c>
      <c r="U57" s="1"/>
      <c r="V57" s="5">
        <f t="shared" ref="V57:V63" si="37">IF(T$12=0,0,T57/T$12)</f>
        <v>0</v>
      </c>
      <c r="W57" s="1"/>
      <c r="X57" s="1">
        <f t="shared" ref="X57:X63" si="38">+P57-T57</f>
        <v>742.99</v>
      </c>
      <c r="Y57" s="1"/>
      <c r="Z57" s="5">
        <f t="shared" ref="Z57:Z63" si="39">IF(T57=0,0,X57/T57)</f>
        <v>1.265741056218058</v>
      </c>
    </row>
    <row r="58" spans="1:26" s="23" customFormat="1" hidden="1" outlineLevel="2" x14ac:dyDescent="0.25">
      <c r="A58" s="27"/>
      <c r="B58" s="10" t="str">
        <f>CONCATENATE("          ", "6258", " - ", "MEMBERSHIP DUES")</f>
        <v xml:space="preserve">          6258 - MEMBERSHIP DUES</v>
      </c>
      <c r="C58" s="10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0"/>
      <c r="P58" s="6">
        <v>1329.99</v>
      </c>
      <c r="Q58" s="2"/>
      <c r="R58" s="7">
        <f t="shared" si="36"/>
        <v>0</v>
      </c>
      <c r="S58" s="2"/>
      <c r="T58" s="6">
        <v>587</v>
      </c>
      <c r="U58" s="2"/>
      <c r="V58" s="7">
        <f t="shared" si="37"/>
        <v>0</v>
      </c>
      <c r="W58" s="2"/>
      <c r="X58" s="6">
        <f t="shared" si="38"/>
        <v>742.99</v>
      </c>
      <c r="Y58" s="2"/>
      <c r="Z58" s="7">
        <f t="shared" si="39"/>
        <v>1.265741056218058</v>
      </c>
    </row>
    <row r="59" spans="1:26" s="26" customFormat="1" outlineLevel="1" collapsed="1" x14ac:dyDescent="0.25">
      <c r="A59" s="25"/>
      <c r="B59" s="12" t="str">
        <f>CONCATENATE("     ","Supplies                                          ")</f>
        <v xml:space="preserve">     Supplies                                          </v>
      </c>
      <c r="C59" s="12"/>
      <c r="D59" s="1">
        <f>SUM(OSRRefD22_12x_0)</f>
        <v>149.11000000000001</v>
      </c>
      <c r="E59" s="1"/>
      <c r="F59" s="5">
        <f t="shared" si="32"/>
        <v>0</v>
      </c>
      <c r="G59" s="1"/>
      <c r="H59" s="1">
        <f>SUM(OSRRefH22_12x_0)</f>
        <v>20</v>
      </c>
      <c r="I59" s="1"/>
      <c r="J59" s="5">
        <f t="shared" si="33"/>
        <v>0</v>
      </c>
      <c r="K59" s="1"/>
      <c r="L59" s="1">
        <f t="shared" si="34"/>
        <v>129.11000000000001</v>
      </c>
      <c r="M59" s="1"/>
      <c r="N59" s="5">
        <f t="shared" si="35"/>
        <v>6.4555000000000007</v>
      </c>
      <c r="O59" s="12"/>
      <c r="P59" s="1">
        <f>SUM(OSRRefP22_12x_0)</f>
        <v>2537.37</v>
      </c>
      <c r="Q59" s="1"/>
      <c r="R59" s="5">
        <f t="shared" si="36"/>
        <v>0</v>
      </c>
      <c r="S59" s="1"/>
      <c r="T59" s="1">
        <f>SUM(OSRRefT22_12x_0)</f>
        <v>16865.010000000002</v>
      </c>
      <c r="U59" s="1"/>
      <c r="V59" s="5">
        <f t="shared" si="37"/>
        <v>0</v>
      </c>
      <c r="W59" s="1"/>
      <c r="X59" s="1">
        <f t="shared" si="38"/>
        <v>-14327.640000000003</v>
      </c>
      <c r="Y59" s="1"/>
      <c r="Z59" s="5">
        <f t="shared" si="39"/>
        <v>-0.84954826590675026</v>
      </c>
    </row>
    <row r="60" spans="1:26" s="23" customFormat="1" hidden="1" outlineLevel="2" x14ac:dyDescent="0.25">
      <c r="A60" s="27"/>
      <c r="B60" s="10" t="str">
        <f>CONCATENATE("          ", "6235", " - ", "COVID-19 EXPENSES")</f>
        <v xml:space="preserve">          6235 - COVID-19 EXPENSES</v>
      </c>
      <c r="C60" s="10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0"/>
      <c r="P60" s="6">
        <v>210.58</v>
      </c>
      <c r="Q60" s="2"/>
      <c r="R60" s="7">
        <f t="shared" si="36"/>
        <v>0</v>
      </c>
      <c r="S60" s="2"/>
      <c r="T60" s="6"/>
      <c r="U60" s="2"/>
      <c r="V60" s="7">
        <f t="shared" si="37"/>
        <v>0</v>
      </c>
      <c r="W60" s="2"/>
      <c r="X60" s="6">
        <f t="shared" si="38"/>
        <v>210.58</v>
      </c>
      <c r="Y60" s="2"/>
      <c r="Z60" s="7">
        <f t="shared" si="39"/>
        <v>0</v>
      </c>
    </row>
    <row r="61" spans="1:26" s="23" customFormat="1" hidden="1" outlineLevel="2" x14ac:dyDescent="0.25">
      <c r="A61" s="27"/>
      <c r="B61" s="10" t="str">
        <f>CONCATENATE("          ", "6241", " - ", "OFFICE EXPENSE")</f>
        <v xml:space="preserve">          6241 - OFFICE EXPENSE</v>
      </c>
      <c r="C61" s="10"/>
      <c r="D61" s="6">
        <v>149.11000000000001</v>
      </c>
      <c r="E61" s="2"/>
      <c r="F61" s="7">
        <f t="shared" si="32"/>
        <v>0</v>
      </c>
      <c r="G61" s="2"/>
      <c r="H61" s="6">
        <v>95.72</v>
      </c>
      <c r="I61" s="2"/>
      <c r="J61" s="7">
        <f t="shared" si="33"/>
        <v>0</v>
      </c>
      <c r="K61" s="2"/>
      <c r="L61" s="6">
        <f t="shared" si="34"/>
        <v>53.390000000000015</v>
      </c>
      <c r="M61" s="2"/>
      <c r="N61" s="7">
        <f t="shared" si="35"/>
        <v>0.55777267028834121</v>
      </c>
      <c r="O61" s="10"/>
      <c r="P61" s="6">
        <v>2104.08</v>
      </c>
      <c r="Q61" s="2"/>
      <c r="R61" s="7">
        <f t="shared" si="36"/>
        <v>0</v>
      </c>
      <c r="S61" s="2"/>
      <c r="T61" s="6">
        <v>12626.66</v>
      </c>
      <c r="U61" s="2"/>
      <c r="V61" s="7">
        <f t="shared" si="37"/>
        <v>0</v>
      </c>
      <c r="W61" s="2"/>
      <c r="X61" s="6">
        <f t="shared" si="38"/>
        <v>-10522.58</v>
      </c>
      <c r="Y61" s="2"/>
      <c r="Z61" s="7">
        <f t="shared" si="39"/>
        <v>-0.83336210842772351</v>
      </c>
    </row>
    <row r="62" spans="1:26" s="23" customFormat="1" hidden="1" outlineLevel="2" x14ac:dyDescent="0.25">
      <c r="A62" s="27"/>
      <c r="B62" s="10" t="str">
        <f>CONCATENATE("          ", "6244", " - ", "SAFETY SUPPLY EXPENSE")</f>
        <v xml:space="preserve">          6244 - SAFETY SUPPLY EXPENSE</v>
      </c>
      <c r="C62" s="10"/>
      <c r="D62" s="6"/>
      <c r="E62" s="2"/>
      <c r="F62" s="7">
        <f t="shared" si="32"/>
        <v>0</v>
      </c>
      <c r="G62" s="2"/>
      <c r="H62" s="6">
        <v>-75.72</v>
      </c>
      <c r="I62" s="2"/>
      <c r="J62" s="7">
        <f t="shared" si="33"/>
        <v>0</v>
      </c>
      <c r="K62" s="2"/>
      <c r="L62" s="6">
        <f t="shared" si="34"/>
        <v>75.72</v>
      </c>
      <c r="M62" s="2"/>
      <c r="N62" s="7">
        <f t="shared" si="35"/>
        <v>-1</v>
      </c>
      <c r="O62" s="10"/>
      <c r="P62" s="6">
        <v>222.71</v>
      </c>
      <c r="Q62" s="2"/>
      <c r="R62" s="7">
        <f t="shared" si="36"/>
        <v>0</v>
      </c>
      <c r="S62" s="2"/>
      <c r="T62" s="6">
        <v>2034.69</v>
      </c>
      <c r="U62" s="2"/>
      <c r="V62" s="7">
        <f t="shared" si="37"/>
        <v>0</v>
      </c>
      <c r="W62" s="2"/>
      <c r="X62" s="6">
        <f t="shared" si="38"/>
        <v>-1811.98</v>
      </c>
      <c r="Y62" s="2"/>
      <c r="Z62" s="7">
        <f t="shared" si="39"/>
        <v>-0.89054352260049441</v>
      </c>
    </row>
    <row r="63" spans="1:26" s="23" customFormat="1" hidden="1" outlineLevel="2" x14ac:dyDescent="0.25">
      <c r="A63" s="27"/>
      <c r="B63" s="10" t="str">
        <f>CONCATENATE("          ", "6245", " - ", "PRINTING")</f>
        <v xml:space="preserve">          6245 - PRINTING</v>
      </c>
      <c r="C63" s="10"/>
      <c r="D63" s="6"/>
      <c r="E63" s="2"/>
      <c r="F63" s="7">
        <f t="shared" si="32"/>
        <v>0</v>
      </c>
      <c r="G63" s="2"/>
      <c r="H63" s="6"/>
      <c r="I63" s="2"/>
      <c r="J63" s="7">
        <f t="shared" si="33"/>
        <v>0</v>
      </c>
      <c r="K63" s="2"/>
      <c r="L63" s="6">
        <f t="shared" si="34"/>
        <v>0</v>
      </c>
      <c r="M63" s="2"/>
      <c r="N63" s="7">
        <f t="shared" si="35"/>
        <v>0</v>
      </c>
      <c r="O63" s="10"/>
      <c r="P63" s="6"/>
      <c r="Q63" s="2"/>
      <c r="R63" s="7">
        <f t="shared" si="36"/>
        <v>0</v>
      </c>
      <c r="S63" s="2"/>
      <c r="T63" s="6">
        <v>2203.66</v>
      </c>
      <c r="U63" s="2"/>
      <c r="V63" s="7">
        <f t="shared" si="37"/>
        <v>0</v>
      </c>
      <c r="W63" s="2"/>
      <c r="X63" s="6">
        <f t="shared" si="38"/>
        <v>-2203.66</v>
      </c>
      <c r="Y63" s="2"/>
      <c r="Z63" s="7">
        <f t="shared" si="39"/>
        <v>-1</v>
      </c>
    </row>
    <row r="64" spans="1:26" s="26" customFormat="1" outlineLevel="1" collapsed="1" x14ac:dyDescent="0.25">
      <c r="A64" s="25"/>
      <c r="B64" s="12" t="str">
        <f>CONCATENATE("     ","Telephone/Data Lines                              ")</f>
        <v xml:space="preserve">     Telephone/Data Lines                              </v>
      </c>
      <c r="C64" s="12"/>
      <c r="D64" s="1">
        <f>SUM(OSRRefD22_13x_0)</f>
        <v>274.95</v>
      </c>
      <c r="E64" s="1"/>
      <c r="F64" s="5">
        <f t="shared" ref="F64:F69" si="40">IF(D$12=0,0,D64/D$12)</f>
        <v>0</v>
      </c>
      <c r="G64" s="1"/>
      <c r="H64" s="1">
        <f>SUM(OSRRefH22_13x_0)</f>
        <v>447.7</v>
      </c>
      <c r="I64" s="1"/>
      <c r="J64" s="5">
        <f t="shared" ref="J64:J69" si="41">IF(H$12=0,0,H64/H$12)</f>
        <v>0</v>
      </c>
      <c r="K64" s="1"/>
      <c r="L64" s="1">
        <f t="shared" ref="L64:L69" si="42">+D64-H64</f>
        <v>-172.75</v>
      </c>
      <c r="M64" s="1"/>
      <c r="N64" s="5">
        <f t="shared" ref="N64:N69" si="43">IF(H64=0,0,L64/H64)</f>
        <v>-0.38586106767924949</v>
      </c>
      <c r="O64" s="12"/>
      <c r="P64" s="1">
        <f>SUM(OSRRefP22_13x_0)</f>
        <v>3074.25</v>
      </c>
      <c r="Q64" s="1"/>
      <c r="R64" s="5">
        <f t="shared" ref="R64:R69" si="44">IF(P$12=0,0,P64/P$12)</f>
        <v>0</v>
      </c>
      <c r="S64" s="1"/>
      <c r="T64" s="1">
        <f>SUM(OSRRefT22_13x_0)</f>
        <v>3415.42</v>
      </c>
      <c r="U64" s="1"/>
      <c r="V64" s="5">
        <f t="shared" ref="V64:V69" si="45">IF(T$12=0,0,T64/T$12)</f>
        <v>0</v>
      </c>
      <c r="W64" s="1"/>
      <c r="X64" s="1">
        <f t="shared" ref="X64:X69" si="46">+P64-T64</f>
        <v>-341.17000000000007</v>
      </c>
      <c r="Y64" s="1"/>
      <c r="Z64" s="5">
        <f t="shared" ref="Z64:Z69" si="47">IF(T64=0,0,X64/T64)</f>
        <v>-9.9891082209508653E-2</v>
      </c>
    </row>
    <row r="65" spans="1:26" s="23" customFormat="1" hidden="1" outlineLevel="2" x14ac:dyDescent="0.25">
      <c r="A65" s="27"/>
      <c r="B65" s="10" t="str">
        <f>CONCATENATE("          ", "6309", " - ", "TELEPHONE")</f>
        <v xml:space="preserve">          6309 - TELEPHONE</v>
      </c>
      <c r="C65" s="10"/>
      <c r="D65" s="6">
        <v>274.95</v>
      </c>
      <c r="E65" s="2"/>
      <c r="F65" s="7">
        <f t="shared" si="40"/>
        <v>0</v>
      </c>
      <c r="G65" s="2"/>
      <c r="H65" s="6">
        <v>447.7</v>
      </c>
      <c r="I65" s="2"/>
      <c r="J65" s="7">
        <f t="shared" si="41"/>
        <v>0</v>
      </c>
      <c r="K65" s="2"/>
      <c r="L65" s="6">
        <f t="shared" si="42"/>
        <v>-172.75</v>
      </c>
      <c r="M65" s="2"/>
      <c r="N65" s="7">
        <f t="shared" si="43"/>
        <v>-0.38586106767924949</v>
      </c>
      <c r="O65" s="10"/>
      <c r="P65" s="6">
        <v>3074.25</v>
      </c>
      <c r="Q65" s="2"/>
      <c r="R65" s="7">
        <f t="shared" si="44"/>
        <v>0</v>
      </c>
      <c r="S65" s="2"/>
      <c r="T65" s="6">
        <v>3415.42</v>
      </c>
      <c r="U65" s="2"/>
      <c r="V65" s="7">
        <f t="shared" si="45"/>
        <v>0</v>
      </c>
      <c r="W65" s="2"/>
      <c r="X65" s="6">
        <f t="shared" si="46"/>
        <v>-341.17000000000007</v>
      </c>
      <c r="Y65" s="2"/>
      <c r="Z65" s="7">
        <f t="shared" si="47"/>
        <v>-9.9891082209508653E-2</v>
      </c>
    </row>
    <row r="66" spans="1:26" s="26" customFormat="1" outlineLevel="1" collapsed="1" x14ac:dyDescent="0.25">
      <c r="A66" s="25"/>
      <c r="B66" s="12" t="str">
        <f>CONCATENATE("     ","Training                                          ")</f>
        <v xml:space="preserve">     Training                                          </v>
      </c>
      <c r="C66" s="12"/>
      <c r="D66" s="1">
        <f>SUM(OSRRefD22_14x_0)</f>
        <v>0</v>
      </c>
      <c r="E66" s="1"/>
      <c r="F66" s="5">
        <f t="shared" si="40"/>
        <v>0</v>
      </c>
      <c r="G66" s="1"/>
      <c r="H66" s="1">
        <f>SUM(OSRRefH22_14x_0)</f>
        <v>194</v>
      </c>
      <c r="I66" s="1"/>
      <c r="J66" s="5">
        <f t="shared" si="41"/>
        <v>0</v>
      </c>
      <c r="K66" s="1"/>
      <c r="L66" s="1">
        <f t="shared" si="42"/>
        <v>-194</v>
      </c>
      <c r="M66" s="1"/>
      <c r="N66" s="5">
        <f t="shared" si="43"/>
        <v>-1</v>
      </c>
      <c r="O66" s="12"/>
      <c r="P66" s="1">
        <f>SUM(OSRRefP22_14x_0)</f>
        <v>-97</v>
      </c>
      <c r="Q66" s="1"/>
      <c r="R66" s="5">
        <f t="shared" si="44"/>
        <v>0</v>
      </c>
      <c r="S66" s="1"/>
      <c r="T66" s="1">
        <f>SUM(OSRRefT22_14x_0)</f>
        <v>10721.8</v>
      </c>
      <c r="U66" s="1"/>
      <c r="V66" s="5">
        <f t="shared" si="45"/>
        <v>0</v>
      </c>
      <c r="W66" s="1"/>
      <c r="X66" s="1">
        <f t="shared" si="46"/>
        <v>-10818.8</v>
      </c>
      <c r="Y66" s="1"/>
      <c r="Z66" s="5">
        <f t="shared" si="47"/>
        <v>-1.0090469883788169</v>
      </c>
    </row>
    <row r="67" spans="1:26" s="23" customFormat="1" hidden="1" outlineLevel="2" x14ac:dyDescent="0.25">
      <c r="A67" s="27"/>
      <c r="B67" s="10" t="str">
        <f>CONCATENATE("          ", "6376", " - ", "TRAINING")</f>
        <v xml:space="preserve">          6376 - TRAINING</v>
      </c>
      <c r="C67" s="10"/>
      <c r="D67" s="6"/>
      <c r="E67" s="2"/>
      <c r="F67" s="7">
        <f t="shared" si="40"/>
        <v>0</v>
      </c>
      <c r="G67" s="2"/>
      <c r="H67" s="6">
        <v>194</v>
      </c>
      <c r="I67" s="2"/>
      <c r="J67" s="7">
        <f t="shared" si="41"/>
        <v>0</v>
      </c>
      <c r="K67" s="2"/>
      <c r="L67" s="6">
        <f t="shared" si="42"/>
        <v>-194</v>
      </c>
      <c r="M67" s="2"/>
      <c r="N67" s="7">
        <f t="shared" si="43"/>
        <v>-1</v>
      </c>
      <c r="O67" s="10"/>
      <c r="P67" s="6">
        <v>-97</v>
      </c>
      <c r="Q67" s="2"/>
      <c r="R67" s="7">
        <f t="shared" si="44"/>
        <v>0</v>
      </c>
      <c r="S67" s="2"/>
      <c r="T67" s="6">
        <v>10721.8</v>
      </c>
      <c r="U67" s="2"/>
      <c r="V67" s="7">
        <f t="shared" si="45"/>
        <v>0</v>
      </c>
      <c r="W67" s="2"/>
      <c r="X67" s="6">
        <f t="shared" si="46"/>
        <v>-10818.8</v>
      </c>
      <c r="Y67" s="2"/>
      <c r="Z67" s="7">
        <f t="shared" si="47"/>
        <v>-1.0090469883788169</v>
      </c>
    </row>
    <row r="68" spans="1:26" s="26" customFormat="1" outlineLevel="1" collapsed="1" x14ac:dyDescent="0.25">
      <c r="A68" s="25"/>
      <c r="B68" s="12" t="str">
        <f>CONCATENATE("     ","Travel                                            ")</f>
        <v xml:space="preserve">     Travel                                            </v>
      </c>
      <c r="C68" s="12"/>
      <c r="D68" s="1">
        <f>SUM(OSRRefD22_15x_0)</f>
        <v>0</v>
      </c>
      <c r="E68" s="1"/>
      <c r="F68" s="5">
        <f t="shared" si="40"/>
        <v>0</v>
      </c>
      <c r="G68" s="1"/>
      <c r="H68" s="1">
        <f>SUM(OSRRefH22_15x_0)</f>
        <v>0</v>
      </c>
      <c r="I68" s="1"/>
      <c r="J68" s="5">
        <f t="shared" si="41"/>
        <v>0</v>
      </c>
      <c r="K68" s="1"/>
      <c r="L68" s="1">
        <f t="shared" si="42"/>
        <v>0</v>
      </c>
      <c r="M68" s="1"/>
      <c r="N68" s="5">
        <f t="shared" si="43"/>
        <v>0</v>
      </c>
      <c r="O68" s="12"/>
      <c r="P68" s="1">
        <f>SUM(OSRRefP22_15x_0)</f>
        <v>720</v>
      </c>
      <c r="Q68" s="1"/>
      <c r="R68" s="5">
        <f t="shared" si="44"/>
        <v>0</v>
      </c>
      <c r="S68" s="1"/>
      <c r="T68" s="1">
        <f>SUM(OSRRefT22_15x_0)</f>
        <v>3487.01</v>
      </c>
      <c r="U68" s="1"/>
      <c r="V68" s="5">
        <f t="shared" si="45"/>
        <v>0</v>
      </c>
      <c r="W68" s="1"/>
      <c r="X68" s="1">
        <f t="shared" si="46"/>
        <v>-2767.01</v>
      </c>
      <c r="Y68" s="1"/>
      <c r="Z68" s="5">
        <f t="shared" si="47"/>
        <v>-0.79351937619909318</v>
      </c>
    </row>
    <row r="69" spans="1:26" s="23" customFormat="1" hidden="1" outlineLevel="2" x14ac:dyDescent="0.25">
      <c r="A69" s="27"/>
      <c r="B69" s="10" t="str">
        <f>CONCATENATE("          ", "6292", " - ", "TRAVEL/CONFERENCE")</f>
        <v xml:space="preserve">          6292 - TRAVEL/CONFERENCE</v>
      </c>
      <c r="C69" s="10"/>
      <c r="D69" s="6"/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0"/>
      <c r="P69" s="6">
        <v>720</v>
      </c>
      <c r="Q69" s="2"/>
      <c r="R69" s="7">
        <f t="shared" si="44"/>
        <v>0</v>
      </c>
      <c r="S69" s="2"/>
      <c r="T69" s="6">
        <v>3487.01</v>
      </c>
      <c r="U69" s="2"/>
      <c r="V69" s="7">
        <f t="shared" si="45"/>
        <v>0</v>
      </c>
      <c r="W69" s="2"/>
      <c r="X69" s="6">
        <f t="shared" si="46"/>
        <v>-2767.01</v>
      </c>
      <c r="Y69" s="2"/>
      <c r="Z69" s="7">
        <f t="shared" si="47"/>
        <v>-0.79351937619909318</v>
      </c>
    </row>
    <row r="70" spans="1:26" s="62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4" customFormat="1" x14ac:dyDescent="0.25">
      <c r="A71" s="11"/>
      <c r="B71" s="28" t="s">
        <v>292</v>
      </c>
      <c r="C71" s="11"/>
      <c r="D71" s="4">
        <f>SUM(0)</f>
        <v>0</v>
      </c>
      <c r="E71" s="4"/>
      <c r="F71" s="13">
        <f>IF(D$12=0,0,D71/D$12)</f>
        <v>0</v>
      </c>
      <c r="G71" s="4"/>
      <c r="H71" s="4">
        <f>SUM(0)</f>
        <v>0</v>
      </c>
      <c r="I71" s="4"/>
      <c r="J71" s="13">
        <f>IF(H$12=0,0,H71/H$12)</f>
        <v>0</v>
      </c>
      <c r="K71" s="4"/>
      <c r="L71" s="4">
        <f>+D71-H71</f>
        <v>0</v>
      </c>
      <c r="M71" s="4"/>
      <c r="N71" s="13">
        <f>IF(H71=0,0,L71/H71)</f>
        <v>0</v>
      </c>
      <c r="O71" s="11"/>
      <c r="P71" s="4">
        <f>SUM(0)</f>
        <v>0</v>
      </c>
      <c r="Q71" s="4"/>
      <c r="R71" s="13">
        <f>IF(P$12=0,0,P71/P$12)</f>
        <v>0</v>
      </c>
      <c r="S71" s="4"/>
      <c r="T71" s="4">
        <f>SUM(0)</f>
        <v>0</v>
      </c>
      <c r="U71" s="4"/>
      <c r="V71" s="13">
        <f>IF(T$12=0,0,T71/T$12)</f>
        <v>0</v>
      </c>
      <c r="W71" s="4"/>
      <c r="X71" s="4">
        <f>+P71-T71</f>
        <v>0</v>
      </c>
      <c r="Y71" s="4"/>
      <c r="Z71" s="13">
        <f>IF(T71=0,0,X71/T71)</f>
        <v>0</v>
      </c>
    </row>
    <row r="72" spans="1:26" x14ac:dyDescent="0.25">
      <c r="A72" s="9"/>
      <c r="B72" s="11"/>
      <c r="C72" s="11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1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x14ac:dyDescent="0.25">
      <c r="A73" s="11"/>
      <c r="B73" s="29" t="s">
        <v>276</v>
      </c>
      <c r="C73" s="29"/>
      <c r="D73" s="20">
        <f>+D16-D18+D71</f>
        <v>-43462.69</v>
      </c>
      <c r="E73" s="14"/>
      <c r="F73" s="22">
        <f>IF(D$12=0,0,D73/D$12)</f>
        <v>0</v>
      </c>
      <c r="G73" s="14"/>
      <c r="H73" s="20">
        <f>+H16-H18+H71</f>
        <v>-66029.459999999992</v>
      </c>
      <c r="I73" s="14"/>
      <c r="J73" s="22">
        <f>IF(H$12=0,0,H73/H$12)</f>
        <v>0</v>
      </c>
      <c r="K73" s="16"/>
      <c r="L73" s="20">
        <f>+D73-H73</f>
        <v>22566.76999999999</v>
      </c>
      <c r="M73" s="16"/>
      <c r="N73" s="22">
        <f>IF(H73=0,0,L73/H73)</f>
        <v>-0.34176820467712432</v>
      </c>
      <c r="O73" s="28"/>
      <c r="P73" s="20">
        <f>+P16-P18+P71</f>
        <v>-450007.96000000014</v>
      </c>
      <c r="Q73" s="14"/>
      <c r="R73" s="22">
        <f>IF(P$12=0,0,P73/P$12)</f>
        <v>0</v>
      </c>
      <c r="S73" s="14"/>
      <c r="T73" s="20">
        <f>+T16-T18+T71</f>
        <v>-711963.41000000027</v>
      </c>
      <c r="U73" s="14"/>
      <c r="V73" s="22">
        <f>IF(T$12=0,0,T73/T$12)</f>
        <v>0</v>
      </c>
      <c r="W73" s="16"/>
      <c r="X73" s="20">
        <f>+P73-T73</f>
        <v>261955.45000000013</v>
      </c>
      <c r="Y73" s="16"/>
      <c r="Z73" s="22">
        <f>IF(T73=0,0,X73/T73)</f>
        <v>-0.36793386615191365</v>
      </c>
    </row>
    <row r="74" spans="1:26" x14ac:dyDescent="0.25">
      <c r="A74" s="9"/>
      <c r="B74" s="11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x14ac:dyDescent="0.25">
      <c r="A75" s="51"/>
      <c r="B75" s="11" t="s">
        <v>127</v>
      </c>
      <c r="C75" s="11"/>
      <c r="D75" s="4"/>
      <c r="E75" s="4"/>
      <c r="F75" s="13">
        <f>IF(D$12=0,0,D75/D$12)</f>
        <v>0</v>
      </c>
      <c r="G75" s="4"/>
      <c r="H75" s="4"/>
      <c r="I75" s="4"/>
      <c r="J75" s="13">
        <f>IF(H$12=0,0,H75/H$12)</f>
        <v>0</v>
      </c>
      <c r="K75" s="4"/>
      <c r="L75" s="4">
        <f>+D75-H75</f>
        <v>0</v>
      </c>
      <c r="M75" s="4"/>
      <c r="N75" s="13">
        <f>IF(H75=0,0,L75/H75)</f>
        <v>0</v>
      </c>
      <c r="O75" s="11"/>
      <c r="P75" s="4"/>
      <c r="Q75" s="4"/>
      <c r="R75" s="13">
        <f>IF(P$12=0,0,P75/P$12)</f>
        <v>0</v>
      </c>
      <c r="S75" s="4"/>
      <c r="T75" s="4"/>
      <c r="U75" s="4"/>
      <c r="V75" s="13">
        <f>IF(T$12=0,0,T75/T$12)</f>
        <v>0</v>
      </c>
      <c r="W75" s="4"/>
      <c r="X75" s="4">
        <f>+P75-T75</f>
        <v>0</v>
      </c>
      <c r="Y75" s="4"/>
      <c r="Z75" s="13">
        <f>IF(T75=0,0,X75/T75)</f>
        <v>0</v>
      </c>
    </row>
    <row r="76" spans="1:26" x14ac:dyDescent="0.25">
      <c r="A76" s="9"/>
      <c r="B76" s="11"/>
      <c r="C76" s="11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1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ht="15.75" thickBot="1" x14ac:dyDescent="0.3">
      <c r="A77" s="11"/>
      <c r="B77" s="29" t="s">
        <v>125</v>
      </c>
      <c r="C77" s="29"/>
      <c r="D77" s="30">
        <f>+D73-D75</f>
        <v>-43462.69</v>
      </c>
      <c r="E77" s="14"/>
      <c r="F77" s="34">
        <f>IF(D$12=0,0,D77/D$12)</f>
        <v>0</v>
      </c>
      <c r="G77" s="14"/>
      <c r="H77" s="30">
        <f>+H73-H75</f>
        <v>-66029.459999999992</v>
      </c>
      <c r="I77" s="14"/>
      <c r="J77" s="34">
        <f>IF(H$12=0,0,H77/H$12)</f>
        <v>0</v>
      </c>
      <c r="K77" s="16"/>
      <c r="L77" s="30">
        <f>D77-H77</f>
        <v>22566.76999999999</v>
      </c>
      <c r="M77" s="16"/>
      <c r="N77" s="34">
        <f>IF(H77=0,0,L77/H77)</f>
        <v>-0.34176820467712432</v>
      </c>
      <c r="O77" s="28"/>
      <c r="P77" s="30">
        <f>+P73-P75</f>
        <v>-450007.96000000014</v>
      </c>
      <c r="Q77" s="14"/>
      <c r="R77" s="34">
        <f>IF(P$12=0,0,P77/P$12)</f>
        <v>0</v>
      </c>
      <c r="S77" s="14"/>
      <c r="T77" s="30">
        <f>+T73-T75</f>
        <v>-711963.41000000027</v>
      </c>
      <c r="U77" s="14"/>
      <c r="V77" s="34">
        <f>IF(T$12=0,0,T77/T$12)</f>
        <v>0</v>
      </c>
      <c r="W77" s="16"/>
      <c r="X77" s="30">
        <f>P77-T77</f>
        <v>261955.45000000013</v>
      </c>
      <c r="Y77" s="16"/>
      <c r="Z77" s="34">
        <f>IF(T77=0,0,X77/T77)</f>
        <v>-0.36793386615191365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4" customFormat="1" ht="15.75" thickBot="1" x14ac:dyDescent="0.3">
      <c r="A80" s="11"/>
      <c r="B80" s="29" t="s">
        <v>293</v>
      </c>
      <c r="C80" s="29"/>
      <c r="D80" s="32">
        <f>SUM(D77:D79)</f>
        <v>-43462.69</v>
      </c>
      <c r="E80" s="14"/>
      <c r="F80" s="35">
        <f>IF(D$12=0,0,D80/D$12)</f>
        <v>0</v>
      </c>
      <c r="G80" s="14"/>
      <c r="H80" s="32">
        <f>SUM(H77:H79)</f>
        <v>-66029.459999999992</v>
      </c>
      <c r="I80" s="14"/>
      <c r="J80" s="35">
        <f>IF(H$12=0,0,H80/H$12)</f>
        <v>0</v>
      </c>
      <c r="K80" s="16"/>
      <c r="L80" s="32">
        <f>+D80-H80</f>
        <v>22566.76999999999</v>
      </c>
      <c r="M80" s="16"/>
      <c r="N80" s="35">
        <f>IF(H80=0,0,L80/H80)</f>
        <v>-0.34176820467712432</v>
      </c>
      <c r="O80" s="28"/>
      <c r="P80" s="32">
        <f>SUM(P77:P79)</f>
        <v>-450007.96000000014</v>
      </c>
      <c r="Q80" s="14"/>
      <c r="R80" s="35">
        <f>IF(P$12=0,0,P80/P$12)</f>
        <v>0</v>
      </c>
      <c r="S80" s="14"/>
      <c r="T80" s="32">
        <f>SUM(T77:T79)</f>
        <v>-711963.41000000027</v>
      </c>
      <c r="U80" s="14"/>
      <c r="V80" s="35">
        <f>IF(T$12=0,0,T80/T$12)</f>
        <v>0</v>
      </c>
      <c r="W80" s="16"/>
      <c r="X80" s="32">
        <f>+P80-T80</f>
        <v>261955.45000000013</v>
      </c>
      <c r="Y80" s="16"/>
      <c r="Z80" s="35">
        <f>IF(T80=0,0,X80/T80)</f>
        <v>-0.36793386615191365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9">
        <v>44330.00886898148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2" t="s">
        <v>56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5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","204", " - ", "Information Technology")</f>
        <v>Department 204 - Information Technology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52587.89</v>
      </c>
      <c r="E18" s="21"/>
      <c r="F18" s="31">
        <f t="shared" ref="F18:F29" si="0">IF(D$12=0,0,D18/D$12)</f>
        <v>0</v>
      </c>
      <c r="G18" s="21"/>
      <c r="H18" s="21">
        <f>SUM(OSRRefH22x_0)</f>
        <v>52286.14</v>
      </c>
      <c r="I18" s="21"/>
      <c r="J18" s="31">
        <f t="shared" ref="J18:J29" si="1">IF(H$12=0,0,H18/H$12)</f>
        <v>0</v>
      </c>
      <c r="K18" s="4"/>
      <c r="L18" s="21">
        <f t="shared" ref="L18:L29" si="2">+D18-H18</f>
        <v>301.75</v>
      </c>
      <c r="M18" s="4"/>
      <c r="N18" s="31">
        <f t="shared" ref="N18:N29" si="3">IF(H18=0,0,L18/H18)</f>
        <v>5.7711278744233176E-3</v>
      </c>
      <c r="O18" s="11"/>
      <c r="P18" s="21">
        <f>SUM(OSRRefP22x_0)</f>
        <v>508748.49</v>
      </c>
      <c r="Q18" s="21"/>
      <c r="R18" s="31">
        <f t="shared" ref="R18:R29" si="4">IF(P$12=0,0,P18/P$12)</f>
        <v>0</v>
      </c>
      <c r="S18" s="21"/>
      <c r="T18" s="21">
        <f>SUM(OSRRefT22x_0)</f>
        <v>591228.65000000026</v>
      </c>
      <c r="U18" s="21"/>
      <c r="V18" s="31">
        <f t="shared" ref="V18:V29" si="5">IF(T$12=0,0,T18/T$12)</f>
        <v>0</v>
      </c>
      <c r="W18" s="4"/>
      <c r="X18" s="21">
        <f t="shared" ref="X18:X29" si="6">+P18-T18</f>
        <v>-82480.160000000265</v>
      </c>
      <c r="Y18" s="4"/>
      <c r="Z18" s="31">
        <f t="shared" ref="Z18:Z29" si="7">IF(T18=0,0,X18/T18)</f>
        <v>-0.13950636526156204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12334.470000000001</v>
      </c>
      <c r="E19" s="1"/>
      <c r="F19" s="5">
        <f t="shared" si="0"/>
        <v>0</v>
      </c>
      <c r="G19" s="1"/>
      <c r="H19" s="1">
        <f>SUM(OSRRefH22_0x_0)</f>
        <v>13987.570000000002</v>
      </c>
      <c r="I19" s="1"/>
      <c r="J19" s="5">
        <f t="shared" si="1"/>
        <v>0</v>
      </c>
      <c r="K19" s="1"/>
      <c r="L19" s="1">
        <f t="shared" si="2"/>
        <v>-1653.1000000000004</v>
      </c>
      <c r="M19" s="1"/>
      <c r="N19" s="5">
        <f t="shared" si="3"/>
        <v>-0.11818350149454124</v>
      </c>
      <c r="O19" s="12"/>
      <c r="P19" s="1">
        <f>SUM(OSRRefP22_0x_0)</f>
        <v>121362.69</v>
      </c>
      <c r="Q19" s="1"/>
      <c r="R19" s="5">
        <f t="shared" si="4"/>
        <v>0</v>
      </c>
      <c r="S19" s="1"/>
      <c r="T19" s="1">
        <f>SUM(OSRRefT22_0x_0)</f>
        <v>130030.31000000001</v>
      </c>
      <c r="U19" s="1"/>
      <c r="V19" s="5">
        <f t="shared" si="5"/>
        <v>0</v>
      </c>
      <c r="W19" s="1"/>
      <c r="X19" s="1">
        <f t="shared" si="6"/>
        <v>-8667.6200000000099</v>
      </c>
      <c r="Y19" s="1"/>
      <c r="Z19" s="5">
        <f t="shared" si="7"/>
        <v>-6.6658458324063127E-2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2134.3200000000002</v>
      </c>
      <c r="E20" s="2"/>
      <c r="F20" s="7">
        <f t="shared" si="0"/>
        <v>0</v>
      </c>
      <c r="G20" s="2"/>
      <c r="H20" s="6">
        <v>2350.5500000000002</v>
      </c>
      <c r="I20" s="2"/>
      <c r="J20" s="7">
        <f t="shared" si="1"/>
        <v>0</v>
      </c>
      <c r="K20" s="2"/>
      <c r="L20" s="6">
        <f t="shared" si="2"/>
        <v>-216.23000000000002</v>
      </c>
      <c r="M20" s="2"/>
      <c r="N20" s="7">
        <f t="shared" si="3"/>
        <v>-9.1991236093680206E-2</v>
      </c>
      <c r="O20" s="10"/>
      <c r="P20" s="6">
        <v>17676.310000000001</v>
      </c>
      <c r="Q20" s="2"/>
      <c r="R20" s="7">
        <f t="shared" si="4"/>
        <v>0</v>
      </c>
      <c r="S20" s="2"/>
      <c r="T20" s="6">
        <v>21272.560000000001</v>
      </c>
      <c r="U20" s="2"/>
      <c r="V20" s="7">
        <f t="shared" si="5"/>
        <v>0</v>
      </c>
      <c r="W20" s="2"/>
      <c r="X20" s="6">
        <f t="shared" si="6"/>
        <v>-3596.25</v>
      </c>
      <c r="Y20" s="2"/>
      <c r="Z20" s="7">
        <f t="shared" si="7"/>
        <v>-0.16905581650727508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61.13</v>
      </c>
      <c r="E21" s="2"/>
      <c r="F21" s="7">
        <f t="shared" si="0"/>
        <v>0</v>
      </c>
      <c r="G21" s="2"/>
      <c r="H21" s="6">
        <v>67.739999999999995</v>
      </c>
      <c r="I21" s="2"/>
      <c r="J21" s="7">
        <f t="shared" si="1"/>
        <v>0</v>
      </c>
      <c r="K21" s="2"/>
      <c r="L21" s="6">
        <f t="shared" si="2"/>
        <v>-6.6099999999999923</v>
      </c>
      <c r="M21" s="2"/>
      <c r="N21" s="7">
        <f t="shared" si="3"/>
        <v>-9.757897844700314E-2</v>
      </c>
      <c r="O21" s="10"/>
      <c r="P21" s="6">
        <v>783.98</v>
      </c>
      <c r="Q21" s="2"/>
      <c r="R21" s="7">
        <f t="shared" si="4"/>
        <v>0</v>
      </c>
      <c r="S21" s="2"/>
      <c r="T21" s="6">
        <v>812.09</v>
      </c>
      <c r="U21" s="2"/>
      <c r="V21" s="7">
        <f t="shared" si="5"/>
        <v>0</v>
      </c>
      <c r="W21" s="2"/>
      <c r="X21" s="6">
        <f t="shared" si="6"/>
        <v>-28.110000000000014</v>
      </c>
      <c r="Y21" s="2"/>
      <c r="Z21" s="7">
        <f t="shared" si="7"/>
        <v>-3.4614390030661642E-2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4844.5200000000004</v>
      </c>
      <c r="E22" s="2"/>
      <c r="F22" s="7">
        <f t="shared" si="0"/>
        <v>0</v>
      </c>
      <c r="G22" s="2"/>
      <c r="H22" s="6">
        <v>5567.87</v>
      </c>
      <c r="I22" s="2"/>
      <c r="J22" s="7">
        <f t="shared" si="1"/>
        <v>0</v>
      </c>
      <c r="K22" s="2"/>
      <c r="L22" s="6">
        <f t="shared" si="2"/>
        <v>-723.34999999999945</v>
      </c>
      <c r="M22" s="2"/>
      <c r="N22" s="7">
        <f t="shared" si="3"/>
        <v>-0.12991503034373997</v>
      </c>
      <c r="O22" s="10"/>
      <c r="P22" s="6">
        <v>52758.46</v>
      </c>
      <c r="Q22" s="2"/>
      <c r="R22" s="7">
        <f t="shared" si="4"/>
        <v>0</v>
      </c>
      <c r="S22" s="2"/>
      <c r="T22" s="6">
        <v>53247.26</v>
      </c>
      <c r="U22" s="2"/>
      <c r="V22" s="7">
        <f t="shared" si="5"/>
        <v>0</v>
      </c>
      <c r="W22" s="2"/>
      <c r="X22" s="6">
        <f t="shared" si="6"/>
        <v>-488.80000000000291</v>
      </c>
      <c r="Y22" s="2"/>
      <c r="Z22" s="7">
        <f t="shared" si="7"/>
        <v>-9.1798150740526902E-3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48.16</v>
      </c>
      <c r="E23" s="2"/>
      <c r="F23" s="7">
        <f t="shared" si="0"/>
        <v>0</v>
      </c>
      <c r="G23" s="2"/>
      <c r="H23" s="6">
        <v>51.8</v>
      </c>
      <c r="I23" s="2"/>
      <c r="J23" s="7">
        <f t="shared" si="1"/>
        <v>0</v>
      </c>
      <c r="K23" s="2"/>
      <c r="L23" s="6">
        <f t="shared" si="2"/>
        <v>-3.6400000000000006</v>
      </c>
      <c r="M23" s="2"/>
      <c r="N23" s="7">
        <f t="shared" si="3"/>
        <v>-7.0270270270270288E-2</v>
      </c>
      <c r="O23" s="10"/>
      <c r="P23" s="6">
        <v>578.5</v>
      </c>
      <c r="Q23" s="2"/>
      <c r="R23" s="7">
        <f t="shared" si="4"/>
        <v>0</v>
      </c>
      <c r="S23" s="2"/>
      <c r="T23" s="6">
        <v>746.89</v>
      </c>
      <c r="U23" s="2"/>
      <c r="V23" s="7">
        <f t="shared" si="5"/>
        <v>0</v>
      </c>
      <c r="W23" s="2"/>
      <c r="X23" s="6">
        <f t="shared" si="6"/>
        <v>-168.39</v>
      </c>
      <c r="Y23" s="2"/>
      <c r="Z23" s="7">
        <f t="shared" si="7"/>
        <v>-0.22545488626169849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1861.21</v>
      </c>
      <c r="E24" s="2"/>
      <c r="F24" s="7">
        <f t="shared" si="0"/>
        <v>0</v>
      </c>
      <c r="G24" s="2"/>
      <c r="H24" s="6">
        <v>1716.08</v>
      </c>
      <c r="I24" s="2"/>
      <c r="J24" s="7">
        <f t="shared" si="1"/>
        <v>0</v>
      </c>
      <c r="K24" s="2"/>
      <c r="L24" s="6">
        <f t="shared" si="2"/>
        <v>145.13000000000011</v>
      </c>
      <c r="M24" s="2"/>
      <c r="N24" s="7">
        <f t="shared" si="3"/>
        <v>8.4570649386975033E-2</v>
      </c>
      <c r="O24" s="10"/>
      <c r="P24" s="6">
        <v>21928.53</v>
      </c>
      <c r="Q24" s="2"/>
      <c r="R24" s="7">
        <f t="shared" si="4"/>
        <v>0</v>
      </c>
      <c r="S24" s="2"/>
      <c r="T24" s="6">
        <v>16287.56</v>
      </c>
      <c r="U24" s="2"/>
      <c r="V24" s="7">
        <f t="shared" si="5"/>
        <v>0</v>
      </c>
      <c r="W24" s="2"/>
      <c r="X24" s="6">
        <f t="shared" si="6"/>
        <v>5640.9699999999993</v>
      </c>
      <c r="Y24" s="2"/>
      <c r="Z24" s="7">
        <f t="shared" si="7"/>
        <v>0.34633609945258831</v>
      </c>
    </row>
    <row r="25" spans="1:26" s="23" customFormat="1" hidden="1" outlineLevel="2" x14ac:dyDescent="0.25">
      <c r="A25" s="27"/>
      <c r="B25" s="10" t="str">
        <f>CONCATENATE("          ", "6116", " - ", "EDUCATIONAL BENEFITS")</f>
        <v xml:space="preserve">          6116 - EDUCATIONAL BENEFITS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/>
      <c r="Q25" s="2"/>
      <c r="R25" s="7">
        <f t="shared" si="4"/>
        <v>0</v>
      </c>
      <c r="S25" s="2"/>
      <c r="T25" s="6">
        <v>134</v>
      </c>
      <c r="U25" s="2"/>
      <c r="V25" s="7">
        <f t="shared" si="5"/>
        <v>0</v>
      </c>
      <c r="W25" s="2"/>
      <c r="X25" s="6">
        <f t="shared" si="6"/>
        <v>-134</v>
      </c>
      <c r="Y25" s="2"/>
      <c r="Z25" s="7">
        <f t="shared" si="7"/>
        <v>-1</v>
      </c>
    </row>
    <row r="26" spans="1:26" s="23" customFormat="1" hidden="1" outlineLevel="2" x14ac:dyDescent="0.25">
      <c r="A26" s="27"/>
      <c r="B26" s="10" t="str">
        <f>CONCATENATE("          ", "6117", " - ", "RETIREMENT STAFF HOURLY")</f>
        <v xml:space="preserve">          6117 - RETIREMENT STAFF HOURLY</v>
      </c>
      <c r="C26" s="10"/>
      <c r="D26" s="6"/>
      <c r="E26" s="2"/>
      <c r="F26" s="7">
        <f t="shared" si="0"/>
        <v>0</v>
      </c>
      <c r="G26" s="2"/>
      <c r="H26" s="6">
        <v>523.01</v>
      </c>
      <c r="I26" s="2"/>
      <c r="J26" s="7">
        <f t="shared" si="1"/>
        <v>0</v>
      </c>
      <c r="K26" s="2"/>
      <c r="L26" s="6">
        <f t="shared" si="2"/>
        <v>-523.01</v>
      </c>
      <c r="M26" s="2"/>
      <c r="N26" s="7">
        <f t="shared" si="3"/>
        <v>-1</v>
      </c>
      <c r="O26" s="10"/>
      <c r="P26" s="6">
        <v>912.28</v>
      </c>
      <c r="Q26" s="2"/>
      <c r="R26" s="7">
        <f t="shared" si="4"/>
        <v>0</v>
      </c>
      <c r="S26" s="2"/>
      <c r="T26" s="6">
        <v>4073.77</v>
      </c>
      <c r="U26" s="2"/>
      <c r="V26" s="7">
        <f t="shared" si="5"/>
        <v>0</v>
      </c>
      <c r="W26" s="2"/>
      <c r="X26" s="6">
        <f t="shared" si="6"/>
        <v>-3161.49</v>
      </c>
      <c r="Y26" s="2"/>
      <c r="Z26" s="7">
        <f t="shared" si="7"/>
        <v>-0.77606001320644014</v>
      </c>
    </row>
    <row r="27" spans="1:26" s="23" customFormat="1" hidden="1" outlineLevel="2" x14ac:dyDescent="0.25">
      <c r="A27" s="27"/>
      <c r="B27" s="10" t="str">
        <f>CONCATENATE("          ", "6118", " - ", "VACATION")</f>
        <v xml:space="preserve">          6118 - VACATION</v>
      </c>
      <c r="C27" s="10"/>
      <c r="D27" s="6">
        <v>2017.92</v>
      </c>
      <c r="E27" s="2"/>
      <c r="F27" s="7">
        <f t="shared" si="0"/>
        <v>0</v>
      </c>
      <c r="G27" s="2"/>
      <c r="H27" s="6">
        <v>2211.96</v>
      </c>
      <c r="I27" s="2"/>
      <c r="J27" s="7">
        <f t="shared" si="1"/>
        <v>0</v>
      </c>
      <c r="K27" s="2"/>
      <c r="L27" s="6">
        <f t="shared" si="2"/>
        <v>-194.03999999999996</v>
      </c>
      <c r="M27" s="2"/>
      <c r="N27" s="7">
        <f t="shared" si="3"/>
        <v>-8.772310530027666E-2</v>
      </c>
      <c r="O27" s="10"/>
      <c r="P27" s="6">
        <v>15089.66</v>
      </c>
      <c r="Q27" s="2"/>
      <c r="R27" s="7">
        <f t="shared" si="4"/>
        <v>0</v>
      </c>
      <c r="S27" s="2"/>
      <c r="T27" s="6">
        <v>16732.28</v>
      </c>
      <c r="U27" s="2"/>
      <c r="V27" s="7">
        <f t="shared" si="5"/>
        <v>0</v>
      </c>
      <c r="W27" s="2"/>
      <c r="X27" s="6">
        <f t="shared" si="6"/>
        <v>-1642.619999999999</v>
      </c>
      <c r="Y27" s="2"/>
      <c r="Z27" s="7">
        <f t="shared" si="7"/>
        <v>-9.8170721503584635E-2</v>
      </c>
    </row>
    <row r="28" spans="1:26" s="23" customFormat="1" hidden="1" outlineLevel="2" x14ac:dyDescent="0.25">
      <c r="A28" s="27"/>
      <c r="B28" s="10" t="str">
        <f>CONCATENATE("          ", "6119", " - ", "SICK LEAVE")</f>
        <v xml:space="preserve">          6119 - SICK LEAVE</v>
      </c>
      <c r="C28" s="10"/>
      <c r="D28" s="6">
        <v>1266.0899999999999</v>
      </c>
      <c r="E28" s="2"/>
      <c r="F28" s="7">
        <f t="shared" si="0"/>
        <v>0</v>
      </c>
      <c r="G28" s="2"/>
      <c r="H28" s="6">
        <v>1498.56</v>
      </c>
      <c r="I28" s="2"/>
      <c r="J28" s="7">
        <f t="shared" si="1"/>
        <v>0</v>
      </c>
      <c r="K28" s="2"/>
      <c r="L28" s="6">
        <f t="shared" si="2"/>
        <v>-232.47000000000003</v>
      </c>
      <c r="M28" s="2"/>
      <c r="N28" s="7">
        <f t="shared" si="3"/>
        <v>-0.15512892376681617</v>
      </c>
      <c r="O28" s="10"/>
      <c r="P28" s="6">
        <v>10059.56</v>
      </c>
      <c r="Q28" s="2"/>
      <c r="R28" s="7">
        <f t="shared" si="4"/>
        <v>0</v>
      </c>
      <c r="S28" s="2"/>
      <c r="T28" s="6">
        <v>11224.1</v>
      </c>
      <c r="U28" s="2"/>
      <c r="V28" s="7">
        <f t="shared" si="5"/>
        <v>0</v>
      </c>
      <c r="W28" s="2"/>
      <c r="X28" s="6">
        <f t="shared" si="6"/>
        <v>-1164.5400000000009</v>
      </c>
      <c r="Y28" s="2"/>
      <c r="Z28" s="7">
        <f t="shared" si="7"/>
        <v>-0.10375353034987223</v>
      </c>
    </row>
    <row r="29" spans="1:26" s="23" customFormat="1" hidden="1" outlineLevel="2" x14ac:dyDescent="0.25">
      <c r="A29" s="27"/>
      <c r="B29" s="10" t="str">
        <f>CONCATENATE("          ", "6156", " - ", "EMPLOYEE MEALS")</f>
        <v xml:space="preserve">          6156 - EMPLOYEE MEALS</v>
      </c>
      <c r="C29" s="10"/>
      <c r="D29" s="6">
        <v>101.12</v>
      </c>
      <c r="E29" s="2"/>
      <c r="F29" s="7">
        <f t="shared" si="0"/>
        <v>0</v>
      </c>
      <c r="G29" s="2"/>
      <c r="H29" s="6"/>
      <c r="I29" s="2"/>
      <c r="J29" s="7">
        <f t="shared" si="1"/>
        <v>0</v>
      </c>
      <c r="K29" s="2"/>
      <c r="L29" s="6">
        <f t="shared" si="2"/>
        <v>101.12</v>
      </c>
      <c r="M29" s="2"/>
      <c r="N29" s="7">
        <f t="shared" si="3"/>
        <v>0</v>
      </c>
      <c r="O29" s="10"/>
      <c r="P29" s="6">
        <v>1575.41</v>
      </c>
      <c r="Q29" s="2"/>
      <c r="R29" s="7">
        <f t="shared" si="4"/>
        <v>0</v>
      </c>
      <c r="S29" s="2"/>
      <c r="T29" s="6">
        <v>5499.8</v>
      </c>
      <c r="U29" s="2"/>
      <c r="V29" s="7">
        <f t="shared" si="5"/>
        <v>0</v>
      </c>
      <c r="W29" s="2"/>
      <c r="X29" s="6">
        <f t="shared" si="6"/>
        <v>-3924.3900000000003</v>
      </c>
      <c r="Y29" s="2"/>
      <c r="Z29" s="7">
        <f t="shared" si="7"/>
        <v>-0.71355140186915889</v>
      </c>
    </row>
    <row r="30" spans="1:26" s="26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20593.09</v>
      </c>
      <c r="E30" s="1"/>
      <c r="F30" s="5">
        <f t="shared" ref="F30:F35" si="8">IF(D$12=0,0,D30/D$12)</f>
        <v>0</v>
      </c>
      <c r="G30" s="1"/>
      <c r="H30" s="1">
        <f>SUM(OSRRefH22_1x_0)</f>
        <v>21152.97</v>
      </c>
      <c r="I30" s="1"/>
      <c r="J30" s="5">
        <f t="shared" ref="J30:J35" si="9">IF(H$12=0,0,H30/H$12)</f>
        <v>0</v>
      </c>
      <c r="K30" s="1"/>
      <c r="L30" s="1">
        <f t="shared" ref="L30:L35" si="10">+D30-H30</f>
        <v>-559.88000000000102</v>
      </c>
      <c r="M30" s="1"/>
      <c r="N30" s="5">
        <f t="shared" ref="N30:N35" si="11">IF(H30=0,0,L30/H30)</f>
        <v>-2.6468150808137154E-2</v>
      </c>
      <c r="O30" s="12"/>
      <c r="P30" s="1">
        <f>SUM(OSRRefP22_1x_0)</f>
        <v>201726.91999999998</v>
      </c>
      <c r="Q30" s="1"/>
      <c r="R30" s="5">
        <f t="shared" ref="R30:R35" si="12">IF(P$12=0,0,P30/P$12)</f>
        <v>0</v>
      </c>
      <c r="S30" s="1"/>
      <c r="T30" s="1">
        <f>SUM(OSRRefT22_1x_0)</f>
        <v>259137.22000000003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-57410.300000000047</v>
      </c>
      <c r="Y30" s="1"/>
      <c r="Z30" s="5">
        <f t="shared" ref="Z30:Z35" si="15">IF(T30=0,0,X30/T30)</f>
        <v>-0.22154401440287133</v>
      </c>
    </row>
    <row r="31" spans="1:26" s="23" customFormat="1" hidden="1" outlineLevel="2" x14ac:dyDescent="0.25">
      <c r="A31" s="27"/>
      <c r="B31" s="10" t="str">
        <f>CONCATENATE("          ", "6002", " - ", "STAFF SALARIES")</f>
        <v xml:space="preserve">          6002 - STAFF SALARIES</v>
      </c>
      <c r="C31" s="10"/>
      <c r="D31" s="6">
        <v>20593.09</v>
      </c>
      <c r="E31" s="2"/>
      <c r="F31" s="7">
        <f t="shared" si="8"/>
        <v>0</v>
      </c>
      <c r="G31" s="2"/>
      <c r="H31" s="6">
        <v>20312.97</v>
      </c>
      <c r="I31" s="2"/>
      <c r="J31" s="7">
        <f t="shared" si="9"/>
        <v>0</v>
      </c>
      <c r="K31" s="2"/>
      <c r="L31" s="6">
        <f t="shared" si="10"/>
        <v>280.11999999999898</v>
      </c>
      <c r="M31" s="2"/>
      <c r="N31" s="7">
        <f t="shared" si="11"/>
        <v>1.379020399281833E-2</v>
      </c>
      <c r="O31" s="10"/>
      <c r="P31" s="6">
        <v>187513.68</v>
      </c>
      <c r="Q31" s="2"/>
      <c r="R31" s="7">
        <f t="shared" si="12"/>
        <v>0</v>
      </c>
      <c r="S31" s="2"/>
      <c r="T31" s="6">
        <v>132316.88</v>
      </c>
      <c r="U31" s="2"/>
      <c r="V31" s="7">
        <f t="shared" si="13"/>
        <v>0</v>
      </c>
      <c r="W31" s="2"/>
      <c r="X31" s="6">
        <f t="shared" si="14"/>
        <v>55196.799999999988</v>
      </c>
      <c r="Y31" s="2"/>
      <c r="Z31" s="7">
        <f t="shared" si="15"/>
        <v>0.4171561481800356</v>
      </c>
    </row>
    <row r="32" spans="1:26" s="23" customFormat="1" hidden="1" outlineLevel="2" x14ac:dyDescent="0.25">
      <c r="A32" s="27"/>
      <c r="B32" s="10" t="str">
        <f>CONCATENATE("          ", "6004", " - ", "STAFF HOURLY")</f>
        <v xml:space="preserve">          6004 - STAFF HOURLY</v>
      </c>
      <c r="C32" s="10"/>
      <c r="D32" s="6"/>
      <c r="E32" s="2"/>
      <c r="F32" s="7">
        <f t="shared" si="8"/>
        <v>0</v>
      </c>
      <c r="G32" s="2"/>
      <c r="H32" s="6">
        <v>1176</v>
      </c>
      <c r="I32" s="2"/>
      <c r="J32" s="7">
        <f t="shared" si="9"/>
        <v>0</v>
      </c>
      <c r="K32" s="2"/>
      <c r="L32" s="6">
        <f t="shared" si="10"/>
        <v>-1176</v>
      </c>
      <c r="M32" s="2"/>
      <c r="N32" s="7">
        <f t="shared" si="11"/>
        <v>-1</v>
      </c>
      <c r="O32" s="10"/>
      <c r="P32" s="6">
        <v>14213.24</v>
      </c>
      <c r="Q32" s="2"/>
      <c r="R32" s="7">
        <f t="shared" si="12"/>
        <v>0</v>
      </c>
      <c r="S32" s="2"/>
      <c r="T32" s="6">
        <v>74256.600000000006</v>
      </c>
      <c r="U32" s="2"/>
      <c r="V32" s="7">
        <f t="shared" si="13"/>
        <v>0</v>
      </c>
      <c r="W32" s="2"/>
      <c r="X32" s="6">
        <f t="shared" si="14"/>
        <v>-60043.360000000008</v>
      </c>
      <c r="Y32" s="2"/>
      <c r="Z32" s="7">
        <f t="shared" si="15"/>
        <v>-0.80859290621978386</v>
      </c>
    </row>
    <row r="33" spans="1:26" s="23" customFormat="1" hidden="1" outlineLevel="2" x14ac:dyDescent="0.25">
      <c r="A33" s="27"/>
      <c r="B33" s="10" t="str">
        <f>CONCATENATE("          ", "6005", " - ", "TEMPORARY WAGES-HOURLY")</f>
        <v xml:space="preserve">          6005 - TEMPORARY WAGES-HOURLY</v>
      </c>
      <c r="C33" s="10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0"/>
      <c r="P33" s="6"/>
      <c r="Q33" s="2"/>
      <c r="R33" s="7">
        <f t="shared" si="12"/>
        <v>0</v>
      </c>
      <c r="S33" s="2"/>
      <c r="T33" s="6">
        <v>23545.86</v>
      </c>
      <c r="U33" s="2"/>
      <c r="V33" s="7">
        <f t="shared" si="13"/>
        <v>0</v>
      </c>
      <c r="W33" s="2"/>
      <c r="X33" s="6">
        <f t="shared" si="14"/>
        <v>-23545.86</v>
      </c>
      <c r="Y33" s="2"/>
      <c r="Z33" s="7">
        <f t="shared" si="15"/>
        <v>-1</v>
      </c>
    </row>
    <row r="34" spans="1:26" s="23" customFormat="1" hidden="1" outlineLevel="2" x14ac:dyDescent="0.25">
      <c r="A34" s="27"/>
      <c r="B34" s="10" t="str">
        <f>CONCATENATE("          ", "6007", " - ", "STUDENT HOURLY")</f>
        <v xml:space="preserve">          6007 - STUDENT HOURLY</v>
      </c>
      <c r="C34" s="10"/>
      <c r="D34" s="6"/>
      <c r="E34" s="2"/>
      <c r="F34" s="7">
        <f t="shared" si="8"/>
        <v>0</v>
      </c>
      <c r="G34" s="2"/>
      <c r="H34" s="6">
        <v>-336</v>
      </c>
      <c r="I34" s="2"/>
      <c r="J34" s="7">
        <f t="shared" si="9"/>
        <v>0</v>
      </c>
      <c r="K34" s="2"/>
      <c r="L34" s="6">
        <f t="shared" si="10"/>
        <v>336</v>
      </c>
      <c r="M34" s="2"/>
      <c r="N34" s="7">
        <f t="shared" si="11"/>
        <v>-1</v>
      </c>
      <c r="O34" s="10"/>
      <c r="P34" s="6">
        <v>0</v>
      </c>
      <c r="Q34" s="2"/>
      <c r="R34" s="7">
        <f t="shared" si="12"/>
        <v>0</v>
      </c>
      <c r="S34" s="2"/>
      <c r="T34" s="6">
        <v>26497.88</v>
      </c>
      <c r="U34" s="2"/>
      <c r="V34" s="7">
        <f t="shared" si="13"/>
        <v>0</v>
      </c>
      <c r="W34" s="2"/>
      <c r="X34" s="6">
        <f t="shared" si="14"/>
        <v>-26497.88</v>
      </c>
      <c r="Y34" s="2"/>
      <c r="Z34" s="7">
        <f t="shared" si="15"/>
        <v>-1</v>
      </c>
    </row>
    <row r="35" spans="1:26" s="23" customFormat="1" hidden="1" outlineLevel="2" x14ac:dyDescent="0.25">
      <c r="A35" s="27"/>
      <c r="B35" s="10" t="str">
        <f>CONCATENATE("          ", "6008", " - ", "STUDENT HOURLY-FICA EXEMPT")</f>
        <v xml:space="preserve">          6008 - STUDENT HOURLY-FICA EXEMPT</v>
      </c>
      <c r="C35" s="10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0"/>
      <c r="P35" s="6"/>
      <c r="Q35" s="2"/>
      <c r="R35" s="7">
        <f t="shared" si="12"/>
        <v>0</v>
      </c>
      <c r="S35" s="2"/>
      <c r="T35" s="6">
        <v>2520</v>
      </c>
      <c r="U35" s="2"/>
      <c r="V35" s="7">
        <f t="shared" si="13"/>
        <v>0</v>
      </c>
      <c r="W35" s="2"/>
      <c r="X35" s="6">
        <f t="shared" si="14"/>
        <v>-2520</v>
      </c>
      <c r="Y35" s="2"/>
      <c r="Z35" s="7">
        <f t="shared" si="15"/>
        <v>-1</v>
      </c>
    </row>
    <row r="36" spans="1:26" s="26" customFormat="1" outlineLevel="1" collapsed="1" x14ac:dyDescent="0.25">
      <c r="A36" s="25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7" si="16">IF(D$12=0,0,D36/D$12)</f>
        <v>0</v>
      </c>
      <c r="G36" s="1"/>
      <c r="H36" s="1">
        <f>SUM(OSRRefH22_2x_0)</f>
        <v>0</v>
      </c>
      <c r="I36" s="1"/>
      <c r="J36" s="5">
        <f t="shared" ref="J36:J47" si="17">IF(H$12=0,0,H36/H$12)</f>
        <v>0</v>
      </c>
      <c r="K36" s="1"/>
      <c r="L36" s="1">
        <f t="shared" ref="L36:L47" si="18">+D36-H36</f>
        <v>0</v>
      </c>
      <c r="M36" s="1"/>
      <c r="N36" s="5">
        <f t="shared" ref="N36:N47" si="19">IF(H36=0,0,L36/H36)</f>
        <v>0</v>
      </c>
      <c r="O36" s="12"/>
      <c r="P36" s="1">
        <f>SUM(OSRRefP22_2x_0)</f>
        <v>0</v>
      </c>
      <c r="Q36" s="1"/>
      <c r="R36" s="5">
        <f t="shared" ref="R36:R47" si="20">IF(P$12=0,0,P36/P$12)</f>
        <v>0</v>
      </c>
      <c r="S36" s="1"/>
      <c r="T36" s="1">
        <f>SUM(OSRRefT22_2x_0)</f>
        <v>9.99</v>
      </c>
      <c r="U36" s="1"/>
      <c r="V36" s="5">
        <f t="shared" ref="V36:V47" si="21">IF(T$12=0,0,T36/T$12)</f>
        <v>0</v>
      </c>
      <c r="W36" s="1"/>
      <c r="X36" s="1">
        <f t="shared" ref="X36:X47" si="22">+P36-T36</f>
        <v>-9.99</v>
      </c>
      <c r="Y36" s="1"/>
      <c r="Z36" s="5">
        <f t="shared" ref="Z36:Z47" si="23">IF(T36=0,0,X36/T36)</f>
        <v>-1</v>
      </c>
    </row>
    <row r="37" spans="1:26" s="23" customFormat="1" hidden="1" outlineLevel="2" x14ac:dyDescent="0.25">
      <c r="A37" s="27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/>
      <c r="Q37" s="2"/>
      <c r="R37" s="7">
        <f t="shared" si="20"/>
        <v>0</v>
      </c>
      <c r="S37" s="2"/>
      <c r="T37" s="6">
        <v>9.99</v>
      </c>
      <c r="U37" s="2"/>
      <c r="V37" s="7">
        <f t="shared" si="21"/>
        <v>0</v>
      </c>
      <c r="W37" s="2"/>
      <c r="X37" s="6">
        <f t="shared" si="22"/>
        <v>-9.99</v>
      </c>
      <c r="Y37" s="2"/>
      <c r="Z37" s="7">
        <f t="shared" si="23"/>
        <v>-1</v>
      </c>
    </row>
    <row r="38" spans="1:26" s="26" customFormat="1" outlineLevel="1" collapsed="1" x14ac:dyDescent="0.25">
      <c r="A38" s="25"/>
      <c r="B38" s="12" t="str">
        <f>CONCATENATE("     ","Depreciation                                      ")</f>
        <v xml:space="preserve">     Depreciation                                      </v>
      </c>
      <c r="C38" s="12"/>
      <c r="D38" s="1">
        <f>SUM(OSRRefD22_3x_0)</f>
        <v>4994.01</v>
      </c>
      <c r="E38" s="1"/>
      <c r="F38" s="5">
        <f t="shared" si="16"/>
        <v>0</v>
      </c>
      <c r="G38" s="1"/>
      <c r="H38" s="1">
        <f>SUM(OSRRefH22_3x_0)</f>
        <v>5817.65</v>
      </c>
      <c r="I38" s="1"/>
      <c r="J38" s="5">
        <f t="shared" si="17"/>
        <v>0</v>
      </c>
      <c r="K38" s="1"/>
      <c r="L38" s="1">
        <f t="shared" si="18"/>
        <v>-823.63999999999942</v>
      </c>
      <c r="M38" s="1"/>
      <c r="N38" s="5">
        <f t="shared" si="19"/>
        <v>-0.14157606593727698</v>
      </c>
      <c r="O38" s="12"/>
      <c r="P38" s="1">
        <f>SUM(OSRRefP22_3x_0)</f>
        <v>51510.8</v>
      </c>
      <c r="Q38" s="1"/>
      <c r="R38" s="5">
        <f t="shared" si="20"/>
        <v>0</v>
      </c>
      <c r="S38" s="1"/>
      <c r="T38" s="1">
        <f>SUM(OSRRefT22_3x_0)</f>
        <v>61401.35</v>
      </c>
      <c r="U38" s="1"/>
      <c r="V38" s="5">
        <f t="shared" si="21"/>
        <v>0</v>
      </c>
      <c r="W38" s="1"/>
      <c r="X38" s="1">
        <f t="shared" si="22"/>
        <v>-9890.5499999999956</v>
      </c>
      <c r="Y38" s="1"/>
      <c r="Z38" s="5">
        <f t="shared" si="23"/>
        <v>-0.16108033455290471</v>
      </c>
    </row>
    <row r="39" spans="1:26" s="23" customFormat="1" hidden="1" outlineLevel="2" x14ac:dyDescent="0.25">
      <c r="A39" s="27"/>
      <c r="B39" s="10" t="str">
        <f>CONCATENATE("          ", "6322", " - ", "EQUIPMENT DEPRECIATION EXPENSE")</f>
        <v xml:space="preserve">          6322 - EQUIPMENT DEPRECIATION EXPENSE</v>
      </c>
      <c r="C39" s="10"/>
      <c r="D39" s="6">
        <v>4994.01</v>
      </c>
      <c r="E39" s="2"/>
      <c r="F39" s="7">
        <f t="shared" si="16"/>
        <v>0</v>
      </c>
      <c r="G39" s="2"/>
      <c r="H39" s="6">
        <v>5817.65</v>
      </c>
      <c r="I39" s="2"/>
      <c r="J39" s="7">
        <f t="shared" si="17"/>
        <v>0</v>
      </c>
      <c r="K39" s="2"/>
      <c r="L39" s="6">
        <f t="shared" si="18"/>
        <v>-823.63999999999942</v>
      </c>
      <c r="M39" s="2"/>
      <c r="N39" s="7">
        <f t="shared" si="19"/>
        <v>-0.14157606593727698</v>
      </c>
      <c r="O39" s="10"/>
      <c r="P39" s="6">
        <v>51510.8</v>
      </c>
      <c r="Q39" s="2"/>
      <c r="R39" s="7">
        <f t="shared" si="20"/>
        <v>0</v>
      </c>
      <c r="S39" s="2"/>
      <c r="T39" s="6">
        <v>61401.35</v>
      </c>
      <c r="U39" s="2"/>
      <c r="V39" s="7">
        <f t="shared" si="21"/>
        <v>0</v>
      </c>
      <c r="W39" s="2"/>
      <c r="X39" s="6">
        <f t="shared" si="22"/>
        <v>-9890.5499999999956</v>
      </c>
      <c r="Y39" s="2"/>
      <c r="Z39" s="7">
        <f t="shared" si="23"/>
        <v>-0.16108033455290471</v>
      </c>
    </row>
    <row r="40" spans="1:26" s="26" customFormat="1" outlineLevel="1" collapsed="1" x14ac:dyDescent="0.25">
      <c r="A40" s="25"/>
      <c r="B40" s="12" t="str">
        <f>CONCATENATE("     ","Freight out/Postage                               ")</f>
        <v xml:space="preserve">     Freight out/Postage                               </v>
      </c>
      <c r="C40" s="12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0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2"/>
      <c r="P40" s="1">
        <f>SUM(OSRRefP22_4x_0)</f>
        <v>5.7</v>
      </c>
      <c r="Q40" s="1"/>
      <c r="R40" s="5">
        <f t="shared" si="20"/>
        <v>0</v>
      </c>
      <c r="S40" s="1"/>
      <c r="T40" s="1">
        <f>SUM(OSRRefT22_4x_0)</f>
        <v>0</v>
      </c>
      <c r="U40" s="1"/>
      <c r="V40" s="5">
        <f t="shared" si="21"/>
        <v>0</v>
      </c>
      <c r="W40" s="1"/>
      <c r="X40" s="1">
        <f t="shared" si="22"/>
        <v>5.7</v>
      </c>
      <c r="Y40" s="1"/>
      <c r="Z40" s="5">
        <f t="shared" si="23"/>
        <v>0</v>
      </c>
    </row>
    <row r="41" spans="1:26" s="23" customFormat="1" hidden="1" outlineLevel="2" x14ac:dyDescent="0.25">
      <c r="A41" s="27"/>
      <c r="B41" s="10" t="str">
        <f>CONCATENATE("          ", "6307", " - ", "POSTAGE")</f>
        <v xml:space="preserve">          6307 - POSTAGE</v>
      </c>
      <c r="C41" s="10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0"/>
      <c r="P41" s="6">
        <v>5.7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5.7</v>
      </c>
      <c r="Y41" s="2"/>
      <c r="Z41" s="7">
        <f t="shared" si="23"/>
        <v>0</v>
      </c>
    </row>
    <row r="42" spans="1:26" s="26" customFormat="1" outlineLevel="1" collapsed="1" x14ac:dyDescent="0.25">
      <c r="A42" s="25"/>
      <c r="B42" s="12" t="str">
        <f>CONCATENATE("     ","Insurance                                         ")</f>
        <v xml:space="preserve">     Insurance                                         </v>
      </c>
      <c r="C42" s="12"/>
      <c r="D42" s="1">
        <f>SUM(OSRRefD22_5x_0)</f>
        <v>56.34</v>
      </c>
      <c r="E42" s="1"/>
      <c r="F42" s="5">
        <f t="shared" si="16"/>
        <v>0</v>
      </c>
      <c r="G42" s="1"/>
      <c r="H42" s="1">
        <f>SUM(OSRRefH22_5x_0)</f>
        <v>56.34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2"/>
      <c r="P42" s="1">
        <f>SUM(OSRRefP22_5x_0)</f>
        <v>563.4</v>
      </c>
      <c r="Q42" s="1"/>
      <c r="R42" s="5">
        <f t="shared" si="20"/>
        <v>0</v>
      </c>
      <c r="S42" s="1"/>
      <c r="T42" s="1">
        <f>SUM(OSRRefT22_5x_0)</f>
        <v>563.4</v>
      </c>
      <c r="U42" s="1"/>
      <c r="V42" s="5">
        <f t="shared" si="21"/>
        <v>0</v>
      </c>
      <c r="W42" s="1"/>
      <c r="X42" s="1">
        <f t="shared" si="22"/>
        <v>0</v>
      </c>
      <c r="Y42" s="1"/>
      <c r="Z42" s="5">
        <f t="shared" si="23"/>
        <v>0</v>
      </c>
    </row>
    <row r="43" spans="1:26" s="23" customFormat="1" hidden="1" outlineLevel="2" x14ac:dyDescent="0.25">
      <c r="A43" s="27"/>
      <c r="B43" s="10" t="str">
        <f>CONCATENATE("          ", "6314", " - ", "LIABILITY INSURANCE")</f>
        <v xml:space="preserve">          6314 - LIABILITY INSURANCE</v>
      </c>
      <c r="C43" s="10"/>
      <c r="D43" s="6">
        <v>56.34</v>
      </c>
      <c r="E43" s="2"/>
      <c r="F43" s="7">
        <f t="shared" si="16"/>
        <v>0</v>
      </c>
      <c r="G43" s="2"/>
      <c r="H43" s="6">
        <v>56.34</v>
      </c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>
        <v>563.4</v>
      </c>
      <c r="Q43" s="2"/>
      <c r="R43" s="7">
        <f t="shared" si="20"/>
        <v>0</v>
      </c>
      <c r="S43" s="2"/>
      <c r="T43" s="6">
        <v>563.4</v>
      </c>
      <c r="U43" s="2"/>
      <c r="V43" s="7">
        <f t="shared" si="21"/>
        <v>0</v>
      </c>
      <c r="W43" s="2"/>
      <c r="X43" s="6">
        <f t="shared" si="22"/>
        <v>0</v>
      </c>
      <c r="Y43" s="2"/>
      <c r="Z43" s="7">
        <f t="shared" si="23"/>
        <v>0</v>
      </c>
    </row>
    <row r="44" spans="1:26" s="26" customFormat="1" outlineLevel="1" collapsed="1" x14ac:dyDescent="0.25">
      <c r="A44" s="25"/>
      <c r="B44" s="12" t="str">
        <f>CONCATENATE("     ","Repair and Maintenance                            ")</f>
        <v xml:space="preserve">     Repair and Maintenance                            </v>
      </c>
      <c r="C44" s="12"/>
      <c r="D44" s="1">
        <f>SUM(OSRRefD22_6x_0)</f>
        <v>14188.5</v>
      </c>
      <c r="E44" s="1"/>
      <c r="F44" s="5">
        <f t="shared" si="16"/>
        <v>0</v>
      </c>
      <c r="G44" s="1"/>
      <c r="H44" s="1">
        <f>SUM(OSRRefH22_6x_0)</f>
        <v>9497.9500000000007</v>
      </c>
      <c r="I44" s="1"/>
      <c r="J44" s="5">
        <f t="shared" si="17"/>
        <v>0</v>
      </c>
      <c r="K44" s="1"/>
      <c r="L44" s="1">
        <f t="shared" si="18"/>
        <v>4690.5499999999993</v>
      </c>
      <c r="M44" s="1"/>
      <c r="N44" s="5">
        <f t="shared" si="19"/>
        <v>0.49384867260829957</v>
      </c>
      <c r="O44" s="12"/>
      <c r="P44" s="1">
        <f>SUM(OSRRefP22_6x_0)</f>
        <v>127548.98</v>
      </c>
      <c r="Q44" s="1"/>
      <c r="R44" s="5">
        <f t="shared" si="20"/>
        <v>0</v>
      </c>
      <c r="S44" s="1"/>
      <c r="T44" s="1">
        <f>SUM(OSRRefT22_6x_0)</f>
        <v>96061.72</v>
      </c>
      <c r="U44" s="1"/>
      <c r="V44" s="5">
        <f t="shared" si="21"/>
        <v>0</v>
      </c>
      <c r="W44" s="1"/>
      <c r="X44" s="1">
        <f t="shared" si="22"/>
        <v>31487.259999999995</v>
      </c>
      <c r="Y44" s="1"/>
      <c r="Z44" s="5">
        <f t="shared" si="23"/>
        <v>0.32778155544164728</v>
      </c>
    </row>
    <row r="45" spans="1:26" s="23" customFormat="1" hidden="1" outlineLevel="2" x14ac:dyDescent="0.25">
      <c r="A45" s="27"/>
      <c r="B45" s="10" t="str">
        <f>CONCATENATE("          ", "6371", " - ", "COMPUTER SOFTWARE MAINTENANCE")</f>
        <v xml:space="preserve">          6371 - COMPUTER SOFTWARE MAINTENANCE</v>
      </c>
      <c r="C45" s="10"/>
      <c r="D45" s="6">
        <v>1996.5</v>
      </c>
      <c r="E45" s="2"/>
      <c r="F45" s="7">
        <f t="shared" si="16"/>
        <v>0</v>
      </c>
      <c r="G45" s="2"/>
      <c r="H45" s="6">
        <v>90.95</v>
      </c>
      <c r="I45" s="2"/>
      <c r="J45" s="7">
        <f t="shared" si="17"/>
        <v>0</v>
      </c>
      <c r="K45" s="2"/>
      <c r="L45" s="6">
        <f t="shared" si="18"/>
        <v>1905.55</v>
      </c>
      <c r="M45" s="2"/>
      <c r="N45" s="7">
        <f t="shared" si="19"/>
        <v>20.951621770203406</v>
      </c>
      <c r="O45" s="10"/>
      <c r="P45" s="6">
        <v>6063.98</v>
      </c>
      <c r="Q45" s="2"/>
      <c r="R45" s="7">
        <f t="shared" si="20"/>
        <v>0</v>
      </c>
      <c r="S45" s="2"/>
      <c r="T45" s="6">
        <v>1246.25</v>
      </c>
      <c r="U45" s="2"/>
      <c r="V45" s="7">
        <f t="shared" si="21"/>
        <v>0</v>
      </c>
      <c r="W45" s="2"/>
      <c r="X45" s="6">
        <f t="shared" si="22"/>
        <v>4817.7299999999996</v>
      </c>
      <c r="Y45" s="2"/>
      <c r="Z45" s="7">
        <f t="shared" si="23"/>
        <v>3.8657813440320958</v>
      </c>
    </row>
    <row r="46" spans="1:26" s="23" customFormat="1" hidden="1" outlineLevel="2" x14ac:dyDescent="0.25">
      <c r="A46" s="27"/>
      <c r="B46" s="10" t="str">
        <f>CONCATENATE("          ", "6373", " - ", "MAINTENANCE CONTRACTS")</f>
        <v xml:space="preserve">          6373 - MAINTENANCE CONTRACTS</v>
      </c>
      <c r="C46" s="10"/>
      <c r="D46" s="6">
        <v>12192</v>
      </c>
      <c r="E46" s="2"/>
      <c r="F46" s="7">
        <f t="shared" si="16"/>
        <v>0</v>
      </c>
      <c r="G46" s="2"/>
      <c r="H46" s="6">
        <v>9407</v>
      </c>
      <c r="I46" s="2"/>
      <c r="J46" s="7">
        <f t="shared" si="17"/>
        <v>0</v>
      </c>
      <c r="K46" s="2"/>
      <c r="L46" s="6">
        <f t="shared" si="18"/>
        <v>2785</v>
      </c>
      <c r="M46" s="2"/>
      <c r="N46" s="7">
        <f t="shared" si="19"/>
        <v>0.29605612841501011</v>
      </c>
      <c r="O46" s="10"/>
      <c r="P46" s="6">
        <v>121485</v>
      </c>
      <c r="Q46" s="2"/>
      <c r="R46" s="7">
        <f t="shared" si="20"/>
        <v>0</v>
      </c>
      <c r="S46" s="2"/>
      <c r="T46" s="6">
        <v>94657.07</v>
      </c>
      <c r="U46" s="2"/>
      <c r="V46" s="7">
        <f t="shared" si="21"/>
        <v>0</v>
      </c>
      <c r="W46" s="2"/>
      <c r="X46" s="6">
        <f t="shared" si="22"/>
        <v>26827.929999999993</v>
      </c>
      <c r="Y46" s="2"/>
      <c r="Z46" s="7">
        <f t="shared" si="23"/>
        <v>0.2834223582031431</v>
      </c>
    </row>
    <row r="47" spans="1:26" s="23" customFormat="1" hidden="1" outlineLevel="2" x14ac:dyDescent="0.25">
      <c r="A47" s="27"/>
      <c r="B47" s="10" t="str">
        <f>CONCATENATE("          ", "6375", " - ", "OUTSIDE REPAIRS &amp; MAINTENANCE")</f>
        <v xml:space="preserve">          6375 - OUTSIDE REPAIRS &amp; MAINTENANCE</v>
      </c>
      <c r="C47" s="10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0"/>
      <c r="P47" s="6"/>
      <c r="Q47" s="2"/>
      <c r="R47" s="7">
        <f t="shared" si="20"/>
        <v>0</v>
      </c>
      <c r="S47" s="2"/>
      <c r="T47" s="6">
        <v>158.4</v>
      </c>
      <c r="U47" s="2"/>
      <c r="V47" s="7">
        <f t="shared" si="21"/>
        <v>0</v>
      </c>
      <c r="W47" s="2"/>
      <c r="X47" s="6">
        <f t="shared" si="22"/>
        <v>-158.4</v>
      </c>
      <c r="Y47" s="2"/>
      <c r="Z47" s="7">
        <f t="shared" si="23"/>
        <v>-1</v>
      </c>
    </row>
    <row r="48" spans="1:26" s="26" customFormat="1" outlineLevel="1" collapsed="1" x14ac:dyDescent="0.25">
      <c r="A48" s="25"/>
      <c r="B48" s="12" t="str">
        <f>CONCATENATE("     ","Supplies                                          ")</f>
        <v xml:space="preserve">     Supplies                                          </v>
      </c>
      <c r="C48" s="12"/>
      <c r="D48" s="1">
        <f>SUM(OSRRefD22_7x_0)</f>
        <v>59.15</v>
      </c>
      <c r="E48" s="1"/>
      <c r="F48" s="5">
        <f t="shared" ref="F48:F52" si="24">IF(D$12=0,0,D48/D$12)</f>
        <v>0</v>
      </c>
      <c r="G48" s="1"/>
      <c r="H48" s="1">
        <f>SUM(OSRRefH22_7x_0)</f>
        <v>555.46</v>
      </c>
      <c r="I48" s="1"/>
      <c r="J48" s="5">
        <f t="shared" ref="J48:J52" si="25">IF(H$12=0,0,H48/H$12)</f>
        <v>0</v>
      </c>
      <c r="K48" s="1"/>
      <c r="L48" s="1">
        <f t="shared" ref="L48:L52" si="26">+D48-H48</f>
        <v>-496.31000000000006</v>
      </c>
      <c r="M48" s="1"/>
      <c r="N48" s="5">
        <f t="shared" ref="N48:N52" si="27">IF(H48=0,0,L48/H48)</f>
        <v>-0.89351168400964975</v>
      </c>
      <c r="O48" s="12"/>
      <c r="P48" s="1">
        <f>SUM(OSRRefP22_7x_0)</f>
        <v>-1728.07</v>
      </c>
      <c r="Q48" s="1"/>
      <c r="R48" s="5">
        <f t="shared" ref="R48:R52" si="28">IF(P$12=0,0,P48/P$12)</f>
        <v>0</v>
      </c>
      <c r="S48" s="1"/>
      <c r="T48" s="1">
        <f>SUM(OSRRefT22_7x_0)</f>
        <v>25846.81</v>
      </c>
      <c r="U48" s="1"/>
      <c r="V48" s="5">
        <f t="shared" ref="V48:V52" si="29">IF(T$12=0,0,T48/T$12)</f>
        <v>0</v>
      </c>
      <c r="W48" s="1"/>
      <c r="X48" s="1">
        <f t="shared" ref="X48:X52" si="30">+P48-T48</f>
        <v>-27574.880000000001</v>
      </c>
      <c r="Y48" s="1"/>
      <c r="Z48" s="5">
        <f t="shared" ref="Z48:Z52" si="31">IF(T48=0,0,X48/T48)</f>
        <v>-1.0668581538688913</v>
      </c>
    </row>
    <row r="49" spans="1:26" s="23" customFormat="1" hidden="1" outlineLevel="2" x14ac:dyDescent="0.25">
      <c r="A49" s="27"/>
      <c r="B49" s="10" t="str">
        <f>CONCATENATE("          ", "6241", " - ", "OFFICE EXPENSE")</f>
        <v xml:space="preserve">          6241 - OFFICE EXPENSE</v>
      </c>
      <c r="C49" s="10"/>
      <c r="D49" s="6">
        <v>59.15</v>
      </c>
      <c r="E49" s="2"/>
      <c r="F49" s="7">
        <f t="shared" si="24"/>
        <v>0</v>
      </c>
      <c r="G49" s="2"/>
      <c r="H49" s="6">
        <v>555.46</v>
      </c>
      <c r="I49" s="2"/>
      <c r="J49" s="7">
        <f t="shared" si="25"/>
        <v>0</v>
      </c>
      <c r="K49" s="2"/>
      <c r="L49" s="6">
        <f t="shared" si="26"/>
        <v>-496.31000000000006</v>
      </c>
      <c r="M49" s="2"/>
      <c r="N49" s="7">
        <f t="shared" si="27"/>
        <v>-0.89351168400964975</v>
      </c>
      <c r="O49" s="10"/>
      <c r="P49" s="6">
        <v>-1728.07</v>
      </c>
      <c r="Q49" s="2"/>
      <c r="R49" s="7">
        <f t="shared" si="28"/>
        <v>0</v>
      </c>
      <c r="S49" s="2"/>
      <c r="T49" s="6">
        <v>25846.81</v>
      </c>
      <c r="U49" s="2"/>
      <c r="V49" s="7">
        <f t="shared" si="29"/>
        <v>0</v>
      </c>
      <c r="W49" s="2"/>
      <c r="X49" s="6">
        <f t="shared" si="30"/>
        <v>-27574.880000000001</v>
      </c>
      <c r="Y49" s="2"/>
      <c r="Z49" s="7">
        <f t="shared" si="31"/>
        <v>-1.0668581538688913</v>
      </c>
    </row>
    <row r="50" spans="1:26" s="26" customFormat="1" outlineLevel="1" collapsed="1" x14ac:dyDescent="0.25">
      <c r="A50" s="25"/>
      <c r="B50" s="12" t="str">
        <f>CONCATENATE("     ","Telephone/Data Lines                              ")</f>
        <v xml:space="preserve">     Telephone/Data Lines                              </v>
      </c>
      <c r="C50" s="12"/>
      <c r="D50" s="1">
        <f>SUM(OSRRefD22_8x_0)</f>
        <v>362.33</v>
      </c>
      <c r="E50" s="1"/>
      <c r="F50" s="5">
        <f t="shared" si="24"/>
        <v>0</v>
      </c>
      <c r="G50" s="1"/>
      <c r="H50" s="1">
        <f>SUM(OSRRefH22_8x_0)</f>
        <v>1192.08</v>
      </c>
      <c r="I50" s="1"/>
      <c r="J50" s="5">
        <f t="shared" si="25"/>
        <v>0</v>
      </c>
      <c r="K50" s="1"/>
      <c r="L50" s="1">
        <f t="shared" si="26"/>
        <v>-829.75</v>
      </c>
      <c r="M50" s="1"/>
      <c r="N50" s="5">
        <f t="shared" si="27"/>
        <v>-0.69605227837057915</v>
      </c>
      <c r="O50" s="12"/>
      <c r="P50" s="1">
        <f>SUM(OSRRefP22_8x_0)</f>
        <v>7260.07</v>
      </c>
      <c r="Q50" s="1"/>
      <c r="R50" s="5">
        <f t="shared" si="28"/>
        <v>0</v>
      </c>
      <c r="S50" s="1"/>
      <c r="T50" s="1">
        <f>SUM(OSRRefT22_8x_0)</f>
        <v>12448.789999999999</v>
      </c>
      <c r="U50" s="1"/>
      <c r="V50" s="5">
        <f t="shared" si="29"/>
        <v>0</v>
      </c>
      <c r="W50" s="1"/>
      <c r="X50" s="1">
        <f t="shared" si="30"/>
        <v>-5188.7199999999993</v>
      </c>
      <c r="Y50" s="1"/>
      <c r="Z50" s="5">
        <f t="shared" si="31"/>
        <v>-0.41680516740984463</v>
      </c>
    </row>
    <row r="51" spans="1:26" s="23" customFormat="1" hidden="1" outlineLevel="2" x14ac:dyDescent="0.25">
      <c r="A51" s="27"/>
      <c r="B51" s="10" t="str">
        <f>CONCATENATE("          ", "6303", " - ", "DATA PHONE LINES")</f>
        <v xml:space="preserve">          6303 - DATA PHONE LINES</v>
      </c>
      <c r="C51" s="10"/>
      <c r="D51" s="6">
        <v>161.97999999999999</v>
      </c>
      <c r="E51" s="2"/>
      <c r="F51" s="7">
        <f t="shared" si="24"/>
        <v>0</v>
      </c>
      <c r="G51" s="2"/>
      <c r="H51" s="6">
        <v>273.95999999999998</v>
      </c>
      <c r="I51" s="2"/>
      <c r="J51" s="7">
        <f t="shared" si="25"/>
        <v>0</v>
      </c>
      <c r="K51" s="2"/>
      <c r="L51" s="6">
        <f t="shared" si="26"/>
        <v>-111.97999999999999</v>
      </c>
      <c r="M51" s="2"/>
      <c r="N51" s="7">
        <f t="shared" si="27"/>
        <v>-0.4087458023069061</v>
      </c>
      <c r="O51" s="10"/>
      <c r="P51" s="6">
        <v>1403.82</v>
      </c>
      <c r="Q51" s="2"/>
      <c r="R51" s="7">
        <f t="shared" si="28"/>
        <v>0</v>
      </c>
      <c r="S51" s="2"/>
      <c r="T51" s="6">
        <v>1601.99</v>
      </c>
      <c r="U51" s="2"/>
      <c r="V51" s="7">
        <f t="shared" si="29"/>
        <v>0</v>
      </c>
      <c r="W51" s="2"/>
      <c r="X51" s="6">
        <f t="shared" si="30"/>
        <v>-198.17000000000007</v>
      </c>
      <c r="Y51" s="2"/>
      <c r="Z51" s="7">
        <f t="shared" si="31"/>
        <v>-0.12370239514603716</v>
      </c>
    </row>
    <row r="52" spans="1:26" s="23" customFormat="1" hidden="1" outlineLevel="2" x14ac:dyDescent="0.25">
      <c r="A52" s="27"/>
      <c r="B52" s="10" t="str">
        <f>CONCATENATE("          ", "6309", " - ", "TELEPHONE")</f>
        <v xml:space="preserve">          6309 - TELEPHONE</v>
      </c>
      <c r="C52" s="10"/>
      <c r="D52" s="6">
        <v>200.35</v>
      </c>
      <c r="E52" s="2"/>
      <c r="F52" s="7">
        <f t="shared" si="24"/>
        <v>0</v>
      </c>
      <c r="G52" s="2"/>
      <c r="H52" s="6">
        <v>918.12</v>
      </c>
      <c r="I52" s="2"/>
      <c r="J52" s="7">
        <f t="shared" si="25"/>
        <v>0</v>
      </c>
      <c r="K52" s="2"/>
      <c r="L52" s="6">
        <f t="shared" si="26"/>
        <v>-717.77</v>
      </c>
      <c r="M52" s="2"/>
      <c r="N52" s="7">
        <f t="shared" si="27"/>
        <v>-0.78178233782076412</v>
      </c>
      <c r="O52" s="10"/>
      <c r="P52" s="6">
        <v>5856.25</v>
      </c>
      <c r="Q52" s="2"/>
      <c r="R52" s="7">
        <f t="shared" si="28"/>
        <v>0</v>
      </c>
      <c r="S52" s="2"/>
      <c r="T52" s="6">
        <v>10846.8</v>
      </c>
      <c r="U52" s="2"/>
      <c r="V52" s="7">
        <f t="shared" si="29"/>
        <v>0</v>
      </c>
      <c r="W52" s="2"/>
      <c r="X52" s="6">
        <f t="shared" si="30"/>
        <v>-4990.5499999999993</v>
      </c>
      <c r="Y52" s="2"/>
      <c r="Z52" s="7">
        <f t="shared" si="31"/>
        <v>-0.46009422133716854</v>
      </c>
    </row>
    <row r="53" spans="1:26" s="26" customFormat="1" outlineLevel="1" collapsed="1" x14ac:dyDescent="0.25">
      <c r="A53" s="25"/>
      <c r="B53" s="12" t="str">
        <f>CONCATENATE("     ","Training                                          ")</f>
        <v xml:space="preserve">     Training                                          </v>
      </c>
      <c r="C53" s="12"/>
      <c r="D53" s="1">
        <f>SUM(OSRRefD22_9x_0)</f>
        <v>0</v>
      </c>
      <c r="E53" s="1"/>
      <c r="F53" s="5">
        <f t="shared" ref="F53:F57" si="32">IF(D$12=0,0,D53/D$12)</f>
        <v>0</v>
      </c>
      <c r="G53" s="1"/>
      <c r="H53" s="1">
        <f>SUM(OSRRefH22_9x_0)</f>
        <v>26.12</v>
      </c>
      <c r="I53" s="1"/>
      <c r="J53" s="5">
        <f t="shared" ref="J53:J57" si="33">IF(H$12=0,0,H53/H$12)</f>
        <v>0</v>
      </c>
      <c r="K53" s="1"/>
      <c r="L53" s="1">
        <f t="shared" ref="L53:L57" si="34">+D53-H53</f>
        <v>-26.12</v>
      </c>
      <c r="M53" s="1"/>
      <c r="N53" s="5">
        <f t="shared" ref="N53:N57" si="35">IF(H53=0,0,L53/H53)</f>
        <v>-1</v>
      </c>
      <c r="O53" s="12"/>
      <c r="P53" s="1">
        <f>SUM(OSRRefP22_9x_0)</f>
        <v>498</v>
      </c>
      <c r="Q53" s="1"/>
      <c r="R53" s="5">
        <f t="shared" ref="R53:R57" si="36">IF(P$12=0,0,P53/P$12)</f>
        <v>0</v>
      </c>
      <c r="S53" s="1"/>
      <c r="T53" s="1">
        <f>SUM(OSRRefT22_9x_0)</f>
        <v>4345.8500000000004</v>
      </c>
      <c r="U53" s="1"/>
      <c r="V53" s="5">
        <f t="shared" ref="V53:V57" si="37">IF(T$12=0,0,T53/T$12)</f>
        <v>0</v>
      </c>
      <c r="W53" s="1"/>
      <c r="X53" s="1">
        <f t="shared" ref="X53:X57" si="38">+P53-T53</f>
        <v>-3847.8500000000004</v>
      </c>
      <c r="Y53" s="1"/>
      <c r="Z53" s="5">
        <f t="shared" ref="Z53:Z57" si="39">IF(T53=0,0,X53/T53)</f>
        <v>-0.885407917898685</v>
      </c>
    </row>
    <row r="54" spans="1:26" s="23" customFormat="1" hidden="1" outlineLevel="2" x14ac:dyDescent="0.25">
      <c r="A54" s="27"/>
      <c r="B54" s="10" t="str">
        <f>CONCATENATE("          ", "6376", " - ", "TRAINING")</f>
        <v xml:space="preserve">          6376 - TRAINING</v>
      </c>
      <c r="C54" s="10"/>
      <c r="D54" s="6"/>
      <c r="E54" s="2"/>
      <c r="F54" s="7">
        <f t="shared" si="32"/>
        <v>0</v>
      </c>
      <c r="G54" s="2"/>
      <c r="H54" s="6">
        <v>26.12</v>
      </c>
      <c r="I54" s="2"/>
      <c r="J54" s="7">
        <f t="shared" si="33"/>
        <v>0</v>
      </c>
      <c r="K54" s="2"/>
      <c r="L54" s="6">
        <f t="shared" si="34"/>
        <v>-26.12</v>
      </c>
      <c r="M54" s="2"/>
      <c r="N54" s="7">
        <f t="shared" si="35"/>
        <v>-1</v>
      </c>
      <c r="O54" s="10"/>
      <c r="P54" s="6">
        <v>498</v>
      </c>
      <c r="Q54" s="2"/>
      <c r="R54" s="7">
        <f t="shared" si="36"/>
        <v>0</v>
      </c>
      <c r="S54" s="2"/>
      <c r="T54" s="6">
        <v>4345.8500000000004</v>
      </c>
      <c r="U54" s="2"/>
      <c r="V54" s="7">
        <f t="shared" si="37"/>
        <v>0</v>
      </c>
      <c r="W54" s="2"/>
      <c r="X54" s="6">
        <f t="shared" si="38"/>
        <v>-3847.8500000000004</v>
      </c>
      <c r="Y54" s="2"/>
      <c r="Z54" s="7">
        <f t="shared" si="39"/>
        <v>-0.885407917898685</v>
      </c>
    </row>
    <row r="55" spans="1:26" s="26" customFormat="1" outlineLevel="1" collapsed="1" x14ac:dyDescent="0.25">
      <c r="A55" s="25"/>
      <c r="B55" s="12" t="str">
        <f>CONCATENATE("     ","Travel                                            ")</f>
        <v xml:space="preserve">     Travel                                            </v>
      </c>
      <c r="C55" s="12"/>
      <c r="D55" s="1">
        <f>SUM(OSRRefD22_10x_0)</f>
        <v>0</v>
      </c>
      <c r="E55" s="1"/>
      <c r="F55" s="5">
        <f t="shared" si="32"/>
        <v>0</v>
      </c>
      <c r="G55" s="1"/>
      <c r="H55" s="1">
        <f>SUM(OSRRefH22_10x_0)</f>
        <v>0</v>
      </c>
      <c r="I55" s="1"/>
      <c r="J55" s="5">
        <f t="shared" si="33"/>
        <v>0</v>
      </c>
      <c r="K55" s="1"/>
      <c r="L55" s="1">
        <f t="shared" si="34"/>
        <v>0</v>
      </c>
      <c r="M55" s="1"/>
      <c r="N55" s="5">
        <f t="shared" si="35"/>
        <v>0</v>
      </c>
      <c r="O55" s="12"/>
      <c r="P55" s="1">
        <f>SUM(OSRRefP22_10x_0)</f>
        <v>0</v>
      </c>
      <c r="Q55" s="1"/>
      <c r="R55" s="5">
        <f t="shared" si="36"/>
        <v>0</v>
      </c>
      <c r="S55" s="1"/>
      <c r="T55" s="1">
        <f>SUM(OSRRefT22_10x_0)</f>
        <v>1383.21</v>
      </c>
      <c r="U55" s="1"/>
      <c r="V55" s="5">
        <f t="shared" si="37"/>
        <v>0</v>
      </c>
      <c r="W55" s="1"/>
      <c r="X55" s="1">
        <f t="shared" si="38"/>
        <v>-1383.21</v>
      </c>
      <c r="Y55" s="1"/>
      <c r="Z55" s="5">
        <f t="shared" si="39"/>
        <v>-1</v>
      </c>
    </row>
    <row r="56" spans="1:26" s="23" customFormat="1" hidden="1" outlineLevel="2" x14ac:dyDescent="0.25">
      <c r="A56" s="27"/>
      <c r="B56" s="10" t="str">
        <f>CONCATENATE("          ", "6292", " - ", "TRAVEL/CONFERENCE")</f>
        <v xml:space="preserve">          6292 - TRAVEL/CONFERENCE</v>
      </c>
      <c r="C56" s="10"/>
      <c r="D56" s="6"/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0"/>
      <c r="P56" s="6"/>
      <c r="Q56" s="2"/>
      <c r="R56" s="7">
        <f t="shared" si="36"/>
        <v>0</v>
      </c>
      <c r="S56" s="2"/>
      <c r="T56" s="6">
        <v>1359.31</v>
      </c>
      <c r="U56" s="2"/>
      <c r="V56" s="7">
        <f t="shared" si="37"/>
        <v>0</v>
      </c>
      <c r="W56" s="2"/>
      <c r="X56" s="6">
        <f t="shared" si="38"/>
        <v>-1359.31</v>
      </c>
      <c r="Y56" s="2"/>
      <c r="Z56" s="7">
        <f t="shared" si="39"/>
        <v>-1</v>
      </c>
    </row>
    <row r="57" spans="1:26" s="23" customFormat="1" hidden="1" outlineLevel="2" x14ac:dyDescent="0.25">
      <c r="A57" s="27"/>
      <c r="B57" s="10" t="str">
        <f>CONCATENATE("          ", "6294", " - ", "TRAVEL OPERATIONAL")</f>
        <v xml:space="preserve">          6294 - TRAVEL OPERATIONAL</v>
      </c>
      <c r="C57" s="10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0"/>
      <c r="P57" s="6"/>
      <c r="Q57" s="2"/>
      <c r="R57" s="7">
        <f t="shared" si="36"/>
        <v>0</v>
      </c>
      <c r="S57" s="2"/>
      <c r="T57" s="6">
        <v>23.9</v>
      </c>
      <c r="U57" s="2"/>
      <c r="V57" s="7">
        <f t="shared" si="37"/>
        <v>0</v>
      </c>
      <c r="W57" s="2"/>
      <c r="X57" s="6">
        <f t="shared" si="38"/>
        <v>-23.9</v>
      </c>
      <c r="Y57" s="2"/>
      <c r="Z57" s="7">
        <f t="shared" si="39"/>
        <v>-1</v>
      </c>
    </row>
    <row r="58" spans="1:26" s="62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4" customFormat="1" x14ac:dyDescent="0.25">
      <c r="A59" s="11"/>
      <c r="B59" s="28" t="s">
        <v>292</v>
      </c>
      <c r="C59" s="11"/>
      <c r="D59" s="4">
        <f>SUM(0)</f>
        <v>0</v>
      </c>
      <c r="E59" s="4"/>
      <c r="F59" s="13">
        <f>IF(D$12=0,0,D59/D$12)</f>
        <v>0</v>
      </c>
      <c r="G59" s="4"/>
      <c r="H59" s="4">
        <f>SUM(0)</f>
        <v>0</v>
      </c>
      <c r="I59" s="4"/>
      <c r="J59" s="13">
        <f>IF(H$12=0,0,H59/H$12)</f>
        <v>0</v>
      </c>
      <c r="K59" s="4"/>
      <c r="L59" s="4">
        <f>+D59-H59</f>
        <v>0</v>
      </c>
      <c r="M59" s="4"/>
      <c r="N59" s="13">
        <f>IF(H59=0,0,L59/H59)</f>
        <v>0</v>
      </c>
      <c r="O59" s="11"/>
      <c r="P59" s="4">
        <f>SUM(0)</f>
        <v>0</v>
      </c>
      <c r="Q59" s="4"/>
      <c r="R59" s="13">
        <f>IF(P$12=0,0,P59/P$12)</f>
        <v>0</v>
      </c>
      <c r="S59" s="4"/>
      <c r="T59" s="4">
        <f>SUM(0)</f>
        <v>0</v>
      </c>
      <c r="U59" s="4"/>
      <c r="V59" s="13">
        <f>IF(T$12=0,0,T59/T$12)</f>
        <v>0</v>
      </c>
      <c r="W59" s="4"/>
      <c r="X59" s="4">
        <f>+P59-T59</f>
        <v>0</v>
      </c>
      <c r="Y59" s="4"/>
      <c r="Z59" s="13">
        <f>IF(T59=0,0,X59/T59)</f>
        <v>0</v>
      </c>
    </row>
    <row r="60" spans="1:26" x14ac:dyDescent="0.25">
      <c r="A60" s="9"/>
      <c r="B60" s="11"/>
      <c r="C60" s="11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1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4" customFormat="1" x14ac:dyDescent="0.25">
      <c r="A61" s="11"/>
      <c r="B61" s="29" t="s">
        <v>276</v>
      </c>
      <c r="C61" s="29"/>
      <c r="D61" s="20">
        <f>+D16-D18+D59</f>
        <v>-52587.89</v>
      </c>
      <c r="E61" s="14"/>
      <c r="F61" s="22">
        <f>IF(D$12=0,0,D61/D$12)</f>
        <v>0</v>
      </c>
      <c r="G61" s="14"/>
      <c r="H61" s="20">
        <f>+H16-H18+H59</f>
        <v>-52286.14</v>
      </c>
      <c r="I61" s="14"/>
      <c r="J61" s="22">
        <f>IF(H$12=0,0,H61/H$12)</f>
        <v>0</v>
      </c>
      <c r="K61" s="16"/>
      <c r="L61" s="20">
        <f>+D61-H61</f>
        <v>-301.75</v>
      </c>
      <c r="M61" s="16"/>
      <c r="N61" s="22">
        <f>IF(H61=0,0,L61/H61)</f>
        <v>5.7711278744233176E-3</v>
      </c>
      <c r="O61" s="28"/>
      <c r="P61" s="20">
        <f>+P16-P18+P59</f>
        <v>-508748.49</v>
      </c>
      <c r="Q61" s="14"/>
      <c r="R61" s="22">
        <f>IF(P$12=0,0,P61/P$12)</f>
        <v>0</v>
      </c>
      <c r="S61" s="14"/>
      <c r="T61" s="20">
        <f>+T16-T18+T59</f>
        <v>-591228.65000000026</v>
      </c>
      <c r="U61" s="14"/>
      <c r="V61" s="22">
        <f>IF(T$12=0,0,T61/T$12)</f>
        <v>0</v>
      </c>
      <c r="W61" s="16"/>
      <c r="X61" s="20">
        <f>+P61-T61</f>
        <v>82480.160000000265</v>
      </c>
      <c r="Y61" s="16"/>
      <c r="Z61" s="22">
        <f>IF(T61=0,0,X61/T61)</f>
        <v>-0.13950636526156204</v>
      </c>
    </row>
    <row r="62" spans="1:26" x14ac:dyDescent="0.25">
      <c r="A62" s="9"/>
      <c r="B62" s="11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4" customFormat="1" x14ac:dyDescent="0.25">
      <c r="A63" s="51"/>
      <c r="B63" s="11" t="s">
        <v>127</v>
      </c>
      <c r="C63" s="11"/>
      <c r="D63" s="4"/>
      <c r="E63" s="4"/>
      <c r="F63" s="13">
        <f>IF(D$12=0,0,D63/D$12)</f>
        <v>0</v>
      </c>
      <c r="G63" s="4"/>
      <c r="H63" s="4"/>
      <c r="I63" s="4"/>
      <c r="J63" s="13">
        <f>IF(H$12=0,0,H63/H$12)</f>
        <v>0</v>
      </c>
      <c r="K63" s="4"/>
      <c r="L63" s="4">
        <f>+D63-H63</f>
        <v>0</v>
      </c>
      <c r="M63" s="4"/>
      <c r="N63" s="13">
        <f>IF(H63=0,0,L63/H63)</f>
        <v>0</v>
      </c>
      <c r="O63" s="11"/>
      <c r="P63" s="4"/>
      <c r="Q63" s="4"/>
      <c r="R63" s="13">
        <f>IF(P$12=0,0,P63/P$12)</f>
        <v>0</v>
      </c>
      <c r="S63" s="4"/>
      <c r="T63" s="4"/>
      <c r="U63" s="4"/>
      <c r="V63" s="13">
        <f>IF(T$12=0,0,T63/T$12)</f>
        <v>0</v>
      </c>
      <c r="W63" s="4"/>
      <c r="X63" s="4">
        <f>+P63-T63</f>
        <v>0</v>
      </c>
      <c r="Y63" s="4"/>
      <c r="Z63" s="13">
        <f>IF(T63=0,0,X63/T63)</f>
        <v>0</v>
      </c>
    </row>
    <row r="64" spans="1:26" x14ac:dyDescent="0.25">
      <c r="A64" s="9"/>
      <c r="B64" s="11"/>
      <c r="C64" s="11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1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4" customFormat="1" ht="15.75" thickBot="1" x14ac:dyDescent="0.3">
      <c r="A65" s="11"/>
      <c r="B65" s="29" t="s">
        <v>125</v>
      </c>
      <c r="C65" s="29"/>
      <c r="D65" s="30">
        <f>+D61-D63</f>
        <v>-52587.89</v>
      </c>
      <c r="E65" s="14"/>
      <c r="F65" s="34">
        <f>IF(D$12=0,0,D65/D$12)</f>
        <v>0</v>
      </c>
      <c r="G65" s="14"/>
      <c r="H65" s="30">
        <f>+H61-H63</f>
        <v>-52286.14</v>
      </c>
      <c r="I65" s="14"/>
      <c r="J65" s="34">
        <f>IF(H$12=0,0,H65/H$12)</f>
        <v>0</v>
      </c>
      <c r="K65" s="16"/>
      <c r="L65" s="30">
        <f>D65-H65</f>
        <v>-301.75</v>
      </c>
      <c r="M65" s="16"/>
      <c r="N65" s="34">
        <f>IF(H65=0,0,L65/H65)</f>
        <v>5.7711278744233176E-3</v>
      </c>
      <c r="O65" s="28"/>
      <c r="P65" s="30">
        <f>+P61-P63</f>
        <v>-508748.49</v>
      </c>
      <c r="Q65" s="14"/>
      <c r="R65" s="34">
        <f>IF(P$12=0,0,P65/P$12)</f>
        <v>0</v>
      </c>
      <c r="S65" s="14"/>
      <c r="T65" s="30">
        <f>+T61-T63</f>
        <v>-591228.65000000026</v>
      </c>
      <c r="U65" s="14"/>
      <c r="V65" s="34">
        <f>IF(T$12=0,0,T65/T$12)</f>
        <v>0</v>
      </c>
      <c r="W65" s="16"/>
      <c r="X65" s="30">
        <f>P65-T65</f>
        <v>82480.160000000265</v>
      </c>
      <c r="Y65" s="16"/>
      <c r="Z65" s="34">
        <f>IF(T65=0,0,X65/T65)</f>
        <v>-0.13950636526156204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4" customFormat="1" ht="15.75" thickBot="1" x14ac:dyDescent="0.3">
      <c r="A68" s="11"/>
      <c r="B68" s="29" t="s">
        <v>293</v>
      </c>
      <c r="C68" s="29"/>
      <c r="D68" s="32">
        <f>SUM(D65:D67)</f>
        <v>-52587.89</v>
      </c>
      <c r="E68" s="14"/>
      <c r="F68" s="35">
        <f>IF(D$12=0,0,D68/D$12)</f>
        <v>0</v>
      </c>
      <c r="G68" s="14"/>
      <c r="H68" s="32">
        <f>SUM(H65:H67)</f>
        <v>-52286.14</v>
      </c>
      <c r="I68" s="14"/>
      <c r="J68" s="35">
        <f>IF(H$12=0,0,H68/H$12)</f>
        <v>0</v>
      </c>
      <c r="K68" s="16"/>
      <c r="L68" s="32">
        <f>+D68-H68</f>
        <v>-301.75</v>
      </c>
      <c r="M68" s="16"/>
      <c r="N68" s="35">
        <f>IF(H68=0,0,L68/H68)</f>
        <v>5.7711278744233176E-3</v>
      </c>
      <c r="O68" s="28"/>
      <c r="P68" s="32">
        <f>SUM(P65:P67)</f>
        <v>-508748.49</v>
      </c>
      <c r="Q68" s="14"/>
      <c r="R68" s="35">
        <f>IF(P$12=0,0,P68/P$12)</f>
        <v>0</v>
      </c>
      <c r="S68" s="14"/>
      <c r="T68" s="32">
        <f>SUM(T65:T67)</f>
        <v>-591228.65000000026</v>
      </c>
      <c r="U68" s="14"/>
      <c r="V68" s="35">
        <f>IF(T$12=0,0,T68/T$12)</f>
        <v>0</v>
      </c>
      <c r="W68" s="16"/>
      <c r="X68" s="32">
        <f>+P68-T68</f>
        <v>82480.160000000265</v>
      </c>
      <c r="Y68" s="16"/>
      <c r="Z68" s="35">
        <f>IF(T68=0,0,X68/T68)</f>
        <v>-0.13950636526156204</v>
      </c>
    </row>
    <row r="69" spans="1:26" ht="15.75" thickTop="1" x14ac:dyDescent="0.25">
      <c r="A69" s="9"/>
      <c r="C69" s="9"/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A70" s="9"/>
      <c r="B70" s="59">
        <v>44330.00886898148</v>
      </c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25">
      <c r="A71" s="9"/>
      <c r="B71" s="52" t="s">
        <v>56</v>
      </c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55"/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","205", " - ", "Maintenance")</f>
        <v>Department 205 - Maintenance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8195.52</v>
      </c>
      <c r="E18" s="21"/>
      <c r="F18" s="31">
        <f t="shared" ref="F18:F27" si="0">IF(D$12=0,0,D18/D$12)</f>
        <v>0</v>
      </c>
      <c r="G18" s="21"/>
      <c r="H18" s="21">
        <f>SUM(OSRRefH22x_0)</f>
        <v>9043.6899999999987</v>
      </c>
      <c r="I18" s="21"/>
      <c r="J18" s="31">
        <f t="shared" ref="J18:J27" si="1">IF(H$12=0,0,H18/H$12)</f>
        <v>0</v>
      </c>
      <c r="K18" s="4"/>
      <c r="L18" s="21">
        <f t="shared" ref="L18:L27" si="2">+D18-H18</f>
        <v>-848.16999999999825</v>
      </c>
      <c r="M18" s="4"/>
      <c r="N18" s="31">
        <f t="shared" ref="N18:N27" si="3">IF(H18=0,0,L18/H18)</f>
        <v>-9.3785832995159982E-2</v>
      </c>
      <c r="O18" s="11"/>
      <c r="P18" s="21">
        <f>SUM(OSRRefP22x_0)</f>
        <v>78573.849999999991</v>
      </c>
      <c r="Q18" s="21"/>
      <c r="R18" s="31">
        <f t="shared" ref="R18:R27" si="4">IF(P$12=0,0,P18/P$12)</f>
        <v>0</v>
      </c>
      <c r="S18" s="21"/>
      <c r="T18" s="21">
        <f>SUM(OSRRefT22x_0)</f>
        <v>80839.579999999987</v>
      </c>
      <c r="U18" s="21"/>
      <c r="V18" s="31">
        <f t="shared" ref="V18:V27" si="5">IF(T$12=0,0,T18/T$12)</f>
        <v>0</v>
      </c>
      <c r="W18" s="4"/>
      <c r="X18" s="21">
        <f t="shared" ref="X18:X27" si="6">+P18-T18</f>
        <v>-2265.7299999999959</v>
      </c>
      <c r="Y18" s="4"/>
      <c r="Z18" s="31">
        <f t="shared" ref="Z18:Z27" si="7">IF(T18=0,0,X18/T18)</f>
        <v>-2.8027483566836892E-2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2995.0099999999998</v>
      </c>
      <c r="E19" s="1"/>
      <c r="F19" s="5">
        <f t="shared" si="0"/>
        <v>0</v>
      </c>
      <c r="G19" s="1"/>
      <c r="H19" s="1">
        <f>SUM(OSRRefH22_0x_0)</f>
        <v>2761.96</v>
      </c>
      <c r="I19" s="1"/>
      <c r="J19" s="5">
        <f t="shared" si="1"/>
        <v>0</v>
      </c>
      <c r="K19" s="1"/>
      <c r="L19" s="1">
        <f t="shared" si="2"/>
        <v>233.04999999999973</v>
      </c>
      <c r="M19" s="1"/>
      <c r="N19" s="5">
        <f t="shared" si="3"/>
        <v>8.4378484844096116E-2</v>
      </c>
      <c r="O19" s="12"/>
      <c r="P19" s="1">
        <f>SUM(OSRRefP22_0x_0)</f>
        <v>25451.64</v>
      </c>
      <c r="Q19" s="1"/>
      <c r="R19" s="5">
        <f t="shared" si="4"/>
        <v>0</v>
      </c>
      <c r="S19" s="1"/>
      <c r="T19" s="1">
        <f>SUM(OSRRefT22_0x_0)</f>
        <v>26534.47</v>
      </c>
      <c r="U19" s="1"/>
      <c r="V19" s="5">
        <f t="shared" si="5"/>
        <v>0</v>
      </c>
      <c r="W19" s="1"/>
      <c r="X19" s="1">
        <f t="shared" si="6"/>
        <v>-1082.8300000000017</v>
      </c>
      <c r="Y19" s="1"/>
      <c r="Z19" s="5">
        <f t="shared" si="7"/>
        <v>-4.0808427679166072E-2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486.32</v>
      </c>
      <c r="E20" s="2"/>
      <c r="F20" s="7">
        <f t="shared" si="0"/>
        <v>0</v>
      </c>
      <c r="G20" s="2"/>
      <c r="H20" s="6">
        <v>473.76</v>
      </c>
      <c r="I20" s="2"/>
      <c r="J20" s="7">
        <f t="shared" si="1"/>
        <v>0</v>
      </c>
      <c r="K20" s="2"/>
      <c r="L20" s="6">
        <f t="shared" si="2"/>
        <v>12.560000000000002</v>
      </c>
      <c r="M20" s="2"/>
      <c r="N20" s="7">
        <f t="shared" si="3"/>
        <v>2.6511313745356303E-2</v>
      </c>
      <c r="O20" s="10"/>
      <c r="P20" s="6">
        <v>3514.19</v>
      </c>
      <c r="Q20" s="2"/>
      <c r="R20" s="7">
        <f t="shared" si="4"/>
        <v>0</v>
      </c>
      <c r="S20" s="2"/>
      <c r="T20" s="6">
        <v>3565.88</v>
      </c>
      <c r="U20" s="2"/>
      <c r="V20" s="7">
        <f t="shared" si="5"/>
        <v>0</v>
      </c>
      <c r="W20" s="2"/>
      <c r="X20" s="6">
        <f t="shared" si="6"/>
        <v>-51.690000000000055</v>
      </c>
      <c r="Y20" s="2"/>
      <c r="Z20" s="7">
        <f t="shared" si="7"/>
        <v>-1.4495720551448746E-2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291.97000000000003</v>
      </c>
      <c r="E21" s="2"/>
      <c r="F21" s="7">
        <f t="shared" si="0"/>
        <v>0</v>
      </c>
      <c r="G21" s="2"/>
      <c r="H21" s="6">
        <v>279.52</v>
      </c>
      <c r="I21" s="2"/>
      <c r="J21" s="7">
        <f t="shared" si="1"/>
        <v>0</v>
      </c>
      <c r="K21" s="2"/>
      <c r="L21" s="6">
        <f t="shared" si="2"/>
        <v>12.450000000000045</v>
      </c>
      <c r="M21" s="2"/>
      <c r="N21" s="7">
        <f t="shared" si="3"/>
        <v>4.454064109902707E-2</v>
      </c>
      <c r="O21" s="10"/>
      <c r="P21" s="6">
        <v>3033.55</v>
      </c>
      <c r="Q21" s="2"/>
      <c r="R21" s="7">
        <f t="shared" si="4"/>
        <v>0</v>
      </c>
      <c r="S21" s="2"/>
      <c r="T21" s="6">
        <v>2651.97</v>
      </c>
      <c r="U21" s="2"/>
      <c r="V21" s="7">
        <f t="shared" si="5"/>
        <v>0</v>
      </c>
      <c r="W21" s="2"/>
      <c r="X21" s="6">
        <f t="shared" si="6"/>
        <v>381.58000000000038</v>
      </c>
      <c r="Y21" s="2"/>
      <c r="Z21" s="7">
        <f t="shared" si="7"/>
        <v>0.14388548890070416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699.91</v>
      </c>
      <c r="E22" s="2"/>
      <c r="F22" s="7">
        <f t="shared" si="0"/>
        <v>0</v>
      </c>
      <c r="G22" s="2"/>
      <c r="H22" s="6">
        <v>696.16</v>
      </c>
      <c r="I22" s="2"/>
      <c r="J22" s="7">
        <f t="shared" si="1"/>
        <v>0</v>
      </c>
      <c r="K22" s="2"/>
      <c r="L22" s="6">
        <f t="shared" si="2"/>
        <v>3.75</v>
      </c>
      <c r="M22" s="2"/>
      <c r="N22" s="7">
        <f t="shared" si="3"/>
        <v>5.3866927143185481E-3</v>
      </c>
      <c r="O22" s="10"/>
      <c r="P22" s="6">
        <v>6976.6</v>
      </c>
      <c r="Q22" s="2"/>
      <c r="R22" s="7">
        <f t="shared" si="4"/>
        <v>0</v>
      </c>
      <c r="S22" s="2"/>
      <c r="T22" s="6">
        <v>6955.48</v>
      </c>
      <c r="U22" s="2"/>
      <c r="V22" s="7">
        <f t="shared" si="5"/>
        <v>0</v>
      </c>
      <c r="W22" s="2"/>
      <c r="X22" s="6">
        <f t="shared" si="6"/>
        <v>21.1200000000008</v>
      </c>
      <c r="Y22" s="2"/>
      <c r="Z22" s="7">
        <f t="shared" si="7"/>
        <v>3.0364547090928019E-3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10.96</v>
      </c>
      <c r="E23" s="2"/>
      <c r="F23" s="7">
        <f t="shared" si="0"/>
        <v>0</v>
      </c>
      <c r="G23" s="2"/>
      <c r="H23" s="6">
        <v>10.74</v>
      </c>
      <c r="I23" s="2"/>
      <c r="J23" s="7">
        <f t="shared" si="1"/>
        <v>0</v>
      </c>
      <c r="K23" s="2"/>
      <c r="L23" s="6">
        <f t="shared" si="2"/>
        <v>0.22000000000000064</v>
      </c>
      <c r="M23" s="2"/>
      <c r="N23" s="7">
        <f t="shared" si="3"/>
        <v>2.0484171322160207E-2</v>
      </c>
      <c r="O23" s="10"/>
      <c r="P23" s="6">
        <v>113.83</v>
      </c>
      <c r="Q23" s="2"/>
      <c r="R23" s="7">
        <f t="shared" si="4"/>
        <v>0</v>
      </c>
      <c r="S23" s="2"/>
      <c r="T23" s="6">
        <v>114.9</v>
      </c>
      <c r="U23" s="2"/>
      <c r="V23" s="7">
        <f t="shared" si="5"/>
        <v>0</v>
      </c>
      <c r="W23" s="2"/>
      <c r="X23" s="6">
        <f t="shared" si="6"/>
        <v>-1.0700000000000074</v>
      </c>
      <c r="Y23" s="2"/>
      <c r="Z23" s="7">
        <f t="shared" si="7"/>
        <v>-9.3124456048738671E-3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463.27</v>
      </c>
      <c r="E24" s="2"/>
      <c r="F24" s="7">
        <f t="shared" si="0"/>
        <v>0</v>
      </c>
      <c r="G24" s="2"/>
      <c r="H24" s="6">
        <v>429.26</v>
      </c>
      <c r="I24" s="2"/>
      <c r="J24" s="7">
        <f t="shared" si="1"/>
        <v>0</v>
      </c>
      <c r="K24" s="2"/>
      <c r="L24" s="6">
        <f t="shared" si="2"/>
        <v>34.009999999999991</v>
      </c>
      <c r="M24" s="2"/>
      <c r="N24" s="7">
        <f t="shared" si="3"/>
        <v>7.9229371476494406E-2</v>
      </c>
      <c r="O24" s="10"/>
      <c r="P24" s="6">
        <v>5095.9799999999996</v>
      </c>
      <c r="Q24" s="2"/>
      <c r="R24" s="7">
        <f t="shared" si="4"/>
        <v>0</v>
      </c>
      <c r="S24" s="2"/>
      <c r="T24" s="6">
        <v>4507.22</v>
      </c>
      <c r="U24" s="2"/>
      <c r="V24" s="7">
        <f t="shared" si="5"/>
        <v>0</v>
      </c>
      <c r="W24" s="2"/>
      <c r="X24" s="6">
        <f t="shared" si="6"/>
        <v>588.75999999999931</v>
      </c>
      <c r="Y24" s="2"/>
      <c r="Z24" s="7">
        <f t="shared" si="7"/>
        <v>0.13062597343817237</v>
      </c>
    </row>
    <row r="25" spans="1:26" s="23" customFormat="1" hidden="1" outlineLevel="2" x14ac:dyDescent="0.25">
      <c r="A25" s="27"/>
      <c r="B25" s="10" t="str">
        <f>CONCATENATE("          ", "6118", " - ", "VACATION")</f>
        <v xml:space="preserve">          6118 - VACATION</v>
      </c>
      <c r="C25" s="10"/>
      <c r="D25" s="6">
        <v>581.94000000000005</v>
      </c>
      <c r="E25" s="2"/>
      <c r="F25" s="7">
        <f t="shared" si="0"/>
        <v>0</v>
      </c>
      <c r="G25" s="2"/>
      <c r="H25" s="6">
        <v>581.94000000000005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>
        <v>3167.72</v>
      </c>
      <c r="Q25" s="2"/>
      <c r="R25" s="7">
        <f t="shared" si="4"/>
        <v>0</v>
      </c>
      <c r="S25" s="2"/>
      <c r="T25" s="6">
        <v>4582.79</v>
      </c>
      <c r="U25" s="2"/>
      <c r="V25" s="7">
        <f t="shared" si="5"/>
        <v>0</v>
      </c>
      <c r="W25" s="2"/>
      <c r="X25" s="6">
        <f t="shared" si="6"/>
        <v>-1415.0700000000002</v>
      </c>
      <c r="Y25" s="2"/>
      <c r="Z25" s="7">
        <f t="shared" si="7"/>
        <v>-0.30877914981921495</v>
      </c>
    </row>
    <row r="26" spans="1:26" s="23" customFormat="1" hidden="1" outlineLevel="2" x14ac:dyDescent="0.25">
      <c r="A26" s="27"/>
      <c r="B26" s="10" t="str">
        <f>CONCATENATE("          ", "6119", " - ", "SICK LEAVE")</f>
        <v xml:space="preserve">          6119 - SICK LEAVE</v>
      </c>
      <c r="C26" s="10"/>
      <c r="D26" s="6">
        <v>290.58</v>
      </c>
      <c r="E26" s="2"/>
      <c r="F26" s="7">
        <f t="shared" si="0"/>
        <v>0</v>
      </c>
      <c r="G26" s="2"/>
      <c r="H26" s="6">
        <v>290.58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>
        <v>2130.92</v>
      </c>
      <c r="Q26" s="2"/>
      <c r="R26" s="7">
        <f t="shared" si="4"/>
        <v>0</v>
      </c>
      <c r="S26" s="2"/>
      <c r="T26" s="6">
        <v>2975.96</v>
      </c>
      <c r="U26" s="2"/>
      <c r="V26" s="7">
        <f t="shared" si="5"/>
        <v>0</v>
      </c>
      <c r="W26" s="2"/>
      <c r="X26" s="6">
        <f t="shared" si="6"/>
        <v>-845.04</v>
      </c>
      <c r="Y26" s="2"/>
      <c r="Z26" s="7">
        <f t="shared" si="7"/>
        <v>-0.28395542950846114</v>
      </c>
    </row>
    <row r="27" spans="1:26" s="23" customFormat="1" hidden="1" outlineLevel="2" x14ac:dyDescent="0.25">
      <c r="A27" s="27"/>
      <c r="B27" s="10" t="str">
        <f>CONCATENATE("          ", "6156", " - ", "EMPLOYEE MEALS")</f>
        <v xml:space="preserve">          6156 - EMPLOYEE MEALS</v>
      </c>
      <c r="C27" s="10"/>
      <c r="D27" s="6">
        <v>170.06</v>
      </c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170.06</v>
      </c>
      <c r="M27" s="2"/>
      <c r="N27" s="7">
        <f t="shared" si="3"/>
        <v>0</v>
      </c>
      <c r="O27" s="10"/>
      <c r="P27" s="6">
        <v>1418.85</v>
      </c>
      <c r="Q27" s="2"/>
      <c r="R27" s="7">
        <f t="shared" si="4"/>
        <v>0</v>
      </c>
      <c r="S27" s="2"/>
      <c r="T27" s="6">
        <v>1180.27</v>
      </c>
      <c r="U27" s="2"/>
      <c r="V27" s="7">
        <f t="shared" si="5"/>
        <v>0</v>
      </c>
      <c r="W27" s="2"/>
      <c r="X27" s="6">
        <f t="shared" si="6"/>
        <v>238.57999999999993</v>
      </c>
      <c r="Y27" s="2"/>
      <c r="Z27" s="7">
        <f t="shared" si="7"/>
        <v>0.20214018826200778</v>
      </c>
    </row>
    <row r="28" spans="1:26" s="26" customFormat="1" outlineLevel="1" collapsed="1" x14ac:dyDescent="0.25">
      <c r="A28" s="25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4409.66</v>
      </c>
      <c r="E28" s="1"/>
      <c r="F28" s="5">
        <f t="shared" ref="F28:F37" si="8">IF(D$12=0,0,D28/D$12)</f>
        <v>0</v>
      </c>
      <c r="G28" s="1"/>
      <c r="H28" s="1">
        <f>SUM(OSRRefH22_1x_0)</f>
        <v>-840.01</v>
      </c>
      <c r="I28" s="1"/>
      <c r="J28" s="5">
        <f t="shared" ref="J28:J37" si="9">IF(H$12=0,0,H28/H$12)</f>
        <v>0</v>
      </c>
      <c r="K28" s="1"/>
      <c r="L28" s="1">
        <f t="shared" ref="L28:L37" si="10">+D28-H28</f>
        <v>5249.67</v>
      </c>
      <c r="M28" s="1"/>
      <c r="N28" s="5">
        <f t="shared" ref="N28:N37" si="11">IF(H28=0,0,L28/H28)</f>
        <v>-6.2495327436578139</v>
      </c>
      <c r="O28" s="12"/>
      <c r="P28" s="1">
        <f>SUM(OSRRefP22_1x_0)</f>
        <v>42452.05</v>
      </c>
      <c r="Q28" s="1"/>
      <c r="R28" s="5">
        <f t="shared" ref="R28:R37" si="12">IF(P$12=0,0,P28/P$12)</f>
        <v>0</v>
      </c>
      <c r="S28" s="1"/>
      <c r="T28" s="1">
        <f>SUM(OSRRefT22_1x_0)</f>
        <v>32508.69</v>
      </c>
      <c r="U28" s="1"/>
      <c r="V28" s="5">
        <f t="shared" ref="V28:V37" si="13">IF(T$12=0,0,T28/T$12)</f>
        <v>0</v>
      </c>
      <c r="W28" s="1"/>
      <c r="X28" s="1">
        <f t="shared" ref="X28:X37" si="14">+P28-T28</f>
        <v>9943.3600000000042</v>
      </c>
      <c r="Y28" s="1"/>
      <c r="Z28" s="5">
        <f t="shared" ref="Z28:Z37" si="15">IF(T28=0,0,X28/T28)</f>
        <v>0.30586775412974204</v>
      </c>
    </row>
    <row r="29" spans="1:26" s="23" customFormat="1" hidden="1" outlineLevel="2" x14ac:dyDescent="0.25">
      <c r="A29" s="27"/>
      <c r="B29" s="10" t="str">
        <f>CONCATENATE("          ", "6002", " - ", "STAFF SALARIES")</f>
        <v xml:space="preserve">          6002 - STAFF SALARIES</v>
      </c>
      <c r="C29" s="10"/>
      <c r="D29" s="6">
        <v>4409.66</v>
      </c>
      <c r="E29" s="2"/>
      <c r="F29" s="7">
        <f t="shared" si="8"/>
        <v>0</v>
      </c>
      <c r="G29" s="2"/>
      <c r="H29" s="6">
        <v>-840.01</v>
      </c>
      <c r="I29" s="2"/>
      <c r="J29" s="7">
        <f t="shared" si="9"/>
        <v>0</v>
      </c>
      <c r="K29" s="2"/>
      <c r="L29" s="6">
        <f t="shared" si="10"/>
        <v>5249.67</v>
      </c>
      <c r="M29" s="2"/>
      <c r="N29" s="7">
        <f t="shared" si="11"/>
        <v>-6.2495327436578139</v>
      </c>
      <c r="O29" s="10"/>
      <c r="P29" s="6">
        <v>42452.05</v>
      </c>
      <c r="Q29" s="2"/>
      <c r="R29" s="7">
        <f t="shared" si="12"/>
        <v>0</v>
      </c>
      <c r="S29" s="2"/>
      <c r="T29" s="6">
        <v>32508.69</v>
      </c>
      <c r="U29" s="2"/>
      <c r="V29" s="7">
        <f t="shared" si="13"/>
        <v>0</v>
      </c>
      <c r="W29" s="2"/>
      <c r="X29" s="6">
        <f t="shared" si="14"/>
        <v>9943.3600000000042</v>
      </c>
      <c r="Y29" s="2"/>
      <c r="Z29" s="7">
        <f t="shared" si="15"/>
        <v>0.30586775412974204</v>
      </c>
    </row>
    <row r="30" spans="1:26" s="26" customFormat="1" outlineLevel="1" collapsed="1" x14ac:dyDescent="0.25">
      <c r="A30" s="25"/>
      <c r="B30" s="12" t="str">
        <f>CONCATENATE("     ","General                                           ")</f>
        <v xml:space="preserve">     General                                           </v>
      </c>
      <c r="C30" s="12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2"/>
      <c r="P30" s="1">
        <f>SUM(OSRRefP22_2x_0)</f>
        <v>-238.8</v>
      </c>
      <c r="Q30" s="1"/>
      <c r="R30" s="5">
        <f t="shared" si="12"/>
        <v>0</v>
      </c>
      <c r="S30" s="1"/>
      <c r="T30" s="1">
        <f>SUM(OSRRefT22_2x_0)</f>
        <v>-908.94</v>
      </c>
      <c r="U30" s="1"/>
      <c r="V30" s="5">
        <f t="shared" si="13"/>
        <v>0</v>
      </c>
      <c r="W30" s="1"/>
      <c r="X30" s="1">
        <f t="shared" si="14"/>
        <v>670.1400000000001</v>
      </c>
      <c r="Y30" s="1"/>
      <c r="Z30" s="5">
        <f t="shared" si="15"/>
        <v>-0.73727638788038818</v>
      </c>
    </row>
    <row r="31" spans="1:26" s="23" customFormat="1" hidden="1" outlineLevel="2" x14ac:dyDescent="0.25">
      <c r="A31" s="27"/>
      <c r="B31" s="10" t="str">
        <f>CONCATENATE("          ", "6279", " - ", "GENERAL EXPENSE")</f>
        <v xml:space="preserve">          6279 - GENERAL EXPENSE</v>
      </c>
      <c r="C31" s="10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0"/>
      <c r="P31" s="6">
        <v>-238.8</v>
      </c>
      <c r="Q31" s="2"/>
      <c r="R31" s="7">
        <f t="shared" si="12"/>
        <v>0</v>
      </c>
      <c r="S31" s="2"/>
      <c r="T31" s="6">
        <v>-908.94</v>
      </c>
      <c r="U31" s="2"/>
      <c r="V31" s="7">
        <f t="shared" si="13"/>
        <v>0</v>
      </c>
      <c r="W31" s="2"/>
      <c r="X31" s="6">
        <f t="shared" si="14"/>
        <v>670.1400000000001</v>
      </c>
      <c r="Y31" s="2"/>
      <c r="Z31" s="7">
        <f t="shared" si="15"/>
        <v>-0.73727638788038818</v>
      </c>
    </row>
    <row r="32" spans="1:26" s="26" customFormat="1" outlineLevel="1" collapsed="1" x14ac:dyDescent="0.25">
      <c r="A32" s="25"/>
      <c r="B32" s="12" t="str">
        <f>CONCATENATE("     ","Insurance                                         ")</f>
        <v xml:space="preserve">     Insurance                                         </v>
      </c>
      <c r="C32" s="12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24.56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2"/>
      <c r="P32" s="1">
        <f>SUM(OSRRefP22_3x_0)</f>
        <v>245.6</v>
      </c>
      <c r="Q32" s="1"/>
      <c r="R32" s="5">
        <f t="shared" si="12"/>
        <v>0</v>
      </c>
      <c r="S32" s="1"/>
      <c r="T32" s="1">
        <f>SUM(OSRRefT22_3x_0)</f>
        <v>245.6</v>
      </c>
      <c r="U32" s="1"/>
      <c r="V32" s="5">
        <f t="shared" si="13"/>
        <v>0</v>
      </c>
      <c r="W32" s="1"/>
      <c r="X32" s="1">
        <f t="shared" si="14"/>
        <v>0</v>
      </c>
      <c r="Y32" s="1"/>
      <c r="Z32" s="5">
        <f t="shared" si="15"/>
        <v>0</v>
      </c>
    </row>
    <row r="33" spans="1:26" s="23" customFormat="1" hidden="1" outlineLevel="2" x14ac:dyDescent="0.25">
      <c r="A33" s="27"/>
      <c r="B33" s="10" t="str">
        <f>CONCATENATE("          ", "6314", " - ", "LIABILITY INSURANCE")</f>
        <v xml:space="preserve">          6314 - LIABILITY INSURANCE</v>
      </c>
      <c r="C33" s="10"/>
      <c r="D33" s="6">
        <v>24.56</v>
      </c>
      <c r="E33" s="2"/>
      <c r="F33" s="7">
        <f t="shared" si="8"/>
        <v>0</v>
      </c>
      <c r="G33" s="2"/>
      <c r="H33" s="6">
        <v>24.56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0"/>
      <c r="P33" s="6">
        <v>245.6</v>
      </c>
      <c r="Q33" s="2"/>
      <c r="R33" s="7">
        <f t="shared" si="12"/>
        <v>0</v>
      </c>
      <c r="S33" s="2"/>
      <c r="T33" s="6">
        <v>245.6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6" customFormat="1" outlineLevel="1" collapsed="1" x14ac:dyDescent="0.25">
      <c r="A34" s="25"/>
      <c r="B34" s="12" t="str">
        <f>CONCATENATE("     ","Repair and Maintenance                            ")</f>
        <v xml:space="preserve">     Repair and Maintenance                            </v>
      </c>
      <c r="C34" s="12"/>
      <c r="D34" s="1">
        <f>SUM(OSRRefD22_4x_0)</f>
        <v>891.98</v>
      </c>
      <c r="E34" s="1"/>
      <c r="F34" s="5">
        <f t="shared" si="8"/>
        <v>0</v>
      </c>
      <c r="G34" s="1"/>
      <c r="H34" s="1">
        <f>SUM(OSRRefH22_4x_0)</f>
        <v>6874.1799999999994</v>
      </c>
      <c r="I34" s="1"/>
      <c r="J34" s="5">
        <f t="shared" si="9"/>
        <v>0</v>
      </c>
      <c r="K34" s="1"/>
      <c r="L34" s="1">
        <f t="shared" si="10"/>
        <v>-5982.1999999999989</v>
      </c>
      <c r="M34" s="1"/>
      <c r="N34" s="5">
        <f t="shared" si="11"/>
        <v>-0.87024197795227931</v>
      </c>
      <c r="O34" s="12"/>
      <c r="P34" s="1">
        <f>SUM(OSRRefP22_4x_0)</f>
        <v>10068.209999999999</v>
      </c>
      <c r="Q34" s="1"/>
      <c r="R34" s="5">
        <f t="shared" si="12"/>
        <v>0</v>
      </c>
      <c r="S34" s="1"/>
      <c r="T34" s="1">
        <f>SUM(OSRRefT22_4x_0)</f>
        <v>20162.82</v>
      </c>
      <c r="U34" s="1"/>
      <c r="V34" s="5">
        <f t="shared" si="13"/>
        <v>0</v>
      </c>
      <c r="W34" s="1"/>
      <c r="X34" s="1">
        <f t="shared" si="14"/>
        <v>-10094.61</v>
      </c>
      <c r="Y34" s="1"/>
      <c r="Z34" s="5">
        <f t="shared" si="15"/>
        <v>-0.5006546703288528</v>
      </c>
    </row>
    <row r="35" spans="1:26" s="23" customFormat="1" hidden="1" outlineLevel="2" x14ac:dyDescent="0.25">
      <c r="A35" s="27"/>
      <c r="B35" s="10" t="str">
        <f>CONCATENATE("          ", "6371", " - ", "COMPUTER SOFTWARE MAINTENANCE")</f>
        <v xml:space="preserve">          6371 - COMPUTER SOFTWARE MAINTENANCE</v>
      </c>
      <c r="C35" s="10"/>
      <c r="D35" s="6"/>
      <c r="E35" s="2"/>
      <c r="F35" s="7">
        <f t="shared" si="8"/>
        <v>0</v>
      </c>
      <c r="G35" s="2"/>
      <c r="H35" s="6">
        <v>4968.9799999999996</v>
      </c>
      <c r="I35" s="2"/>
      <c r="J35" s="7">
        <f t="shared" si="9"/>
        <v>0</v>
      </c>
      <c r="K35" s="2"/>
      <c r="L35" s="6">
        <f t="shared" si="10"/>
        <v>-4968.9799999999996</v>
      </c>
      <c r="M35" s="2"/>
      <c r="N35" s="7">
        <f t="shared" si="11"/>
        <v>-1</v>
      </c>
      <c r="O35" s="10"/>
      <c r="P35" s="6"/>
      <c r="Q35" s="2"/>
      <c r="R35" s="7">
        <f t="shared" si="12"/>
        <v>0</v>
      </c>
      <c r="S35" s="2"/>
      <c r="T35" s="6">
        <v>4968.9799999999996</v>
      </c>
      <c r="U35" s="2"/>
      <c r="V35" s="7">
        <f t="shared" si="13"/>
        <v>0</v>
      </c>
      <c r="W35" s="2"/>
      <c r="X35" s="6">
        <f t="shared" si="14"/>
        <v>-4968.9799999999996</v>
      </c>
      <c r="Y35" s="2"/>
      <c r="Z35" s="7">
        <f t="shared" si="15"/>
        <v>-1</v>
      </c>
    </row>
    <row r="36" spans="1:26" s="23" customFormat="1" hidden="1" outlineLevel="2" x14ac:dyDescent="0.25">
      <c r="A36" s="27"/>
      <c r="B36" s="10" t="str">
        <f>CONCATENATE("          ", "6373", " - ", "MAINTENANCE CONTRACTS")</f>
        <v xml:space="preserve">          6373 - MAINTENANCE CONTRACTS</v>
      </c>
      <c r="C36" s="10"/>
      <c r="D36" s="6">
        <v>891.98</v>
      </c>
      <c r="E36" s="2"/>
      <c r="F36" s="7">
        <f t="shared" si="8"/>
        <v>0</v>
      </c>
      <c r="G36" s="2"/>
      <c r="H36" s="6">
        <v>1448.13</v>
      </c>
      <c r="I36" s="2"/>
      <c r="J36" s="7">
        <f t="shared" si="9"/>
        <v>0</v>
      </c>
      <c r="K36" s="2"/>
      <c r="L36" s="6">
        <f t="shared" si="10"/>
        <v>-556.15000000000009</v>
      </c>
      <c r="M36" s="2"/>
      <c r="N36" s="7">
        <f t="shared" si="11"/>
        <v>-0.38404701235386329</v>
      </c>
      <c r="O36" s="10"/>
      <c r="P36" s="6">
        <v>7897.92</v>
      </c>
      <c r="Q36" s="2"/>
      <c r="R36" s="7">
        <f t="shared" si="12"/>
        <v>0</v>
      </c>
      <c r="S36" s="2"/>
      <c r="T36" s="6">
        <v>12787.91</v>
      </c>
      <c r="U36" s="2"/>
      <c r="V36" s="7">
        <f t="shared" si="13"/>
        <v>0</v>
      </c>
      <c r="W36" s="2"/>
      <c r="X36" s="6">
        <f t="shared" si="14"/>
        <v>-4889.99</v>
      </c>
      <c r="Y36" s="2"/>
      <c r="Z36" s="7">
        <f t="shared" si="15"/>
        <v>-0.38239164961279831</v>
      </c>
    </row>
    <row r="37" spans="1:26" s="23" customFormat="1" hidden="1" outlineLevel="2" x14ac:dyDescent="0.25">
      <c r="A37" s="27"/>
      <c r="B37" s="10" t="str">
        <f>CONCATENATE("          ", "6375", " - ", "OUTSIDE REPAIRS &amp; MAINTENANCE")</f>
        <v xml:space="preserve">          6375 - OUTSIDE REPAIRS &amp; MAINTENANCE</v>
      </c>
      <c r="C37" s="10"/>
      <c r="D37" s="6"/>
      <c r="E37" s="2"/>
      <c r="F37" s="7">
        <f t="shared" si="8"/>
        <v>0</v>
      </c>
      <c r="G37" s="2"/>
      <c r="H37" s="6">
        <v>457.07</v>
      </c>
      <c r="I37" s="2"/>
      <c r="J37" s="7">
        <f t="shared" si="9"/>
        <v>0</v>
      </c>
      <c r="K37" s="2"/>
      <c r="L37" s="6">
        <f t="shared" si="10"/>
        <v>-457.07</v>
      </c>
      <c r="M37" s="2"/>
      <c r="N37" s="7">
        <f t="shared" si="11"/>
        <v>-1</v>
      </c>
      <c r="O37" s="10"/>
      <c r="P37" s="6">
        <v>2170.29</v>
      </c>
      <c r="Q37" s="2"/>
      <c r="R37" s="7">
        <f t="shared" si="12"/>
        <v>0</v>
      </c>
      <c r="S37" s="2"/>
      <c r="T37" s="6">
        <v>2405.9299999999998</v>
      </c>
      <c r="U37" s="2"/>
      <c r="V37" s="7">
        <f t="shared" si="13"/>
        <v>0</v>
      </c>
      <c r="W37" s="2"/>
      <c r="X37" s="6">
        <f t="shared" si="14"/>
        <v>-235.63999999999987</v>
      </c>
      <c r="Y37" s="2"/>
      <c r="Z37" s="7">
        <f t="shared" si="15"/>
        <v>-9.7941336614115915E-2</v>
      </c>
    </row>
    <row r="38" spans="1:26" s="26" customFormat="1" outlineLevel="1" collapsed="1" x14ac:dyDescent="0.25">
      <c r="A38" s="25"/>
      <c r="B38" s="12" t="str">
        <f>CONCATENATE("     ","Services                                          ")</f>
        <v xml:space="preserve">     Services                                          </v>
      </c>
      <c r="C38" s="12"/>
      <c r="D38" s="1">
        <f>SUM(OSRRefD22_5x_0)</f>
        <v>0</v>
      </c>
      <c r="E38" s="1"/>
      <c r="F38" s="5">
        <f t="shared" ref="F38:F43" si="16">IF(D$12=0,0,D38/D$12)</f>
        <v>0</v>
      </c>
      <c r="G38" s="1"/>
      <c r="H38" s="1">
        <f>SUM(OSRRefH22_5x_0)</f>
        <v>0</v>
      </c>
      <c r="I38" s="1"/>
      <c r="J38" s="5">
        <f t="shared" ref="J38:J43" si="17">IF(H$12=0,0,H38/H$12)</f>
        <v>0</v>
      </c>
      <c r="K38" s="1"/>
      <c r="L38" s="1">
        <f t="shared" ref="L38:L43" si="18">+D38-H38</f>
        <v>0</v>
      </c>
      <c r="M38" s="1"/>
      <c r="N38" s="5">
        <f t="shared" ref="N38:N43" si="19">IF(H38=0,0,L38/H38)</f>
        <v>0</v>
      </c>
      <c r="O38" s="12"/>
      <c r="P38" s="1">
        <f>SUM(OSRRefP22_5x_0)</f>
        <v>0</v>
      </c>
      <c r="Q38" s="1"/>
      <c r="R38" s="5">
        <f t="shared" ref="R38:R43" si="20">IF(P$12=0,0,P38/P$12)</f>
        <v>0</v>
      </c>
      <c r="S38" s="1"/>
      <c r="T38" s="1">
        <f>SUM(OSRRefT22_5x_0)</f>
        <v>83.98</v>
      </c>
      <c r="U38" s="1"/>
      <c r="V38" s="5">
        <f t="shared" ref="V38:V43" si="21">IF(T$12=0,0,T38/T$12)</f>
        <v>0</v>
      </c>
      <c r="W38" s="1"/>
      <c r="X38" s="1">
        <f t="shared" ref="X38:X43" si="22">+P38-T38</f>
        <v>-83.98</v>
      </c>
      <c r="Y38" s="1"/>
      <c r="Z38" s="5">
        <f t="shared" ref="Z38:Z43" si="23">IF(T38=0,0,X38/T38)</f>
        <v>-1</v>
      </c>
    </row>
    <row r="39" spans="1:26" s="23" customFormat="1" hidden="1" outlineLevel="2" x14ac:dyDescent="0.25">
      <c r="A39" s="27"/>
      <c r="B39" s="10" t="str">
        <f>CONCATENATE("          ", "6286", " - ", "LAUNDRY EXPENSE")</f>
        <v xml:space="preserve">          6286 - LAUNDRY EXPENSE</v>
      </c>
      <c r="C39" s="10"/>
      <c r="D39" s="6"/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0"/>
      <c r="P39" s="6"/>
      <c r="Q39" s="2"/>
      <c r="R39" s="7">
        <f t="shared" si="20"/>
        <v>0</v>
      </c>
      <c r="S39" s="2"/>
      <c r="T39" s="6">
        <v>83.98</v>
      </c>
      <c r="U39" s="2"/>
      <c r="V39" s="7">
        <f t="shared" si="21"/>
        <v>0</v>
      </c>
      <c r="W39" s="2"/>
      <c r="X39" s="6">
        <f t="shared" si="22"/>
        <v>-83.98</v>
      </c>
      <c r="Y39" s="2"/>
      <c r="Z39" s="7">
        <f t="shared" si="23"/>
        <v>-1</v>
      </c>
    </row>
    <row r="40" spans="1:26" s="26" customFormat="1" outlineLevel="1" collapsed="1" x14ac:dyDescent="0.25">
      <c r="A40" s="25"/>
      <c r="B40" s="12" t="str">
        <f>CONCATENATE("     ","Supplies                                          ")</f>
        <v xml:space="preserve">     Supplies                                          </v>
      </c>
      <c r="C40" s="12"/>
      <c r="D40" s="1">
        <f>SUM(OSRRefD22_6x_0)</f>
        <v>1.31</v>
      </c>
      <c r="E40" s="1"/>
      <c r="F40" s="5">
        <f t="shared" si="16"/>
        <v>0</v>
      </c>
      <c r="G40" s="1"/>
      <c r="H40" s="1">
        <f>SUM(OSRRefH22_6x_0)</f>
        <v>0</v>
      </c>
      <c r="I40" s="1"/>
      <c r="J40" s="5">
        <f t="shared" si="17"/>
        <v>0</v>
      </c>
      <c r="K40" s="1"/>
      <c r="L40" s="1">
        <f t="shared" si="18"/>
        <v>1.31</v>
      </c>
      <c r="M40" s="1"/>
      <c r="N40" s="5">
        <f t="shared" si="19"/>
        <v>0</v>
      </c>
      <c r="O40" s="12"/>
      <c r="P40" s="1">
        <f>SUM(OSRRefP22_6x_0)</f>
        <v>86.15</v>
      </c>
      <c r="Q40" s="1"/>
      <c r="R40" s="5">
        <f t="shared" si="20"/>
        <v>0</v>
      </c>
      <c r="S40" s="1"/>
      <c r="T40" s="1">
        <f>SUM(OSRRefT22_6x_0)</f>
        <v>1123.9000000000001</v>
      </c>
      <c r="U40" s="1"/>
      <c r="V40" s="5">
        <f t="shared" si="21"/>
        <v>0</v>
      </c>
      <c r="W40" s="1"/>
      <c r="X40" s="1">
        <f t="shared" si="22"/>
        <v>-1037.75</v>
      </c>
      <c r="Y40" s="1"/>
      <c r="Z40" s="5">
        <f t="shared" si="23"/>
        <v>-0.92334727288904694</v>
      </c>
    </row>
    <row r="41" spans="1:26" s="23" customFormat="1" hidden="1" outlineLevel="2" x14ac:dyDescent="0.25">
      <c r="A41" s="27"/>
      <c r="B41" s="10" t="str">
        <f>CONCATENATE("          ", "6234", " - ", "EXPENDABLE SUPPLIES &amp; EQUIPMEN")</f>
        <v xml:space="preserve">          6234 - EXPENDABLE SUPPLIES &amp; EQUIPMEN</v>
      </c>
      <c r="C41" s="10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0"/>
      <c r="P41" s="6"/>
      <c r="Q41" s="2"/>
      <c r="R41" s="7">
        <f t="shared" si="20"/>
        <v>0</v>
      </c>
      <c r="S41" s="2"/>
      <c r="T41" s="6">
        <v>1006.59</v>
      </c>
      <c r="U41" s="2"/>
      <c r="V41" s="7">
        <f t="shared" si="21"/>
        <v>0</v>
      </c>
      <c r="W41" s="2"/>
      <c r="X41" s="6">
        <f t="shared" si="22"/>
        <v>-1006.59</v>
      </c>
      <c r="Y41" s="2"/>
      <c r="Z41" s="7">
        <f t="shared" si="23"/>
        <v>-1</v>
      </c>
    </row>
    <row r="42" spans="1:26" s="23" customFormat="1" hidden="1" outlineLevel="2" x14ac:dyDescent="0.25">
      <c r="A42" s="27"/>
      <c r="B42" s="10" t="str">
        <f>CONCATENATE("          ", "6235", " - ", "COVID-19 EXPENSES")</f>
        <v xml:space="preserve">          6235 - COVID-19 EXPENSES</v>
      </c>
      <c r="C42" s="10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0"/>
      <c r="P42" s="6">
        <v>66.12</v>
      </c>
      <c r="Q42" s="2"/>
      <c r="R42" s="7">
        <f t="shared" si="20"/>
        <v>0</v>
      </c>
      <c r="S42" s="2"/>
      <c r="T42" s="6"/>
      <c r="U42" s="2"/>
      <c r="V42" s="7">
        <f t="shared" si="21"/>
        <v>0</v>
      </c>
      <c r="W42" s="2"/>
      <c r="X42" s="6">
        <f t="shared" si="22"/>
        <v>66.12</v>
      </c>
      <c r="Y42" s="2"/>
      <c r="Z42" s="7">
        <f t="shared" si="23"/>
        <v>0</v>
      </c>
    </row>
    <row r="43" spans="1:26" s="23" customFormat="1" hidden="1" outlineLevel="2" x14ac:dyDescent="0.25">
      <c r="A43" s="27"/>
      <c r="B43" s="10" t="str">
        <f>CONCATENATE("          ", "6241", " - ", "OFFICE EXPENSE")</f>
        <v xml:space="preserve">          6241 - OFFICE EXPENSE</v>
      </c>
      <c r="C43" s="10"/>
      <c r="D43" s="6">
        <v>1.31</v>
      </c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1.31</v>
      </c>
      <c r="M43" s="2"/>
      <c r="N43" s="7">
        <f t="shared" si="19"/>
        <v>0</v>
      </c>
      <c r="O43" s="10"/>
      <c r="P43" s="6">
        <v>20.03</v>
      </c>
      <c r="Q43" s="2"/>
      <c r="R43" s="7">
        <f t="shared" si="20"/>
        <v>0</v>
      </c>
      <c r="S43" s="2"/>
      <c r="T43" s="6">
        <v>117.31</v>
      </c>
      <c r="U43" s="2"/>
      <c r="V43" s="7">
        <f t="shared" si="21"/>
        <v>0</v>
      </c>
      <c r="W43" s="2"/>
      <c r="X43" s="6">
        <f t="shared" si="22"/>
        <v>-97.28</v>
      </c>
      <c r="Y43" s="2"/>
      <c r="Z43" s="7">
        <f t="shared" si="23"/>
        <v>-0.82925581791833602</v>
      </c>
    </row>
    <row r="44" spans="1:26" s="26" customFormat="1" outlineLevel="1" collapsed="1" x14ac:dyDescent="0.25">
      <c r="A44" s="25"/>
      <c r="B44" s="12" t="str">
        <f>CONCATENATE("     ","Telephone/Data Lines                              ")</f>
        <v xml:space="preserve">     Telephone/Data Lines                              </v>
      </c>
      <c r="C44" s="12"/>
      <c r="D44" s="1">
        <f>SUM(OSRRefD22_7x_0)</f>
        <v>-127</v>
      </c>
      <c r="E44" s="1"/>
      <c r="F44" s="5">
        <f t="shared" ref="F44:F47" si="24">IF(D$12=0,0,D44/D$12)</f>
        <v>0</v>
      </c>
      <c r="G44" s="1"/>
      <c r="H44" s="1">
        <f>SUM(OSRRefH22_7x_0)</f>
        <v>223</v>
      </c>
      <c r="I44" s="1"/>
      <c r="J44" s="5">
        <f t="shared" ref="J44:J47" si="25">IF(H$12=0,0,H44/H$12)</f>
        <v>0</v>
      </c>
      <c r="K44" s="1"/>
      <c r="L44" s="1">
        <f t="shared" ref="L44:L47" si="26">+D44-H44</f>
        <v>-350</v>
      </c>
      <c r="M44" s="1"/>
      <c r="N44" s="5">
        <f t="shared" ref="N44:N47" si="27">IF(H44=0,0,L44/H44)</f>
        <v>-1.5695067264573992</v>
      </c>
      <c r="O44" s="12"/>
      <c r="P44" s="1">
        <f>SUM(OSRRefP22_7x_0)</f>
        <v>509</v>
      </c>
      <c r="Q44" s="1"/>
      <c r="R44" s="5">
        <f t="shared" ref="R44:R47" si="28">IF(P$12=0,0,P44/P$12)</f>
        <v>0</v>
      </c>
      <c r="S44" s="1"/>
      <c r="T44" s="1">
        <f>SUM(OSRRefT22_7x_0)</f>
        <v>832.2</v>
      </c>
      <c r="U44" s="1"/>
      <c r="V44" s="5">
        <f t="shared" ref="V44:V47" si="29">IF(T$12=0,0,T44/T$12)</f>
        <v>0</v>
      </c>
      <c r="W44" s="1"/>
      <c r="X44" s="1">
        <f t="shared" ref="X44:X47" si="30">+P44-T44</f>
        <v>-323.20000000000005</v>
      </c>
      <c r="Y44" s="1"/>
      <c r="Z44" s="5">
        <f t="shared" ref="Z44:Z47" si="31">IF(T44=0,0,X44/T44)</f>
        <v>-0.3883681807257871</v>
      </c>
    </row>
    <row r="45" spans="1:26" s="23" customFormat="1" hidden="1" outlineLevel="2" x14ac:dyDescent="0.25">
      <c r="A45" s="27"/>
      <c r="B45" s="10" t="str">
        <f>CONCATENATE("          ", "6309", " - ", "TELEPHONE")</f>
        <v xml:space="preserve">          6309 - TELEPHONE</v>
      </c>
      <c r="C45" s="10"/>
      <c r="D45" s="6">
        <v>-127</v>
      </c>
      <c r="E45" s="2"/>
      <c r="F45" s="7">
        <f t="shared" si="24"/>
        <v>0</v>
      </c>
      <c r="G45" s="2"/>
      <c r="H45" s="6">
        <v>223</v>
      </c>
      <c r="I45" s="2"/>
      <c r="J45" s="7">
        <f t="shared" si="25"/>
        <v>0</v>
      </c>
      <c r="K45" s="2"/>
      <c r="L45" s="6">
        <f t="shared" si="26"/>
        <v>-350</v>
      </c>
      <c r="M45" s="2"/>
      <c r="N45" s="7">
        <f t="shared" si="27"/>
        <v>-1.5695067264573992</v>
      </c>
      <c r="O45" s="10"/>
      <c r="P45" s="6">
        <v>509</v>
      </c>
      <c r="Q45" s="2"/>
      <c r="R45" s="7">
        <f t="shared" si="28"/>
        <v>0</v>
      </c>
      <c r="S45" s="2"/>
      <c r="T45" s="6">
        <v>832.2</v>
      </c>
      <c r="U45" s="2"/>
      <c r="V45" s="7">
        <f t="shared" si="29"/>
        <v>0</v>
      </c>
      <c r="W45" s="2"/>
      <c r="X45" s="6">
        <f t="shared" si="30"/>
        <v>-323.20000000000005</v>
      </c>
      <c r="Y45" s="2"/>
      <c r="Z45" s="7">
        <f t="shared" si="31"/>
        <v>-0.3883681807257871</v>
      </c>
    </row>
    <row r="46" spans="1:26" s="26" customFormat="1" outlineLevel="1" collapsed="1" x14ac:dyDescent="0.25">
      <c r="A46" s="25"/>
      <c r="B46" s="12" t="str">
        <f>CONCATENATE("     ","Travel                                            ")</f>
        <v xml:space="preserve">     Travel                                            </v>
      </c>
      <c r="C46" s="12"/>
      <c r="D46" s="1">
        <f>SUM(OSRRefD22_8x_0)</f>
        <v>0</v>
      </c>
      <c r="E46" s="1"/>
      <c r="F46" s="5">
        <f t="shared" si="24"/>
        <v>0</v>
      </c>
      <c r="G46" s="1"/>
      <c r="H46" s="1">
        <f>SUM(OSRRefH22_8x_0)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2"/>
      <c r="P46" s="1">
        <f>SUM(OSRRefP22_8x_0)</f>
        <v>0</v>
      </c>
      <c r="Q46" s="1"/>
      <c r="R46" s="5">
        <f t="shared" si="28"/>
        <v>0</v>
      </c>
      <c r="S46" s="1"/>
      <c r="T46" s="1">
        <f>SUM(OSRRefT22_8x_0)</f>
        <v>256.86</v>
      </c>
      <c r="U46" s="1"/>
      <c r="V46" s="5">
        <f t="shared" si="29"/>
        <v>0</v>
      </c>
      <c r="W46" s="1"/>
      <c r="X46" s="1">
        <f t="shared" si="30"/>
        <v>-256.86</v>
      </c>
      <c r="Y46" s="1"/>
      <c r="Z46" s="5">
        <f t="shared" si="31"/>
        <v>-1</v>
      </c>
    </row>
    <row r="47" spans="1:26" s="23" customFormat="1" hidden="1" outlineLevel="2" x14ac:dyDescent="0.25">
      <c r="A47" s="27"/>
      <c r="B47" s="10" t="str">
        <f>CONCATENATE("          ", "6292", " - ", "TRAVEL/CONFERENCE")</f>
        <v xml:space="preserve">          6292 - TRAVEL/CONFERENCE</v>
      </c>
      <c r="C47" s="10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0"/>
      <c r="P47" s="6"/>
      <c r="Q47" s="2"/>
      <c r="R47" s="7">
        <f t="shared" si="28"/>
        <v>0</v>
      </c>
      <c r="S47" s="2"/>
      <c r="T47" s="6">
        <v>256.86</v>
      </c>
      <c r="U47" s="2"/>
      <c r="V47" s="7">
        <f t="shared" si="29"/>
        <v>0</v>
      </c>
      <c r="W47" s="2"/>
      <c r="X47" s="6">
        <f t="shared" si="30"/>
        <v>-256.86</v>
      </c>
      <c r="Y47" s="2"/>
      <c r="Z47" s="7">
        <f t="shared" si="31"/>
        <v>-1</v>
      </c>
    </row>
    <row r="48" spans="1:26" s="62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4" customFormat="1" x14ac:dyDescent="0.25">
      <c r="A49" s="11"/>
      <c r="B49" s="28" t="s">
        <v>292</v>
      </c>
      <c r="C49" s="11"/>
      <c r="D49" s="4">
        <f>SUM(0)</f>
        <v>0</v>
      </c>
      <c r="E49" s="4"/>
      <c r="F49" s="13">
        <f>IF(D$12=0,0,D49/D$12)</f>
        <v>0</v>
      </c>
      <c r="G49" s="4"/>
      <c r="H49" s="4">
        <f>SUM(0)</f>
        <v>0</v>
      </c>
      <c r="I49" s="4"/>
      <c r="J49" s="13">
        <f>IF(H$12=0,0,H49/H$12)</f>
        <v>0</v>
      </c>
      <c r="K49" s="4"/>
      <c r="L49" s="4">
        <f>+D49-H49</f>
        <v>0</v>
      </c>
      <c r="M49" s="4"/>
      <c r="N49" s="13">
        <f>IF(H49=0,0,L49/H49)</f>
        <v>0</v>
      </c>
      <c r="O49" s="11"/>
      <c r="P49" s="4">
        <f>SUM(0)</f>
        <v>0</v>
      </c>
      <c r="Q49" s="4"/>
      <c r="R49" s="13">
        <f>IF(P$12=0,0,P49/P$12)</f>
        <v>0</v>
      </c>
      <c r="S49" s="4"/>
      <c r="T49" s="4">
        <f>SUM(0)</f>
        <v>0</v>
      </c>
      <c r="U49" s="4"/>
      <c r="V49" s="13">
        <f>IF(T$12=0,0,T49/T$12)</f>
        <v>0</v>
      </c>
      <c r="W49" s="4"/>
      <c r="X49" s="4">
        <f>+P49-T49</f>
        <v>0</v>
      </c>
      <c r="Y49" s="4"/>
      <c r="Z49" s="13">
        <f>IF(T49=0,0,X49/T49)</f>
        <v>0</v>
      </c>
    </row>
    <row r="50" spans="1:26" x14ac:dyDescent="0.25">
      <c r="A50" s="9"/>
      <c r="B50" s="11"/>
      <c r="C50" s="11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1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4" customFormat="1" x14ac:dyDescent="0.25">
      <c r="A51" s="11"/>
      <c r="B51" s="29" t="s">
        <v>276</v>
      </c>
      <c r="C51" s="29"/>
      <c r="D51" s="20">
        <f>+D16-D18+D49</f>
        <v>-8195.52</v>
      </c>
      <c r="E51" s="14"/>
      <c r="F51" s="22">
        <f>IF(D$12=0,0,D51/D$12)</f>
        <v>0</v>
      </c>
      <c r="G51" s="14"/>
      <c r="H51" s="20">
        <f>+H16-H18+H49</f>
        <v>-9043.6899999999987</v>
      </c>
      <c r="I51" s="14"/>
      <c r="J51" s="22">
        <f>IF(H$12=0,0,H51/H$12)</f>
        <v>0</v>
      </c>
      <c r="K51" s="16"/>
      <c r="L51" s="20">
        <f>+D51-H51</f>
        <v>848.16999999999825</v>
      </c>
      <c r="M51" s="16"/>
      <c r="N51" s="22">
        <f>IF(H51=0,0,L51/H51)</f>
        <v>-9.3785832995159982E-2</v>
      </c>
      <c r="O51" s="28"/>
      <c r="P51" s="20">
        <f>+P16-P18+P49</f>
        <v>-78573.849999999991</v>
      </c>
      <c r="Q51" s="14"/>
      <c r="R51" s="22">
        <f>IF(P$12=0,0,P51/P$12)</f>
        <v>0</v>
      </c>
      <c r="S51" s="14"/>
      <c r="T51" s="20">
        <f>+T16-T18+T49</f>
        <v>-80839.579999999987</v>
      </c>
      <c r="U51" s="14"/>
      <c r="V51" s="22">
        <f>IF(T$12=0,0,T51/T$12)</f>
        <v>0</v>
      </c>
      <c r="W51" s="16"/>
      <c r="X51" s="20">
        <f>+P51-T51</f>
        <v>2265.7299999999959</v>
      </c>
      <c r="Y51" s="16"/>
      <c r="Z51" s="22">
        <f>IF(T51=0,0,X51/T51)</f>
        <v>-2.8027483566836892E-2</v>
      </c>
    </row>
    <row r="52" spans="1:26" x14ac:dyDescent="0.25">
      <c r="A52" s="9"/>
      <c r="B52" s="11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x14ac:dyDescent="0.25">
      <c r="A53" s="51"/>
      <c r="B53" s="11" t="s">
        <v>127</v>
      </c>
      <c r="C53" s="11"/>
      <c r="D53" s="4"/>
      <c r="E53" s="4"/>
      <c r="F53" s="13">
        <f>IF(D$12=0,0,D53/D$12)</f>
        <v>0</v>
      </c>
      <c r="G53" s="4"/>
      <c r="H53" s="4"/>
      <c r="I53" s="4"/>
      <c r="J53" s="13">
        <f>IF(H$12=0,0,H53/H$12)</f>
        <v>0</v>
      </c>
      <c r="K53" s="4"/>
      <c r="L53" s="4">
        <f>+D53-H53</f>
        <v>0</v>
      </c>
      <c r="M53" s="4"/>
      <c r="N53" s="13">
        <f>IF(H53=0,0,L53/H53)</f>
        <v>0</v>
      </c>
      <c r="O53" s="11"/>
      <c r="P53" s="4"/>
      <c r="Q53" s="4"/>
      <c r="R53" s="13">
        <f>IF(P$12=0,0,P53/P$12)</f>
        <v>0</v>
      </c>
      <c r="S53" s="4"/>
      <c r="T53" s="4"/>
      <c r="U53" s="4"/>
      <c r="V53" s="13">
        <f>IF(T$12=0,0,T53/T$12)</f>
        <v>0</v>
      </c>
      <c r="W53" s="4"/>
      <c r="X53" s="4">
        <f>+P53-T53</f>
        <v>0</v>
      </c>
      <c r="Y53" s="4"/>
      <c r="Z53" s="13">
        <f>IF(T53=0,0,X53/T53)</f>
        <v>0</v>
      </c>
    </row>
    <row r="54" spans="1:26" x14ac:dyDescent="0.25">
      <c r="A54" s="9"/>
      <c r="B54" s="11"/>
      <c r="C54" s="11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1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ht="15.75" thickBot="1" x14ac:dyDescent="0.3">
      <c r="A55" s="11"/>
      <c r="B55" s="29" t="s">
        <v>125</v>
      </c>
      <c r="C55" s="29"/>
      <c r="D55" s="30">
        <f>+D51-D53</f>
        <v>-8195.52</v>
      </c>
      <c r="E55" s="14"/>
      <c r="F55" s="34">
        <f>IF(D$12=0,0,D55/D$12)</f>
        <v>0</v>
      </c>
      <c r="G55" s="14"/>
      <c r="H55" s="30">
        <f>+H51-H53</f>
        <v>-9043.6899999999987</v>
      </c>
      <c r="I55" s="14"/>
      <c r="J55" s="34">
        <f>IF(H$12=0,0,H55/H$12)</f>
        <v>0</v>
      </c>
      <c r="K55" s="16"/>
      <c r="L55" s="30">
        <f>D55-H55</f>
        <v>848.16999999999825</v>
      </c>
      <c r="M55" s="16"/>
      <c r="N55" s="34">
        <f>IF(H55=0,0,L55/H55)</f>
        <v>-9.3785832995159982E-2</v>
      </c>
      <c r="O55" s="28"/>
      <c r="P55" s="30">
        <f>+P51-P53</f>
        <v>-78573.849999999991</v>
      </c>
      <c r="Q55" s="14"/>
      <c r="R55" s="34">
        <f>IF(P$12=0,0,P55/P$12)</f>
        <v>0</v>
      </c>
      <c r="S55" s="14"/>
      <c r="T55" s="30">
        <f>+T51-T53</f>
        <v>-80839.579999999987</v>
      </c>
      <c r="U55" s="14"/>
      <c r="V55" s="34">
        <f>IF(T$12=0,0,T55/T$12)</f>
        <v>0</v>
      </c>
      <c r="W55" s="16"/>
      <c r="X55" s="30">
        <f>P55-T55</f>
        <v>2265.7299999999959</v>
      </c>
      <c r="Y55" s="16"/>
      <c r="Z55" s="34">
        <f>IF(T55=0,0,X55/T55)</f>
        <v>-2.8027483566836892E-2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4" customFormat="1" ht="15.75" thickBot="1" x14ac:dyDescent="0.3">
      <c r="A58" s="11"/>
      <c r="B58" s="29" t="s">
        <v>293</v>
      </c>
      <c r="C58" s="29"/>
      <c r="D58" s="32">
        <f>SUM(D55:D57)</f>
        <v>-8195.52</v>
      </c>
      <c r="E58" s="14"/>
      <c r="F58" s="35">
        <f>IF(D$12=0,0,D58/D$12)</f>
        <v>0</v>
      </c>
      <c r="G58" s="14"/>
      <c r="H58" s="32">
        <f>SUM(H55:H57)</f>
        <v>-9043.6899999999987</v>
      </c>
      <c r="I58" s="14"/>
      <c r="J58" s="35">
        <f>IF(H$12=0,0,H58/H$12)</f>
        <v>0</v>
      </c>
      <c r="K58" s="16"/>
      <c r="L58" s="32">
        <f>+D58-H58</f>
        <v>848.16999999999825</v>
      </c>
      <c r="M58" s="16"/>
      <c r="N58" s="35">
        <f>IF(H58=0,0,L58/H58)</f>
        <v>-9.3785832995159982E-2</v>
      </c>
      <c r="O58" s="28"/>
      <c r="P58" s="32">
        <f>SUM(P55:P57)</f>
        <v>-78573.849999999991</v>
      </c>
      <c r="Q58" s="14"/>
      <c r="R58" s="35">
        <f>IF(P$12=0,0,P58/P$12)</f>
        <v>0</v>
      </c>
      <c r="S58" s="14"/>
      <c r="T58" s="32">
        <f>SUM(T55:T57)</f>
        <v>-80839.579999999987</v>
      </c>
      <c r="U58" s="14"/>
      <c r="V58" s="35">
        <f>IF(T$12=0,0,T58/T$12)</f>
        <v>0</v>
      </c>
      <c r="W58" s="16"/>
      <c r="X58" s="32">
        <f>+P58-T58</f>
        <v>2265.7299999999959</v>
      </c>
      <c r="Y58" s="16"/>
      <c r="Z58" s="35">
        <f>IF(T58=0,0,X58/T58)</f>
        <v>-2.8027483566836892E-2</v>
      </c>
    </row>
    <row r="59" spans="1:26" ht="15.75" thickTop="1" x14ac:dyDescent="0.25">
      <c r="A59" s="9"/>
      <c r="C59" s="9"/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25">
      <c r="A60" s="9"/>
      <c r="B60" s="59">
        <v>44330.00886898148</v>
      </c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25">
      <c r="A61" s="9"/>
      <c r="B61" s="52" t="s">
        <v>56</v>
      </c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A62" s="9"/>
      <c r="B62" s="55"/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","206", " - ", "Communications")</f>
        <v>Department 206 - Communications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8201.7900000000009</v>
      </c>
      <c r="E18" s="21"/>
      <c r="F18" s="31">
        <f t="shared" ref="F18:F27" si="0">IF(D$12=0,0,D18/D$12)</f>
        <v>0</v>
      </c>
      <c r="G18" s="21"/>
      <c r="H18" s="21">
        <f>SUM(OSRRefH22x_0)</f>
        <v>12057.48</v>
      </c>
      <c r="I18" s="21"/>
      <c r="J18" s="31">
        <f t="shared" ref="J18:J27" si="1">IF(H$12=0,0,H18/H$12)</f>
        <v>0</v>
      </c>
      <c r="K18" s="4"/>
      <c r="L18" s="21">
        <f t="shared" ref="L18:L27" si="2">+D18-H18</f>
        <v>-3855.6899999999987</v>
      </c>
      <c r="M18" s="4"/>
      <c r="N18" s="31">
        <f t="shared" ref="N18:N27" si="3">IF(H18=0,0,L18/H18)</f>
        <v>-0.31977577404233709</v>
      </c>
      <c r="O18" s="11"/>
      <c r="P18" s="21">
        <f>SUM(OSRRefP22x_0)</f>
        <v>87864.8</v>
      </c>
      <c r="Q18" s="21"/>
      <c r="R18" s="31">
        <f t="shared" ref="R18:R27" si="4">IF(P$12=0,0,P18/P$12)</f>
        <v>0</v>
      </c>
      <c r="S18" s="21"/>
      <c r="T18" s="21">
        <f>SUM(OSRRefT22x_0)</f>
        <v>89844.83</v>
      </c>
      <c r="U18" s="21"/>
      <c r="V18" s="31">
        <f t="shared" ref="V18:V27" si="5">IF(T$12=0,0,T18/T$12)</f>
        <v>0</v>
      </c>
      <c r="W18" s="4"/>
      <c r="X18" s="21">
        <f t="shared" ref="X18:X27" si="6">+P18-T18</f>
        <v>-1980.0299999999988</v>
      </c>
      <c r="Y18" s="4"/>
      <c r="Z18" s="31">
        <f t="shared" ref="Z18:Z27" si="7">IF(T18=0,0,X18/T18)</f>
        <v>-2.2038329862719967E-2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2371.4499999999998</v>
      </c>
      <c r="E19" s="1"/>
      <c r="F19" s="5">
        <f t="shared" si="0"/>
        <v>0</v>
      </c>
      <c r="G19" s="1"/>
      <c r="H19" s="1">
        <f>SUM(OSRRefH22_0x_0)</f>
        <v>1860.0100000000002</v>
      </c>
      <c r="I19" s="1"/>
      <c r="J19" s="5">
        <f t="shared" si="1"/>
        <v>0</v>
      </c>
      <c r="K19" s="1"/>
      <c r="L19" s="1">
        <f t="shared" si="2"/>
        <v>511.4399999999996</v>
      </c>
      <c r="M19" s="1"/>
      <c r="N19" s="5">
        <f t="shared" si="3"/>
        <v>0.27496626362223836</v>
      </c>
      <c r="O19" s="12"/>
      <c r="P19" s="1">
        <f>SUM(OSRRefP22_0x_0)</f>
        <v>18122.87</v>
      </c>
      <c r="Q19" s="1"/>
      <c r="R19" s="5">
        <f t="shared" si="4"/>
        <v>0</v>
      </c>
      <c r="S19" s="1"/>
      <c r="T19" s="1">
        <f>SUM(OSRRefT22_0x_0)</f>
        <v>18096.740000000002</v>
      </c>
      <c r="U19" s="1"/>
      <c r="V19" s="5">
        <f t="shared" si="5"/>
        <v>0</v>
      </c>
      <c r="W19" s="1"/>
      <c r="X19" s="1">
        <f t="shared" si="6"/>
        <v>26.129999999997381</v>
      </c>
      <c r="Y19" s="1"/>
      <c r="Z19" s="5">
        <f t="shared" si="7"/>
        <v>1.4439064715521899E-3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518.80999999999995</v>
      </c>
      <c r="E20" s="2"/>
      <c r="F20" s="7">
        <f t="shared" si="0"/>
        <v>0</v>
      </c>
      <c r="G20" s="2"/>
      <c r="H20" s="6">
        <v>515.97</v>
      </c>
      <c r="I20" s="2"/>
      <c r="J20" s="7">
        <f t="shared" si="1"/>
        <v>0</v>
      </c>
      <c r="K20" s="2"/>
      <c r="L20" s="6">
        <f t="shared" si="2"/>
        <v>2.8399999999999181</v>
      </c>
      <c r="M20" s="2"/>
      <c r="N20" s="7">
        <f t="shared" si="3"/>
        <v>5.5041959803862972E-3</v>
      </c>
      <c r="O20" s="10"/>
      <c r="P20" s="6">
        <v>4096.87</v>
      </c>
      <c r="Q20" s="2"/>
      <c r="R20" s="7">
        <f t="shared" si="4"/>
        <v>0</v>
      </c>
      <c r="S20" s="2"/>
      <c r="T20" s="6">
        <v>4713.43</v>
      </c>
      <c r="U20" s="2"/>
      <c r="V20" s="7">
        <f t="shared" si="5"/>
        <v>0</v>
      </c>
      <c r="W20" s="2"/>
      <c r="X20" s="6">
        <f t="shared" si="6"/>
        <v>-616.5600000000004</v>
      </c>
      <c r="Y20" s="2"/>
      <c r="Z20" s="7">
        <f t="shared" si="7"/>
        <v>-0.13080919839692121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18.100000000000001</v>
      </c>
      <c r="E21" s="2"/>
      <c r="F21" s="7">
        <f t="shared" si="0"/>
        <v>0</v>
      </c>
      <c r="G21" s="2"/>
      <c r="H21" s="6">
        <v>19.190000000000001</v>
      </c>
      <c r="I21" s="2"/>
      <c r="J21" s="7">
        <f t="shared" si="1"/>
        <v>0</v>
      </c>
      <c r="K21" s="2"/>
      <c r="L21" s="6">
        <f t="shared" si="2"/>
        <v>-1.0899999999999999</v>
      </c>
      <c r="M21" s="2"/>
      <c r="N21" s="7">
        <f t="shared" si="3"/>
        <v>-5.6800416883793628E-2</v>
      </c>
      <c r="O21" s="10"/>
      <c r="P21" s="6">
        <v>206.99</v>
      </c>
      <c r="Q21" s="2"/>
      <c r="R21" s="7">
        <f t="shared" si="4"/>
        <v>0</v>
      </c>
      <c r="S21" s="2"/>
      <c r="T21" s="6">
        <v>245.17</v>
      </c>
      <c r="U21" s="2"/>
      <c r="V21" s="7">
        <f t="shared" si="5"/>
        <v>0</v>
      </c>
      <c r="W21" s="2"/>
      <c r="X21" s="6">
        <f t="shared" si="6"/>
        <v>-38.179999999999978</v>
      </c>
      <c r="Y21" s="2"/>
      <c r="Z21" s="7">
        <f t="shared" si="7"/>
        <v>-0.15572867806012147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704.62</v>
      </c>
      <c r="E22" s="2"/>
      <c r="F22" s="7">
        <f t="shared" si="0"/>
        <v>0</v>
      </c>
      <c r="G22" s="2"/>
      <c r="H22" s="6">
        <v>700.87</v>
      </c>
      <c r="I22" s="2"/>
      <c r="J22" s="7">
        <f t="shared" si="1"/>
        <v>0</v>
      </c>
      <c r="K22" s="2"/>
      <c r="L22" s="6">
        <f t="shared" si="2"/>
        <v>3.75</v>
      </c>
      <c r="M22" s="2"/>
      <c r="N22" s="7">
        <f t="shared" si="3"/>
        <v>5.350492958751266E-3</v>
      </c>
      <c r="O22" s="10"/>
      <c r="P22" s="6">
        <v>7023.7</v>
      </c>
      <c r="Q22" s="2"/>
      <c r="R22" s="7">
        <f t="shared" si="4"/>
        <v>0</v>
      </c>
      <c r="S22" s="2"/>
      <c r="T22" s="6">
        <v>7008.94</v>
      </c>
      <c r="U22" s="2"/>
      <c r="V22" s="7">
        <f t="shared" si="5"/>
        <v>0</v>
      </c>
      <c r="W22" s="2"/>
      <c r="X22" s="6">
        <f t="shared" si="6"/>
        <v>14.760000000000218</v>
      </c>
      <c r="Y22" s="2"/>
      <c r="Z22" s="7">
        <f t="shared" si="7"/>
        <v>2.1058819165237852E-3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14.26</v>
      </c>
      <c r="E23" s="2"/>
      <c r="F23" s="7">
        <f t="shared" si="0"/>
        <v>0</v>
      </c>
      <c r="G23" s="2"/>
      <c r="H23" s="6">
        <v>14.68</v>
      </c>
      <c r="I23" s="2"/>
      <c r="J23" s="7">
        <f t="shared" si="1"/>
        <v>0</v>
      </c>
      <c r="K23" s="2"/>
      <c r="L23" s="6">
        <f t="shared" si="2"/>
        <v>-0.41999999999999993</v>
      </c>
      <c r="M23" s="2"/>
      <c r="N23" s="7">
        <f t="shared" si="3"/>
        <v>-2.8610354223433238E-2</v>
      </c>
      <c r="O23" s="10"/>
      <c r="P23" s="6">
        <v>163.09</v>
      </c>
      <c r="Q23" s="2"/>
      <c r="R23" s="7">
        <f t="shared" si="4"/>
        <v>0</v>
      </c>
      <c r="S23" s="2"/>
      <c r="T23" s="6">
        <v>263.66000000000003</v>
      </c>
      <c r="U23" s="2"/>
      <c r="V23" s="7">
        <f t="shared" si="5"/>
        <v>0</v>
      </c>
      <c r="W23" s="2"/>
      <c r="X23" s="6">
        <f t="shared" si="6"/>
        <v>-100.57000000000002</v>
      </c>
      <c r="Y23" s="2"/>
      <c r="Z23" s="7">
        <f t="shared" si="7"/>
        <v>-0.38143821588409321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368.66</v>
      </c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368.66</v>
      </c>
      <c r="M24" s="2"/>
      <c r="N24" s="7">
        <f t="shared" si="3"/>
        <v>0</v>
      </c>
      <c r="O24" s="10"/>
      <c r="P24" s="6">
        <v>1547.82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1547.82</v>
      </c>
      <c r="Y24" s="2"/>
      <c r="Z24" s="7">
        <f t="shared" si="7"/>
        <v>0</v>
      </c>
    </row>
    <row r="25" spans="1:26" s="23" customFormat="1" hidden="1" outlineLevel="2" x14ac:dyDescent="0.25">
      <c r="A25" s="27"/>
      <c r="B25" s="10" t="str">
        <f>CONCATENATE("          ", "6118", " - ", "VACATION")</f>
        <v xml:space="preserve">          6118 - VACATION</v>
      </c>
      <c r="C25" s="10"/>
      <c r="D25" s="6">
        <v>414.9</v>
      </c>
      <c r="E25" s="2"/>
      <c r="F25" s="7">
        <f t="shared" si="0"/>
        <v>0</v>
      </c>
      <c r="G25" s="2"/>
      <c r="H25" s="6">
        <v>277.2</v>
      </c>
      <c r="I25" s="2"/>
      <c r="J25" s="7">
        <f t="shared" si="1"/>
        <v>0</v>
      </c>
      <c r="K25" s="2"/>
      <c r="L25" s="6">
        <f t="shared" si="2"/>
        <v>137.69999999999999</v>
      </c>
      <c r="M25" s="2"/>
      <c r="N25" s="7">
        <f t="shared" si="3"/>
        <v>0.49675324675324672</v>
      </c>
      <c r="O25" s="10"/>
      <c r="P25" s="6">
        <v>2538.3000000000002</v>
      </c>
      <c r="Q25" s="2"/>
      <c r="R25" s="7">
        <f t="shared" si="4"/>
        <v>0</v>
      </c>
      <c r="S25" s="2"/>
      <c r="T25" s="6">
        <v>2032.8</v>
      </c>
      <c r="U25" s="2"/>
      <c r="V25" s="7">
        <f t="shared" si="5"/>
        <v>0</v>
      </c>
      <c r="W25" s="2"/>
      <c r="X25" s="6">
        <f t="shared" si="6"/>
        <v>505.50000000000023</v>
      </c>
      <c r="Y25" s="2"/>
      <c r="Z25" s="7">
        <f t="shared" si="7"/>
        <v>0.24867178276269197</v>
      </c>
    </row>
    <row r="26" spans="1:26" s="23" customFormat="1" hidden="1" outlineLevel="2" x14ac:dyDescent="0.25">
      <c r="A26" s="27"/>
      <c r="B26" s="10" t="str">
        <f>CONCATENATE("          ", "6119", " - ", "SICK LEAVE")</f>
        <v xml:space="preserve">          6119 - SICK LEAVE</v>
      </c>
      <c r="C26" s="10"/>
      <c r="D26" s="6">
        <v>332.1</v>
      </c>
      <c r="E26" s="2"/>
      <c r="F26" s="7">
        <f t="shared" si="0"/>
        <v>0</v>
      </c>
      <c r="G26" s="2"/>
      <c r="H26" s="6">
        <v>332.1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>
        <v>2546.1</v>
      </c>
      <c r="Q26" s="2"/>
      <c r="R26" s="7">
        <f t="shared" si="4"/>
        <v>0</v>
      </c>
      <c r="S26" s="2"/>
      <c r="T26" s="6">
        <v>2435.4</v>
      </c>
      <c r="U26" s="2"/>
      <c r="V26" s="7">
        <f t="shared" si="5"/>
        <v>0</v>
      </c>
      <c r="W26" s="2"/>
      <c r="X26" s="6">
        <f t="shared" si="6"/>
        <v>110.69999999999982</v>
      </c>
      <c r="Y26" s="2"/>
      <c r="Z26" s="7">
        <f t="shared" si="7"/>
        <v>4.5454545454545379E-2</v>
      </c>
    </row>
    <row r="27" spans="1:26" s="23" customFormat="1" hidden="1" outlineLevel="2" x14ac:dyDescent="0.25">
      <c r="A27" s="27"/>
      <c r="B27" s="10" t="str">
        <f>CONCATENATE("          ", "6156", " - ", "EMPLOYEE MEALS")</f>
        <v xml:space="preserve">          6156 - EMPLOYEE MEALS</v>
      </c>
      <c r="C27" s="10"/>
      <c r="D27" s="6"/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0"/>
      <c r="P27" s="6"/>
      <c r="Q27" s="2"/>
      <c r="R27" s="7">
        <f t="shared" si="4"/>
        <v>0</v>
      </c>
      <c r="S27" s="2"/>
      <c r="T27" s="6">
        <v>1397.34</v>
      </c>
      <c r="U27" s="2"/>
      <c r="V27" s="7">
        <f t="shared" si="5"/>
        <v>0</v>
      </c>
      <c r="W27" s="2"/>
      <c r="X27" s="6">
        <f t="shared" si="6"/>
        <v>-1397.34</v>
      </c>
      <c r="Y27" s="2"/>
      <c r="Z27" s="7">
        <f t="shared" si="7"/>
        <v>-1</v>
      </c>
    </row>
    <row r="28" spans="1:26" s="26" customFormat="1" outlineLevel="1" collapsed="1" x14ac:dyDescent="0.25">
      <c r="A28" s="25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5794.34</v>
      </c>
      <c r="E28" s="1"/>
      <c r="F28" s="5">
        <f t="shared" ref="F28:F32" si="8">IF(D$12=0,0,D28/D$12)</f>
        <v>0</v>
      </c>
      <c r="G28" s="1"/>
      <c r="H28" s="1">
        <f>SUM(OSRRefH22_1x_0)</f>
        <v>7576.8</v>
      </c>
      <c r="I28" s="1"/>
      <c r="J28" s="5">
        <f t="shared" ref="J28:J32" si="9">IF(H$12=0,0,H28/H$12)</f>
        <v>0</v>
      </c>
      <c r="K28" s="1"/>
      <c r="L28" s="1">
        <f t="shared" ref="L28:L32" si="10">+D28-H28</f>
        <v>-1782.46</v>
      </c>
      <c r="M28" s="1"/>
      <c r="N28" s="5">
        <f t="shared" ref="N28:N32" si="11">IF(H28=0,0,L28/H28)</f>
        <v>-0.23525234927673952</v>
      </c>
      <c r="O28" s="12"/>
      <c r="P28" s="1">
        <f>SUM(OSRRefP22_1x_0)</f>
        <v>65959.95</v>
      </c>
      <c r="Q28" s="1"/>
      <c r="R28" s="5">
        <f t="shared" ref="R28:R32" si="12">IF(P$12=0,0,P28/P$12)</f>
        <v>0</v>
      </c>
      <c r="S28" s="1"/>
      <c r="T28" s="1">
        <f>SUM(OSRRefT22_1x_0)</f>
        <v>106700.26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-40740.31</v>
      </c>
      <c r="Y28" s="1"/>
      <c r="Z28" s="5">
        <f t="shared" ref="Z28:Z32" si="15">IF(T28=0,0,X28/T28)</f>
        <v>-0.38182015676437903</v>
      </c>
    </row>
    <row r="29" spans="1:26" s="23" customFormat="1" hidden="1" outlineLevel="2" x14ac:dyDescent="0.25">
      <c r="A29" s="27"/>
      <c r="B29" s="10" t="str">
        <f>CONCATENATE("          ", "6004", " - ", "STAFF HOURLY")</f>
        <v xml:space="preserve">          6004 - STAFF HOURLY</v>
      </c>
      <c r="C29" s="10"/>
      <c r="D29" s="6">
        <v>5730</v>
      </c>
      <c r="E29" s="2"/>
      <c r="F29" s="7">
        <f t="shared" si="8"/>
        <v>0</v>
      </c>
      <c r="G29" s="2"/>
      <c r="H29" s="6">
        <v>7155</v>
      </c>
      <c r="I29" s="2"/>
      <c r="J29" s="7">
        <f t="shared" si="9"/>
        <v>0</v>
      </c>
      <c r="K29" s="2"/>
      <c r="L29" s="6">
        <f t="shared" si="10"/>
        <v>-1425</v>
      </c>
      <c r="M29" s="2"/>
      <c r="N29" s="7">
        <f t="shared" si="11"/>
        <v>-0.19916142557651992</v>
      </c>
      <c r="O29" s="10"/>
      <c r="P29" s="6">
        <v>52490.1</v>
      </c>
      <c r="Q29" s="2"/>
      <c r="R29" s="7">
        <f t="shared" si="12"/>
        <v>0</v>
      </c>
      <c r="S29" s="2"/>
      <c r="T29" s="6">
        <v>52684.5</v>
      </c>
      <c r="U29" s="2"/>
      <c r="V29" s="7">
        <f t="shared" si="13"/>
        <v>0</v>
      </c>
      <c r="W29" s="2"/>
      <c r="X29" s="6">
        <f t="shared" si="14"/>
        <v>-194.40000000000146</v>
      </c>
      <c r="Y29" s="2"/>
      <c r="Z29" s="7">
        <f t="shared" si="15"/>
        <v>-3.6898898157902505E-3</v>
      </c>
    </row>
    <row r="30" spans="1:26" s="23" customFormat="1" hidden="1" outlineLevel="2" x14ac:dyDescent="0.25">
      <c r="A30" s="27"/>
      <c r="B30" s="10" t="str">
        <f>CONCATENATE("          ", "6006", " - ", "TEMPORARY PART TIME")</f>
        <v xml:space="preserve">          6006 - TEMPORARY PART TIME</v>
      </c>
      <c r="C30" s="10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0"/>
      <c r="P30" s="6"/>
      <c r="Q30" s="2"/>
      <c r="R30" s="7">
        <f t="shared" si="12"/>
        <v>0</v>
      </c>
      <c r="S30" s="2"/>
      <c r="T30" s="6">
        <v>2361.4299999999998</v>
      </c>
      <c r="U30" s="2"/>
      <c r="V30" s="7">
        <f t="shared" si="13"/>
        <v>0</v>
      </c>
      <c r="W30" s="2"/>
      <c r="X30" s="6">
        <f t="shared" si="14"/>
        <v>-2361.4299999999998</v>
      </c>
      <c r="Y30" s="2"/>
      <c r="Z30" s="7">
        <f t="shared" si="15"/>
        <v>-1</v>
      </c>
    </row>
    <row r="31" spans="1:26" s="23" customFormat="1" hidden="1" outlineLevel="2" x14ac:dyDescent="0.25">
      <c r="A31" s="27"/>
      <c r="B31" s="10" t="str">
        <f>CONCATENATE("          ", "6007", " - ", "STUDENT HOURLY")</f>
        <v xml:space="preserve">          6007 - STUDENT HOURLY</v>
      </c>
      <c r="C31" s="10"/>
      <c r="D31" s="6">
        <v>-1491</v>
      </c>
      <c r="E31" s="2"/>
      <c r="F31" s="7">
        <f t="shared" si="8"/>
        <v>0</v>
      </c>
      <c r="G31" s="2"/>
      <c r="H31" s="6">
        <v>-1323</v>
      </c>
      <c r="I31" s="2"/>
      <c r="J31" s="7">
        <f t="shared" si="9"/>
        <v>0</v>
      </c>
      <c r="K31" s="2"/>
      <c r="L31" s="6">
        <f t="shared" si="10"/>
        <v>-168</v>
      </c>
      <c r="M31" s="2"/>
      <c r="N31" s="7">
        <f t="shared" si="11"/>
        <v>0.12698412698412698</v>
      </c>
      <c r="O31" s="10"/>
      <c r="P31" s="6">
        <v>0</v>
      </c>
      <c r="Q31" s="2"/>
      <c r="R31" s="7">
        <f t="shared" si="12"/>
        <v>0</v>
      </c>
      <c r="S31" s="2"/>
      <c r="T31" s="6">
        <v>41753.5</v>
      </c>
      <c r="U31" s="2"/>
      <c r="V31" s="7">
        <f t="shared" si="13"/>
        <v>0</v>
      </c>
      <c r="W31" s="2"/>
      <c r="X31" s="6">
        <f t="shared" si="14"/>
        <v>-41753.5</v>
      </c>
      <c r="Y31" s="2"/>
      <c r="Z31" s="7">
        <f t="shared" si="15"/>
        <v>-1</v>
      </c>
    </row>
    <row r="32" spans="1:26" s="23" customFormat="1" hidden="1" outlineLevel="2" x14ac:dyDescent="0.25">
      <c r="A32" s="27"/>
      <c r="B32" s="10" t="str">
        <f>CONCATENATE("          ", "6008", " - ", "STUDENT HOURLY-FICA EXEMPT")</f>
        <v xml:space="preserve">          6008 - STUDENT HOURLY-FICA EXEMPT</v>
      </c>
      <c r="C32" s="10"/>
      <c r="D32" s="6">
        <v>1555.34</v>
      </c>
      <c r="E32" s="2"/>
      <c r="F32" s="7">
        <f t="shared" si="8"/>
        <v>0</v>
      </c>
      <c r="G32" s="2"/>
      <c r="H32" s="6">
        <v>1744.8</v>
      </c>
      <c r="I32" s="2"/>
      <c r="J32" s="7">
        <f t="shared" si="9"/>
        <v>0</v>
      </c>
      <c r="K32" s="2"/>
      <c r="L32" s="6">
        <f t="shared" si="10"/>
        <v>-189.46000000000004</v>
      </c>
      <c r="M32" s="2"/>
      <c r="N32" s="7">
        <f t="shared" si="11"/>
        <v>-0.10858551123337921</v>
      </c>
      <c r="O32" s="10"/>
      <c r="P32" s="6">
        <v>13469.85</v>
      </c>
      <c r="Q32" s="2"/>
      <c r="R32" s="7">
        <f t="shared" si="12"/>
        <v>0</v>
      </c>
      <c r="S32" s="2"/>
      <c r="T32" s="6">
        <v>9900.83</v>
      </c>
      <c r="U32" s="2"/>
      <c r="V32" s="7">
        <f t="shared" si="13"/>
        <v>0</v>
      </c>
      <c r="W32" s="2"/>
      <c r="X32" s="6">
        <f t="shared" si="14"/>
        <v>3569.0200000000004</v>
      </c>
      <c r="Y32" s="2"/>
      <c r="Z32" s="7">
        <f t="shared" si="15"/>
        <v>0.36047684891064691</v>
      </c>
    </row>
    <row r="33" spans="1:26" s="26" customFormat="1" outlineLevel="1" collapsed="1" x14ac:dyDescent="0.25">
      <c r="A33" s="25"/>
      <c r="B33" s="12" t="str">
        <f>CONCATENATE("     ","Advertising/Promo                                 ")</f>
        <v xml:space="preserve">     Advertising/Promo                                 </v>
      </c>
      <c r="C33" s="12"/>
      <c r="D33" s="1">
        <f>SUM(OSRRefD22_2x_0)</f>
        <v>0</v>
      </c>
      <c r="E33" s="1"/>
      <c r="F33" s="5">
        <f t="shared" ref="F33:F43" si="16">IF(D$12=0,0,D33/D$12)</f>
        <v>0</v>
      </c>
      <c r="G33" s="1"/>
      <c r="H33" s="1">
        <f>SUM(OSRRefH22_2x_0)</f>
        <v>1962.21</v>
      </c>
      <c r="I33" s="1"/>
      <c r="J33" s="5">
        <f t="shared" ref="J33:J43" si="17">IF(H$12=0,0,H33/H$12)</f>
        <v>0</v>
      </c>
      <c r="K33" s="1"/>
      <c r="L33" s="1">
        <f t="shared" ref="L33:L43" si="18">+D33-H33</f>
        <v>-1962.21</v>
      </c>
      <c r="M33" s="1"/>
      <c r="N33" s="5">
        <f t="shared" ref="N33:N43" si="19">IF(H33=0,0,L33/H33)</f>
        <v>-1</v>
      </c>
      <c r="O33" s="12"/>
      <c r="P33" s="1">
        <f>SUM(OSRRefP22_2x_0)</f>
        <v>1558.89</v>
      </c>
      <c r="Q33" s="1"/>
      <c r="R33" s="5">
        <f t="shared" ref="R33:R43" si="20">IF(P$12=0,0,P33/P$12)</f>
        <v>0</v>
      </c>
      <c r="S33" s="1"/>
      <c r="T33" s="1">
        <f>SUM(OSRRefT22_2x_0)</f>
        <v>-46063.199999999997</v>
      </c>
      <c r="U33" s="1"/>
      <c r="V33" s="5">
        <f t="shared" ref="V33:V43" si="21">IF(T$12=0,0,T33/T$12)</f>
        <v>0</v>
      </c>
      <c r="W33" s="1"/>
      <c r="X33" s="1">
        <f t="shared" ref="X33:X43" si="22">+P33-T33</f>
        <v>47622.09</v>
      </c>
      <c r="Y33" s="1"/>
      <c r="Z33" s="5">
        <f t="shared" ref="Z33:Z43" si="23">IF(T33=0,0,X33/T33)</f>
        <v>-1.0338424165060178</v>
      </c>
    </row>
    <row r="34" spans="1:26" s="23" customFormat="1" hidden="1" outlineLevel="2" x14ac:dyDescent="0.25">
      <c r="A34" s="27"/>
      <c r="B34" s="10" t="str">
        <f>CONCATENATE("          ", "6362", " - ", "ADVERTISING EXPENSE")</f>
        <v xml:space="preserve">          6362 - ADVERTISING EXPENSE</v>
      </c>
      <c r="C34" s="10"/>
      <c r="D34" s="6"/>
      <c r="E34" s="2"/>
      <c r="F34" s="7">
        <f t="shared" si="16"/>
        <v>0</v>
      </c>
      <c r="G34" s="2"/>
      <c r="H34" s="6">
        <v>1962.21</v>
      </c>
      <c r="I34" s="2"/>
      <c r="J34" s="7">
        <f t="shared" si="17"/>
        <v>0</v>
      </c>
      <c r="K34" s="2"/>
      <c r="L34" s="6">
        <f t="shared" si="18"/>
        <v>-1962.21</v>
      </c>
      <c r="M34" s="2"/>
      <c r="N34" s="7">
        <f t="shared" si="19"/>
        <v>-1</v>
      </c>
      <c r="O34" s="10"/>
      <c r="P34" s="6">
        <v>1558.89</v>
      </c>
      <c r="Q34" s="2"/>
      <c r="R34" s="7">
        <f t="shared" si="20"/>
        <v>0</v>
      </c>
      <c r="S34" s="2"/>
      <c r="T34" s="6">
        <v>-46063.199999999997</v>
      </c>
      <c r="U34" s="2"/>
      <c r="V34" s="7">
        <f t="shared" si="21"/>
        <v>0</v>
      </c>
      <c r="W34" s="2"/>
      <c r="X34" s="6">
        <f t="shared" si="22"/>
        <v>47622.09</v>
      </c>
      <c r="Y34" s="2"/>
      <c r="Z34" s="7">
        <f t="shared" si="23"/>
        <v>-1.0338424165060178</v>
      </c>
    </row>
    <row r="35" spans="1:26" s="26" customFormat="1" outlineLevel="1" collapsed="1" x14ac:dyDescent="0.25">
      <c r="A35" s="25"/>
      <c r="B35" s="12" t="str">
        <f>CONCATENATE("     ","Depreciation                                      ")</f>
        <v xml:space="preserve">     Depreciation                                      </v>
      </c>
      <c r="C35" s="12"/>
      <c r="D35" s="1">
        <f>SUM(OSRRefD22_3x_0)</f>
        <v>0</v>
      </c>
      <c r="E35" s="1"/>
      <c r="F35" s="5">
        <f t="shared" si="16"/>
        <v>0</v>
      </c>
      <c r="G35" s="1"/>
      <c r="H35" s="1">
        <f>SUM(OSRRefH22_3x_0)</f>
        <v>271.31</v>
      </c>
      <c r="I35" s="1"/>
      <c r="J35" s="5">
        <f t="shared" si="17"/>
        <v>0</v>
      </c>
      <c r="K35" s="1"/>
      <c r="L35" s="1">
        <f t="shared" si="18"/>
        <v>-271.31</v>
      </c>
      <c r="M35" s="1"/>
      <c r="N35" s="5">
        <f t="shared" si="19"/>
        <v>-1</v>
      </c>
      <c r="O35" s="12"/>
      <c r="P35" s="1">
        <f>SUM(OSRRefP22_3x_0)</f>
        <v>1898.94</v>
      </c>
      <c r="Q35" s="1"/>
      <c r="R35" s="5">
        <f t="shared" si="20"/>
        <v>0</v>
      </c>
      <c r="S35" s="1"/>
      <c r="T35" s="1">
        <f>SUM(OSRRefT22_3x_0)</f>
        <v>2932.34</v>
      </c>
      <c r="U35" s="1"/>
      <c r="V35" s="5">
        <f t="shared" si="21"/>
        <v>0</v>
      </c>
      <c r="W35" s="1"/>
      <c r="X35" s="1">
        <f t="shared" si="22"/>
        <v>-1033.4000000000001</v>
      </c>
      <c r="Y35" s="1"/>
      <c r="Z35" s="5">
        <f t="shared" si="23"/>
        <v>-0.35241479501012846</v>
      </c>
    </row>
    <row r="36" spans="1:26" s="23" customFormat="1" hidden="1" outlineLevel="2" x14ac:dyDescent="0.25">
      <c r="A36" s="27"/>
      <c r="B36" s="10" t="str">
        <f>CONCATENATE("          ", "6322", " - ", "EQUIPMENT DEPRECIATION EXPENSE")</f>
        <v xml:space="preserve">          6322 - EQUIPMENT DEPRECIATION EXPENSE</v>
      </c>
      <c r="C36" s="10"/>
      <c r="D36" s="6"/>
      <c r="E36" s="2"/>
      <c r="F36" s="7">
        <f t="shared" si="16"/>
        <v>0</v>
      </c>
      <c r="G36" s="2"/>
      <c r="H36" s="6">
        <v>271.31</v>
      </c>
      <c r="I36" s="2"/>
      <c r="J36" s="7">
        <f t="shared" si="17"/>
        <v>0</v>
      </c>
      <c r="K36" s="2"/>
      <c r="L36" s="6">
        <f t="shared" si="18"/>
        <v>-271.31</v>
      </c>
      <c r="M36" s="2"/>
      <c r="N36" s="7">
        <f t="shared" si="19"/>
        <v>-1</v>
      </c>
      <c r="O36" s="10"/>
      <c r="P36" s="6">
        <v>1898.94</v>
      </c>
      <c r="Q36" s="2"/>
      <c r="R36" s="7">
        <f t="shared" si="20"/>
        <v>0</v>
      </c>
      <c r="S36" s="2"/>
      <c r="T36" s="6">
        <v>2932.34</v>
      </c>
      <c r="U36" s="2"/>
      <c r="V36" s="7">
        <f t="shared" si="21"/>
        <v>0</v>
      </c>
      <c r="W36" s="2"/>
      <c r="X36" s="6">
        <f t="shared" si="22"/>
        <v>-1033.4000000000001</v>
      </c>
      <c r="Y36" s="2"/>
      <c r="Z36" s="7">
        <f t="shared" si="23"/>
        <v>-0.35241479501012846</v>
      </c>
    </row>
    <row r="37" spans="1:26" s="26" customFormat="1" outlineLevel="1" collapsed="1" x14ac:dyDescent="0.25">
      <c r="A37" s="25"/>
      <c r="B37" s="12" t="str">
        <f>CONCATENATE("     ","Employees' Appreciation                           ")</f>
        <v xml:space="preserve">     Employees' Appreciation                           </v>
      </c>
      <c r="C37" s="12"/>
      <c r="D37" s="1">
        <f>SUM(OSRRefD22_4x_0)</f>
        <v>0</v>
      </c>
      <c r="E37" s="1"/>
      <c r="F37" s="5">
        <f t="shared" si="16"/>
        <v>0</v>
      </c>
      <c r="G37" s="1"/>
      <c r="H37" s="1">
        <f>SUM(OSRRefH22_4x_0)</f>
        <v>-36.369999999999997</v>
      </c>
      <c r="I37" s="1"/>
      <c r="J37" s="5">
        <f t="shared" si="17"/>
        <v>0</v>
      </c>
      <c r="K37" s="1"/>
      <c r="L37" s="1">
        <f t="shared" si="18"/>
        <v>36.369999999999997</v>
      </c>
      <c r="M37" s="1"/>
      <c r="N37" s="5">
        <f t="shared" si="19"/>
        <v>-1</v>
      </c>
      <c r="O37" s="12"/>
      <c r="P37" s="1">
        <f>SUM(OSRRefP22_4x_0)</f>
        <v>0</v>
      </c>
      <c r="Q37" s="1"/>
      <c r="R37" s="5">
        <f t="shared" si="20"/>
        <v>0</v>
      </c>
      <c r="S37" s="1"/>
      <c r="T37" s="1">
        <f>SUM(OSRRefT22_4x_0)</f>
        <v>30.15</v>
      </c>
      <c r="U37" s="1"/>
      <c r="V37" s="5">
        <f t="shared" si="21"/>
        <v>0</v>
      </c>
      <c r="W37" s="1"/>
      <c r="X37" s="1">
        <f t="shared" si="22"/>
        <v>-30.15</v>
      </c>
      <c r="Y37" s="1"/>
      <c r="Z37" s="5">
        <f t="shared" si="23"/>
        <v>-1</v>
      </c>
    </row>
    <row r="38" spans="1:26" s="23" customFormat="1" hidden="1" outlineLevel="2" x14ac:dyDescent="0.25">
      <c r="A38" s="27"/>
      <c r="B38" s="10" t="str">
        <f>CONCATENATE("          ", "6277", " - ", "EMPLOYEE APPRECIATION")</f>
        <v xml:space="preserve">          6277 - EMPLOYEE APPRECIATION</v>
      </c>
      <c r="C38" s="10"/>
      <c r="D38" s="6"/>
      <c r="E38" s="2"/>
      <c r="F38" s="7">
        <f t="shared" si="16"/>
        <v>0</v>
      </c>
      <c r="G38" s="2"/>
      <c r="H38" s="6">
        <v>-36.369999999999997</v>
      </c>
      <c r="I38" s="2"/>
      <c r="J38" s="7">
        <f t="shared" si="17"/>
        <v>0</v>
      </c>
      <c r="K38" s="2"/>
      <c r="L38" s="6">
        <f t="shared" si="18"/>
        <v>36.369999999999997</v>
      </c>
      <c r="M38" s="2"/>
      <c r="N38" s="7">
        <f t="shared" si="19"/>
        <v>-1</v>
      </c>
      <c r="O38" s="10"/>
      <c r="P38" s="6"/>
      <c r="Q38" s="2"/>
      <c r="R38" s="7">
        <f t="shared" si="20"/>
        <v>0</v>
      </c>
      <c r="S38" s="2"/>
      <c r="T38" s="6">
        <v>30.15</v>
      </c>
      <c r="U38" s="2"/>
      <c r="V38" s="7">
        <f t="shared" si="21"/>
        <v>0</v>
      </c>
      <c r="W38" s="2"/>
      <c r="X38" s="6">
        <f t="shared" si="22"/>
        <v>-30.15</v>
      </c>
      <c r="Y38" s="2"/>
      <c r="Z38" s="7">
        <f t="shared" si="23"/>
        <v>-1</v>
      </c>
    </row>
    <row r="39" spans="1:26" s="26" customFormat="1" outlineLevel="1" collapsed="1" x14ac:dyDescent="0.25">
      <c r="A39" s="25"/>
      <c r="B39" s="12" t="str">
        <f>CONCATENATE("     ","General                                           ")</f>
        <v xml:space="preserve">     General                                           </v>
      </c>
      <c r="C39" s="12"/>
      <c r="D39" s="1">
        <f>SUM(OSRRefD22_5x_0)</f>
        <v>0</v>
      </c>
      <c r="E39" s="1"/>
      <c r="F39" s="5">
        <f t="shared" si="16"/>
        <v>0</v>
      </c>
      <c r="G39" s="1"/>
      <c r="H39" s="1">
        <f>SUM(OSRRefH22_5x_0)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2"/>
      <c r="P39" s="1">
        <f>SUM(OSRRefP22_5x_0)</f>
        <v>0</v>
      </c>
      <c r="Q39" s="1"/>
      <c r="R39" s="5">
        <f t="shared" si="20"/>
        <v>0</v>
      </c>
      <c r="S39" s="1"/>
      <c r="T39" s="1">
        <f>SUM(OSRRefT22_5x_0)</f>
        <v>1373.22</v>
      </c>
      <c r="U39" s="1"/>
      <c r="V39" s="5">
        <f t="shared" si="21"/>
        <v>0</v>
      </c>
      <c r="W39" s="1"/>
      <c r="X39" s="1">
        <f t="shared" si="22"/>
        <v>-1373.22</v>
      </c>
      <c r="Y39" s="1"/>
      <c r="Z39" s="5">
        <f t="shared" si="23"/>
        <v>-1</v>
      </c>
    </row>
    <row r="40" spans="1:26" s="23" customFormat="1" hidden="1" outlineLevel="2" x14ac:dyDescent="0.25">
      <c r="A40" s="27"/>
      <c r="B40" s="10" t="str">
        <f>CONCATENATE("          ", "6279", " - ", "GENERAL EXPENSE")</f>
        <v xml:space="preserve">          6279 - GENERAL EXPENSE</v>
      </c>
      <c r="C40" s="10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0"/>
      <c r="P40" s="6"/>
      <c r="Q40" s="2"/>
      <c r="R40" s="7">
        <f t="shared" si="20"/>
        <v>0</v>
      </c>
      <c r="S40" s="2"/>
      <c r="T40" s="6">
        <v>1373.22</v>
      </c>
      <c r="U40" s="2"/>
      <c r="V40" s="7">
        <f t="shared" si="21"/>
        <v>0</v>
      </c>
      <c r="W40" s="2"/>
      <c r="X40" s="6">
        <f t="shared" si="22"/>
        <v>-1373.22</v>
      </c>
      <c r="Y40" s="2"/>
      <c r="Z40" s="7">
        <f t="shared" si="23"/>
        <v>-1</v>
      </c>
    </row>
    <row r="41" spans="1:26" s="26" customFormat="1" outlineLevel="1" collapsed="1" x14ac:dyDescent="0.25">
      <c r="A41" s="25"/>
      <c r="B41" s="12" t="str">
        <f>CONCATENATE("     ","Supplies                                          ")</f>
        <v xml:space="preserve">     Supplies                                          </v>
      </c>
      <c r="C41" s="12"/>
      <c r="D41" s="1">
        <f>SUM(OSRRefD22_6x_0)</f>
        <v>0</v>
      </c>
      <c r="E41" s="1"/>
      <c r="F41" s="5">
        <f t="shared" si="16"/>
        <v>0</v>
      </c>
      <c r="G41" s="1"/>
      <c r="H41" s="1">
        <f>SUM(OSRRefH22_6x_0)</f>
        <v>387.52</v>
      </c>
      <c r="I41" s="1"/>
      <c r="J41" s="5">
        <f t="shared" si="17"/>
        <v>0</v>
      </c>
      <c r="K41" s="1"/>
      <c r="L41" s="1">
        <f t="shared" si="18"/>
        <v>-387.52</v>
      </c>
      <c r="M41" s="1"/>
      <c r="N41" s="5">
        <f t="shared" si="19"/>
        <v>-1</v>
      </c>
      <c r="O41" s="12"/>
      <c r="P41" s="1">
        <f>SUM(OSRRefP22_6x_0)</f>
        <v>0</v>
      </c>
      <c r="Q41" s="1"/>
      <c r="R41" s="5">
        <f t="shared" si="20"/>
        <v>0</v>
      </c>
      <c r="S41" s="1"/>
      <c r="T41" s="1">
        <f>SUM(OSRRefT22_6x_0)</f>
        <v>2193.56</v>
      </c>
      <c r="U41" s="1"/>
      <c r="V41" s="5">
        <f t="shared" si="21"/>
        <v>0</v>
      </c>
      <c r="W41" s="1"/>
      <c r="X41" s="1">
        <f t="shared" si="22"/>
        <v>-2193.56</v>
      </c>
      <c r="Y41" s="1"/>
      <c r="Z41" s="5">
        <f t="shared" si="23"/>
        <v>-1</v>
      </c>
    </row>
    <row r="42" spans="1:26" s="23" customFormat="1" hidden="1" outlineLevel="2" x14ac:dyDescent="0.25">
      <c r="A42" s="27"/>
      <c r="B42" s="10" t="str">
        <f>CONCATENATE("          ", "6241", " - ", "OFFICE EXPENSE")</f>
        <v xml:space="preserve">          6241 - OFFICE EXPENSE</v>
      </c>
      <c r="C42" s="10"/>
      <c r="D42" s="6"/>
      <c r="E42" s="2"/>
      <c r="F42" s="7">
        <f t="shared" si="16"/>
        <v>0</v>
      </c>
      <c r="G42" s="2"/>
      <c r="H42" s="6">
        <v>387.52</v>
      </c>
      <c r="I42" s="2"/>
      <c r="J42" s="7">
        <f t="shared" si="17"/>
        <v>0</v>
      </c>
      <c r="K42" s="2"/>
      <c r="L42" s="6">
        <f t="shared" si="18"/>
        <v>-387.52</v>
      </c>
      <c r="M42" s="2"/>
      <c r="N42" s="7">
        <f t="shared" si="19"/>
        <v>-1</v>
      </c>
      <c r="O42" s="10"/>
      <c r="P42" s="6"/>
      <c r="Q42" s="2"/>
      <c r="R42" s="7">
        <f t="shared" si="20"/>
        <v>0</v>
      </c>
      <c r="S42" s="2"/>
      <c r="T42" s="6">
        <v>1847.14</v>
      </c>
      <c r="U42" s="2"/>
      <c r="V42" s="7">
        <f t="shared" si="21"/>
        <v>0</v>
      </c>
      <c r="W42" s="2"/>
      <c r="X42" s="6">
        <f t="shared" si="22"/>
        <v>-1847.14</v>
      </c>
      <c r="Y42" s="2"/>
      <c r="Z42" s="7">
        <f t="shared" si="23"/>
        <v>-1</v>
      </c>
    </row>
    <row r="43" spans="1:26" s="23" customFormat="1" hidden="1" outlineLevel="2" x14ac:dyDescent="0.25">
      <c r="A43" s="27"/>
      <c r="B43" s="10" t="str">
        <f>CONCATENATE("          ", "6245", " - ", "PRINTING")</f>
        <v xml:space="preserve">          6245 - PRINTING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/>
      <c r="Q43" s="2"/>
      <c r="R43" s="7">
        <f t="shared" si="20"/>
        <v>0</v>
      </c>
      <c r="S43" s="2"/>
      <c r="T43" s="6">
        <v>346.42</v>
      </c>
      <c r="U43" s="2"/>
      <c r="V43" s="7">
        <f t="shared" si="21"/>
        <v>0</v>
      </c>
      <c r="W43" s="2"/>
      <c r="X43" s="6">
        <f t="shared" si="22"/>
        <v>-346.42</v>
      </c>
      <c r="Y43" s="2"/>
      <c r="Z43" s="7">
        <f t="shared" si="23"/>
        <v>-1</v>
      </c>
    </row>
    <row r="44" spans="1:26" s="26" customFormat="1" outlineLevel="1" collapsed="1" x14ac:dyDescent="0.25">
      <c r="A44" s="25"/>
      <c r="B44" s="12" t="str">
        <f>CONCATENATE("     ","Telephone/Data Lines                              ")</f>
        <v xml:space="preserve">     Telephone/Data Lines                              </v>
      </c>
      <c r="C44" s="12"/>
      <c r="D44" s="1">
        <f>SUM(OSRRefD22_7x_0)</f>
        <v>36</v>
      </c>
      <c r="E44" s="1"/>
      <c r="F44" s="5">
        <f t="shared" ref="F44:F47" si="24">IF(D$12=0,0,D44/D$12)</f>
        <v>0</v>
      </c>
      <c r="G44" s="1"/>
      <c r="H44" s="1">
        <f>SUM(OSRRefH22_7x_0)</f>
        <v>36</v>
      </c>
      <c r="I44" s="1"/>
      <c r="J44" s="5">
        <f t="shared" ref="J44:J47" si="25">IF(H$12=0,0,H44/H$12)</f>
        <v>0</v>
      </c>
      <c r="K44" s="1"/>
      <c r="L44" s="1">
        <f t="shared" ref="L44:L47" si="26">+D44-H44</f>
        <v>0</v>
      </c>
      <c r="M44" s="1"/>
      <c r="N44" s="5">
        <f t="shared" ref="N44:N47" si="27">IF(H44=0,0,L44/H44)</f>
        <v>0</v>
      </c>
      <c r="O44" s="12"/>
      <c r="P44" s="1">
        <f>SUM(OSRRefP22_7x_0)</f>
        <v>324.14999999999998</v>
      </c>
      <c r="Q44" s="1"/>
      <c r="R44" s="5">
        <f t="shared" ref="R44:R47" si="28">IF(P$12=0,0,P44/P$12)</f>
        <v>0</v>
      </c>
      <c r="S44" s="1"/>
      <c r="T44" s="1">
        <f>SUM(OSRRefT22_7x_0)</f>
        <v>660.38</v>
      </c>
      <c r="U44" s="1"/>
      <c r="V44" s="5">
        <f t="shared" ref="V44:V47" si="29">IF(T$12=0,0,T44/T$12)</f>
        <v>0</v>
      </c>
      <c r="W44" s="1"/>
      <c r="X44" s="1">
        <f t="shared" ref="X44:X47" si="30">+P44-T44</f>
        <v>-336.23</v>
      </c>
      <c r="Y44" s="1"/>
      <c r="Z44" s="5">
        <f t="shared" ref="Z44:Z47" si="31">IF(T44=0,0,X44/T44)</f>
        <v>-0.50914624912928919</v>
      </c>
    </row>
    <row r="45" spans="1:26" s="23" customFormat="1" hidden="1" outlineLevel="2" x14ac:dyDescent="0.25">
      <c r="A45" s="27"/>
      <c r="B45" s="10" t="str">
        <f>CONCATENATE("          ", "6309", " - ", "TELEPHONE")</f>
        <v xml:space="preserve">          6309 - TELEPHONE</v>
      </c>
      <c r="C45" s="10"/>
      <c r="D45" s="6">
        <v>36</v>
      </c>
      <c r="E45" s="2"/>
      <c r="F45" s="7">
        <f t="shared" si="24"/>
        <v>0</v>
      </c>
      <c r="G45" s="2"/>
      <c r="H45" s="6">
        <v>36</v>
      </c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0"/>
      <c r="P45" s="6">
        <v>324.14999999999998</v>
      </c>
      <c r="Q45" s="2"/>
      <c r="R45" s="7">
        <f t="shared" si="28"/>
        <v>0</v>
      </c>
      <c r="S45" s="2"/>
      <c r="T45" s="6">
        <v>660.38</v>
      </c>
      <c r="U45" s="2"/>
      <c r="V45" s="7">
        <f t="shared" si="29"/>
        <v>0</v>
      </c>
      <c r="W45" s="2"/>
      <c r="X45" s="6">
        <f t="shared" si="30"/>
        <v>-336.23</v>
      </c>
      <c r="Y45" s="2"/>
      <c r="Z45" s="7">
        <f t="shared" si="31"/>
        <v>-0.50914624912928919</v>
      </c>
    </row>
    <row r="46" spans="1:26" s="26" customFormat="1" outlineLevel="1" collapsed="1" x14ac:dyDescent="0.25">
      <c r="A46" s="25"/>
      <c r="B46" s="12" t="str">
        <f>CONCATENATE("     ","Travel                                            ")</f>
        <v xml:space="preserve">     Travel                                            </v>
      </c>
      <c r="C46" s="12"/>
      <c r="D46" s="1">
        <f>SUM(OSRRefD22_8x_0)</f>
        <v>0</v>
      </c>
      <c r="E46" s="1"/>
      <c r="F46" s="5">
        <f t="shared" si="24"/>
        <v>0</v>
      </c>
      <c r="G46" s="1"/>
      <c r="H46" s="1">
        <f>SUM(OSRRefH22_8x_0)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2"/>
      <c r="P46" s="1">
        <f>SUM(OSRRefP22_8x_0)</f>
        <v>0</v>
      </c>
      <c r="Q46" s="1"/>
      <c r="R46" s="5">
        <f t="shared" si="28"/>
        <v>0</v>
      </c>
      <c r="S46" s="1"/>
      <c r="T46" s="1">
        <f>SUM(OSRRefT22_8x_0)</f>
        <v>3921.38</v>
      </c>
      <c r="U46" s="1"/>
      <c r="V46" s="5">
        <f t="shared" si="29"/>
        <v>0</v>
      </c>
      <c r="W46" s="1"/>
      <c r="X46" s="1">
        <f t="shared" si="30"/>
        <v>-3921.38</v>
      </c>
      <c r="Y46" s="1"/>
      <c r="Z46" s="5">
        <f t="shared" si="31"/>
        <v>-1</v>
      </c>
    </row>
    <row r="47" spans="1:26" s="23" customFormat="1" hidden="1" outlineLevel="2" x14ac:dyDescent="0.25">
      <c r="A47" s="27"/>
      <c r="B47" s="10" t="str">
        <f>CONCATENATE("          ", "6292", " - ", "TRAVEL/CONFERENCE")</f>
        <v xml:space="preserve">          6292 - TRAVEL/CONFERENCE</v>
      </c>
      <c r="C47" s="10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0"/>
      <c r="P47" s="6"/>
      <c r="Q47" s="2"/>
      <c r="R47" s="7">
        <f t="shared" si="28"/>
        <v>0</v>
      </c>
      <c r="S47" s="2"/>
      <c r="T47" s="6">
        <v>3921.38</v>
      </c>
      <c r="U47" s="2"/>
      <c r="V47" s="7">
        <f t="shared" si="29"/>
        <v>0</v>
      </c>
      <c r="W47" s="2"/>
      <c r="X47" s="6">
        <f t="shared" si="30"/>
        <v>-3921.38</v>
      </c>
      <c r="Y47" s="2"/>
      <c r="Z47" s="7">
        <f t="shared" si="31"/>
        <v>-1</v>
      </c>
    </row>
    <row r="48" spans="1:26" s="62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4" customFormat="1" x14ac:dyDescent="0.25">
      <c r="A49" s="11"/>
      <c r="B49" s="28" t="s">
        <v>292</v>
      </c>
      <c r="C49" s="11"/>
      <c r="D49" s="4">
        <f>SUM(0)</f>
        <v>0</v>
      </c>
      <c r="E49" s="4"/>
      <c r="F49" s="13">
        <f>IF(D$12=0,0,D49/D$12)</f>
        <v>0</v>
      </c>
      <c r="G49" s="4"/>
      <c r="H49" s="4">
        <f>SUM(0)</f>
        <v>0</v>
      </c>
      <c r="I49" s="4"/>
      <c r="J49" s="13">
        <f>IF(H$12=0,0,H49/H$12)</f>
        <v>0</v>
      </c>
      <c r="K49" s="4"/>
      <c r="L49" s="4">
        <f>+D49-H49</f>
        <v>0</v>
      </c>
      <c r="M49" s="4"/>
      <c r="N49" s="13">
        <f>IF(H49=0,0,L49/H49)</f>
        <v>0</v>
      </c>
      <c r="O49" s="11"/>
      <c r="P49" s="4">
        <f>SUM(0)</f>
        <v>0</v>
      </c>
      <c r="Q49" s="4"/>
      <c r="R49" s="13">
        <f>IF(P$12=0,0,P49/P$12)</f>
        <v>0</v>
      </c>
      <c r="S49" s="4"/>
      <c r="T49" s="4">
        <f>SUM(0)</f>
        <v>0</v>
      </c>
      <c r="U49" s="4"/>
      <c r="V49" s="13">
        <f>IF(T$12=0,0,T49/T$12)</f>
        <v>0</v>
      </c>
      <c r="W49" s="4"/>
      <c r="X49" s="4">
        <f>+P49-T49</f>
        <v>0</v>
      </c>
      <c r="Y49" s="4"/>
      <c r="Z49" s="13">
        <f>IF(T49=0,0,X49/T49)</f>
        <v>0</v>
      </c>
    </row>
    <row r="50" spans="1:26" x14ac:dyDescent="0.25">
      <c r="A50" s="9"/>
      <c r="B50" s="11"/>
      <c r="C50" s="11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1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4" customFormat="1" x14ac:dyDescent="0.25">
      <c r="A51" s="11"/>
      <c r="B51" s="29" t="s">
        <v>276</v>
      </c>
      <c r="C51" s="29"/>
      <c r="D51" s="20">
        <f>+D16-D18+D49</f>
        <v>-8201.7900000000009</v>
      </c>
      <c r="E51" s="14"/>
      <c r="F51" s="22">
        <f>IF(D$12=0,0,D51/D$12)</f>
        <v>0</v>
      </c>
      <c r="G51" s="14"/>
      <c r="H51" s="20">
        <f>+H16-H18+H49</f>
        <v>-12057.48</v>
      </c>
      <c r="I51" s="14"/>
      <c r="J51" s="22">
        <f>IF(H$12=0,0,H51/H$12)</f>
        <v>0</v>
      </c>
      <c r="K51" s="16"/>
      <c r="L51" s="20">
        <f>+D51-H51</f>
        <v>3855.6899999999987</v>
      </c>
      <c r="M51" s="16"/>
      <c r="N51" s="22">
        <f>IF(H51=0,0,L51/H51)</f>
        <v>-0.31977577404233709</v>
      </c>
      <c r="O51" s="28"/>
      <c r="P51" s="20">
        <f>+P16-P18+P49</f>
        <v>-87864.8</v>
      </c>
      <c r="Q51" s="14"/>
      <c r="R51" s="22">
        <f>IF(P$12=0,0,P51/P$12)</f>
        <v>0</v>
      </c>
      <c r="S51" s="14"/>
      <c r="T51" s="20">
        <f>+T16-T18+T49</f>
        <v>-89844.83</v>
      </c>
      <c r="U51" s="14"/>
      <c r="V51" s="22">
        <f>IF(T$12=0,0,T51/T$12)</f>
        <v>0</v>
      </c>
      <c r="W51" s="16"/>
      <c r="X51" s="20">
        <f>+P51-T51</f>
        <v>1980.0299999999988</v>
      </c>
      <c r="Y51" s="16"/>
      <c r="Z51" s="22">
        <f>IF(T51=0,0,X51/T51)</f>
        <v>-2.2038329862719967E-2</v>
      </c>
    </row>
    <row r="52" spans="1:26" x14ac:dyDescent="0.25">
      <c r="A52" s="9"/>
      <c r="B52" s="11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x14ac:dyDescent="0.25">
      <c r="A53" s="51"/>
      <c r="B53" s="11" t="s">
        <v>127</v>
      </c>
      <c r="C53" s="11"/>
      <c r="D53" s="4"/>
      <c r="E53" s="4"/>
      <c r="F53" s="13">
        <f>IF(D$12=0,0,D53/D$12)</f>
        <v>0</v>
      </c>
      <c r="G53" s="4"/>
      <c r="H53" s="4"/>
      <c r="I53" s="4"/>
      <c r="J53" s="13">
        <f>IF(H$12=0,0,H53/H$12)</f>
        <v>0</v>
      </c>
      <c r="K53" s="4"/>
      <c r="L53" s="4">
        <f>+D53-H53</f>
        <v>0</v>
      </c>
      <c r="M53" s="4"/>
      <c r="N53" s="13">
        <f>IF(H53=0,0,L53/H53)</f>
        <v>0</v>
      </c>
      <c r="O53" s="11"/>
      <c r="P53" s="4"/>
      <c r="Q53" s="4"/>
      <c r="R53" s="13">
        <f>IF(P$12=0,0,P53/P$12)</f>
        <v>0</v>
      </c>
      <c r="S53" s="4"/>
      <c r="T53" s="4"/>
      <c r="U53" s="4"/>
      <c r="V53" s="13">
        <f>IF(T$12=0,0,T53/T$12)</f>
        <v>0</v>
      </c>
      <c r="W53" s="4"/>
      <c r="X53" s="4">
        <f>+P53-T53</f>
        <v>0</v>
      </c>
      <c r="Y53" s="4"/>
      <c r="Z53" s="13">
        <f>IF(T53=0,0,X53/T53)</f>
        <v>0</v>
      </c>
    </row>
    <row r="54" spans="1:26" x14ac:dyDescent="0.25">
      <c r="A54" s="9"/>
      <c r="B54" s="11"/>
      <c r="C54" s="11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1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ht="15.75" thickBot="1" x14ac:dyDescent="0.3">
      <c r="A55" s="11"/>
      <c r="B55" s="29" t="s">
        <v>125</v>
      </c>
      <c r="C55" s="29"/>
      <c r="D55" s="30">
        <f>+D51-D53</f>
        <v>-8201.7900000000009</v>
      </c>
      <c r="E55" s="14"/>
      <c r="F55" s="34">
        <f>IF(D$12=0,0,D55/D$12)</f>
        <v>0</v>
      </c>
      <c r="G55" s="14"/>
      <c r="H55" s="30">
        <f>+H51-H53</f>
        <v>-12057.48</v>
      </c>
      <c r="I55" s="14"/>
      <c r="J55" s="34">
        <f>IF(H$12=0,0,H55/H$12)</f>
        <v>0</v>
      </c>
      <c r="K55" s="16"/>
      <c r="L55" s="30">
        <f>D55-H55</f>
        <v>3855.6899999999987</v>
      </c>
      <c r="M55" s="16"/>
      <c r="N55" s="34">
        <f>IF(H55=0,0,L55/H55)</f>
        <v>-0.31977577404233709</v>
      </c>
      <c r="O55" s="28"/>
      <c r="P55" s="30">
        <f>+P51-P53</f>
        <v>-87864.8</v>
      </c>
      <c r="Q55" s="14"/>
      <c r="R55" s="34">
        <f>IF(P$12=0,0,P55/P$12)</f>
        <v>0</v>
      </c>
      <c r="S55" s="14"/>
      <c r="T55" s="30">
        <f>+T51-T53</f>
        <v>-89844.83</v>
      </c>
      <c r="U55" s="14"/>
      <c r="V55" s="34">
        <f>IF(T$12=0,0,T55/T$12)</f>
        <v>0</v>
      </c>
      <c r="W55" s="16"/>
      <c r="X55" s="30">
        <f>P55-T55</f>
        <v>1980.0299999999988</v>
      </c>
      <c r="Y55" s="16"/>
      <c r="Z55" s="34">
        <f>IF(T55=0,0,X55/T55)</f>
        <v>-2.2038329862719967E-2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4" customFormat="1" ht="15.75" thickBot="1" x14ac:dyDescent="0.3">
      <c r="A58" s="11"/>
      <c r="B58" s="29" t="s">
        <v>293</v>
      </c>
      <c r="C58" s="29"/>
      <c r="D58" s="32">
        <f>SUM(D55:D57)</f>
        <v>-8201.7900000000009</v>
      </c>
      <c r="E58" s="14"/>
      <c r="F58" s="35">
        <f>IF(D$12=0,0,D58/D$12)</f>
        <v>0</v>
      </c>
      <c r="G58" s="14"/>
      <c r="H58" s="32">
        <f>SUM(H55:H57)</f>
        <v>-12057.48</v>
      </c>
      <c r="I58" s="14"/>
      <c r="J58" s="35">
        <f>IF(H$12=0,0,H58/H$12)</f>
        <v>0</v>
      </c>
      <c r="K58" s="16"/>
      <c r="L58" s="32">
        <f>+D58-H58</f>
        <v>3855.6899999999987</v>
      </c>
      <c r="M58" s="16"/>
      <c r="N58" s="35">
        <f>IF(H58=0,0,L58/H58)</f>
        <v>-0.31977577404233709</v>
      </c>
      <c r="O58" s="28"/>
      <c r="P58" s="32">
        <f>SUM(P55:P57)</f>
        <v>-87864.8</v>
      </c>
      <c r="Q58" s="14"/>
      <c r="R58" s="35">
        <f>IF(P$12=0,0,P58/P$12)</f>
        <v>0</v>
      </c>
      <c r="S58" s="14"/>
      <c r="T58" s="32">
        <f>SUM(T55:T57)</f>
        <v>-89844.83</v>
      </c>
      <c r="U58" s="14"/>
      <c r="V58" s="35">
        <f>IF(T$12=0,0,T58/T$12)</f>
        <v>0</v>
      </c>
      <c r="W58" s="16"/>
      <c r="X58" s="32">
        <f>+P58-T58</f>
        <v>1980.0299999999988</v>
      </c>
      <c r="Y58" s="16"/>
      <c r="Z58" s="35">
        <f>IF(T58=0,0,X58/T58)</f>
        <v>-2.2038329862719967E-2</v>
      </c>
    </row>
    <row r="59" spans="1:26" ht="15.75" thickTop="1" x14ac:dyDescent="0.25">
      <c r="A59" s="9"/>
      <c r="C59" s="9"/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25">
      <c r="A60" s="9"/>
      <c r="B60" s="59">
        <v>44330.00886898148</v>
      </c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25">
      <c r="A61" s="9"/>
      <c r="B61" s="52" t="s">
        <v>56</v>
      </c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A62" s="9"/>
      <c r="B62" s="55"/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9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106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438518.1100000001</v>
      </c>
      <c r="E12" s="4"/>
      <c r="F12" s="13"/>
      <c r="G12" s="4"/>
      <c r="H12" s="4">
        <f>SUM(OSRRefH13x_0)</f>
        <v>164881.85999999999</v>
      </c>
      <c r="I12" s="4"/>
      <c r="J12" s="13"/>
      <c r="K12" s="4"/>
      <c r="L12" s="4">
        <f t="shared" ref="L12:L112" si="0">+D12-H12</f>
        <v>273636.25000000012</v>
      </c>
      <c r="M12" s="4"/>
      <c r="N12" s="13">
        <f t="shared" ref="N12:N112" si="1">IF(H12=0,0,L12/H12)</f>
        <v>1.6595897814350236</v>
      </c>
      <c r="O12" s="11"/>
      <c r="P12" s="4">
        <f>SUM(OSRRefP13x_0)</f>
        <v>4705512.34</v>
      </c>
      <c r="Q12" s="4"/>
      <c r="R12" s="13"/>
      <c r="S12" s="4"/>
      <c r="T12" s="4">
        <f>SUM(OSRRefT13x_0)</f>
        <v>11127705.469999999</v>
      </c>
      <c r="U12" s="4"/>
      <c r="V12" s="13"/>
      <c r="W12" s="4"/>
      <c r="X12" s="4">
        <f t="shared" ref="X12:X112" si="2">+P12-T12</f>
        <v>-6422193.129999999</v>
      </c>
      <c r="Y12" s="4"/>
      <c r="Z12" s="13">
        <f t="shared" ref="Z12:Z112" si="3">IF(T12=0,0,X12/T12)</f>
        <v>-0.5771354343727072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-13171.93</f>
        <v>-13171.93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-13171.93</v>
      </c>
      <c r="M13" s="2"/>
      <c r="N13" s="19">
        <f t="shared" si="1"/>
        <v>0</v>
      </c>
      <c r="O13" s="10"/>
      <c r="P13" s="2">
        <f>-133095.19</f>
        <v>-133095.19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-133095.19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--31347.12</f>
        <v>31347.119999999999</v>
      </c>
      <c r="E14" s="2"/>
      <c r="F14" s="19"/>
      <c r="G14" s="2"/>
      <c r="H14" s="2">
        <f>--1084.45</f>
        <v>1084.45</v>
      </c>
      <c r="I14" s="2"/>
      <c r="J14" s="19"/>
      <c r="K14" s="2"/>
      <c r="L14" s="2">
        <f t="shared" si="0"/>
        <v>30262.67</v>
      </c>
      <c r="M14" s="2"/>
      <c r="N14" s="19">
        <f t="shared" si="1"/>
        <v>27.906007653649311</v>
      </c>
      <c r="O14" s="10"/>
      <c r="P14" s="2">
        <f>--1263810.36</f>
        <v>1263810.3600000001</v>
      </c>
      <c r="Q14" s="2"/>
      <c r="R14" s="19"/>
      <c r="S14" s="2"/>
      <c r="T14" s="2">
        <f>--2397977.73</f>
        <v>2397977.73</v>
      </c>
      <c r="U14" s="2"/>
      <c r="V14" s="19"/>
      <c r="W14" s="2"/>
      <c r="X14" s="2">
        <f t="shared" si="2"/>
        <v>-1134167.3699999999</v>
      </c>
      <c r="Y14" s="2"/>
      <c r="Z14" s="19">
        <f t="shared" si="3"/>
        <v>-0.47296826647343382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--1971.3</f>
        <v>1971.3</v>
      </c>
      <c r="E15" s="2"/>
      <c r="F15" s="19"/>
      <c r="G15" s="2"/>
      <c r="H15" s="2">
        <f>--602.5</f>
        <v>602.5</v>
      </c>
      <c r="I15" s="2"/>
      <c r="J15" s="19"/>
      <c r="K15" s="2"/>
      <c r="L15" s="2">
        <f t="shared" si="0"/>
        <v>1368.8</v>
      </c>
      <c r="M15" s="2"/>
      <c r="N15" s="19">
        <f t="shared" si="1"/>
        <v>2.2718672199170125</v>
      </c>
      <c r="O15" s="10"/>
      <c r="P15" s="2">
        <f>--578768.63</f>
        <v>578768.63</v>
      </c>
      <c r="Q15" s="2"/>
      <c r="R15" s="19"/>
      <c r="S15" s="2"/>
      <c r="T15" s="2">
        <f>--1244917.19</f>
        <v>1244917.19</v>
      </c>
      <c r="U15" s="2"/>
      <c r="V15" s="19"/>
      <c r="W15" s="2"/>
      <c r="X15" s="2">
        <f t="shared" si="2"/>
        <v>-666148.55999999994</v>
      </c>
      <c r="Y15" s="2"/>
      <c r="Z15" s="19">
        <f t="shared" si="3"/>
        <v>-0.53509467565469149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--20</f>
        <v>20</v>
      </c>
      <c r="E16" s="2"/>
      <c r="F16" s="19"/>
      <c r="G16" s="2"/>
      <c r="H16" s="2">
        <f t="shared" ref="H16:H18" si="4">0</f>
        <v>0</v>
      </c>
      <c r="I16" s="2"/>
      <c r="J16" s="19"/>
      <c r="K16" s="2"/>
      <c r="L16" s="2">
        <f t="shared" si="0"/>
        <v>20</v>
      </c>
      <c r="M16" s="2"/>
      <c r="N16" s="19">
        <f t="shared" si="1"/>
        <v>0</v>
      </c>
      <c r="O16" s="10"/>
      <c r="P16" s="2">
        <f>--17997.88</f>
        <v>17997.88</v>
      </c>
      <c r="Q16" s="2"/>
      <c r="R16" s="19"/>
      <c r="S16" s="2"/>
      <c r="T16" s="2">
        <f>--33694.89</f>
        <v>33694.89</v>
      </c>
      <c r="U16" s="2"/>
      <c r="V16" s="19"/>
      <c r="W16" s="2"/>
      <c r="X16" s="2">
        <f t="shared" si="2"/>
        <v>-15697.009999999998</v>
      </c>
      <c r="Y16" s="2"/>
      <c r="Z16" s="19">
        <f t="shared" si="3"/>
        <v>-0.46585728577834795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5"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5"/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--61.81</f>
        <v>61.81</v>
      </c>
      <c r="E19" s="2"/>
      <c r="F19" s="19"/>
      <c r="G19" s="2"/>
      <c r="H19" s="2">
        <f>--18.36</f>
        <v>18.36</v>
      </c>
      <c r="I19" s="2"/>
      <c r="J19" s="19"/>
      <c r="K19" s="2"/>
      <c r="L19" s="2">
        <f t="shared" si="0"/>
        <v>43.45</v>
      </c>
      <c r="M19" s="2"/>
      <c r="N19" s="19">
        <f t="shared" si="1"/>
        <v>2.3665577342047932</v>
      </c>
      <c r="O19" s="10"/>
      <c r="P19" s="2">
        <f>--1263.83</f>
        <v>1263.83</v>
      </c>
      <c r="Q19" s="2"/>
      <c r="R19" s="19"/>
      <c r="S19" s="2"/>
      <c r="T19" s="2">
        <f>--2713.36</f>
        <v>2713.36</v>
      </c>
      <c r="U19" s="2"/>
      <c r="V19" s="19"/>
      <c r="W19" s="2"/>
      <c r="X19" s="2">
        <f t="shared" si="2"/>
        <v>-1449.5300000000002</v>
      </c>
      <c r="Y19" s="2"/>
      <c r="Z19" s="19">
        <f t="shared" si="3"/>
        <v>-0.53421956540967663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--36.85</f>
        <v>36.85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36.85</v>
      </c>
      <c r="M20" s="2"/>
      <c r="N20" s="19">
        <f t="shared" si="1"/>
        <v>0</v>
      </c>
      <c r="O20" s="10"/>
      <c r="P20" s="2">
        <f>--484.55</f>
        <v>484.55</v>
      </c>
      <c r="Q20" s="2"/>
      <c r="R20" s="19"/>
      <c r="S20" s="2"/>
      <c r="T20" s="2">
        <f>--1219.18</f>
        <v>1219.18</v>
      </c>
      <c r="U20" s="2"/>
      <c r="V20" s="19"/>
      <c r="W20" s="2"/>
      <c r="X20" s="2">
        <f t="shared" si="2"/>
        <v>-734.63000000000011</v>
      </c>
      <c r="Y20" s="2"/>
      <c r="Z20" s="19">
        <f t="shared" si="3"/>
        <v>-0.60256073754490724</v>
      </c>
    </row>
    <row r="21" spans="1:26" s="23" customFormat="1" hidden="1" outlineLevel="1" x14ac:dyDescent="0.25">
      <c r="A21" s="44"/>
      <c r="B21" s="10" t="str">
        <f>CONCATENATE("          ", "4017", " - ", "TAXABLE SALES-DORM/HOUSEWARES")</f>
        <v xml:space="preserve">          4017 - TAXABLE SALES-DORM/HOUSEWARES</v>
      </c>
      <c r="C21" s="10"/>
      <c r="D21" s="2">
        <f>0</f>
        <v>0</v>
      </c>
      <c r="E21" s="2"/>
      <c r="F21" s="19"/>
      <c r="G21" s="2"/>
      <c r="H21" s="2">
        <f>--64.95</f>
        <v>64.95</v>
      </c>
      <c r="I21" s="2"/>
      <c r="J21" s="19"/>
      <c r="K21" s="2"/>
      <c r="L21" s="2">
        <f t="shared" si="0"/>
        <v>-64.95</v>
      </c>
      <c r="M21" s="2"/>
      <c r="N21" s="19">
        <f t="shared" si="1"/>
        <v>-1</v>
      </c>
      <c r="O21" s="10"/>
      <c r="P21" s="2">
        <f>0</f>
        <v>0</v>
      </c>
      <c r="Q21" s="2"/>
      <c r="R21" s="19"/>
      <c r="S21" s="2"/>
      <c r="T21" s="2">
        <f>--347.52</f>
        <v>347.52</v>
      </c>
      <c r="U21" s="2"/>
      <c r="V21" s="19"/>
      <c r="W21" s="2"/>
      <c r="X21" s="2">
        <f t="shared" si="2"/>
        <v>-347.52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"4018", " - ", "TAXABLE SALES-STUDY GUIDES")</f>
        <v xml:space="preserve">          4018 - TAXABLE SALES-STUDY GUIDES</v>
      </c>
      <c r="C22" s="10"/>
      <c r="D22" s="2">
        <f>--72.96</f>
        <v>72.959999999999994</v>
      </c>
      <c r="E22" s="2"/>
      <c r="F22" s="19"/>
      <c r="G22" s="2"/>
      <c r="H22" s="2">
        <f t="shared" ref="H22:H24" si="6">0</f>
        <v>0</v>
      </c>
      <c r="I22" s="2"/>
      <c r="J22" s="19"/>
      <c r="K22" s="2"/>
      <c r="L22" s="2">
        <f t="shared" si="0"/>
        <v>72.959999999999994</v>
      </c>
      <c r="M22" s="2"/>
      <c r="N22" s="19">
        <f t="shared" si="1"/>
        <v>0</v>
      </c>
      <c r="O22" s="10"/>
      <c r="P22" s="2">
        <f>--473.1</f>
        <v>473.1</v>
      </c>
      <c r="Q22" s="2"/>
      <c r="R22" s="19"/>
      <c r="S22" s="2"/>
      <c r="T22" s="2">
        <f>--4154.31</f>
        <v>4154.3100000000004</v>
      </c>
      <c r="U22" s="2"/>
      <c r="V22" s="19"/>
      <c r="W22" s="2"/>
      <c r="X22" s="2">
        <f t="shared" si="2"/>
        <v>-3681.2100000000005</v>
      </c>
      <c r="Y22" s="2"/>
      <c r="Z22" s="19">
        <f t="shared" si="3"/>
        <v>-0.88611827234847662</v>
      </c>
    </row>
    <row r="23" spans="1:26" s="23" customFormat="1" hidden="1" outlineLevel="1" x14ac:dyDescent="0.25">
      <c r="A23" s="44"/>
      <c r="B23" s="10" t="str">
        <f>CONCATENATE("          ", "4019", " - ", "TAXABLE SALES-BOOK RELATED")</f>
        <v xml:space="preserve">          4019 - TAXABLE SALES-BOOK RELATED</v>
      </c>
      <c r="C23" s="10"/>
      <c r="D23" s="2">
        <f t="shared" ref="D23:D24" si="7">0</f>
        <v>0</v>
      </c>
      <c r="E23" s="2"/>
      <c r="F23" s="19"/>
      <c r="G23" s="2"/>
      <c r="H23" s="2">
        <f t="shared" si="6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ref="P23:P24" si="8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"4025", " - ", "TAXABLE SALES-TEST FORMS")</f>
        <v xml:space="preserve">          4025 - TAXABLE SALES-TEST FORMS</v>
      </c>
      <c r="C24" s="10"/>
      <c r="D24" s="2">
        <f t="shared" si="7"/>
        <v>0</v>
      </c>
      <c r="E24" s="2"/>
      <c r="F24" s="19"/>
      <c r="G24" s="2"/>
      <c r="H24" s="2">
        <f t="shared" si="6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 t="shared" si="8"/>
        <v>0</v>
      </c>
      <c r="Q24" s="2"/>
      <c r="R24" s="19"/>
      <c r="S24" s="2"/>
      <c r="T24" s="2">
        <f>--54702.86</f>
        <v>54702.86</v>
      </c>
      <c r="U24" s="2"/>
      <c r="V24" s="19"/>
      <c r="W24" s="2"/>
      <c r="X24" s="2">
        <f t="shared" si="2"/>
        <v>-54702.86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"4026", " - ", "TAXABLE SALES-WRITING INSTRUME")</f>
        <v xml:space="preserve">          4026 - TAXABLE SALES-WRITING INSTRUME</v>
      </c>
      <c r="C25" s="10"/>
      <c r="D25" s="2">
        <f>--21.42</f>
        <v>21.42</v>
      </c>
      <c r="E25" s="2"/>
      <c r="F25" s="19"/>
      <c r="G25" s="2"/>
      <c r="H25" s="2">
        <f>--81.65</f>
        <v>81.650000000000006</v>
      </c>
      <c r="I25" s="2"/>
      <c r="J25" s="19"/>
      <c r="K25" s="2"/>
      <c r="L25" s="2">
        <f t="shared" si="0"/>
        <v>-60.230000000000004</v>
      </c>
      <c r="M25" s="2"/>
      <c r="N25" s="19">
        <f t="shared" si="1"/>
        <v>-0.73766074709124307</v>
      </c>
      <c r="O25" s="10"/>
      <c r="P25" s="2">
        <f>--486.17</f>
        <v>486.17</v>
      </c>
      <c r="Q25" s="2"/>
      <c r="R25" s="19"/>
      <c r="S25" s="2"/>
      <c r="T25" s="2">
        <f>--79949.71</f>
        <v>79949.710000000006</v>
      </c>
      <c r="U25" s="2"/>
      <c r="V25" s="19"/>
      <c r="W25" s="2"/>
      <c r="X25" s="2">
        <f t="shared" si="2"/>
        <v>-79463.540000000008</v>
      </c>
      <c r="Y25" s="2"/>
      <c r="Z25" s="19">
        <f t="shared" si="3"/>
        <v>-0.99391905236429257</v>
      </c>
    </row>
    <row r="26" spans="1:26" s="23" customFormat="1" hidden="1" outlineLevel="1" x14ac:dyDescent="0.25">
      <c r="A26" s="44"/>
      <c r="B26" s="10" t="str">
        <f>CONCATENATE("          ", "4027", " - ", "TAXABLE SALES-SCHOOL SUPPLIES")</f>
        <v xml:space="preserve">          4027 - TAXABLE SALES-SCHOOL SUPPLIES</v>
      </c>
      <c r="C26" s="10"/>
      <c r="D26" s="2">
        <f>--6558.65</f>
        <v>6558.65</v>
      </c>
      <c r="E26" s="2"/>
      <c r="F26" s="19"/>
      <c r="G26" s="2"/>
      <c r="H26" s="2">
        <f>--1399.98</f>
        <v>1399.98</v>
      </c>
      <c r="I26" s="2"/>
      <c r="J26" s="19"/>
      <c r="K26" s="2"/>
      <c r="L26" s="2">
        <f t="shared" si="0"/>
        <v>5158.67</v>
      </c>
      <c r="M26" s="2"/>
      <c r="N26" s="19">
        <f t="shared" si="1"/>
        <v>3.6848169259560852</v>
      </c>
      <c r="O26" s="10"/>
      <c r="P26" s="2">
        <f>--64070.97</f>
        <v>64070.97</v>
      </c>
      <c r="Q26" s="2"/>
      <c r="R26" s="19"/>
      <c r="S26" s="2"/>
      <c r="T26" s="2">
        <f>--271246.56</f>
        <v>271246.56</v>
      </c>
      <c r="U26" s="2"/>
      <c r="V26" s="19"/>
      <c r="W26" s="2"/>
      <c r="X26" s="2">
        <f t="shared" si="2"/>
        <v>-207175.59</v>
      </c>
      <c r="Y26" s="2"/>
      <c r="Z26" s="19">
        <f t="shared" si="3"/>
        <v>-0.76379066337283685</v>
      </c>
    </row>
    <row r="27" spans="1:26" s="23" customFormat="1" hidden="1" outlineLevel="1" x14ac:dyDescent="0.25">
      <c r="A27" s="44"/>
      <c r="B27" s="10" t="str">
        <f>CONCATENATE("          ", "4028", " - ", "TAXABLE SALES-ART/TECH")</f>
        <v xml:space="preserve">          4028 - TAXABLE SALES-ART/TECH</v>
      </c>
      <c r="C27" s="10"/>
      <c r="D27" s="2">
        <f>--2650.79</f>
        <v>2650.79</v>
      </c>
      <c r="E27" s="2"/>
      <c r="F27" s="19"/>
      <c r="G27" s="2"/>
      <c r="H27" s="2">
        <f>--168.82</f>
        <v>168.82</v>
      </c>
      <c r="I27" s="2"/>
      <c r="J27" s="19"/>
      <c r="K27" s="2"/>
      <c r="L27" s="2">
        <f t="shared" si="0"/>
        <v>2481.9699999999998</v>
      </c>
      <c r="M27" s="2"/>
      <c r="N27" s="19">
        <f t="shared" si="1"/>
        <v>14.701871816135528</v>
      </c>
      <c r="O27" s="10"/>
      <c r="P27" s="2">
        <f>--46900.17</f>
        <v>46900.17</v>
      </c>
      <c r="Q27" s="2"/>
      <c r="R27" s="19"/>
      <c r="S27" s="2"/>
      <c r="T27" s="2">
        <f>--292765.87</f>
        <v>292765.87</v>
      </c>
      <c r="U27" s="2"/>
      <c r="V27" s="19"/>
      <c r="W27" s="2"/>
      <c r="X27" s="2">
        <f t="shared" si="2"/>
        <v>-245865.7</v>
      </c>
      <c r="Y27" s="2"/>
      <c r="Z27" s="19">
        <f t="shared" si="3"/>
        <v>-0.83980315055166788</v>
      </c>
    </row>
    <row r="28" spans="1:26" s="23" customFormat="1" hidden="1" outlineLevel="1" x14ac:dyDescent="0.25">
      <c r="A28" s="44"/>
      <c r="B28" s="10" t="str">
        <f>CONCATENATE("          ", "4031", " - ", "TAXABLE SALES-FOOD")</f>
        <v xml:space="preserve">          4031 - TAXABLE SALES-FOOD</v>
      </c>
      <c r="C28" s="10"/>
      <c r="D28" s="2">
        <f>--595.72</f>
        <v>595.72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595.72</v>
      </c>
      <c r="M28" s="2"/>
      <c r="N28" s="19">
        <f t="shared" si="1"/>
        <v>0</v>
      </c>
      <c r="O28" s="10"/>
      <c r="P28" s="2">
        <f>--4210.59</f>
        <v>4210.59</v>
      </c>
      <c r="Q28" s="2"/>
      <c r="R28" s="19"/>
      <c r="S28" s="2"/>
      <c r="T28" s="2">
        <f>--486.34</f>
        <v>486.34</v>
      </c>
      <c r="U28" s="2"/>
      <c r="V28" s="19"/>
      <c r="W28" s="2"/>
      <c r="X28" s="2">
        <f t="shared" si="2"/>
        <v>3724.25</v>
      </c>
      <c r="Y28" s="2"/>
      <c r="Z28" s="19">
        <f t="shared" si="3"/>
        <v>7.6577085989225653</v>
      </c>
    </row>
    <row r="29" spans="1:26" s="23" customFormat="1" hidden="1" outlineLevel="1" x14ac:dyDescent="0.25">
      <c r="A29" s="44"/>
      <c r="B29" s="10" t="str">
        <f>CONCATENATE("          ", "4032", " - ", "TAXABLE SALES-JUICE")</f>
        <v xml:space="preserve">          4032 - TAXABLE SALES-JUICE</v>
      </c>
      <c r="C29" s="10"/>
      <c r="D29" s="2">
        <f t="shared" ref="D29:D33" si="9">0</f>
        <v>0</v>
      </c>
      <c r="E29" s="2"/>
      <c r="F29" s="19"/>
      <c r="G29" s="2"/>
      <c r="H29" s="2">
        <f>--1.35</f>
        <v>1.35</v>
      </c>
      <c r="I29" s="2"/>
      <c r="J29" s="19"/>
      <c r="K29" s="2"/>
      <c r="L29" s="2">
        <f t="shared" si="0"/>
        <v>-1.35</v>
      </c>
      <c r="M29" s="2"/>
      <c r="N29" s="19">
        <f t="shared" si="1"/>
        <v>-1</v>
      </c>
      <c r="O29" s="10"/>
      <c r="P29" s="2">
        <f>--444.59</f>
        <v>444.59</v>
      </c>
      <c r="Q29" s="2"/>
      <c r="R29" s="19"/>
      <c r="S29" s="2"/>
      <c r="T29" s="2">
        <f>--277654.52</f>
        <v>277654.52</v>
      </c>
      <c r="U29" s="2"/>
      <c r="V29" s="19"/>
      <c r="W29" s="2"/>
      <c r="X29" s="2">
        <f t="shared" si="2"/>
        <v>-277209.93</v>
      </c>
      <c r="Y29" s="2"/>
      <c r="Z29" s="19">
        <f t="shared" si="3"/>
        <v>-0.99839876548741213</v>
      </c>
    </row>
    <row r="30" spans="1:26" s="23" customFormat="1" hidden="1" outlineLevel="1" x14ac:dyDescent="0.25">
      <c r="A30" s="44"/>
      <c r="B30" s="10" t="str">
        <f>CONCATENATE("          ", "4033", " - ", "TAXABLE SALES-CANDY")</f>
        <v xml:space="preserve">          4033 - TAXABLE SALES-CANDY</v>
      </c>
      <c r="C30" s="10"/>
      <c r="D30" s="2">
        <f t="shared" si="9"/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0</f>
        <v>0</v>
      </c>
      <c r="Q30" s="2"/>
      <c r="R30" s="19"/>
      <c r="S30" s="2"/>
      <c r="T30" s="2">
        <f>--205.53</f>
        <v>205.53</v>
      </c>
      <c r="U30" s="2"/>
      <c r="V30" s="19"/>
      <c r="W30" s="2"/>
      <c r="X30" s="2">
        <f t="shared" si="2"/>
        <v>-205.53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"4034", " - ", "TAXABLE SALES-SODA")</f>
        <v xml:space="preserve">          4034 - TAXABLE SALES-SODA</v>
      </c>
      <c r="C31" s="10"/>
      <c r="D31" s="2">
        <f t="shared" si="9"/>
        <v>0</v>
      </c>
      <c r="E31" s="2"/>
      <c r="F31" s="19"/>
      <c r="G31" s="2"/>
      <c r="H31" s="2">
        <f>--3.4</f>
        <v>3.4</v>
      </c>
      <c r="I31" s="2"/>
      <c r="J31" s="19"/>
      <c r="K31" s="2"/>
      <c r="L31" s="2">
        <f t="shared" si="0"/>
        <v>-3.4</v>
      </c>
      <c r="M31" s="2"/>
      <c r="N31" s="19">
        <f t="shared" si="1"/>
        <v>-1</v>
      </c>
      <c r="O31" s="10"/>
      <c r="P31" s="2">
        <f>--6.78</f>
        <v>6.78</v>
      </c>
      <c r="Q31" s="2"/>
      <c r="R31" s="19"/>
      <c r="S31" s="2"/>
      <c r="T31" s="2">
        <f>--10925.46</f>
        <v>10925.46</v>
      </c>
      <c r="U31" s="2"/>
      <c r="V31" s="19"/>
      <c r="W31" s="2"/>
      <c r="X31" s="2">
        <f t="shared" si="2"/>
        <v>-10918.679999999998</v>
      </c>
      <c r="Y31" s="2"/>
      <c r="Z31" s="19">
        <f t="shared" si="3"/>
        <v>-0.999379431163539</v>
      </c>
    </row>
    <row r="32" spans="1:26" s="23" customFormat="1" hidden="1" outlineLevel="1" x14ac:dyDescent="0.25">
      <c r="A32" s="44"/>
      <c r="B32" s="10" t="str">
        <f>CONCATENATE("          ", "4035", " - ", "TAXABLE SALES-HEALTH &amp; BEAUTY")</f>
        <v xml:space="preserve">          4035 - TAXABLE SALES-HEALTH &amp; BEAUTY</v>
      </c>
      <c r="C32" s="10"/>
      <c r="D32" s="2">
        <f t="shared" si="9"/>
        <v>0</v>
      </c>
      <c r="E32" s="2"/>
      <c r="F32" s="19"/>
      <c r="G32" s="2"/>
      <c r="H32" s="2">
        <f t="shared" ref="H32:H33" si="10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ref="P32:P33" si="11">0</f>
        <v>0</v>
      </c>
      <c r="Q32" s="2"/>
      <c r="R32" s="19"/>
      <c r="S32" s="2"/>
      <c r="T32" s="2">
        <f>--1981.84</f>
        <v>1981.84</v>
      </c>
      <c r="U32" s="2"/>
      <c r="V32" s="19"/>
      <c r="W32" s="2"/>
      <c r="X32" s="2">
        <f t="shared" si="2"/>
        <v>-1981.84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"4037", " - ", "TAXABLE SALES-WATER")</f>
        <v xml:space="preserve">          4037 - TAXABLE SALES-WATER</v>
      </c>
      <c r="C33" s="10"/>
      <c r="D33" s="2">
        <f t="shared" si="9"/>
        <v>0</v>
      </c>
      <c r="E33" s="2"/>
      <c r="F33" s="19"/>
      <c r="G33" s="2"/>
      <c r="H33" s="2">
        <f t="shared" si="10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11"/>
        <v>0</v>
      </c>
      <c r="Q33" s="2"/>
      <c r="R33" s="19"/>
      <c r="S33" s="2"/>
      <c r="T33" s="2">
        <f>--513.51</f>
        <v>513.51</v>
      </c>
      <c r="U33" s="2"/>
      <c r="V33" s="19"/>
      <c r="W33" s="2"/>
      <c r="X33" s="2">
        <f t="shared" si="2"/>
        <v>-513.51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"4040", " - ", "TAXABLE SALES-LOGO CLOTHING")</f>
        <v xml:space="preserve">          4040 - TAXABLE SALES-LOGO CLOTHING</v>
      </c>
      <c r="C34" s="10"/>
      <c r="D34" s="2">
        <f>--159179.58</f>
        <v>159179.57999999999</v>
      </c>
      <c r="E34" s="2"/>
      <c r="F34" s="19"/>
      <c r="G34" s="2"/>
      <c r="H34" s="2">
        <f>--67974.91</f>
        <v>67974.91</v>
      </c>
      <c r="I34" s="2"/>
      <c r="J34" s="19"/>
      <c r="K34" s="2"/>
      <c r="L34" s="2">
        <f t="shared" si="0"/>
        <v>91204.669999999984</v>
      </c>
      <c r="M34" s="2"/>
      <c r="N34" s="19">
        <f t="shared" si="1"/>
        <v>1.3417402097332674</v>
      </c>
      <c r="O34" s="10"/>
      <c r="P34" s="2">
        <f>--913180.73</f>
        <v>913180.73</v>
      </c>
      <c r="Q34" s="2"/>
      <c r="R34" s="19"/>
      <c r="S34" s="2"/>
      <c r="T34" s="2">
        <f>--1844103.4</f>
        <v>1844103.4</v>
      </c>
      <c r="U34" s="2"/>
      <c r="V34" s="19"/>
      <c r="W34" s="2"/>
      <c r="X34" s="2">
        <f t="shared" si="2"/>
        <v>-930922.66999999993</v>
      </c>
      <c r="Y34" s="2"/>
      <c r="Z34" s="19">
        <f t="shared" si="3"/>
        <v>-0.50481045151806558</v>
      </c>
    </row>
    <row r="35" spans="1:26" s="23" customFormat="1" hidden="1" outlineLevel="1" x14ac:dyDescent="0.25">
      <c r="A35" s="44"/>
      <c r="B35" s="10" t="str">
        <f>CONCATENATE("          ", "4041", " - ", "TAXABLE SALES-LOGO GIFTS")</f>
        <v xml:space="preserve">          4041 - TAXABLE SALES-LOGO GIFTS</v>
      </c>
      <c r="C35" s="10"/>
      <c r="D35" s="2">
        <f>--116440.2</f>
        <v>116440.2</v>
      </c>
      <c r="E35" s="2"/>
      <c r="F35" s="19"/>
      <c r="G35" s="2"/>
      <c r="H35" s="2">
        <f>--14115.57</f>
        <v>14115.57</v>
      </c>
      <c r="I35" s="2"/>
      <c r="J35" s="19"/>
      <c r="K35" s="2"/>
      <c r="L35" s="2">
        <f t="shared" si="0"/>
        <v>102324.63</v>
      </c>
      <c r="M35" s="2"/>
      <c r="N35" s="19">
        <f t="shared" si="1"/>
        <v>7.2490611431206817</v>
      </c>
      <c r="O35" s="10"/>
      <c r="P35" s="2">
        <f>--440456.98</f>
        <v>440456.98</v>
      </c>
      <c r="Q35" s="2"/>
      <c r="R35" s="19"/>
      <c r="S35" s="2"/>
      <c r="T35" s="2">
        <f>--481133.29</f>
        <v>481133.29</v>
      </c>
      <c r="U35" s="2"/>
      <c r="V35" s="19"/>
      <c r="W35" s="2"/>
      <c r="X35" s="2">
        <f t="shared" si="2"/>
        <v>-40676.31</v>
      </c>
      <c r="Y35" s="2"/>
      <c r="Z35" s="19">
        <f t="shared" si="3"/>
        <v>-8.454270541121775E-2</v>
      </c>
    </row>
    <row r="36" spans="1:26" s="23" customFormat="1" hidden="1" outlineLevel="1" x14ac:dyDescent="0.25">
      <c r="A36" s="44"/>
      <c r="B36" s="10" t="str">
        <f>CONCATENATE("          ", "4042", " - ", "TAXABLE SALES-EVERYDAY GIFTS")</f>
        <v xml:space="preserve">          4042 - TAXABLE SALES-EVERYDAY GIFTS</v>
      </c>
      <c r="C36" s="10"/>
      <c r="D36" s="2">
        <f>--10630.32</f>
        <v>10630.32</v>
      </c>
      <c r="E36" s="2"/>
      <c r="F36" s="19"/>
      <c r="G36" s="2"/>
      <c r="H36" s="2">
        <f>--1721.77</f>
        <v>1721.77</v>
      </c>
      <c r="I36" s="2"/>
      <c r="J36" s="19"/>
      <c r="K36" s="2"/>
      <c r="L36" s="2">
        <f t="shared" si="0"/>
        <v>8908.5499999999993</v>
      </c>
      <c r="M36" s="2"/>
      <c r="N36" s="19">
        <f t="shared" si="1"/>
        <v>5.1740650609547147</v>
      </c>
      <c r="O36" s="10"/>
      <c r="P36" s="2">
        <f>--100678.52</f>
        <v>100678.52</v>
      </c>
      <c r="Q36" s="2"/>
      <c r="R36" s="19"/>
      <c r="S36" s="2"/>
      <c r="T36" s="2">
        <f>--279302.18</f>
        <v>279302.18</v>
      </c>
      <c r="U36" s="2"/>
      <c r="V36" s="19"/>
      <c r="W36" s="2"/>
      <c r="X36" s="2">
        <f t="shared" si="2"/>
        <v>-178623.65999999997</v>
      </c>
      <c r="Y36" s="2"/>
      <c r="Z36" s="19">
        <f t="shared" si="3"/>
        <v>-0.63953550237237666</v>
      </c>
    </row>
    <row r="37" spans="1:26" s="23" customFormat="1" hidden="1" outlineLevel="1" x14ac:dyDescent="0.25">
      <c r="A37" s="44"/>
      <c r="B37" s="10" t="str">
        <f>CONCATENATE("          ", "4043", " - ", "TAXABLE SALES-CARDS")</f>
        <v xml:space="preserve">          4043 - TAXABLE SALES-CARDS</v>
      </c>
      <c r="C37" s="10"/>
      <c r="D37" s="2">
        <f>--4423.21</f>
        <v>4423.21</v>
      </c>
      <c r="E37" s="2"/>
      <c r="F37" s="19"/>
      <c r="G37" s="2"/>
      <c r="H37" s="2">
        <f>--651</f>
        <v>651</v>
      </c>
      <c r="I37" s="2"/>
      <c r="J37" s="19"/>
      <c r="K37" s="2"/>
      <c r="L37" s="2">
        <f t="shared" si="0"/>
        <v>3772.21</v>
      </c>
      <c r="M37" s="2"/>
      <c r="N37" s="19">
        <f t="shared" si="1"/>
        <v>5.7944854070660519</v>
      </c>
      <c r="O37" s="10"/>
      <c r="P37" s="2">
        <f>--136859.38</f>
        <v>136859.38</v>
      </c>
      <c r="Q37" s="2"/>
      <c r="R37" s="19"/>
      <c r="S37" s="2"/>
      <c r="T37" s="2">
        <f>--77219.23</f>
        <v>77219.23</v>
      </c>
      <c r="U37" s="2"/>
      <c r="V37" s="19"/>
      <c r="W37" s="2"/>
      <c r="X37" s="2">
        <f t="shared" si="2"/>
        <v>59640.150000000009</v>
      </c>
      <c r="Y37" s="2"/>
      <c r="Z37" s="19">
        <f t="shared" si="3"/>
        <v>0.77234841632064977</v>
      </c>
    </row>
    <row r="38" spans="1:26" s="23" customFormat="1" hidden="1" outlineLevel="1" x14ac:dyDescent="0.25">
      <c r="A38" s="44"/>
      <c r="B38" s="10" t="str">
        <f>CONCATENATE("          ", "4044", " - ", "TAXABLE SALES-ACCESSORIES")</f>
        <v xml:space="preserve">          4044 - TAXABLE SALES-ACCESSORIES</v>
      </c>
      <c r="C38" s="10"/>
      <c r="D38" s="2">
        <f>--4745.38</f>
        <v>4745.38</v>
      </c>
      <c r="E38" s="2"/>
      <c r="F38" s="19"/>
      <c r="G38" s="2"/>
      <c r="H38" s="2">
        <f>--673.79</f>
        <v>673.79</v>
      </c>
      <c r="I38" s="2"/>
      <c r="J38" s="19"/>
      <c r="K38" s="2"/>
      <c r="L38" s="2">
        <f t="shared" si="0"/>
        <v>4071.59</v>
      </c>
      <c r="M38" s="2"/>
      <c r="N38" s="19">
        <f t="shared" si="1"/>
        <v>6.0428174950652283</v>
      </c>
      <c r="O38" s="10"/>
      <c r="P38" s="2">
        <f>--36092.23</f>
        <v>36092.230000000003</v>
      </c>
      <c r="Q38" s="2"/>
      <c r="R38" s="19"/>
      <c r="S38" s="2"/>
      <c r="T38" s="2">
        <f>--67340.52</f>
        <v>67340.52</v>
      </c>
      <c r="U38" s="2"/>
      <c r="V38" s="19"/>
      <c r="W38" s="2"/>
      <c r="X38" s="2">
        <f t="shared" si="2"/>
        <v>-31248.29</v>
      </c>
      <c r="Y38" s="2"/>
      <c r="Z38" s="19">
        <f t="shared" si="3"/>
        <v>-0.46403398726353762</v>
      </c>
    </row>
    <row r="39" spans="1:26" s="23" customFormat="1" hidden="1" outlineLevel="1" x14ac:dyDescent="0.25">
      <c r="A39" s="44"/>
      <c r="B39" s="10" t="str">
        <f>CONCATENATE("          ", "4045", " - ", "TAXABLE SALES-SPECIAL ORDERS")</f>
        <v xml:space="preserve">          4045 - TAXABLE SALES-SPECIAL ORDERS</v>
      </c>
      <c r="C39" s="10"/>
      <c r="D39" s="2">
        <f>--63044.9</f>
        <v>63044.9</v>
      </c>
      <c r="E39" s="2"/>
      <c r="F39" s="19"/>
      <c r="G39" s="2"/>
      <c r="H39" s="2">
        <f>--8913.15</f>
        <v>8913.15</v>
      </c>
      <c r="I39" s="2"/>
      <c r="J39" s="19"/>
      <c r="K39" s="2"/>
      <c r="L39" s="2">
        <f t="shared" si="0"/>
        <v>54131.75</v>
      </c>
      <c r="M39" s="2"/>
      <c r="N39" s="19">
        <f t="shared" si="1"/>
        <v>6.0732457099902959</v>
      </c>
      <c r="O39" s="10"/>
      <c r="P39" s="2">
        <f>--207242.34</f>
        <v>207242.34</v>
      </c>
      <c r="Q39" s="2"/>
      <c r="R39" s="19"/>
      <c r="S39" s="2"/>
      <c r="T39" s="2">
        <f>--83313.97</f>
        <v>83313.97</v>
      </c>
      <c r="U39" s="2"/>
      <c r="V39" s="19"/>
      <c r="W39" s="2"/>
      <c r="X39" s="2">
        <f t="shared" si="2"/>
        <v>123928.37</v>
      </c>
      <c r="Y39" s="2"/>
      <c r="Z39" s="19">
        <f t="shared" si="3"/>
        <v>1.4874860722637511</v>
      </c>
    </row>
    <row r="40" spans="1:26" s="23" customFormat="1" hidden="1" outlineLevel="1" x14ac:dyDescent="0.25">
      <c r="A40" s="44"/>
      <c r="B40" s="10" t="str">
        <f>CONCATENATE("          ", "4047", " - ", "TAXABLE SALES-MISC")</f>
        <v xml:space="preserve">          4047 - TAXABLE SALES-MISC</v>
      </c>
      <c r="C40" s="10"/>
      <c r="D40" s="2">
        <f t="shared" ref="D40:D46" si="12">0</f>
        <v>0</v>
      </c>
      <c r="E40" s="2"/>
      <c r="F40" s="19"/>
      <c r="G40" s="2"/>
      <c r="H40" s="2">
        <f t="shared" ref="H40:H45" si="13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 t="shared" ref="P40:P41" si="14">0</f>
        <v>0</v>
      </c>
      <c r="Q40" s="2"/>
      <c r="R40" s="19"/>
      <c r="S40" s="2"/>
      <c r="T40" s="2">
        <f>--2676.14</f>
        <v>2676.14</v>
      </c>
      <c r="U40" s="2"/>
      <c r="V40" s="19"/>
      <c r="W40" s="2"/>
      <c r="X40" s="2">
        <f t="shared" si="2"/>
        <v>-2676.14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"4051", " - ", "TAXABLE SALES-FOOD")</f>
        <v xml:space="preserve">          4051 - TAXABLE SALES-FOOD</v>
      </c>
      <c r="C41" s="10"/>
      <c r="D41" s="2">
        <f t="shared" si="12"/>
        <v>0</v>
      </c>
      <c r="E41" s="2"/>
      <c r="F41" s="19"/>
      <c r="G41" s="2"/>
      <c r="H41" s="2">
        <f t="shared" si="13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0"/>
      <c r="P41" s="2">
        <f t="shared" si="14"/>
        <v>0</v>
      </c>
      <c r="Q41" s="2"/>
      <c r="R41" s="19"/>
      <c r="S41" s="2"/>
      <c r="T41" s="2">
        <f>--149404.53</f>
        <v>149404.53</v>
      </c>
      <c r="U41" s="2"/>
      <c r="V41" s="19"/>
      <c r="W41" s="2"/>
      <c r="X41" s="2">
        <f t="shared" si="2"/>
        <v>-149404.53</v>
      </c>
      <c r="Y41" s="2"/>
      <c r="Z41" s="19">
        <f t="shared" si="3"/>
        <v>-1</v>
      </c>
    </row>
    <row r="42" spans="1:26" s="23" customFormat="1" hidden="1" outlineLevel="1" x14ac:dyDescent="0.25">
      <c r="A42" s="44"/>
      <c r="B42" s="10" t="str">
        <f>CONCATENATE("          ", "4081", " - ", "TAXABLE SALES-ELECTRONICS")</f>
        <v xml:space="preserve">          4081 - TAXABLE SALES-ELECTRONICS</v>
      </c>
      <c r="C42" s="10"/>
      <c r="D42" s="2">
        <f t="shared" si="12"/>
        <v>0</v>
      </c>
      <c r="E42" s="2"/>
      <c r="F42" s="19"/>
      <c r="G42" s="2"/>
      <c r="H42" s="2">
        <f t="shared" si="13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>--71.95</f>
        <v>71.95</v>
      </c>
      <c r="Q42" s="2"/>
      <c r="R42" s="19"/>
      <c r="S42" s="2"/>
      <c r="T42" s="2">
        <f>--3174.93</f>
        <v>3174.93</v>
      </c>
      <c r="U42" s="2"/>
      <c r="V42" s="19"/>
      <c r="W42" s="2"/>
      <c r="X42" s="2">
        <f t="shared" si="2"/>
        <v>-3102.98</v>
      </c>
      <c r="Y42" s="2"/>
      <c r="Z42" s="19">
        <f t="shared" si="3"/>
        <v>-0.97733808304435066</v>
      </c>
    </row>
    <row r="43" spans="1:26" s="23" customFormat="1" hidden="1" outlineLevel="1" x14ac:dyDescent="0.25">
      <c r="A43" s="44"/>
      <c r="B43" s="10" t="str">
        <f>CONCATENATE("          ", "4082", " - ", "TAXABLE SALES-COMPUTER HARDWAR")</f>
        <v xml:space="preserve">          4082 - TAXABLE SALES-COMPUTER HARDWAR</v>
      </c>
      <c r="C43" s="10"/>
      <c r="D43" s="2">
        <f t="shared" si="12"/>
        <v>0</v>
      </c>
      <c r="E43" s="2"/>
      <c r="F43" s="19"/>
      <c r="G43" s="2"/>
      <c r="H43" s="2">
        <f t="shared" si="13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0"/>
      <c r="P43" s="2">
        <f>0</f>
        <v>0</v>
      </c>
      <c r="Q43" s="2"/>
      <c r="R43" s="19"/>
      <c r="S43" s="2"/>
      <c r="T43" s="2">
        <f>--363.94</f>
        <v>363.94</v>
      </c>
      <c r="U43" s="2"/>
      <c r="V43" s="19"/>
      <c r="W43" s="2"/>
      <c r="X43" s="2">
        <f t="shared" si="2"/>
        <v>-363.94</v>
      </c>
      <c r="Y43" s="2"/>
      <c r="Z43" s="19">
        <f t="shared" si="3"/>
        <v>-1</v>
      </c>
    </row>
    <row r="44" spans="1:26" s="23" customFormat="1" hidden="1" outlineLevel="1" x14ac:dyDescent="0.25">
      <c r="A44" s="44"/>
      <c r="B44" s="10" t="str">
        <f>CONCATENATE("          ", "4083", " - ", "TAXABLE SALES-COMPUTER EQUIPME")</f>
        <v xml:space="preserve">          4083 - TAXABLE SALES-COMPUTER EQUIPME</v>
      </c>
      <c r="C44" s="10"/>
      <c r="D44" s="2">
        <f t="shared" si="12"/>
        <v>0</v>
      </c>
      <c r="E44" s="2"/>
      <c r="F44" s="19"/>
      <c r="G44" s="2"/>
      <c r="H44" s="2">
        <f t="shared" si="13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>--9.99</f>
        <v>9.99</v>
      </c>
      <c r="Q44" s="2"/>
      <c r="R44" s="19"/>
      <c r="S44" s="2"/>
      <c r="T44" s="2">
        <f>--914.33</f>
        <v>914.33</v>
      </c>
      <c r="U44" s="2"/>
      <c r="V44" s="19"/>
      <c r="W44" s="2"/>
      <c r="X44" s="2">
        <f t="shared" si="2"/>
        <v>-904.34</v>
      </c>
      <c r="Y44" s="2"/>
      <c r="Z44" s="19">
        <f t="shared" si="3"/>
        <v>-0.98907396672973646</v>
      </c>
    </row>
    <row r="45" spans="1:26" s="23" customFormat="1" hidden="1" outlineLevel="1" x14ac:dyDescent="0.25">
      <c r="A45" s="44"/>
      <c r="B45" s="10" t="str">
        <f>CONCATENATE("          ", "4086", " - ", "TAXABLE SALES-COMPUTER SUPPLIE")</f>
        <v xml:space="preserve">          4086 - TAXABLE SALES-COMPUTER SUPPLIE</v>
      </c>
      <c r="C45" s="10"/>
      <c r="D45" s="2">
        <f t="shared" si="12"/>
        <v>0</v>
      </c>
      <c r="E45" s="2"/>
      <c r="F45" s="19"/>
      <c r="G45" s="2"/>
      <c r="H45" s="2">
        <f t="shared" si="13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0"/>
      <c r="P45" s="2">
        <f t="shared" ref="P45:P46" si="15">0</f>
        <v>0</v>
      </c>
      <c r="Q45" s="2"/>
      <c r="R45" s="19"/>
      <c r="S45" s="2"/>
      <c r="T45" s="2">
        <f>--813.74</f>
        <v>813.74</v>
      </c>
      <c r="U45" s="2"/>
      <c r="V45" s="19"/>
      <c r="W45" s="2"/>
      <c r="X45" s="2">
        <f t="shared" si="2"/>
        <v>-813.74</v>
      </c>
      <c r="Y45" s="2"/>
      <c r="Z45" s="19">
        <f t="shared" si="3"/>
        <v>-1</v>
      </c>
    </row>
    <row r="46" spans="1:26" s="23" customFormat="1" hidden="1" outlineLevel="1" x14ac:dyDescent="0.25">
      <c r="A46" s="44"/>
      <c r="B46" s="10" t="str">
        <f>CONCATENATE("          ", "4092", " - ", "TAXABLE SALES-GRAD MERCH")</f>
        <v xml:space="preserve">          4092 - TAXABLE SALES-GRAD MERCH</v>
      </c>
      <c r="C46" s="10"/>
      <c r="D46" s="2">
        <f t="shared" si="12"/>
        <v>0</v>
      </c>
      <c r="E46" s="2"/>
      <c r="F46" s="19"/>
      <c r="G46" s="2"/>
      <c r="H46" s="2">
        <f>--3214.15</f>
        <v>3214.15</v>
      </c>
      <c r="I46" s="2"/>
      <c r="J46" s="19"/>
      <c r="K46" s="2"/>
      <c r="L46" s="2">
        <f t="shared" si="0"/>
        <v>-3214.15</v>
      </c>
      <c r="M46" s="2"/>
      <c r="N46" s="19">
        <f t="shared" si="1"/>
        <v>-1</v>
      </c>
      <c r="O46" s="10"/>
      <c r="P46" s="2">
        <f t="shared" si="15"/>
        <v>0</v>
      </c>
      <c r="Q46" s="2"/>
      <c r="R46" s="19"/>
      <c r="S46" s="2"/>
      <c r="T46" s="2">
        <f>--21826.42</f>
        <v>21826.42</v>
      </c>
      <c r="U46" s="2"/>
      <c r="V46" s="19"/>
      <c r="W46" s="2"/>
      <c r="X46" s="2">
        <f t="shared" si="2"/>
        <v>-21826.42</v>
      </c>
      <c r="Y46" s="2"/>
      <c r="Z46" s="19">
        <f t="shared" si="3"/>
        <v>-1</v>
      </c>
    </row>
    <row r="47" spans="1:26" s="23" customFormat="1" hidden="1" outlineLevel="1" x14ac:dyDescent="0.25">
      <c r="A47" s="44"/>
      <c r="B47" s="10" t="str">
        <f>CONCATENATE("          ", "4095", " - ", "TAXABLE SALES-CUSTOMER SERVICE")</f>
        <v xml:space="preserve">          4095 - TAXABLE SALES-CUSTOMER SERVICE</v>
      </c>
      <c r="C47" s="10"/>
      <c r="D47" s="2">
        <f>--2119.46</f>
        <v>2119.46</v>
      </c>
      <c r="E47" s="2"/>
      <c r="F47" s="19"/>
      <c r="G47" s="2"/>
      <c r="H47" s="2">
        <f>0</f>
        <v>0</v>
      </c>
      <c r="I47" s="2"/>
      <c r="J47" s="19"/>
      <c r="K47" s="2"/>
      <c r="L47" s="2">
        <f t="shared" si="0"/>
        <v>2119.46</v>
      </c>
      <c r="M47" s="2"/>
      <c r="N47" s="19">
        <f t="shared" si="1"/>
        <v>0</v>
      </c>
      <c r="O47" s="10"/>
      <c r="P47" s="2">
        <f>--3034.59</f>
        <v>3034.59</v>
      </c>
      <c r="Q47" s="2"/>
      <c r="R47" s="19"/>
      <c r="S47" s="2"/>
      <c r="T47" s="2">
        <f>--309.26</f>
        <v>309.26</v>
      </c>
      <c r="U47" s="2"/>
      <c r="V47" s="19"/>
      <c r="W47" s="2"/>
      <c r="X47" s="2">
        <f t="shared" si="2"/>
        <v>2725.33</v>
      </c>
      <c r="Y47" s="2"/>
      <c r="Z47" s="19">
        <f t="shared" si="3"/>
        <v>8.812423203776758</v>
      </c>
    </row>
    <row r="48" spans="1:26" s="23" customFormat="1" hidden="1" outlineLevel="1" x14ac:dyDescent="0.25">
      <c r="A48" s="44"/>
      <c r="B48" s="10" t="str">
        <f>CONCATENATE("          ", "4100", " - ", "NON-TAXABLE SALES")</f>
        <v xml:space="preserve">          4100 - NON-TAXABLE SALES</v>
      </c>
      <c r="C48" s="10"/>
      <c r="D48" s="2">
        <f>-12385.33</f>
        <v>-12385.33</v>
      </c>
      <c r="E48" s="2"/>
      <c r="F48" s="19"/>
      <c r="G48" s="2"/>
      <c r="H48" s="2">
        <f>--27923.82</f>
        <v>27923.82</v>
      </c>
      <c r="I48" s="2"/>
      <c r="J48" s="19"/>
      <c r="K48" s="2"/>
      <c r="L48" s="2">
        <f t="shared" si="0"/>
        <v>-40309.15</v>
      </c>
      <c r="M48" s="2"/>
      <c r="N48" s="19">
        <f t="shared" si="1"/>
        <v>-1.4435399597906018</v>
      </c>
      <c r="O48" s="10"/>
      <c r="P48" s="2">
        <f>--273838.77</f>
        <v>273838.77</v>
      </c>
      <c r="Q48" s="2"/>
      <c r="R48" s="19"/>
      <c r="S48" s="2"/>
      <c r="T48" s="2">
        <f>--602236.47</f>
        <v>602236.47</v>
      </c>
      <c r="U48" s="2"/>
      <c r="V48" s="19"/>
      <c r="W48" s="2"/>
      <c r="X48" s="2">
        <f t="shared" si="2"/>
        <v>-328397.69999999995</v>
      </c>
      <c r="Y48" s="2"/>
      <c r="Z48" s="19">
        <f t="shared" si="3"/>
        <v>-0.54529693294728554</v>
      </c>
    </row>
    <row r="49" spans="1:26" s="23" customFormat="1" hidden="1" outlineLevel="1" x14ac:dyDescent="0.25">
      <c r="A49" s="44"/>
      <c r="B49" s="10" t="str">
        <f>CONCATENATE("          ", "4101", " - ", "NON-TAXABLE SALES-NEW TEXT")</f>
        <v xml:space="preserve">          4101 - NON-TAXABLE SALES-NEW TEXT</v>
      </c>
      <c r="C49" s="10"/>
      <c r="D49" s="2">
        <f>--741.03</f>
        <v>741.03</v>
      </c>
      <c r="E49" s="2"/>
      <c r="F49" s="19"/>
      <c r="G49" s="2"/>
      <c r="H49" s="2">
        <f>--1972.02</f>
        <v>1972.02</v>
      </c>
      <c r="I49" s="2"/>
      <c r="J49" s="19"/>
      <c r="K49" s="2"/>
      <c r="L49" s="2">
        <f t="shared" si="0"/>
        <v>-1230.99</v>
      </c>
      <c r="M49" s="2"/>
      <c r="N49" s="19">
        <f t="shared" si="1"/>
        <v>-0.62422794900660239</v>
      </c>
      <c r="O49" s="10"/>
      <c r="P49" s="2">
        <f>--112796.74</f>
        <v>112796.74</v>
      </c>
      <c r="Q49" s="2"/>
      <c r="R49" s="19"/>
      <c r="S49" s="2"/>
      <c r="T49" s="2">
        <f>--144163.44</f>
        <v>144163.44</v>
      </c>
      <c r="U49" s="2"/>
      <c r="V49" s="19"/>
      <c r="W49" s="2"/>
      <c r="X49" s="2">
        <f t="shared" si="2"/>
        <v>-31366.699999999997</v>
      </c>
      <c r="Y49" s="2"/>
      <c r="Z49" s="19">
        <f t="shared" si="3"/>
        <v>-0.21757735525733846</v>
      </c>
    </row>
    <row r="50" spans="1:26" s="23" customFormat="1" hidden="1" outlineLevel="1" x14ac:dyDescent="0.25">
      <c r="A50" s="44"/>
      <c r="B50" s="10" t="str">
        <f>CONCATENATE("          ", "4102", " - ", "NON-TAXABLE SALES-USED TEXT")</f>
        <v xml:space="preserve">          4102 - NON-TAXABLE SALES-USED TEXT</v>
      </c>
      <c r="C50" s="10"/>
      <c r="D50" s="2">
        <f>--743.99</f>
        <v>743.99</v>
      </c>
      <c r="E50" s="2"/>
      <c r="F50" s="19"/>
      <c r="G50" s="2"/>
      <c r="H50" s="2">
        <f>--804.2</f>
        <v>804.2</v>
      </c>
      <c r="I50" s="2"/>
      <c r="J50" s="19"/>
      <c r="K50" s="2"/>
      <c r="L50" s="2">
        <f t="shared" si="0"/>
        <v>-60.210000000000036</v>
      </c>
      <c r="M50" s="2"/>
      <c r="N50" s="19">
        <f t="shared" si="1"/>
        <v>-7.4869435463815012E-2</v>
      </c>
      <c r="O50" s="10"/>
      <c r="P50" s="2">
        <f>--48703.42</f>
        <v>48703.42</v>
      </c>
      <c r="Q50" s="2"/>
      <c r="R50" s="19"/>
      <c r="S50" s="2"/>
      <c r="T50" s="2">
        <f>--69659.9</f>
        <v>69659.899999999994</v>
      </c>
      <c r="U50" s="2"/>
      <c r="V50" s="19"/>
      <c r="W50" s="2"/>
      <c r="X50" s="2">
        <f t="shared" si="2"/>
        <v>-20956.479999999996</v>
      </c>
      <c r="Y50" s="2"/>
      <c r="Z50" s="19">
        <f t="shared" si="3"/>
        <v>-0.3008399380418289</v>
      </c>
    </row>
    <row r="51" spans="1:26" s="23" customFormat="1" hidden="1" outlineLevel="1" x14ac:dyDescent="0.25">
      <c r="A51" s="44"/>
      <c r="B51" s="10" t="str">
        <f>CONCATENATE("          ", "4103", " - ", "NON-TAXABLE SALES-RENTAL TEXT")</f>
        <v xml:space="preserve">          4103 - NON-TAXABLE SALES-RENTAL TEXT</v>
      </c>
      <c r="C51" s="10"/>
      <c r="D51" s="2">
        <f>0</f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0"/>
      <c r="P51" s="2">
        <f>--1138.95</f>
        <v>1138.95</v>
      </c>
      <c r="Q51" s="2"/>
      <c r="R51" s="19"/>
      <c r="S51" s="2"/>
      <c r="T51" s="2">
        <f>--664.97</f>
        <v>664.97</v>
      </c>
      <c r="U51" s="2"/>
      <c r="V51" s="19"/>
      <c r="W51" s="2"/>
      <c r="X51" s="2">
        <f t="shared" si="2"/>
        <v>473.98</v>
      </c>
      <c r="Y51" s="2"/>
      <c r="Z51" s="19">
        <f t="shared" si="3"/>
        <v>0.71278403537001667</v>
      </c>
    </row>
    <row r="52" spans="1:26" s="23" customFormat="1" hidden="1" outlineLevel="1" x14ac:dyDescent="0.25">
      <c r="A52" s="44"/>
      <c r="B52" s="10" t="str">
        <f>CONCATENATE("          ", "4104", " - ", "NON-TAXABLE SALES-DIGITAL TEXT")</f>
        <v xml:space="preserve">          4104 - NON-TAXABLE SALES-DIGITAL TEXT</v>
      </c>
      <c r="C52" s="10"/>
      <c r="D52" s="2">
        <f>--3431.99</f>
        <v>3431.99</v>
      </c>
      <c r="E52" s="2"/>
      <c r="F52" s="19"/>
      <c r="G52" s="2"/>
      <c r="H52" s="2">
        <f>--2502.44</f>
        <v>2502.44</v>
      </c>
      <c r="I52" s="2"/>
      <c r="J52" s="19"/>
      <c r="K52" s="2"/>
      <c r="L52" s="2">
        <f t="shared" si="0"/>
        <v>929.54999999999973</v>
      </c>
      <c r="M52" s="2"/>
      <c r="N52" s="19">
        <f t="shared" si="1"/>
        <v>0.37145745752145892</v>
      </c>
      <c r="O52" s="10"/>
      <c r="P52" s="2">
        <f>--480403.17</f>
        <v>480403.17</v>
      </c>
      <c r="Q52" s="2"/>
      <c r="R52" s="19"/>
      <c r="S52" s="2"/>
      <c r="T52" s="2">
        <f>--526854.09</f>
        <v>526854.09</v>
      </c>
      <c r="U52" s="2"/>
      <c r="V52" s="19"/>
      <c r="W52" s="2"/>
      <c r="X52" s="2">
        <f t="shared" si="2"/>
        <v>-46450.919999999984</v>
      </c>
      <c r="Y52" s="2"/>
      <c r="Z52" s="19">
        <f t="shared" si="3"/>
        <v>-8.8166573785163155E-2</v>
      </c>
    </row>
    <row r="53" spans="1:26" s="23" customFormat="1" hidden="1" outlineLevel="1" x14ac:dyDescent="0.25">
      <c r="A53" s="44"/>
      <c r="B53" s="10" t="str">
        <f>CONCATENATE("          ", "4111", " - ", "NON-TAXABLE SALES-NO VALUE TEX")</f>
        <v xml:space="preserve">          4111 - NON-TAXABLE SALES-NO VALUE TEX</v>
      </c>
      <c r="C53" s="10"/>
      <c r="D53" s="2">
        <f>0</f>
        <v>0</v>
      </c>
      <c r="E53" s="2"/>
      <c r="F53" s="19"/>
      <c r="G53" s="2"/>
      <c r="H53" s="2">
        <f>--593.67</f>
        <v>593.66999999999996</v>
      </c>
      <c r="I53" s="2"/>
      <c r="J53" s="19"/>
      <c r="K53" s="2"/>
      <c r="L53" s="2">
        <f t="shared" si="0"/>
        <v>-593.66999999999996</v>
      </c>
      <c r="M53" s="2"/>
      <c r="N53" s="19">
        <f t="shared" si="1"/>
        <v>-1</v>
      </c>
      <c r="O53" s="10"/>
      <c r="P53" s="2">
        <f>0</f>
        <v>0</v>
      </c>
      <c r="Q53" s="2"/>
      <c r="R53" s="19"/>
      <c r="S53" s="2"/>
      <c r="T53" s="2">
        <f>--15323</f>
        <v>15323</v>
      </c>
      <c r="U53" s="2"/>
      <c r="V53" s="19"/>
      <c r="W53" s="2"/>
      <c r="X53" s="2">
        <f t="shared" si="2"/>
        <v>-15323</v>
      </c>
      <c r="Y53" s="2"/>
      <c r="Z53" s="19">
        <f t="shared" si="3"/>
        <v>-1</v>
      </c>
    </row>
    <row r="54" spans="1:26" s="23" customFormat="1" hidden="1" outlineLevel="1" x14ac:dyDescent="0.25">
      <c r="A54" s="44"/>
      <c r="B54" s="10" t="str">
        <f>CONCATENATE("          ", "4113", " - ", "NON-TAXABLE SALES-TRADE BOOKS")</f>
        <v xml:space="preserve">          4113 - NON-TAXABLE SALES-TRADE BOOKS</v>
      </c>
      <c r="C54" s="10"/>
      <c r="D54" s="2">
        <f>--738</f>
        <v>738</v>
      </c>
      <c r="E54" s="2"/>
      <c r="F54" s="19"/>
      <c r="G54" s="2"/>
      <c r="H54" s="2">
        <f>--2440</f>
        <v>2440</v>
      </c>
      <c r="I54" s="2"/>
      <c r="J54" s="19"/>
      <c r="K54" s="2"/>
      <c r="L54" s="2">
        <f t="shared" si="0"/>
        <v>-1702</v>
      </c>
      <c r="M54" s="2"/>
      <c r="N54" s="19">
        <f t="shared" si="1"/>
        <v>-0.69754098360655736</v>
      </c>
      <c r="O54" s="10"/>
      <c r="P54" s="2">
        <f>--12127.25</f>
        <v>12127.25</v>
      </c>
      <c r="Q54" s="2"/>
      <c r="R54" s="19"/>
      <c r="S54" s="2"/>
      <c r="T54" s="2">
        <f>--8241.92</f>
        <v>8241.92</v>
      </c>
      <c r="U54" s="2"/>
      <c r="V54" s="19"/>
      <c r="W54" s="2"/>
      <c r="X54" s="2">
        <f t="shared" si="2"/>
        <v>3885.33</v>
      </c>
      <c r="Y54" s="2"/>
      <c r="Z54" s="19">
        <f t="shared" si="3"/>
        <v>0.4714107877776052</v>
      </c>
    </row>
    <row r="55" spans="1:26" s="23" customFormat="1" hidden="1" outlineLevel="1" x14ac:dyDescent="0.25">
      <c r="A55" s="44"/>
      <c r="B55" s="10" t="str">
        <f>CONCATENATE("          ", "4118", " - ", "NON-TAXABLE SALES-STUDY GUIDES")</f>
        <v xml:space="preserve">          4118 - NON-TAXABLE SALES-STUDY GUIDES</v>
      </c>
      <c r="C55" s="10"/>
      <c r="D55" s="2">
        <f t="shared" ref="D55:D57" si="16">0</f>
        <v>0</v>
      </c>
      <c r="E55" s="2"/>
      <c r="F55" s="19"/>
      <c r="G55" s="2"/>
      <c r="H55" s="2">
        <f>--7.02</f>
        <v>7.02</v>
      </c>
      <c r="I55" s="2"/>
      <c r="J55" s="19"/>
      <c r="K55" s="2"/>
      <c r="L55" s="2">
        <f t="shared" si="0"/>
        <v>-7.02</v>
      </c>
      <c r="M55" s="2"/>
      <c r="N55" s="19">
        <f t="shared" si="1"/>
        <v>-1</v>
      </c>
      <c r="O55" s="10"/>
      <c r="P55" s="2">
        <f>--771.73</f>
        <v>771.73</v>
      </c>
      <c r="Q55" s="2"/>
      <c r="R55" s="19"/>
      <c r="S55" s="2"/>
      <c r="T55" s="2">
        <f>--75.94</f>
        <v>75.94</v>
      </c>
      <c r="U55" s="2"/>
      <c r="V55" s="19"/>
      <c r="W55" s="2"/>
      <c r="X55" s="2">
        <f t="shared" si="2"/>
        <v>695.79</v>
      </c>
      <c r="Y55" s="2"/>
      <c r="Z55" s="19">
        <f t="shared" si="3"/>
        <v>9.1623650250197528</v>
      </c>
    </row>
    <row r="56" spans="1:26" s="23" customFormat="1" hidden="1" outlineLevel="1" x14ac:dyDescent="0.25">
      <c r="A56" s="44"/>
      <c r="B56" s="10" t="str">
        <f>CONCATENATE("          ", "4125", " - ", "NON-TAXABLE SALES-TEST FORMS")</f>
        <v xml:space="preserve">          4125 - NON-TAXABLE SALES-TEST FORMS</v>
      </c>
      <c r="C56" s="10"/>
      <c r="D56" s="2">
        <f t="shared" si="16"/>
        <v>0</v>
      </c>
      <c r="E56" s="2"/>
      <c r="F56" s="19"/>
      <c r="G56" s="2"/>
      <c r="H56" s="2">
        <f>0</f>
        <v>0</v>
      </c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0"/>
      <c r="P56" s="2">
        <f>0</f>
        <v>0</v>
      </c>
      <c r="Q56" s="2"/>
      <c r="R56" s="19"/>
      <c r="S56" s="2"/>
      <c r="T56" s="2">
        <f>--267.61</f>
        <v>267.61</v>
      </c>
      <c r="U56" s="2"/>
      <c r="V56" s="19"/>
      <c r="W56" s="2"/>
      <c r="X56" s="2">
        <f t="shared" si="2"/>
        <v>-267.61</v>
      </c>
      <c r="Y56" s="2"/>
      <c r="Z56" s="19">
        <f t="shared" si="3"/>
        <v>-1</v>
      </c>
    </row>
    <row r="57" spans="1:26" s="23" customFormat="1" hidden="1" outlineLevel="1" x14ac:dyDescent="0.25">
      <c r="A57" s="44"/>
      <c r="B57" s="10" t="str">
        <f>CONCATENATE("          ", "4126", " - ", "NON-TAXABLE SALES-WRITING INST")</f>
        <v xml:space="preserve">          4126 - NON-TAXABLE SALES-WRITING INST</v>
      </c>
      <c r="C57" s="10"/>
      <c r="D57" s="2">
        <f t="shared" si="16"/>
        <v>0</v>
      </c>
      <c r="E57" s="2"/>
      <c r="F57" s="19"/>
      <c r="G57" s="2"/>
      <c r="H57" s="2">
        <f>--5.57</f>
        <v>5.57</v>
      </c>
      <c r="I57" s="2"/>
      <c r="J57" s="19"/>
      <c r="K57" s="2"/>
      <c r="L57" s="2">
        <f t="shared" si="0"/>
        <v>-5.57</v>
      </c>
      <c r="M57" s="2"/>
      <c r="N57" s="19">
        <f t="shared" si="1"/>
        <v>-1</v>
      </c>
      <c r="O57" s="10"/>
      <c r="P57" s="2">
        <f>--52.68</f>
        <v>52.68</v>
      </c>
      <c r="Q57" s="2"/>
      <c r="R57" s="19"/>
      <c r="S57" s="2"/>
      <c r="T57" s="2">
        <f>--3022.86</f>
        <v>3022.86</v>
      </c>
      <c r="U57" s="2"/>
      <c r="V57" s="19"/>
      <c r="W57" s="2"/>
      <c r="X57" s="2">
        <f t="shared" si="2"/>
        <v>-2970.1800000000003</v>
      </c>
      <c r="Y57" s="2"/>
      <c r="Z57" s="19">
        <f t="shared" si="3"/>
        <v>-0.98257279529981545</v>
      </c>
    </row>
    <row r="58" spans="1:26" s="23" customFormat="1" hidden="1" outlineLevel="1" x14ac:dyDescent="0.25">
      <c r="A58" s="44"/>
      <c r="B58" s="10" t="str">
        <f>CONCATENATE("          ", "4127", " - ", "NON-TAXABLE SALES-SCHOOL SUPPL")</f>
        <v xml:space="preserve">          4127 - NON-TAXABLE SALES-SCHOOL SUPPL</v>
      </c>
      <c r="C58" s="10"/>
      <c r="D58" s="2">
        <f>--493.37</f>
        <v>493.37</v>
      </c>
      <c r="E58" s="2"/>
      <c r="F58" s="19"/>
      <c r="G58" s="2"/>
      <c r="H58" s="2">
        <f>--1430.65</f>
        <v>1430.65</v>
      </c>
      <c r="I58" s="2"/>
      <c r="J58" s="19"/>
      <c r="K58" s="2"/>
      <c r="L58" s="2">
        <f t="shared" si="0"/>
        <v>-937.28000000000009</v>
      </c>
      <c r="M58" s="2"/>
      <c r="N58" s="19">
        <f t="shared" si="1"/>
        <v>-0.65514276727361687</v>
      </c>
      <c r="O58" s="10"/>
      <c r="P58" s="2">
        <f>--7100.68</f>
        <v>7100.68</v>
      </c>
      <c r="Q58" s="2"/>
      <c r="R58" s="19"/>
      <c r="S58" s="2"/>
      <c r="T58" s="2">
        <f>--6146.87</f>
        <v>6146.87</v>
      </c>
      <c r="U58" s="2"/>
      <c r="V58" s="19"/>
      <c r="W58" s="2"/>
      <c r="X58" s="2">
        <f t="shared" si="2"/>
        <v>953.8100000000004</v>
      </c>
      <c r="Y58" s="2"/>
      <c r="Z58" s="19">
        <f t="shared" si="3"/>
        <v>0.15517002962483353</v>
      </c>
    </row>
    <row r="59" spans="1:26" s="23" customFormat="1" hidden="1" outlineLevel="1" x14ac:dyDescent="0.25">
      <c r="A59" s="44"/>
      <c r="B59" s="10" t="str">
        <f>CONCATENATE("          ", "4128", " - ", "NON-TAXABLE SALES-ART/TECH")</f>
        <v xml:space="preserve">          4128 - NON-TAXABLE SALES-ART/TECH</v>
      </c>
      <c r="C59" s="10"/>
      <c r="D59" s="2">
        <f>--31.37</f>
        <v>31.37</v>
      </c>
      <c r="E59" s="2"/>
      <c r="F59" s="19"/>
      <c r="G59" s="2"/>
      <c r="H59" s="2">
        <f>0</f>
        <v>0</v>
      </c>
      <c r="I59" s="2"/>
      <c r="J59" s="19"/>
      <c r="K59" s="2"/>
      <c r="L59" s="2">
        <f t="shared" si="0"/>
        <v>31.37</v>
      </c>
      <c r="M59" s="2"/>
      <c r="N59" s="19">
        <f t="shared" si="1"/>
        <v>0</v>
      </c>
      <c r="O59" s="10"/>
      <c r="P59" s="2">
        <f>--69.95</f>
        <v>69.95</v>
      </c>
      <c r="Q59" s="2"/>
      <c r="R59" s="19"/>
      <c r="S59" s="2"/>
      <c r="T59" s="2">
        <f>--730.62</f>
        <v>730.62</v>
      </c>
      <c r="U59" s="2"/>
      <c r="V59" s="19"/>
      <c r="W59" s="2"/>
      <c r="X59" s="2">
        <f t="shared" si="2"/>
        <v>-660.67</v>
      </c>
      <c r="Y59" s="2"/>
      <c r="Z59" s="19">
        <f t="shared" si="3"/>
        <v>-0.90425939612931472</v>
      </c>
    </row>
    <row r="60" spans="1:26" s="23" customFormat="1" hidden="1" outlineLevel="1" x14ac:dyDescent="0.25">
      <c r="A60" s="44"/>
      <c r="B60" s="10" t="str">
        <f>CONCATENATE("          ", "4131", " - ", "NON-TAXABLE SALES-FOOD")</f>
        <v xml:space="preserve">          4131 - NON-TAXABLE SALES-FOOD</v>
      </c>
      <c r="C60" s="10"/>
      <c r="D60" s="2">
        <f>--975.93</f>
        <v>975.93</v>
      </c>
      <c r="E60" s="2"/>
      <c r="F60" s="19"/>
      <c r="G60" s="2"/>
      <c r="H60" s="2">
        <f>--3.97</f>
        <v>3.97</v>
      </c>
      <c r="I60" s="2"/>
      <c r="J60" s="19"/>
      <c r="K60" s="2"/>
      <c r="L60" s="2">
        <f t="shared" si="0"/>
        <v>971.95999999999992</v>
      </c>
      <c r="M60" s="2"/>
      <c r="N60" s="19">
        <f t="shared" si="1"/>
        <v>244.82619647355162</v>
      </c>
      <c r="O60" s="10"/>
      <c r="P60" s="2">
        <f>--11380.36</f>
        <v>11380.36</v>
      </c>
      <c r="Q60" s="2"/>
      <c r="R60" s="19"/>
      <c r="S60" s="2"/>
      <c r="T60" s="2">
        <f>--57887.54</f>
        <v>57887.54</v>
      </c>
      <c r="U60" s="2"/>
      <c r="V60" s="19"/>
      <c r="W60" s="2"/>
      <c r="X60" s="2">
        <f t="shared" si="2"/>
        <v>-46507.18</v>
      </c>
      <c r="Y60" s="2"/>
      <c r="Z60" s="19">
        <f t="shared" si="3"/>
        <v>-0.80340570699670433</v>
      </c>
    </row>
    <row r="61" spans="1:26" s="23" customFormat="1" hidden="1" outlineLevel="1" x14ac:dyDescent="0.25">
      <c r="A61" s="44"/>
      <c r="B61" s="10" t="str">
        <f>CONCATENATE("          ", "4132", " - ", "NON-TAXABLE SALES-JUICE")</f>
        <v xml:space="preserve">          4132 - NON-TAXABLE SALES-JUICE</v>
      </c>
      <c r="C61" s="10"/>
      <c r="D61" s="2">
        <f t="shared" ref="D61:D65" si="17">0</f>
        <v>0</v>
      </c>
      <c r="E61" s="2"/>
      <c r="F61" s="19"/>
      <c r="G61" s="2"/>
      <c r="H61" s="2">
        <f>--0.05</f>
        <v>0.05</v>
      </c>
      <c r="I61" s="2"/>
      <c r="J61" s="19"/>
      <c r="K61" s="2"/>
      <c r="L61" s="2">
        <f t="shared" si="0"/>
        <v>-0.05</v>
      </c>
      <c r="M61" s="2"/>
      <c r="N61" s="19">
        <f t="shared" si="1"/>
        <v>-1</v>
      </c>
      <c r="O61" s="10"/>
      <c r="P61" s="2">
        <f>--2054.37</f>
        <v>2054.37</v>
      </c>
      <c r="Q61" s="2"/>
      <c r="R61" s="19"/>
      <c r="S61" s="2"/>
      <c r="T61" s="2">
        <f>--1109977.78</f>
        <v>1109977.78</v>
      </c>
      <c r="U61" s="2"/>
      <c r="V61" s="19"/>
      <c r="W61" s="2"/>
      <c r="X61" s="2">
        <f t="shared" si="2"/>
        <v>-1107923.4099999999</v>
      </c>
      <c r="Y61" s="2"/>
      <c r="Z61" s="19">
        <f t="shared" si="3"/>
        <v>-0.99814917916645129</v>
      </c>
    </row>
    <row r="62" spans="1:26" s="23" customFormat="1" hidden="1" outlineLevel="1" x14ac:dyDescent="0.25">
      <c r="A62" s="44"/>
      <c r="B62" s="10" t="str">
        <f>CONCATENATE("          ", "4133", " - ", "NON-TAXABLE SALES-CANDY")</f>
        <v xml:space="preserve">          4133 - NON-TAXABLE SALES-CANDY</v>
      </c>
      <c r="C62" s="10"/>
      <c r="D62" s="2">
        <f t="shared" si="17"/>
        <v>0</v>
      </c>
      <c r="E62" s="2"/>
      <c r="F62" s="19"/>
      <c r="G62" s="2"/>
      <c r="H62" s="2">
        <f>--4.17</f>
        <v>4.17</v>
      </c>
      <c r="I62" s="2"/>
      <c r="J62" s="19"/>
      <c r="K62" s="2"/>
      <c r="L62" s="2">
        <f t="shared" si="0"/>
        <v>-4.17</v>
      </c>
      <c r="M62" s="2"/>
      <c r="N62" s="19">
        <f t="shared" si="1"/>
        <v>-1</v>
      </c>
      <c r="O62" s="10"/>
      <c r="P62" s="2">
        <f>--80.71</f>
        <v>80.709999999999994</v>
      </c>
      <c r="Q62" s="2"/>
      <c r="R62" s="19"/>
      <c r="S62" s="2"/>
      <c r="T62" s="2">
        <f>--18090.05</f>
        <v>18090.05</v>
      </c>
      <c r="U62" s="2"/>
      <c r="V62" s="19"/>
      <c r="W62" s="2"/>
      <c r="X62" s="2">
        <f t="shared" si="2"/>
        <v>-18009.34</v>
      </c>
      <c r="Y62" s="2"/>
      <c r="Z62" s="19">
        <f t="shared" si="3"/>
        <v>-0.99553843134761932</v>
      </c>
    </row>
    <row r="63" spans="1:26" s="23" customFormat="1" hidden="1" outlineLevel="1" x14ac:dyDescent="0.25">
      <c r="A63" s="44"/>
      <c r="B63" s="10" t="str">
        <f>CONCATENATE("          ", "4134", " - ", "NON-TAXABLE SALES-SODA")</f>
        <v xml:space="preserve">          4134 - NON-TAXABLE SALES-SODA</v>
      </c>
      <c r="C63" s="10"/>
      <c r="D63" s="2">
        <f t="shared" si="17"/>
        <v>0</v>
      </c>
      <c r="E63" s="2"/>
      <c r="F63" s="19"/>
      <c r="G63" s="2"/>
      <c r="H63" s="2">
        <f>--35.86</f>
        <v>35.86</v>
      </c>
      <c r="I63" s="2"/>
      <c r="J63" s="19"/>
      <c r="K63" s="2"/>
      <c r="L63" s="2">
        <f t="shared" si="0"/>
        <v>-35.86</v>
      </c>
      <c r="M63" s="2"/>
      <c r="N63" s="19">
        <f t="shared" si="1"/>
        <v>-1</v>
      </c>
      <c r="O63" s="10"/>
      <c r="P63" s="2">
        <f>--45.53</f>
        <v>45.53</v>
      </c>
      <c r="Q63" s="2"/>
      <c r="R63" s="19"/>
      <c r="S63" s="2"/>
      <c r="T63" s="2">
        <f>--73.09</f>
        <v>73.09</v>
      </c>
      <c r="U63" s="2"/>
      <c r="V63" s="19"/>
      <c r="W63" s="2"/>
      <c r="X63" s="2">
        <f t="shared" si="2"/>
        <v>-27.560000000000002</v>
      </c>
      <c r="Y63" s="2"/>
      <c r="Z63" s="19">
        <f t="shared" si="3"/>
        <v>-0.37706936653440964</v>
      </c>
    </row>
    <row r="64" spans="1:26" s="23" customFormat="1" hidden="1" outlineLevel="1" x14ac:dyDescent="0.25">
      <c r="A64" s="44"/>
      <c r="B64" s="10" t="str">
        <f>CONCATENATE("          ", "4135", " - ", "NON-TAXABLE SALES")</f>
        <v xml:space="preserve">          4135 - NON-TAXABLE SALES</v>
      </c>
      <c r="C64" s="10"/>
      <c r="D64" s="2">
        <f t="shared" si="17"/>
        <v>0</v>
      </c>
      <c r="E64" s="2"/>
      <c r="F64" s="19"/>
      <c r="G64" s="2"/>
      <c r="H64" s="2">
        <f>0</f>
        <v>0</v>
      </c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0"/>
      <c r="P64" s="2">
        <f>0</f>
        <v>0</v>
      </c>
      <c r="Q64" s="2"/>
      <c r="R64" s="19"/>
      <c r="S64" s="2"/>
      <c r="T64" s="2">
        <f>--161.4</f>
        <v>161.4</v>
      </c>
      <c r="U64" s="2"/>
      <c r="V64" s="19"/>
      <c r="W64" s="2"/>
      <c r="X64" s="2">
        <f t="shared" si="2"/>
        <v>-161.4</v>
      </c>
      <c r="Y64" s="2"/>
      <c r="Z64" s="19">
        <f t="shared" si="3"/>
        <v>-1</v>
      </c>
    </row>
    <row r="65" spans="1:26" s="23" customFormat="1" hidden="1" outlineLevel="1" x14ac:dyDescent="0.25">
      <c r="A65" s="44"/>
      <c r="B65" s="10" t="str">
        <f>CONCATENATE("          ", "4137", " - ", "NON-TAXABLE SALES-WATER")</f>
        <v xml:space="preserve">          4137 - NON-TAXABLE SALES-WATER</v>
      </c>
      <c r="C65" s="10"/>
      <c r="D65" s="2">
        <f t="shared" si="17"/>
        <v>0</v>
      </c>
      <c r="E65" s="2"/>
      <c r="F65" s="19"/>
      <c r="G65" s="2"/>
      <c r="H65" s="2">
        <f>--4.65</f>
        <v>4.6500000000000004</v>
      </c>
      <c r="I65" s="2"/>
      <c r="J65" s="19"/>
      <c r="K65" s="2"/>
      <c r="L65" s="2">
        <f t="shared" si="0"/>
        <v>-4.6500000000000004</v>
      </c>
      <c r="M65" s="2"/>
      <c r="N65" s="19">
        <f t="shared" si="1"/>
        <v>-1</v>
      </c>
      <c r="O65" s="10"/>
      <c r="P65" s="2">
        <f>--68.25</f>
        <v>68.25</v>
      </c>
      <c r="Q65" s="2"/>
      <c r="R65" s="19"/>
      <c r="S65" s="2"/>
      <c r="T65" s="2">
        <f>--10092.5</f>
        <v>10092.5</v>
      </c>
      <c r="U65" s="2"/>
      <c r="V65" s="19"/>
      <c r="W65" s="2"/>
      <c r="X65" s="2">
        <f t="shared" si="2"/>
        <v>-10024.25</v>
      </c>
      <c r="Y65" s="2"/>
      <c r="Z65" s="19">
        <f t="shared" si="3"/>
        <v>-0.99323755263809754</v>
      </c>
    </row>
    <row r="66" spans="1:26" s="23" customFormat="1" hidden="1" outlineLevel="1" x14ac:dyDescent="0.25">
      <c r="A66" s="44"/>
      <c r="B66" s="10" t="str">
        <f>CONCATENATE("          ", "4140", " - ", "NON-TAXABLE SALES-LOGO CLOTHIN")</f>
        <v xml:space="preserve">          4140 - NON-TAXABLE SALES-LOGO CLOTHIN</v>
      </c>
      <c r="C66" s="10"/>
      <c r="D66" s="2">
        <f>--23040.7</f>
        <v>23040.7</v>
      </c>
      <c r="E66" s="2"/>
      <c r="F66" s="19"/>
      <c r="G66" s="2"/>
      <c r="H66" s="2">
        <f>--30875.73</f>
        <v>30875.73</v>
      </c>
      <c r="I66" s="2"/>
      <c r="J66" s="19"/>
      <c r="K66" s="2"/>
      <c r="L66" s="2">
        <f t="shared" si="0"/>
        <v>-7835.0299999999988</v>
      </c>
      <c r="M66" s="2"/>
      <c r="N66" s="19">
        <f t="shared" si="1"/>
        <v>-0.25376015401093349</v>
      </c>
      <c r="O66" s="10"/>
      <c r="P66" s="2">
        <f>--154792.39</f>
        <v>154792.39000000001</v>
      </c>
      <c r="Q66" s="2"/>
      <c r="R66" s="19"/>
      <c r="S66" s="2"/>
      <c r="T66" s="2">
        <f>--78924.71</f>
        <v>78924.710000000006</v>
      </c>
      <c r="U66" s="2"/>
      <c r="V66" s="19"/>
      <c r="W66" s="2"/>
      <c r="X66" s="2">
        <f t="shared" si="2"/>
        <v>75867.680000000008</v>
      </c>
      <c r="Y66" s="2"/>
      <c r="Z66" s="19">
        <f t="shared" si="3"/>
        <v>0.96126650322820317</v>
      </c>
    </row>
    <row r="67" spans="1:26" s="23" customFormat="1" hidden="1" outlineLevel="1" x14ac:dyDescent="0.25">
      <c r="A67" s="44"/>
      <c r="B67" s="10" t="str">
        <f>CONCATENATE("          ", "4141", " - ", "NON-TAXABLE SALES-LOGO GIFTS")</f>
        <v xml:space="preserve">          4141 - NON-TAXABLE SALES-LOGO GIFTS</v>
      </c>
      <c r="C67" s="10"/>
      <c r="D67" s="2">
        <f>--27228.57</f>
        <v>27228.57</v>
      </c>
      <c r="E67" s="2"/>
      <c r="F67" s="19"/>
      <c r="G67" s="2"/>
      <c r="H67" s="2">
        <f>--1860.77</f>
        <v>1860.77</v>
      </c>
      <c r="I67" s="2"/>
      <c r="J67" s="19"/>
      <c r="K67" s="2"/>
      <c r="L67" s="2">
        <f t="shared" si="0"/>
        <v>25367.8</v>
      </c>
      <c r="M67" s="2"/>
      <c r="N67" s="19">
        <f t="shared" si="1"/>
        <v>13.632958398942373</v>
      </c>
      <c r="O67" s="10"/>
      <c r="P67" s="2">
        <f>--36796.81</f>
        <v>36796.81</v>
      </c>
      <c r="Q67" s="2"/>
      <c r="R67" s="19"/>
      <c r="S67" s="2"/>
      <c r="T67" s="2">
        <f>--12775.33</f>
        <v>12775.33</v>
      </c>
      <c r="U67" s="2"/>
      <c r="V67" s="19"/>
      <c r="W67" s="2"/>
      <c r="X67" s="2">
        <f t="shared" si="2"/>
        <v>24021.479999999996</v>
      </c>
      <c r="Y67" s="2"/>
      <c r="Z67" s="19">
        <f t="shared" si="3"/>
        <v>1.8803021135266169</v>
      </c>
    </row>
    <row r="68" spans="1:26" s="23" customFormat="1" hidden="1" outlineLevel="1" x14ac:dyDescent="0.25">
      <c r="A68" s="44"/>
      <c r="B68" s="10" t="str">
        <f>CONCATENATE("          ", "4142", " - ", "NON-TAXABLE SALES-EVERYDAY GIF")</f>
        <v xml:space="preserve">          4142 - NON-TAXABLE SALES-EVERYDAY GIF</v>
      </c>
      <c r="C68" s="10"/>
      <c r="D68" s="2">
        <f>--306.73</f>
        <v>306.73</v>
      </c>
      <c r="E68" s="2"/>
      <c r="F68" s="19"/>
      <c r="G68" s="2"/>
      <c r="H68" s="2">
        <f>--386.65</f>
        <v>386.65</v>
      </c>
      <c r="I68" s="2"/>
      <c r="J68" s="19"/>
      <c r="K68" s="2"/>
      <c r="L68" s="2">
        <f t="shared" si="0"/>
        <v>-79.919999999999959</v>
      </c>
      <c r="M68" s="2"/>
      <c r="N68" s="19">
        <f t="shared" si="1"/>
        <v>-0.20669856459330135</v>
      </c>
      <c r="O68" s="10"/>
      <c r="P68" s="2">
        <f>--2588.1</f>
        <v>2588.1</v>
      </c>
      <c r="Q68" s="2"/>
      <c r="R68" s="19"/>
      <c r="S68" s="2"/>
      <c r="T68" s="2">
        <f>--14128.08</f>
        <v>14128.08</v>
      </c>
      <c r="U68" s="2"/>
      <c r="V68" s="19"/>
      <c r="W68" s="2"/>
      <c r="X68" s="2">
        <f t="shared" si="2"/>
        <v>-11539.98</v>
      </c>
      <c r="Y68" s="2"/>
      <c r="Z68" s="19">
        <f t="shared" si="3"/>
        <v>-0.81681162620823211</v>
      </c>
    </row>
    <row r="69" spans="1:26" s="23" customFormat="1" hidden="1" outlineLevel="1" x14ac:dyDescent="0.25">
      <c r="A69" s="44"/>
      <c r="B69" s="10" t="str">
        <f>CONCATENATE("          ", "4143", " - ", "NON-TAXABLE SALES-CARDS")</f>
        <v xml:space="preserve">          4143 - NON-TAXABLE SALES-CARDS</v>
      </c>
      <c r="C69" s="10"/>
      <c r="D69" s="2">
        <f>--49.97</f>
        <v>49.97</v>
      </c>
      <c r="E69" s="2"/>
      <c r="F69" s="19"/>
      <c r="G69" s="2"/>
      <c r="H69" s="2">
        <f>-9.99</f>
        <v>-9.99</v>
      </c>
      <c r="I69" s="2"/>
      <c r="J69" s="19"/>
      <c r="K69" s="2"/>
      <c r="L69" s="2">
        <f t="shared" si="0"/>
        <v>59.96</v>
      </c>
      <c r="M69" s="2"/>
      <c r="N69" s="19">
        <f t="shared" si="1"/>
        <v>-6.0020020020020022</v>
      </c>
      <c r="O69" s="10"/>
      <c r="P69" s="2">
        <f>--2431.45</f>
        <v>2431.4499999999998</v>
      </c>
      <c r="Q69" s="2"/>
      <c r="R69" s="19"/>
      <c r="S69" s="2"/>
      <c r="T69" s="2">
        <f>0</f>
        <v>0</v>
      </c>
      <c r="U69" s="2"/>
      <c r="V69" s="19"/>
      <c r="W69" s="2"/>
      <c r="X69" s="2">
        <f t="shared" si="2"/>
        <v>2431.4499999999998</v>
      </c>
      <c r="Y69" s="2"/>
      <c r="Z69" s="19">
        <f t="shared" si="3"/>
        <v>0</v>
      </c>
    </row>
    <row r="70" spans="1:26" s="23" customFormat="1" hidden="1" outlineLevel="1" x14ac:dyDescent="0.25">
      <c r="A70" s="44"/>
      <c r="B70" s="10" t="str">
        <f>CONCATENATE("          ", "4144", " - ", "NON-TAXABLE SALES-ACCESSORIES")</f>
        <v xml:space="preserve">          4144 - NON-TAXABLE SALES-ACCESSORIES</v>
      </c>
      <c r="C70" s="10"/>
      <c r="D70" s="2">
        <f>--29.85</f>
        <v>29.85</v>
      </c>
      <c r="E70" s="2"/>
      <c r="F70" s="19"/>
      <c r="G70" s="2"/>
      <c r="H70" s="2">
        <f>--299.4</f>
        <v>299.39999999999998</v>
      </c>
      <c r="I70" s="2"/>
      <c r="J70" s="19"/>
      <c r="K70" s="2"/>
      <c r="L70" s="2">
        <f t="shared" si="0"/>
        <v>-269.54999999999995</v>
      </c>
      <c r="M70" s="2"/>
      <c r="N70" s="19">
        <f t="shared" si="1"/>
        <v>-0.90030060120240474</v>
      </c>
      <c r="O70" s="10"/>
      <c r="P70" s="2">
        <f>--709.1</f>
        <v>709.1</v>
      </c>
      <c r="Q70" s="2"/>
      <c r="R70" s="19"/>
      <c r="S70" s="2"/>
      <c r="T70" s="2">
        <f>--2339.67</f>
        <v>2339.67</v>
      </c>
      <c r="U70" s="2"/>
      <c r="V70" s="19"/>
      <c r="W70" s="2"/>
      <c r="X70" s="2">
        <f t="shared" si="2"/>
        <v>-1630.5700000000002</v>
      </c>
      <c r="Y70" s="2"/>
      <c r="Z70" s="19">
        <f t="shared" si="3"/>
        <v>-0.69692307034752765</v>
      </c>
    </row>
    <row r="71" spans="1:26" s="23" customFormat="1" hidden="1" outlineLevel="1" x14ac:dyDescent="0.25">
      <c r="A71" s="44"/>
      <c r="B71" s="10" t="str">
        <f>CONCATENATE("          ", "4145", " - ", "NON-TAXABLE SALES-SPECIAL ORDE")</f>
        <v xml:space="preserve">          4145 - NON-TAXABLE SALES-SPECIAL ORDE</v>
      </c>
      <c r="C71" s="10"/>
      <c r="D71" s="2">
        <f>--20350.8</f>
        <v>20350.8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20350.8</v>
      </c>
      <c r="M71" s="2"/>
      <c r="N71" s="19">
        <f t="shared" si="1"/>
        <v>0</v>
      </c>
      <c r="O71" s="10"/>
      <c r="P71" s="2">
        <f>--74066.89</f>
        <v>74066.89</v>
      </c>
      <c r="Q71" s="2"/>
      <c r="R71" s="19"/>
      <c r="S71" s="2"/>
      <c r="T71" s="2">
        <f>--140</f>
        <v>140</v>
      </c>
      <c r="U71" s="2"/>
      <c r="V71" s="19"/>
      <c r="W71" s="2"/>
      <c r="X71" s="2">
        <f t="shared" si="2"/>
        <v>73926.89</v>
      </c>
      <c r="Y71" s="2"/>
      <c r="Z71" s="19">
        <f t="shared" si="3"/>
        <v>528.04921428571424</v>
      </c>
    </row>
    <row r="72" spans="1:26" s="23" customFormat="1" hidden="1" outlineLevel="1" x14ac:dyDescent="0.25">
      <c r="A72" s="44"/>
      <c r="B72" s="10" t="str">
        <f>CONCATENATE("          ", "4146", " - ", "NON-TAXABLE SALES-COIN OP MACH")</f>
        <v xml:space="preserve">          4146 - NON-TAXABLE SALES-COIN OP MACH</v>
      </c>
      <c r="C72" s="10"/>
      <c r="D72" s="2">
        <f>--30.2</f>
        <v>30.2</v>
      </c>
      <c r="E72" s="2"/>
      <c r="F72" s="19"/>
      <c r="G72" s="2"/>
      <c r="H72" s="2">
        <f>--121.7</f>
        <v>121.7</v>
      </c>
      <c r="I72" s="2"/>
      <c r="J72" s="19"/>
      <c r="K72" s="2"/>
      <c r="L72" s="2">
        <f t="shared" si="0"/>
        <v>-91.5</v>
      </c>
      <c r="M72" s="2"/>
      <c r="N72" s="19">
        <f t="shared" si="1"/>
        <v>-0.75184880854560387</v>
      </c>
      <c r="O72" s="10"/>
      <c r="P72" s="2">
        <f>--329.3</f>
        <v>329.3</v>
      </c>
      <c r="Q72" s="2"/>
      <c r="R72" s="19"/>
      <c r="S72" s="2"/>
      <c r="T72" s="2">
        <f>--205908.65</f>
        <v>205908.65</v>
      </c>
      <c r="U72" s="2"/>
      <c r="V72" s="19"/>
      <c r="W72" s="2"/>
      <c r="X72" s="2">
        <f t="shared" si="2"/>
        <v>-205579.35</v>
      </c>
      <c r="Y72" s="2"/>
      <c r="Z72" s="19">
        <f t="shared" si="3"/>
        <v>-0.99840074712742766</v>
      </c>
    </row>
    <row r="73" spans="1:26" s="23" customFormat="1" hidden="1" outlineLevel="1" x14ac:dyDescent="0.25">
      <c r="A73" s="44"/>
      <c r="B73" s="10" t="str">
        <f>CONCATENATE("          ", "4147", " - ", "NON-TAXABLE SALES-MISC")</f>
        <v xml:space="preserve">          4147 - NON-TAXABLE SALES-MISC</v>
      </c>
      <c r="C73" s="10"/>
      <c r="D73" s="2">
        <f>--11</f>
        <v>11</v>
      </c>
      <c r="E73" s="2"/>
      <c r="F73" s="19"/>
      <c r="G73" s="2"/>
      <c r="H73" s="2">
        <f t="shared" ref="H73:H76" si="18">0</f>
        <v>0</v>
      </c>
      <c r="I73" s="2"/>
      <c r="J73" s="19"/>
      <c r="K73" s="2"/>
      <c r="L73" s="2">
        <f t="shared" si="0"/>
        <v>11</v>
      </c>
      <c r="M73" s="2"/>
      <c r="N73" s="19">
        <f t="shared" si="1"/>
        <v>0</v>
      </c>
      <c r="O73" s="10"/>
      <c r="P73" s="2">
        <f>--154.5</f>
        <v>154.5</v>
      </c>
      <c r="Q73" s="2"/>
      <c r="R73" s="19"/>
      <c r="S73" s="2"/>
      <c r="T73" s="2">
        <f>--3436.37</f>
        <v>3436.37</v>
      </c>
      <c r="U73" s="2"/>
      <c r="V73" s="19"/>
      <c r="W73" s="2"/>
      <c r="X73" s="2">
        <f t="shared" si="2"/>
        <v>-3281.87</v>
      </c>
      <c r="Y73" s="2"/>
      <c r="Z73" s="19">
        <f t="shared" si="3"/>
        <v>-0.95503976579937555</v>
      </c>
    </row>
    <row r="74" spans="1:26" s="23" customFormat="1" hidden="1" outlineLevel="1" x14ac:dyDescent="0.25">
      <c r="A74" s="44"/>
      <c r="B74" s="10" t="str">
        <f>CONCATENATE("          ", "4151", " - ", "NON-TAXABLE SALES-FOOD")</f>
        <v xml:space="preserve">          4151 - NON-TAXABLE SALES-FOOD</v>
      </c>
      <c r="C74" s="10"/>
      <c r="D74" s="2">
        <f>0</f>
        <v>0</v>
      </c>
      <c r="E74" s="2"/>
      <c r="F74" s="19"/>
      <c r="G74" s="2"/>
      <c r="H74" s="2">
        <f t="shared" si="18"/>
        <v>0</v>
      </c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0"/>
      <c r="P74" s="2">
        <f>0</f>
        <v>0</v>
      </c>
      <c r="Q74" s="2"/>
      <c r="R74" s="19"/>
      <c r="S74" s="2"/>
      <c r="T74" s="2">
        <f>--828068.07</f>
        <v>828068.07</v>
      </c>
      <c r="U74" s="2"/>
      <c r="V74" s="19"/>
      <c r="W74" s="2"/>
      <c r="X74" s="2">
        <f t="shared" si="2"/>
        <v>-828068.07</v>
      </c>
      <c r="Y74" s="2"/>
      <c r="Z74" s="19">
        <f t="shared" si="3"/>
        <v>-1</v>
      </c>
    </row>
    <row r="75" spans="1:26" s="23" customFormat="1" hidden="1" outlineLevel="1" x14ac:dyDescent="0.25">
      <c r="A75" s="44"/>
      <c r="B75" s="10" t="str">
        <f>CONCATENATE("          ", "4153", " - ", "NON-TAXABLE SALES-FOOD")</f>
        <v xml:space="preserve">          4153 - NON-TAXABLE SALES-FOOD</v>
      </c>
      <c r="C75" s="10"/>
      <c r="D75" s="2">
        <f>--51.9</f>
        <v>51.9</v>
      </c>
      <c r="E75" s="2"/>
      <c r="F75" s="19"/>
      <c r="G75" s="2"/>
      <c r="H75" s="2">
        <f t="shared" si="18"/>
        <v>0</v>
      </c>
      <c r="I75" s="2"/>
      <c r="J75" s="19"/>
      <c r="K75" s="2"/>
      <c r="L75" s="2">
        <f t="shared" si="0"/>
        <v>51.9</v>
      </c>
      <c r="M75" s="2"/>
      <c r="N75" s="19">
        <f t="shared" si="1"/>
        <v>0</v>
      </c>
      <c r="O75" s="10"/>
      <c r="P75" s="2">
        <f>--396.45</f>
        <v>396.45</v>
      </c>
      <c r="Q75" s="2"/>
      <c r="R75" s="19"/>
      <c r="S75" s="2"/>
      <c r="T75" s="2">
        <f>--12812.5</f>
        <v>12812.5</v>
      </c>
      <c r="U75" s="2"/>
      <c r="V75" s="19"/>
      <c r="W75" s="2"/>
      <c r="X75" s="2">
        <f t="shared" si="2"/>
        <v>-12416.05</v>
      </c>
      <c r="Y75" s="2"/>
      <c r="Z75" s="19">
        <f t="shared" si="3"/>
        <v>-0.96905756097560969</v>
      </c>
    </row>
    <row r="76" spans="1:26" s="23" customFormat="1" hidden="1" outlineLevel="1" x14ac:dyDescent="0.25">
      <c r="A76" s="44"/>
      <c r="B76" s="10" t="str">
        <f>CONCATENATE("          ", "4186", " - ", "NON-TAXABLE SALES-COMPUTER SUP")</f>
        <v xml:space="preserve">          4186 - NON-TAXABLE SALES-COMPUTER SUP</v>
      </c>
      <c r="C76" s="10"/>
      <c r="D76" s="2">
        <f>0</f>
        <v>0</v>
      </c>
      <c r="E76" s="2"/>
      <c r="F76" s="19"/>
      <c r="G76" s="2"/>
      <c r="H76" s="2">
        <f t="shared" si="18"/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0"/>
      <c r="P76" s="2">
        <f>0</f>
        <v>0</v>
      </c>
      <c r="Q76" s="2"/>
      <c r="R76" s="19"/>
      <c r="S76" s="2"/>
      <c r="T76" s="2">
        <f>-30.97</f>
        <v>-30.97</v>
      </c>
      <c r="U76" s="2"/>
      <c r="V76" s="19"/>
      <c r="W76" s="2"/>
      <c r="X76" s="2">
        <f t="shared" si="2"/>
        <v>30.97</v>
      </c>
      <c r="Y76" s="2"/>
      <c r="Z76" s="19">
        <f t="shared" si="3"/>
        <v>-1</v>
      </c>
    </row>
    <row r="77" spans="1:26" s="23" customFormat="1" hidden="1" outlineLevel="1" x14ac:dyDescent="0.25">
      <c r="A77" s="44"/>
      <c r="B77" s="10" t="str">
        <f>CONCATENATE("          ", "4201", " - ", "SALES RETURN TAXABLE-NEW TEXT")</f>
        <v xml:space="preserve">          4201 - SALES RETURN TAXABLE-NEW TEXT</v>
      </c>
      <c r="C77" s="10"/>
      <c r="D77" s="2">
        <f>-376.85</f>
        <v>-376.85</v>
      </c>
      <c r="E77" s="2"/>
      <c r="F77" s="19"/>
      <c r="G77" s="2"/>
      <c r="H77" s="2">
        <f>-62.3</f>
        <v>-62.3</v>
      </c>
      <c r="I77" s="2"/>
      <c r="J77" s="19"/>
      <c r="K77" s="2"/>
      <c r="L77" s="2">
        <f t="shared" si="0"/>
        <v>-314.55</v>
      </c>
      <c r="M77" s="2"/>
      <c r="N77" s="19">
        <f t="shared" si="1"/>
        <v>5.048956661316212</v>
      </c>
      <c r="O77" s="10"/>
      <c r="P77" s="2">
        <f>-51638.02</f>
        <v>-51638.02</v>
      </c>
      <c r="Q77" s="2"/>
      <c r="R77" s="19"/>
      <c r="S77" s="2"/>
      <c r="T77" s="2">
        <f>-121223.01</f>
        <v>-121223.01</v>
      </c>
      <c r="U77" s="2"/>
      <c r="V77" s="19"/>
      <c r="W77" s="2"/>
      <c r="X77" s="2">
        <f t="shared" si="2"/>
        <v>69584.989999999991</v>
      </c>
      <c r="Y77" s="2"/>
      <c r="Z77" s="19">
        <f t="shared" si="3"/>
        <v>-0.57402460143499157</v>
      </c>
    </row>
    <row r="78" spans="1:26" s="23" customFormat="1" hidden="1" outlineLevel="1" x14ac:dyDescent="0.25">
      <c r="A78" s="44"/>
      <c r="B78" s="10" t="str">
        <f>CONCATENATE("          ", "4202", " - ", "SALES RETURN TAXABLE-USED TEXT")</f>
        <v xml:space="preserve">          4202 - SALES RETURN TAXABLE-USED TEXT</v>
      </c>
      <c r="C78" s="10"/>
      <c r="D78" s="2">
        <f>-206.95</f>
        <v>-206.95</v>
      </c>
      <c r="E78" s="2"/>
      <c r="F78" s="19"/>
      <c r="G78" s="2"/>
      <c r="H78" s="2">
        <f>-31.95</f>
        <v>-31.95</v>
      </c>
      <c r="I78" s="2"/>
      <c r="J78" s="19"/>
      <c r="K78" s="2"/>
      <c r="L78" s="2">
        <f t="shared" si="0"/>
        <v>-175</v>
      </c>
      <c r="M78" s="2"/>
      <c r="N78" s="19">
        <f t="shared" si="1"/>
        <v>5.4773082942097027</v>
      </c>
      <c r="O78" s="10"/>
      <c r="P78" s="2">
        <f>-20096.26</f>
        <v>-20096.259999999998</v>
      </c>
      <c r="Q78" s="2"/>
      <c r="R78" s="19"/>
      <c r="S78" s="2"/>
      <c r="T78" s="2">
        <f>-45552.71</f>
        <v>-45552.71</v>
      </c>
      <c r="U78" s="2"/>
      <c r="V78" s="19"/>
      <c r="W78" s="2"/>
      <c r="X78" s="2">
        <f t="shared" si="2"/>
        <v>25456.45</v>
      </c>
      <c r="Y78" s="2"/>
      <c r="Z78" s="19">
        <f t="shared" si="3"/>
        <v>-0.55883502869532897</v>
      </c>
    </row>
    <row r="79" spans="1:26" s="23" customFormat="1" hidden="1" outlineLevel="1" x14ac:dyDescent="0.25">
      <c r="A79" s="44"/>
      <c r="B79" s="10" t="str">
        <f>CONCATENATE("          ", "4203", " - ", "SALES RETURN TAXABLE-RENTAL TE")</f>
        <v xml:space="preserve">          4203 - SALES RETURN TAXABLE-RENTAL TE</v>
      </c>
      <c r="C79" s="10"/>
      <c r="D79" s="2">
        <f t="shared" ref="D79:D86" si="19">0</f>
        <v>0</v>
      </c>
      <c r="E79" s="2"/>
      <c r="F79" s="19"/>
      <c r="G79" s="2"/>
      <c r="H79" s="2">
        <f t="shared" ref="H79:H80" si="20"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0"/>
      <c r="P79" s="2">
        <f>0</f>
        <v>0</v>
      </c>
      <c r="Q79" s="2"/>
      <c r="R79" s="19"/>
      <c r="S79" s="2"/>
      <c r="T79" s="2">
        <f>-144.99</f>
        <v>-144.99</v>
      </c>
      <c r="U79" s="2"/>
      <c r="V79" s="19"/>
      <c r="W79" s="2"/>
      <c r="X79" s="2">
        <f t="shared" si="2"/>
        <v>144.99</v>
      </c>
      <c r="Y79" s="2"/>
      <c r="Z79" s="19">
        <f t="shared" si="3"/>
        <v>-1</v>
      </c>
    </row>
    <row r="80" spans="1:26" s="23" customFormat="1" hidden="1" outlineLevel="1" x14ac:dyDescent="0.25">
      <c r="A80" s="44"/>
      <c r="B80" s="10" t="str">
        <f>CONCATENATE("          ", "4204", " - ", "SALES RETURN TAXABLE-DIGITAL T")</f>
        <v xml:space="preserve">          4204 - SALES RETURN TAXABLE-DIGITAL T</v>
      </c>
      <c r="C80" s="10"/>
      <c r="D80" s="2">
        <f t="shared" si="19"/>
        <v>0</v>
      </c>
      <c r="E80" s="2"/>
      <c r="F80" s="19"/>
      <c r="G80" s="2"/>
      <c r="H80" s="2">
        <f t="shared" si="20"/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0"/>
      <c r="P80" s="2">
        <f>-1763.1</f>
        <v>-1763.1</v>
      </c>
      <c r="Q80" s="2"/>
      <c r="R80" s="19"/>
      <c r="S80" s="2"/>
      <c r="T80" s="2">
        <f>-17255.33</f>
        <v>-17255.330000000002</v>
      </c>
      <c r="U80" s="2"/>
      <c r="V80" s="19"/>
      <c r="W80" s="2"/>
      <c r="X80" s="2">
        <f t="shared" si="2"/>
        <v>15492.230000000001</v>
      </c>
      <c r="Y80" s="2"/>
      <c r="Z80" s="19">
        <f t="shared" si="3"/>
        <v>-0.89782287559843832</v>
      </c>
    </row>
    <row r="81" spans="1:26" s="23" customFormat="1" hidden="1" outlineLevel="1" x14ac:dyDescent="0.25">
      <c r="A81" s="44"/>
      <c r="B81" s="10" t="str">
        <f>CONCATENATE("          ", "4213", " - ", "NON-TAXABLE SALES-TRADE BOOKS")</f>
        <v xml:space="preserve">          4213 - NON-TAXABLE SALES-TRADE BOOKS</v>
      </c>
      <c r="C81" s="10"/>
      <c r="D81" s="2">
        <f t="shared" si="19"/>
        <v>0</v>
      </c>
      <c r="E81" s="2"/>
      <c r="F81" s="19"/>
      <c r="G81" s="2"/>
      <c r="H81" s="2">
        <f>-2173.76</f>
        <v>-2173.7600000000002</v>
      </c>
      <c r="I81" s="2"/>
      <c r="J81" s="19"/>
      <c r="K81" s="2"/>
      <c r="L81" s="2">
        <f t="shared" si="0"/>
        <v>2173.7600000000002</v>
      </c>
      <c r="M81" s="2"/>
      <c r="N81" s="19">
        <f t="shared" si="1"/>
        <v>-1</v>
      </c>
      <c r="O81" s="10"/>
      <c r="P81" s="2">
        <f>-69.93</f>
        <v>-69.930000000000007</v>
      </c>
      <c r="Q81" s="2"/>
      <c r="R81" s="19"/>
      <c r="S81" s="2"/>
      <c r="T81" s="2">
        <f>-2768.67</f>
        <v>-2768.67</v>
      </c>
      <c r="U81" s="2"/>
      <c r="V81" s="19"/>
      <c r="W81" s="2"/>
      <c r="X81" s="2">
        <f t="shared" si="2"/>
        <v>2698.7400000000002</v>
      </c>
      <c r="Y81" s="2"/>
      <c r="Z81" s="19">
        <f t="shared" si="3"/>
        <v>-0.97474238533303004</v>
      </c>
    </row>
    <row r="82" spans="1:26" s="23" customFormat="1" hidden="1" outlineLevel="1" x14ac:dyDescent="0.25">
      <c r="A82" s="44"/>
      <c r="B82" s="10" t="str">
        <f>CONCATENATE("          ", "4214", " - ", "SALES RETURN TAXABLE-REMAINDER")</f>
        <v xml:space="preserve">          4214 - SALES RETURN TAXABLE-REMAINDER</v>
      </c>
      <c r="C82" s="10"/>
      <c r="D82" s="2">
        <f t="shared" si="19"/>
        <v>0</v>
      </c>
      <c r="E82" s="2"/>
      <c r="F82" s="19"/>
      <c r="G82" s="2"/>
      <c r="H82" s="2">
        <f t="shared" ref="H82:H89" si="21">0</f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0"/>
      <c r="P82" s="2">
        <f t="shared" ref="P82:P83" si="22">0</f>
        <v>0</v>
      </c>
      <c r="Q82" s="2"/>
      <c r="R82" s="19"/>
      <c r="S82" s="2"/>
      <c r="T82" s="2">
        <f>-11.94</f>
        <v>-11.94</v>
      </c>
      <c r="U82" s="2"/>
      <c r="V82" s="19"/>
      <c r="W82" s="2"/>
      <c r="X82" s="2">
        <f t="shared" si="2"/>
        <v>11.94</v>
      </c>
      <c r="Y82" s="2"/>
      <c r="Z82" s="19">
        <f t="shared" si="3"/>
        <v>-1</v>
      </c>
    </row>
    <row r="83" spans="1:26" s="23" customFormat="1" hidden="1" outlineLevel="1" x14ac:dyDescent="0.25">
      <c r="A83" s="44"/>
      <c r="B83" s="10" t="str">
        <f>CONCATENATE("          ", "4217", " - ", "NON-TAXABLE SALES-DORM/HOUSEWA")</f>
        <v xml:space="preserve">          4217 - NON-TAXABLE SALES-DORM/HOUSEWA</v>
      </c>
      <c r="C83" s="10"/>
      <c r="D83" s="2">
        <f t="shared" si="19"/>
        <v>0</v>
      </c>
      <c r="E83" s="2"/>
      <c r="F83" s="19"/>
      <c r="G83" s="2"/>
      <c r="H83" s="2">
        <f t="shared" si="21"/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0"/>
      <c r="P83" s="2">
        <f t="shared" si="22"/>
        <v>0</v>
      </c>
      <c r="Q83" s="2"/>
      <c r="R83" s="19"/>
      <c r="S83" s="2"/>
      <c r="T83" s="2">
        <f>-2.98</f>
        <v>-2.98</v>
      </c>
      <c r="U83" s="2"/>
      <c r="V83" s="19"/>
      <c r="W83" s="2"/>
      <c r="X83" s="2">
        <f t="shared" si="2"/>
        <v>2.98</v>
      </c>
      <c r="Y83" s="2"/>
      <c r="Z83" s="19">
        <f t="shared" si="3"/>
        <v>-1</v>
      </c>
    </row>
    <row r="84" spans="1:26" s="23" customFormat="1" hidden="1" outlineLevel="1" x14ac:dyDescent="0.25">
      <c r="A84" s="44"/>
      <c r="B84" s="10" t="str">
        <f>CONCATENATE("          ", "4218", " - ", "SALES RETURN TAXABLE-STUDY GUI")</f>
        <v xml:space="preserve">          4218 - SALES RETURN TAXABLE-STUDY GUI</v>
      </c>
      <c r="C84" s="10"/>
      <c r="D84" s="2">
        <f t="shared" si="19"/>
        <v>0</v>
      </c>
      <c r="E84" s="2"/>
      <c r="F84" s="19"/>
      <c r="G84" s="2"/>
      <c r="H84" s="2">
        <f t="shared" si="21"/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0"/>
      <c r="P84" s="2">
        <f>-5.21</f>
        <v>-5.21</v>
      </c>
      <c r="Q84" s="2"/>
      <c r="R84" s="19"/>
      <c r="S84" s="2"/>
      <c r="T84" s="2">
        <f>-39.25</f>
        <v>-39.25</v>
      </c>
      <c r="U84" s="2"/>
      <c r="V84" s="19"/>
      <c r="W84" s="2"/>
      <c r="X84" s="2">
        <f t="shared" si="2"/>
        <v>34.04</v>
      </c>
      <c r="Y84" s="2"/>
      <c r="Z84" s="19">
        <f t="shared" si="3"/>
        <v>-0.86726114649681529</v>
      </c>
    </row>
    <row r="85" spans="1:26" s="23" customFormat="1" hidden="1" outlineLevel="1" x14ac:dyDescent="0.25">
      <c r="A85" s="44"/>
      <c r="B85" s="10" t="str">
        <f>CONCATENATE("          ", "4225", " - ", "SALES RETURN TAXABLE-TEST FORM")</f>
        <v xml:space="preserve">          4225 - SALES RETURN TAXABLE-TEST FORM</v>
      </c>
      <c r="C85" s="10"/>
      <c r="D85" s="2">
        <f t="shared" si="19"/>
        <v>0</v>
      </c>
      <c r="E85" s="2"/>
      <c r="F85" s="19"/>
      <c r="G85" s="2"/>
      <c r="H85" s="2">
        <f t="shared" si="21"/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0"/>
      <c r="P85" s="2">
        <f>0</f>
        <v>0</v>
      </c>
      <c r="Q85" s="2"/>
      <c r="R85" s="19"/>
      <c r="S85" s="2"/>
      <c r="T85" s="2">
        <f>-176.41</f>
        <v>-176.41</v>
      </c>
      <c r="U85" s="2"/>
      <c r="V85" s="19"/>
      <c r="W85" s="2"/>
      <c r="X85" s="2">
        <f t="shared" si="2"/>
        <v>176.41</v>
      </c>
      <c r="Y85" s="2"/>
      <c r="Z85" s="19">
        <f t="shared" si="3"/>
        <v>-1</v>
      </c>
    </row>
    <row r="86" spans="1:26" s="23" customFormat="1" hidden="1" outlineLevel="1" x14ac:dyDescent="0.25">
      <c r="A86" s="44"/>
      <c r="B86" s="10" t="str">
        <f>CONCATENATE("          ", "4226", " - ", "SALES RETURN TAXABLE-WRITING I")</f>
        <v xml:space="preserve">          4226 - SALES RETURN TAXABLE-WRITING I</v>
      </c>
      <c r="C86" s="10"/>
      <c r="D86" s="2">
        <f t="shared" si="19"/>
        <v>0</v>
      </c>
      <c r="E86" s="2"/>
      <c r="F86" s="19"/>
      <c r="G86" s="2"/>
      <c r="H86" s="2">
        <f t="shared" si="21"/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0"/>
      <c r="P86" s="2">
        <f>-34.23</f>
        <v>-34.229999999999997</v>
      </c>
      <c r="Q86" s="2"/>
      <c r="R86" s="19"/>
      <c r="S86" s="2"/>
      <c r="T86" s="2">
        <f>-765.04</f>
        <v>-765.04</v>
      </c>
      <c r="U86" s="2"/>
      <c r="V86" s="19"/>
      <c r="W86" s="2"/>
      <c r="X86" s="2">
        <f t="shared" si="2"/>
        <v>730.81</v>
      </c>
      <c r="Y86" s="2"/>
      <c r="Z86" s="19">
        <f t="shared" si="3"/>
        <v>-0.95525724145142732</v>
      </c>
    </row>
    <row r="87" spans="1:26" s="23" customFormat="1" hidden="1" outlineLevel="1" x14ac:dyDescent="0.25">
      <c r="A87" s="44"/>
      <c r="B87" s="10" t="str">
        <f>CONCATENATE("          ", "4227", " - ", "SALES RETURN TAXABLE-SCHOOL SU")</f>
        <v xml:space="preserve">          4227 - SALES RETURN TAXABLE-SCHOOL SU</v>
      </c>
      <c r="C87" s="10"/>
      <c r="D87" s="2">
        <f>-500.54</f>
        <v>-500.54</v>
      </c>
      <c r="E87" s="2"/>
      <c r="F87" s="19"/>
      <c r="G87" s="2"/>
      <c r="H87" s="2">
        <f t="shared" si="21"/>
        <v>0</v>
      </c>
      <c r="I87" s="2"/>
      <c r="J87" s="19"/>
      <c r="K87" s="2"/>
      <c r="L87" s="2">
        <f t="shared" si="0"/>
        <v>-500.54</v>
      </c>
      <c r="M87" s="2"/>
      <c r="N87" s="19">
        <f t="shared" si="1"/>
        <v>0</v>
      </c>
      <c r="O87" s="10"/>
      <c r="P87" s="2">
        <f>-1346.66</f>
        <v>-1346.66</v>
      </c>
      <c r="Q87" s="2"/>
      <c r="R87" s="19"/>
      <c r="S87" s="2"/>
      <c r="T87" s="2">
        <f>-8593.61</f>
        <v>-8593.61</v>
      </c>
      <c r="U87" s="2"/>
      <c r="V87" s="19"/>
      <c r="W87" s="2"/>
      <c r="X87" s="2">
        <f t="shared" si="2"/>
        <v>7246.9500000000007</v>
      </c>
      <c r="Y87" s="2"/>
      <c r="Z87" s="19">
        <f t="shared" si="3"/>
        <v>-0.8432951925907739</v>
      </c>
    </row>
    <row r="88" spans="1:26" s="23" customFormat="1" hidden="1" outlineLevel="1" x14ac:dyDescent="0.25">
      <c r="A88" s="44"/>
      <c r="B88" s="10" t="str">
        <f>CONCATENATE("          ", "4228", " - ", "SALES RETURN TAXABLE-ART/TECH")</f>
        <v xml:space="preserve">          4228 - SALES RETURN TAXABLE-ART/TECH</v>
      </c>
      <c r="C88" s="10"/>
      <c r="D88" s="2">
        <f>-136.11</f>
        <v>-136.11000000000001</v>
      </c>
      <c r="E88" s="2"/>
      <c r="F88" s="19"/>
      <c r="G88" s="2"/>
      <c r="H88" s="2">
        <f t="shared" si="21"/>
        <v>0</v>
      </c>
      <c r="I88" s="2"/>
      <c r="J88" s="19"/>
      <c r="K88" s="2"/>
      <c r="L88" s="2">
        <f t="shared" si="0"/>
        <v>-136.11000000000001</v>
      </c>
      <c r="M88" s="2"/>
      <c r="N88" s="19">
        <f t="shared" si="1"/>
        <v>0</v>
      </c>
      <c r="O88" s="10"/>
      <c r="P88" s="2">
        <f>-12973.73</f>
        <v>-12973.73</v>
      </c>
      <c r="Q88" s="2"/>
      <c r="R88" s="19"/>
      <c r="S88" s="2"/>
      <c r="T88" s="2">
        <f>-4739.1</f>
        <v>-4739.1000000000004</v>
      </c>
      <c r="U88" s="2"/>
      <c r="V88" s="19"/>
      <c r="W88" s="2"/>
      <c r="X88" s="2">
        <f t="shared" si="2"/>
        <v>-8234.6299999999992</v>
      </c>
      <c r="Y88" s="2"/>
      <c r="Z88" s="19">
        <f t="shared" si="3"/>
        <v>1.7375936359224322</v>
      </c>
    </row>
    <row r="89" spans="1:26" s="23" customFormat="1" hidden="1" outlineLevel="1" x14ac:dyDescent="0.25">
      <c r="A89" s="44"/>
      <c r="B89" s="10" t="str">
        <f>CONCATENATE("          ", "4233", " - ", "SALES RETURN TAXABLE-CANDY")</f>
        <v xml:space="preserve">          4233 - SALES RETURN TAXABLE-CANDY</v>
      </c>
      <c r="C89" s="10"/>
      <c r="D89" s="2">
        <f>0</f>
        <v>0</v>
      </c>
      <c r="E89" s="2"/>
      <c r="F89" s="19"/>
      <c r="G89" s="2"/>
      <c r="H89" s="2">
        <f t="shared" si="21"/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0"/>
      <c r="P89" s="2">
        <f>0</f>
        <v>0</v>
      </c>
      <c r="Q89" s="2"/>
      <c r="R89" s="19"/>
      <c r="S89" s="2"/>
      <c r="T89" s="2">
        <f>-8.25</f>
        <v>-8.25</v>
      </c>
      <c r="U89" s="2"/>
      <c r="V89" s="19"/>
      <c r="W89" s="2"/>
      <c r="X89" s="2">
        <f t="shared" si="2"/>
        <v>8.25</v>
      </c>
      <c r="Y89" s="2"/>
      <c r="Z89" s="19">
        <f t="shared" si="3"/>
        <v>-1</v>
      </c>
    </row>
    <row r="90" spans="1:26" s="23" customFormat="1" hidden="1" outlineLevel="1" x14ac:dyDescent="0.25">
      <c r="A90" s="44"/>
      <c r="B90" s="10" t="str">
        <f>CONCATENATE("          ", "4240", " - ", "SALES RETURN TAXABLE-LOGO CLOT")</f>
        <v xml:space="preserve">          4240 - SALES RETURN TAXABLE-LOGO CLOT</v>
      </c>
      <c r="C90" s="10"/>
      <c r="D90" s="2">
        <f>-5611.92</f>
        <v>-5611.92</v>
      </c>
      <c r="E90" s="2"/>
      <c r="F90" s="19"/>
      <c r="G90" s="2"/>
      <c r="H90" s="2">
        <f>-1642.96</f>
        <v>-1642.96</v>
      </c>
      <c r="I90" s="2"/>
      <c r="J90" s="19"/>
      <c r="K90" s="2"/>
      <c r="L90" s="2">
        <f t="shared" si="0"/>
        <v>-3968.96</v>
      </c>
      <c r="M90" s="2"/>
      <c r="N90" s="19">
        <f t="shared" si="1"/>
        <v>2.4157374494814237</v>
      </c>
      <c r="O90" s="10"/>
      <c r="P90" s="2">
        <f>-40666.27</f>
        <v>-40666.269999999997</v>
      </c>
      <c r="Q90" s="2"/>
      <c r="R90" s="19"/>
      <c r="S90" s="2"/>
      <c r="T90" s="2">
        <f>-74455.19</f>
        <v>-74455.19</v>
      </c>
      <c r="U90" s="2"/>
      <c r="V90" s="19"/>
      <c r="W90" s="2"/>
      <c r="X90" s="2">
        <f t="shared" si="2"/>
        <v>33788.920000000006</v>
      </c>
      <c r="Y90" s="2"/>
      <c r="Z90" s="19">
        <f t="shared" si="3"/>
        <v>-0.45381550970456197</v>
      </c>
    </row>
    <row r="91" spans="1:26" s="23" customFormat="1" hidden="1" outlineLevel="1" x14ac:dyDescent="0.25">
      <c r="A91" s="44"/>
      <c r="B91" s="10" t="str">
        <f>CONCATENATE("          ", "4241", " - ", "SALES RETURN TAXABLE-LOGO GIFT")</f>
        <v xml:space="preserve">          4241 - SALES RETURN TAXABLE-LOGO GIFT</v>
      </c>
      <c r="C91" s="10"/>
      <c r="D91" s="2">
        <f>-5656.91</f>
        <v>-5656.91</v>
      </c>
      <c r="E91" s="2"/>
      <c r="F91" s="19"/>
      <c r="G91" s="2"/>
      <c r="H91" s="2">
        <f>-190.5</f>
        <v>-190.5</v>
      </c>
      <c r="I91" s="2"/>
      <c r="J91" s="19"/>
      <c r="K91" s="2"/>
      <c r="L91" s="2">
        <f t="shared" si="0"/>
        <v>-5466.41</v>
      </c>
      <c r="M91" s="2"/>
      <c r="N91" s="19">
        <f t="shared" si="1"/>
        <v>28.695065616797901</v>
      </c>
      <c r="O91" s="10"/>
      <c r="P91" s="2">
        <f>-12175.25</f>
        <v>-12175.25</v>
      </c>
      <c r="Q91" s="2"/>
      <c r="R91" s="19"/>
      <c r="S91" s="2"/>
      <c r="T91" s="2">
        <f>-6331.88</f>
        <v>-6331.88</v>
      </c>
      <c r="U91" s="2"/>
      <c r="V91" s="19"/>
      <c r="W91" s="2"/>
      <c r="X91" s="2">
        <f t="shared" si="2"/>
        <v>-5843.37</v>
      </c>
      <c r="Y91" s="2"/>
      <c r="Z91" s="19">
        <f t="shared" si="3"/>
        <v>0.92284913801272284</v>
      </c>
    </row>
    <row r="92" spans="1:26" s="23" customFormat="1" hidden="1" outlineLevel="1" x14ac:dyDescent="0.25">
      <c r="A92" s="44"/>
      <c r="B92" s="10" t="str">
        <f>CONCATENATE("          ", "4242", " - ", "SALES RETURN TAXABLE-EVERYDAY")</f>
        <v xml:space="preserve">          4242 - SALES RETURN TAXABLE-EVERYDAY</v>
      </c>
      <c r="C92" s="10"/>
      <c r="D92" s="2">
        <f>-332.27</f>
        <v>-332.27</v>
      </c>
      <c r="E92" s="2"/>
      <c r="F92" s="19"/>
      <c r="G92" s="2"/>
      <c r="H92" s="2">
        <f>-3</f>
        <v>-3</v>
      </c>
      <c r="I92" s="2"/>
      <c r="J92" s="19"/>
      <c r="K92" s="2"/>
      <c r="L92" s="2">
        <f t="shared" si="0"/>
        <v>-329.27</v>
      </c>
      <c r="M92" s="2"/>
      <c r="N92" s="19">
        <f t="shared" si="1"/>
        <v>109.75666666666666</v>
      </c>
      <c r="O92" s="10"/>
      <c r="P92" s="2">
        <f>-2636.09</f>
        <v>-2636.09</v>
      </c>
      <c r="Q92" s="2"/>
      <c r="R92" s="19"/>
      <c r="S92" s="2"/>
      <c r="T92" s="2">
        <f>-4181.41</f>
        <v>-4181.41</v>
      </c>
      <c r="U92" s="2"/>
      <c r="V92" s="19"/>
      <c r="W92" s="2"/>
      <c r="X92" s="2">
        <f t="shared" si="2"/>
        <v>1545.3199999999997</v>
      </c>
      <c r="Y92" s="2"/>
      <c r="Z92" s="19">
        <f t="shared" si="3"/>
        <v>-0.36956911663768915</v>
      </c>
    </row>
    <row r="93" spans="1:26" s="23" customFormat="1" hidden="1" outlineLevel="1" x14ac:dyDescent="0.25">
      <c r="A93" s="44"/>
      <c r="B93" s="10" t="str">
        <f>CONCATENATE("          ", "4243", " - ", "SALES RETURN TAXABLE-CARDS")</f>
        <v xml:space="preserve">          4243 - SALES RETURN TAXABLE-CARDS</v>
      </c>
      <c r="C93" s="10"/>
      <c r="D93" s="2">
        <f>-199.86</f>
        <v>-199.86</v>
      </c>
      <c r="E93" s="2"/>
      <c r="F93" s="19"/>
      <c r="G93" s="2"/>
      <c r="H93" s="2">
        <f>-13</f>
        <v>-13</v>
      </c>
      <c r="I93" s="2"/>
      <c r="J93" s="19"/>
      <c r="K93" s="2"/>
      <c r="L93" s="2">
        <f t="shared" si="0"/>
        <v>-186.86</v>
      </c>
      <c r="M93" s="2"/>
      <c r="N93" s="19">
        <f t="shared" si="1"/>
        <v>14.373846153846156</v>
      </c>
      <c r="O93" s="10"/>
      <c r="P93" s="2">
        <f>-6142.09</f>
        <v>-6142.09</v>
      </c>
      <c r="Q93" s="2"/>
      <c r="R93" s="19"/>
      <c r="S93" s="2"/>
      <c r="T93" s="2">
        <f>-3006.31</f>
        <v>-3006.31</v>
      </c>
      <c r="U93" s="2"/>
      <c r="V93" s="19"/>
      <c r="W93" s="2"/>
      <c r="X93" s="2">
        <f t="shared" si="2"/>
        <v>-3135.78</v>
      </c>
      <c r="Y93" s="2"/>
      <c r="Z93" s="19">
        <f t="shared" si="3"/>
        <v>1.0430660843359467</v>
      </c>
    </row>
    <row r="94" spans="1:26" s="23" customFormat="1" hidden="1" outlineLevel="1" x14ac:dyDescent="0.25">
      <c r="A94" s="44"/>
      <c r="B94" s="10" t="str">
        <f>CONCATENATE("          ", "4244", " - ", "SALES RETURN TAXABLE-ACCESSORI")</f>
        <v xml:space="preserve">          4244 - SALES RETURN TAXABLE-ACCESSORI</v>
      </c>
      <c r="C94" s="10"/>
      <c r="D94" s="2">
        <f>-8.24</f>
        <v>-8.24</v>
      </c>
      <c r="E94" s="2"/>
      <c r="F94" s="19"/>
      <c r="G94" s="2"/>
      <c r="H94" s="2">
        <f t="shared" ref="H94:H98" si="23">0</f>
        <v>0</v>
      </c>
      <c r="I94" s="2"/>
      <c r="J94" s="19"/>
      <c r="K94" s="2"/>
      <c r="L94" s="2">
        <f t="shared" si="0"/>
        <v>-8.24</v>
      </c>
      <c r="M94" s="2"/>
      <c r="N94" s="19">
        <f t="shared" si="1"/>
        <v>0</v>
      </c>
      <c r="O94" s="10"/>
      <c r="P94" s="2">
        <f>-1243.5</f>
        <v>-1243.5</v>
      </c>
      <c r="Q94" s="2"/>
      <c r="R94" s="19"/>
      <c r="S94" s="2"/>
      <c r="T94" s="2">
        <f>-2470.7</f>
        <v>-2470.6999999999998</v>
      </c>
      <c r="U94" s="2"/>
      <c r="V94" s="19"/>
      <c r="W94" s="2"/>
      <c r="X94" s="2">
        <f t="shared" si="2"/>
        <v>1227.1999999999998</v>
      </c>
      <c r="Y94" s="2"/>
      <c r="Z94" s="19">
        <f t="shared" si="3"/>
        <v>-0.4967013397012992</v>
      </c>
    </row>
    <row r="95" spans="1:26" s="23" customFormat="1" hidden="1" outlineLevel="1" x14ac:dyDescent="0.25">
      <c r="A95" s="44"/>
      <c r="B95" s="10" t="str">
        <f>CONCATENATE("          ", "4245", " - ", "SALES RETURN TAXABLE-SPECIAL O")</f>
        <v xml:space="preserve">          4245 - SALES RETURN TAXABLE-SPECIAL O</v>
      </c>
      <c r="C95" s="10"/>
      <c r="D95" s="2">
        <f>-4071.14</f>
        <v>-4071.14</v>
      </c>
      <c r="E95" s="2"/>
      <c r="F95" s="19"/>
      <c r="G95" s="2"/>
      <c r="H95" s="2">
        <f t="shared" si="23"/>
        <v>0</v>
      </c>
      <c r="I95" s="2"/>
      <c r="J95" s="19"/>
      <c r="K95" s="2"/>
      <c r="L95" s="2">
        <f t="shared" si="0"/>
        <v>-4071.14</v>
      </c>
      <c r="M95" s="2"/>
      <c r="N95" s="19">
        <f t="shared" si="1"/>
        <v>0</v>
      </c>
      <c r="O95" s="10"/>
      <c r="P95" s="2">
        <f>-15424.73</f>
        <v>-15424.73</v>
      </c>
      <c r="Q95" s="2"/>
      <c r="R95" s="19"/>
      <c r="S95" s="2"/>
      <c r="T95" s="2">
        <f>-1735.03</f>
        <v>-1735.03</v>
      </c>
      <c r="U95" s="2"/>
      <c r="V95" s="19"/>
      <c r="W95" s="2"/>
      <c r="X95" s="2">
        <f t="shared" si="2"/>
        <v>-13689.699999999999</v>
      </c>
      <c r="Y95" s="2"/>
      <c r="Z95" s="19">
        <f t="shared" si="3"/>
        <v>7.890180573246572</v>
      </c>
    </row>
    <row r="96" spans="1:26" s="23" customFormat="1" hidden="1" outlineLevel="1" x14ac:dyDescent="0.25">
      <c r="A96" s="44"/>
      <c r="B96" s="10" t="str">
        <f>CONCATENATE("          ", "4281", " - ", "SALES RETURN TAXABLE-ELECTRONI")</f>
        <v xml:space="preserve">          4281 - SALES RETURN TAXABLE-ELECTRONI</v>
      </c>
      <c r="C96" s="10"/>
      <c r="D96" s="2">
        <f t="shared" ref="D96:D98" si="24">0</f>
        <v>0</v>
      </c>
      <c r="E96" s="2"/>
      <c r="F96" s="19"/>
      <c r="G96" s="2"/>
      <c r="H96" s="2">
        <f t="shared" si="23"/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0"/>
      <c r="P96" s="2">
        <f t="shared" ref="P96:P98" si="25">0</f>
        <v>0</v>
      </c>
      <c r="Q96" s="2"/>
      <c r="R96" s="19"/>
      <c r="S96" s="2"/>
      <c r="T96" s="2">
        <f>-54.97</f>
        <v>-54.97</v>
      </c>
      <c r="U96" s="2"/>
      <c r="V96" s="19"/>
      <c r="W96" s="2"/>
      <c r="X96" s="2">
        <f t="shared" si="2"/>
        <v>54.97</v>
      </c>
      <c r="Y96" s="2"/>
      <c r="Z96" s="19">
        <f t="shared" si="3"/>
        <v>-1</v>
      </c>
    </row>
    <row r="97" spans="1:26" s="23" customFormat="1" hidden="1" outlineLevel="1" x14ac:dyDescent="0.25">
      <c r="A97" s="44"/>
      <c r="B97" s="10" t="str">
        <f>CONCATENATE("          ", "4292", " - ", "SALES RETURN TAXABLE-GRAD MERC")</f>
        <v xml:space="preserve">          4292 - SALES RETURN TAXABLE-GRAD MERC</v>
      </c>
      <c r="C97" s="10"/>
      <c r="D97" s="2">
        <f t="shared" si="24"/>
        <v>0</v>
      </c>
      <c r="E97" s="2"/>
      <c r="F97" s="19"/>
      <c r="G97" s="2"/>
      <c r="H97" s="2">
        <f t="shared" si="23"/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0"/>
      <c r="P97" s="2">
        <f t="shared" si="25"/>
        <v>0</v>
      </c>
      <c r="Q97" s="2"/>
      <c r="R97" s="19"/>
      <c r="S97" s="2"/>
      <c r="T97" s="2">
        <f>-513.95</f>
        <v>-513.95000000000005</v>
      </c>
      <c r="U97" s="2"/>
      <c r="V97" s="19"/>
      <c r="W97" s="2"/>
      <c r="X97" s="2">
        <f t="shared" si="2"/>
        <v>513.95000000000005</v>
      </c>
      <c r="Y97" s="2"/>
      <c r="Z97" s="19">
        <f t="shared" si="3"/>
        <v>-1</v>
      </c>
    </row>
    <row r="98" spans="1:26" s="23" customFormat="1" hidden="1" outlineLevel="1" x14ac:dyDescent="0.25">
      <c r="A98" s="44"/>
      <c r="B98" s="10" t="str">
        <f>CONCATENATE("          ", "4295", " - ", "SALES RETURN TAXABLE-CUSTOMER")</f>
        <v xml:space="preserve">          4295 - SALES RETURN TAXABLE-CUSTOMER</v>
      </c>
      <c r="C98" s="10"/>
      <c r="D98" s="2">
        <f t="shared" si="24"/>
        <v>0</v>
      </c>
      <c r="E98" s="2"/>
      <c r="F98" s="19"/>
      <c r="G98" s="2"/>
      <c r="H98" s="2">
        <f t="shared" si="23"/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0"/>
      <c r="P98" s="2">
        <f t="shared" si="25"/>
        <v>0</v>
      </c>
      <c r="Q98" s="2"/>
      <c r="R98" s="19"/>
      <c r="S98" s="2"/>
      <c r="T98" s="2">
        <f>--0.99</f>
        <v>0.99</v>
      </c>
      <c r="U98" s="2"/>
      <c r="V98" s="19"/>
      <c r="W98" s="2"/>
      <c r="X98" s="2">
        <f t="shared" si="2"/>
        <v>-0.99</v>
      </c>
      <c r="Y98" s="2"/>
      <c r="Z98" s="19">
        <f t="shared" si="3"/>
        <v>-1</v>
      </c>
    </row>
    <row r="99" spans="1:26" s="23" customFormat="1" hidden="1" outlineLevel="1" x14ac:dyDescent="0.25">
      <c r="A99" s="44"/>
      <c r="B99" s="10" t="str">
        <f>CONCATENATE("          ", "4301", " - ", "SALES RETURN NON TAXABLE-NEW T")</f>
        <v xml:space="preserve">          4301 - SALES RETURN NON TAXABLE-NEW T</v>
      </c>
      <c r="C99" s="10"/>
      <c r="D99" s="2">
        <f>-225.91</f>
        <v>-225.91</v>
      </c>
      <c r="E99" s="2"/>
      <c r="F99" s="19"/>
      <c r="G99" s="2"/>
      <c r="H99" s="2">
        <f>-357.81</f>
        <v>-357.81</v>
      </c>
      <c r="I99" s="2"/>
      <c r="J99" s="19"/>
      <c r="K99" s="2"/>
      <c r="L99" s="2">
        <f t="shared" si="0"/>
        <v>131.9</v>
      </c>
      <c r="M99" s="2"/>
      <c r="N99" s="19">
        <f t="shared" si="1"/>
        <v>-0.36863139655124227</v>
      </c>
      <c r="O99" s="10"/>
      <c r="P99" s="2">
        <f>-3463.2</f>
        <v>-3463.2</v>
      </c>
      <c r="Q99" s="2"/>
      <c r="R99" s="19"/>
      <c r="S99" s="2"/>
      <c r="T99" s="2">
        <f>-15579.43</f>
        <v>-15579.43</v>
      </c>
      <c r="U99" s="2"/>
      <c r="V99" s="19"/>
      <c r="W99" s="2"/>
      <c r="X99" s="2">
        <f t="shared" si="2"/>
        <v>12116.23</v>
      </c>
      <c r="Y99" s="2"/>
      <c r="Z99" s="19">
        <f t="shared" si="3"/>
        <v>-0.77770688658057452</v>
      </c>
    </row>
    <row r="100" spans="1:26" s="23" customFormat="1" hidden="1" outlineLevel="1" x14ac:dyDescent="0.25">
      <c r="A100" s="44"/>
      <c r="B100" s="10" t="str">
        <f>CONCATENATE("          ", "4302", " - ", "SALES RETURN NON TAXABLE-TEXT")</f>
        <v xml:space="preserve">          4302 - SALES RETURN NON TAXABLE-TEXT</v>
      </c>
      <c r="C100" s="10"/>
      <c r="D100" s="2">
        <f>-98.97</f>
        <v>-98.97</v>
      </c>
      <c r="E100" s="2"/>
      <c r="F100" s="19"/>
      <c r="G100" s="2"/>
      <c r="H100" s="2">
        <f t="shared" ref="H100:H102" si="26">0</f>
        <v>0</v>
      </c>
      <c r="I100" s="2"/>
      <c r="J100" s="19"/>
      <c r="K100" s="2"/>
      <c r="L100" s="2">
        <f t="shared" si="0"/>
        <v>-98.97</v>
      </c>
      <c r="M100" s="2"/>
      <c r="N100" s="19">
        <f t="shared" si="1"/>
        <v>0</v>
      </c>
      <c r="O100" s="10"/>
      <c r="P100" s="2">
        <f>-2443.32</f>
        <v>-2443.3200000000002</v>
      </c>
      <c r="Q100" s="2"/>
      <c r="R100" s="19"/>
      <c r="S100" s="2"/>
      <c r="T100" s="2">
        <f>-1312.37</f>
        <v>-1312.37</v>
      </c>
      <c r="U100" s="2"/>
      <c r="V100" s="19"/>
      <c r="W100" s="2"/>
      <c r="X100" s="2">
        <f t="shared" si="2"/>
        <v>-1130.9500000000003</v>
      </c>
      <c r="Y100" s="2"/>
      <c r="Z100" s="19">
        <f t="shared" si="3"/>
        <v>0.86176154590549947</v>
      </c>
    </row>
    <row r="101" spans="1:26" s="23" customFormat="1" hidden="1" outlineLevel="1" x14ac:dyDescent="0.25">
      <c r="A101" s="44"/>
      <c r="B101" s="10" t="str">
        <f>CONCATENATE("          ", "4303", " - ", "SALES RETURN NON-TAXABLE-RENTA")</f>
        <v xml:space="preserve">          4303 - SALES RETURN NON-TAXABLE-RENTA</v>
      </c>
      <c r="C101" s="10"/>
      <c r="D101" s="2">
        <f t="shared" ref="D101:D107" si="27">0</f>
        <v>0</v>
      </c>
      <c r="E101" s="2"/>
      <c r="F101" s="19"/>
      <c r="G101" s="2"/>
      <c r="H101" s="2">
        <f t="shared" si="26"/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0"/>
      <c r="P101" s="2">
        <f>0</f>
        <v>0</v>
      </c>
      <c r="Q101" s="2"/>
      <c r="R101" s="19"/>
      <c r="S101" s="2"/>
      <c r="T101" s="2">
        <f>-184.99</f>
        <v>-184.99</v>
      </c>
      <c r="U101" s="2"/>
      <c r="V101" s="19"/>
      <c r="W101" s="2"/>
      <c r="X101" s="2">
        <f t="shared" si="2"/>
        <v>184.99</v>
      </c>
      <c r="Y101" s="2"/>
      <c r="Z101" s="19">
        <f t="shared" si="3"/>
        <v>-1</v>
      </c>
    </row>
    <row r="102" spans="1:26" s="23" customFormat="1" hidden="1" outlineLevel="1" x14ac:dyDescent="0.25">
      <c r="A102" s="44"/>
      <c r="B102" s="10" t="str">
        <f>CONCATENATE("          ", "4304", " - ", "SALES RETURN NON TAXABLE-DIGIT")</f>
        <v xml:space="preserve">          4304 - SALES RETURN NON TAXABLE-DIGIT</v>
      </c>
      <c r="C102" s="10"/>
      <c r="D102" s="2">
        <f t="shared" si="27"/>
        <v>0</v>
      </c>
      <c r="E102" s="2"/>
      <c r="F102" s="19"/>
      <c r="G102" s="2"/>
      <c r="H102" s="2">
        <f t="shared" si="26"/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0"/>
      <c r="P102" s="2">
        <f>-27543.76</f>
        <v>-27543.759999999998</v>
      </c>
      <c r="Q102" s="2"/>
      <c r="R102" s="19"/>
      <c r="S102" s="2"/>
      <c r="T102" s="2">
        <f>-19036.13</f>
        <v>-19036.13</v>
      </c>
      <c r="U102" s="2"/>
      <c r="V102" s="19"/>
      <c r="W102" s="2"/>
      <c r="X102" s="2">
        <f t="shared" si="2"/>
        <v>-8507.6299999999974</v>
      </c>
      <c r="Y102" s="2"/>
      <c r="Z102" s="19">
        <f t="shared" si="3"/>
        <v>0.44692014605909902</v>
      </c>
    </row>
    <row r="103" spans="1:26" s="23" customFormat="1" hidden="1" outlineLevel="1" x14ac:dyDescent="0.25">
      <c r="A103" s="44"/>
      <c r="B103" s="10" t="str">
        <f>CONCATENATE("          ", "4311", " - ", "SALES RETURN NON TAXABLE-NO VA")</f>
        <v xml:space="preserve">          4311 - SALES RETURN NON TAXABLE-NO VA</v>
      </c>
      <c r="C103" s="10"/>
      <c r="D103" s="2">
        <f t="shared" si="27"/>
        <v>0</v>
      </c>
      <c r="E103" s="2"/>
      <c r="F103" s="19"/>
      <c r="G103" s="2"/>
      <c r="H103" s="2">
        <f>-88.62</f>
        <v>-88.62</v>
      </c>
      <c r="I103" s="2"/>
      <c r="J103" s="19"/>
      <c r="K103" s="2"/>
      <c r="L103" s="2">
        <f t="shared" si="0"/>
        <v>88.62</v>
      </c>
      <c r="M103" s="2"/>
      <c r="N103" s="19">
        <f t="shared" si="1"/>
        <v>-1</v>
      </c>
      <c r="O103" s="10"/>
      <c r="P103" s="2">
        <f t="shared" ref="P103:P107" si="28">0</f>
        <v>0</v>
      </c>
      <c r="Q103" s="2"/>
      <c r="R103" s="19"/>
      <c r="S103" s="2"/>
      <c r="T103" s="2">
        <f>-941.28</f>
        <v>-941.28</v>
      </c>
      <c r="U103" s="2"/>
      <c r="V103" s="19"/>
      <c r="W103" s="2"/>
      <c r="X103" s="2">
        <f t="shared" si="2"/>
        <v>941.28</v>
      </c>
      <c r="Y103" s="2"/>
      <c r="Z103" s="19">
        <f t="shared" si="3"/>
        <v>-1</v>
      </c>
    </row>
    <row r="104" spans="1:26" s="23" customFormat="1" hidden="1" outlineLevel="1" x14ac:dyDescent="0.25">
      <c r="A104" s="44"/>
      <c r="B104" s="10" t="str">
        <f>CONCATENATE("          ", "4313", " - ", "SALES RETURN NON TAXABLE-TRADE")</f>
        <v xml:space="preserve">          4313 - SALES RETURN NON TAXABLE-TRADE</v>
      </c>
      <c r="C104" s="10"/>
      <c r="D104" s="2">
        <f t="shared" si="27"/>
        <v>0</v>
      </c>
      <c r="E104" s="2"/>
      <c r="F104" s="19"/>
      <c r="G104" s="2"/>
      <c r="H104" s="2">
        <f>-2481.44</f>
        <v>-2481.44</v>
      </c>
      <c r="I104" s="2"/>
      <c r="J104" s="19"/>
      <c r="K104" s="2"/>
      <c r="L104" s="2">
        <f t="shared" si="0"/>
        <v>2481.44</v>
      </c>
      <c r="M104" s="2"/>
      <c r="N104" s="19">
        <f t="shared" si="1"/>
        <v>-1</v>
      </c>
      <c r="O104" s="10"/>
      <c r="P104" s="2">
        <f t="shared" si="28"/>
        <v>0</v>
      </c>
      <c r="Q104" s="2"/>
      <c r="R104" s="19"/>
      <c r="S104" s="2"/>
      <c r="T104" s="2">
        <f>-2481.44</f>
        <v>-2481.44</v>
      </c>
      <c r="U104" s="2"/>
      <c r="V104" s="19"/>
      <c r="W104" s="2"/>
      <c r="X104" s="2">
        <f t="shared" si="2"/>
        <v>2481.44</v>
      </c>
      <c r="Y104" s="2"/>
      <c r="Z104" s="19">
        <f t="shared" si="3"/>
        <v>-1</v>
      </c>
    </row>
    <row r="105" spans="1:26" s="23" customFormat="1" hidden="1" outlineLevel="1" x14ac:dyDescent="0.25">
      <c r="A105" s="44"/>
      <c r="B105" s="10" t="str">
        <f>CONCATENATE("          ", "4327", " - ", "SALES RETURN NON TAXABLE-SCHOO")</f>
        <v xml:space="preserve">          4327 - SALES RETURN NON TAXABLE-SCHOO</v>
      </c>
      <c r="C105" s="10"/>
      <c r="D105" s="2">
        <f t="shared" si="27"/>
        <v>0</v>
      </c>
      <c r="E105" s="2"/>
      <c r="F105" s="19"/>
      <c r="G105" s="2"/>
      <c r="H105" s="2">
        <f t="shared" ref="H105:H107" si="29"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0"/>
      <c r="P105" s="2">
        <f t="shared" si="28"/>
        <v>0</v>
      </c>
      <c r="Q105" s="2"/>
      <c r="R105" s="19"/>
      <c r="S105" s="2"/>
      <c r="T105" s="2">
        <f>-21.87</f>
        <v>-21.87</v>
      </c>
      <c r="U105" s="2"/>
      <c r="V105" s="19"/>
      <c r="W105" s="2"/>
      <c r="X105" s="2">
        <f t="shared" si="2"/>
        <v>21.87</v>
      </c>
      <c r="Y105" s="2"/>
      <c r="Z105" s="19">
        <f t="shared" si="3"/>
        <v>-1</v>
      </c>
    </row>
    <row r="106" spans="1:26" s="23" customFormat="1" hidden="1" outlineLevel="1" x14ac:dyDescent="0.25">
      <c r="A106" s="44"/>
      <c r="B106" s="10" t="str">
        <f>CONCATENATE("          ", "4331", " - ", "SALES RETURN NON TAXABLE-FOOD")</f>
        <v xml:space="preserve">          4331 - SALES RETURN NON TAXABLE-FOOD</v>
      </c>
      <c r="C106" s="10"/>
      <c r="D106" s="2">
        <f t="shared" si="27"/>
        <v>0</v>
      </c>
      <c r="E106" s="2"/>
      <c r="F106" s="19"/>
      <c r="G106" s="2"/>
      <c r="H106" s="2">
        <f t="shared" si="29"/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0"/>
      <c r="P106" s="2">
        <f t="shared" si="28"/>
        <v>0</v>
      </c>
      <c r="Q106" s="2"/>
      <c r="R106" s="19"/>
      <c r="S106" s="2"/>
      <c r="T106" s="2">
        <f>-12.57</f>
        <v>-12.57</v>
      </c>
      <c r="U106" s="2"/>
      <c r="V106" s="19"/>
      <c r="W106" s="2"/>
      <c r="X106" s="2">
        <f t="shared" si="2"/>
        <v>12.57</v>
      </c>
      <c r="Y106" s="2"/>
      <c r="Z106" s="19">
        <f t="shared" si="3"/>
        <v>-1</v>
      </c>
    </row>
    <row r="107" spans="1:26" s="23" customFormat="1" hidden="1" outlineLevel="1" x14ac:dyDescent="0.25">
      <c r="A107" s="44"/>
      <c r="B107" s="10" t="str">
        <f>CONCATENATE("          ", "4332", " - ", "SALES RETURN NON TAXABLE-JUICE")</f>
        <v xml:space="preserve">          4332 - SALES RETURN NON TAXABLE-JUICE</v>
      </c>
      <c r="C107" s="10"/>
      <c r="D107" s="2">
        <f t="shared" si="27"/>
        <v>0</v>
      </c>
      <c r="E107" s="2"/>
      <c r="F107" s="19"/>
      <c r="G107" s="2"/>
      <c r="H107" s="2">
        <f t="shared" si="29"/>
        <v>0</v>
      </c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0"/>
      <c r="P107" s="2">
        <f t="shared" si="28"/>
        <v>0</v>
      </c>
      <c r="Q107" s="2"/>
      <c r="R107" s="19"/>
      <c r="S107" s="2"/>
      <c r="T107" s="2">
        <f>-2.79</f>
        <v>-2.79</v>
      </c>
      <c r="U107" s="2"/>
      <c r="V107" s="19"/>
      <c r="W107" s="2"/>
      <c r="X107" s="2">
        <f t="shared" si="2"/>
        <v>2.79</v>
      </c>
      <c r="Y107" s="2"/>
      <c r="Z107" s="19">
        <f t="shared" si="3"/>
        <v>-1</v>
      </c>
    </row>
    <row r="108" spans="1:26" s="23" customFormat="1" hidden="1" outlineLevel="1" x14ac:dyDescent="0.25">
      <c r="A108" s="44"/>
      <c r="B108" s="10" t="str">
        <f>CONCATENATE("          ", "4340", " - ", "SALES RETURN NON TAXABLE-LOGO")</f>
        <v xml:space="preserve">          4340 - SALES RETURN NON TAXABLE-LOGO</v>
      </c>
      <c r="C108" s="10"/>
      <c r="D108" s="2">
        <f>-664.13</f>
        <v>-664.13</v>
      </c>
      <c r="E108" s="2"/>
      <c r="F108" s="19"/>
      <c r="G108" s="2"/>
      <c r="H108" s="2">
        <f>-24.95</f>
        <v>-24.95</v>
      </c>
      <c r="I108" s="2"/>
      <c r="J108" s="19"/>
      <c r="K108" s="2"/>
      <c r="L108" s="2">
        <f t="shared" si="0"/>
        <v>-639.17999999999995</v>
      </c>
      <c r="M108" s="2"/>
      <c r="N108" s="19">
        <f t="shared" si="1"/>
        <v>25.618436873747495</v>
      </c>
      <c r="O108" s="10"/>
      <c r="P108" s="2">
        <f>-3307.52</f>
        <v>-3307.52</v>
      </c>
      <c r="Q108" s="2"/>
      <c r="R108" s="19"/>
      <c r="S108" s="2"/>
      <c r="T108" s="2">
        <f>-1020.4</f>
        <v>-1020.4</v>
      </c>
      <c r="U108" s="2"/>
      <c r="V108" s="19"/>
      <c r="W108" s="2"/>
      <c r="X108" s="2">
        <f t="shared" si="2"/>
        <v>-2287.12</v>
      </c>
      <c r="Y108" s="2"/>
      <c r="Z108" s="19">
        <f t="shared" si="3"/>
        <v>2.2413955311642493</v>
      </c>
    </row>
    <row r="109" spans="1:26" s="23" customFormat="1" hidden="1" outlineLevel="1" x14ac:dyDescent="0.25">
      <c r="A109" s="44"/>
      <c r="B109" s="10" t="str">
        <f>CONCATENATE("          ", "4341", " - ", "SALES RETURN NON TAXABLE-LOGO")</f>
        <v xml:space="preserve">          4341 - SALES RETURN NON TAXABLE-LOGO</v>
      </c>
      <c r="C109" s="10"/>
      <c r="D109" s="2">
        <f>-9.9</f>
        <v>-9.9</v>
      </c>
      <c r="E109" s="2"/>
      <c r="F109" s="19"/>
      <c r="G109" s="2"/>
      <c r="H109" s="2">
        <f t="shared" ref="H109:H112" si="30">0</f>
        <v>0</v>
      </c>
      <c r="I109" s="2"/>
      <c r="J109" s="19"/>
      <c r="K109" s="2"/>
      <c r="L109" s="2">
        <f t="shared" si="0"/>
        <v>-9.9</v>
      </c>
      <c r="M109" s="2"/>
      <c r="N109" s="19">
        <f t="shared" si="1"/>
        <v>0</v>
      </c>
      <c r="O109" s="10"/>
      <c r="P109" s="2">
        <f>-402.44</f>
        <v>-402.44</v>
      </c>
      <c r="Q109" s="2"/>
      <c r="R109" s="19"/>
      <c r="S109" s="2"/>
      <c r="T109" s="2">
        <f>-245.5</f>
        <v>-245.5</v>
      </c>
      <c r="U109" s="2"/>
      <c r="V109" s="19"/>
      <c r="W109" s="2"/>
      <c r="X109" s="2">
        <f t="shared" si="2"/>
        <v>-156.94</v>
      </c>
      <c r="Y109" s="2"/>
      <c r="Z109" s="19">
        <f t="shared" si="3"/>
        <v>0.63926680244399181</v>
      </c>
    </row>
    <row r="110" spans="1:26" s="23" customFormat="1" hidden="1" outlineLevel="1" x14ac:dyDescent="0.25">
      <c r="A110" s="44"/>
      <c r="B110" s="10" t="str">
        <f>CONCATENATE("          ", "4342", " - ", "SALES RETURN NON TAXABLE-EVERY")</f>
        <v xml:space="preserve">          4342 - SALES RETURN NON TAXABLE-EVERY</v>
      </c>
      <c r="C110" s="10"/>
      <c r="D110" s="2">
        <f t="shared" ref="D110:D112" si="31">0</f>
        <v>0</v>
      </c>
      <c r="E110" s="2"/>
      <c r="F110" s="19"/>
      <c r="G110" s="2"/>
      <c r="H110" s="2">
        <f t="shared" si="30"/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0"/>
      <c r="P110" s="2">
        <f>-118.7</f>
        <v>-118.7</v>
      </c>
      <c r="Q110" s="2"/>
      <c r="R110" s="19"/>
      <c r="S110" s="2"/>
      <c r="T110" s="2">
        <f>-149.22</f>
        <v>-149.22</v>
      </c>
      <c r="U110" s="2"/>
      <c r="V110" s="19"/>
      <c r="W110" s="2"/>
      <c r="X110" s="2">
        <f t="shared" si="2"/>
        <v>30.519999999999996</v>
      </c>
      <c r="Y110" s="2"/>
      <c r="Z110" s="19">
        <f t="shared" si="3"/>
        <v>-0.20453022383058569</v>
      </c>
    </row>
    <row r="111" spans="1:26" s="23" customFormat="1" hidden="1" outlineLevel="1" x14ac:dyDescent="0.25">
      <c r="A111" s="44"/>
      <c r="B111" s="10" t="str">
        <f>CONCATENATE("          ", "4346", " - ", "SALES RETURN NON TAXABLE-COIN-")</f>
        <v xml:space="preserve">          4346 - SALES RETURN NON TAXABLE-COIN-</v>
      </c>
      <c r="C111" s="10"/>
      <c r="D111" s="2">
        <f t="shared" si="31"/>
        <v>0</v>
      </c>
      <c r="E111" s="2"/>
      <c r="F111" s="19"/>
      <c r="G111" s="2"/>
      <c r="H111" s="2">
        <f t="shared" si="30"/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0"/>
      <c r="P111" s="2">
        <f t="shared" ref="P111:P112" si="32">0</f>
        <v>0</v>
      </c>
      <c r="Q111" s="2"/>
      <c r="R111" s="19"/>
      <c r="S111" s="2"/>
      <c r="T111" s="2">
        <f>-8.15</f>
        <v>-8.15</v>
      </c>
      <c r="U111" s="2"/>
      <c r="V111" s="19"/>
      <c r="W111" s="2"/>
      <c r="X111" s="2">
        <f t="shared" si="2"/>
        <v>8.15</v>
      </c>
      <c r="Y111" s="2"/>
      <c r="Z111" s="19">
        <f t="shared" si="3"/>
        <v>-1</v>
      </c>
    </row>
    <row r="112" spans="1:26" s="23" customFormat="1" hidden="1" outlineLevel="1" x14ac:dyDescent="0.25">
      <c r="A112" s="44"/>
      <c r="B112" s="10" t="str">
        <f>CONCATENATE("          ", "4347", " - ", "SALES RETURN NON TAXABLE-MISC")</f>
        <v xml:space="preserve">          4347 - SALES RETURN NON TAXABLE-MISC</v>
      </c>
      <c r="C112" s="10"/>
      <c r="D112" s="2">
        <f t="shared" si="31"/>
        <v>0</v>
      </c>
      <c r="E112" s="2"/>
      <c r="F112" s="19"/>
      <c r="G112" s="2"/>
      <c r="H112" s="2">
        <f t="shared" si="30"/>
        <v>0</v>
      </c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0"/>
      <c r="P112" s="2">
        <f t="shared" si="32"/>
        <v>0</v>
      </c>
      <c r="Q112" s="2"/>
      <c r="R112" s="19"/>
      <c r="S112" s="2"/>
      <c r="T112" s="2">
        <f>-84</f>
        <v>-84</v>
      </c>
      <c r="U112" s="2"/>
      <c r="V112" s="19"/>
      <c r="W112" s="2"/>
      <c r="X112" s="2">
        <f t="shared" si="2"/>
        <v>84</v>
      </c>
      <c r="Y112" s="2"/>
      <c r="Z112" s="19">
        <f t="shared" si="3"/>
        <v>-1</v>
      </c>
    </row>
    <row r="113" spans="1:26" x14ac:dyDescent="0.25">
      <c r="A113" s="9"/>
      <c r="B113" s="11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4" customFormat="1" collapsed="1" x14ac:dyDescent="0.25">
      <c r="A114" s="11"/>
      <c r="B114" s="28" t="s">
        <v>256</v>
      </c>
      <c r="C114" s="11"/>
      <c r="D114" s="4">
        <f>SUM(OSRRefD16x_0)</f>
        <v>223382.47</v>
      </c>
      <c r="E114" s="4"/>
      <c r="F114" s="13">
        <f t="shared" ref="F114:F167" si="33">IF(D$12=0,0,D114/D$12)</f>
        <v>0.50940306661451207</v>
      </c>
      <c r="G114" s="4"/>
      <c r="H114" s="4">
        <f>SUM(OSRRefH16x_0)</f>
        <v>184501.21000000002</v>
      </c>
      <c r="I114" s="4"/>
      <c r="J114" s="13">
        <f t="shared" ref="J114:J167" si="34">IF(H$12=0,0,H114/H$12)</f>
        <v>1.1189903486047528</v>
      </c>
      <c r="K114" s="4"/>
      <c r="L114" s="4">
        <f t="shared" ref="L114:L167" si="35">+D114-H114</f>
        <v>38881.25999999998</v>
      </c>
      <c r="M114" s="4"/>
      <c r="N114" s="13">
        <f t="shared" ref="N114:N167" si="36">IF(H114=0,0,L114/H114)</f>
        <v>0.21073715451513828</v>
      </c>
      <c r="O114" s="11"/>
      <c r="P114" s="4">
        <f>SUM(OSRRefP16x_0)</f>
        <v>2972577.5900000008</v>
      </c>
      <c r="Q114" s="4"/>
      <c r="R114" s="13">
        <f t="shared" ref="R114:R167" si="37">IF(P$12=0,0,P114/P$12)</f>
        <v>0.63172240878662766</v>
      </c>
      <c r="S114" s="4"/>
      <c r="T114" s="4">
        <f>SUM(OSRRefT16x_0)</f>
        <v>6326441.1300000008</v>
      </c>
      <c r="U114" s="4"/>
      <c r="V114" s="13">
        <f t="shared" ref="V114:V167" si="38">IF(T$12=0,0,T114/T$12)</f>
        <v>0.56853060561819502</v>
      </c>
      <c r="W114" s="4"/>
      <c r="X114" s="4">
        <f t="shared" ref="X114:X167" si="39">+P114-T114</f>
        <v>-3353863.54</v>
      </c>
      <c r="Y114" s="4"/>
      <c r="Z114" s="13">
        <f t="shared" ref="Z114:Z167" si="40">IF(T114=0,0,X114/T114)</f>
        <v>-0.53013431581556492</v>
      </c>
    </row>
    <row r="115" spans="1:26" s="23" customFormat="1" hidden="1" outlineLevel="1" x14ac:dyDescent="0.25">
      <c r="A115" s="44"/>
      <c r="B115" s="10" t="str">
        <f>CONCATENATE("          ", "5000", " - ", "PURCHASES @ COST")</f>
        <v xml:space="preserve">          5000 - PURCHASES @ COST</v>
      </c>
      <c r="C115" s="10"/>
      <c r="D115" s="2"/>
      <c r="E115" s="2"/>
      <c r="F115" s="19">
        <f t="shared" si="33"/>
        <v>0</v>
      </c>
      <c r="G115" s="2"/>
      <c r="H115" s="2">
        <v>0</v>
      </c>
      <c r="I115" s="2"/>
      <c r="J115" s="19">
        <f t="shared" si="34"/>
        <v>0</v>
      </c>
      <c r="K115" s="2"/>
      <c r="L115" s="2">
        <f t="shared" si="35"/>
        <v>0</v>
      </c>
      <c r="M115" s="2"/>
      <c r="N115" s="19">
        <f t="shared" si="36"/>
        <v>0</v>
      </c>
      <c r="O115" s="10"/>
      <c r="P115" s="2">
        <v>0</v>
      </c>
      <c r="Q115" s="2"/>
      <c r="R115" s="19">
        <f t="shared" si="37"/>
        <v>0</v>
      </c>
      <c r="S115" s="2"/>
      <c r="T115" s="2">
        <v>0</v>
      </c>
      <c r="U115" s="2"/>
      <c r="V115" s="19">
        <f t="shared" si="38"/>
        <v>0</v>
      </c>
      <c r="W115" s="2"/>
      <c r="X115" s="2">
        <f t="shared" si="39"/>
        <v>0</v>
      </c>
      <c r="Y115" s="2"/>
      <c r="Z115" s="19">
        <f t="shared" si="40"/>
        <v>0</v>
      </c>
    </row>
    <row r="116" spans="1:26" s="23" customFormat="1" hidden="1" outlineLevel="1" x14ac:dyDescent="0.25">
      <c r="A116" s="44"/>
      <c r="B116" s="10" t="str">
        <f>CONCATENATE("          ", "5001", " - ", "PURCHASES @ COST-NEW TEXT")</f>
        <v xml:space="preserve">          5001 - PURCHASES @ COST-NEW TEXT</v>
      </c>
      <c r="C116" s="10"/>
      <c r="D116" s="2">
        <v>-28969.93</v>
      </c>
      <c r="E116" s="2"/>
      <c r="F116" s="19">
        <f t="shared" si="33"/>
        <v>-6.6063246509933185E-2</v>
      </c>
      <c r="G116" s="2"/>
      <c r="H116" s="2">
        <v>-24912.87</v>
      </c>
      <c r="I116" s="2"/>
      <c r="J116" s="19">
        <f t="shared" si="34"/>
        <v>-0.1510952751260812</v>
      </c>
      <c r="K116" s="2"/>
      <c r="L116" s="2">
        <f t="shared" si="35"/>
        <v>-4057.0600000000013</v>
      </c>
      <c r="M116" s="2"/>
      <c r="N116" s="19">
        <f t="shared" si="36"/>
        <v>0.16284996469696192</v>
      </c>
      <c r="O116" s="10"/>
      <c r="P116" s="2">
        <v>1006546.47</v>
      </c>
      <c r="Q116" s="2"/>
      <c r="R116" s="19">
        <f t="shared" si="37"/>
        <v>0.21390794397534191</v>
      </c>
      <c r="S116" s="2"/>
      <c r="T116" s="2">
        <v>1569752.25</v>
      </c>
      <c r="U116" s="2"/>
      <c r="V116" s="19">
        <f t="shared" si="38"/>
        <v>0.14106701999185822</v>
      </c>
      <c r="W116" s="2"/>
      <c r="X116" s="2">
        <f t="shared" si="39"/>
        <v>-563205.78</v>
      </c>
      <c r="Y116" s="2"/>
      <c r="Z116" s="19">
        <f t="shared" si="40"/>
        <v>-0.35878641358851376</v>
      </c>
    </row>
    <row r="117" spans="1:26" s="23" customFormat="1" hidden="1" outlineLevel="1" x14ac:dyDescent="0.25">
      <c r="A117" s="44"/>
      <c r="B117" s="10" t="str">
        <f>CONCATENATE("          ", "5002", " - ", "PURCHASES @ COST-USED TEXT")</f>
        <v xml:space="preserve">          5002 - PURCHASES @ COST-USED TEXT</v>
      </c>
      <c r="C117" s="10"/>
      <c r="D117" s="2">
        <v>-122091.65</v>
      </c>
      <c r="E117" s="2"/>
      <c r="F117" s="19">
        <f t="shared" si="33"/>
        <v>-0.27841871798635631</v>
      </c>
      <c r="G117" s="2"/>
      <c r="H117" s="2">
        <v>-3117.33</v>
      </c>
      <c r="I117" s="2"/>
      <c r="J117" s="19">
        <f t="shared" si="34"/>
        <v>-1.890644610632122E-2</v>
      </c>
      <c r="K117" s="2"/>
      <c r="L117" s="2">
        <f t="shared" si="35"/>
        <v>-118974.31999999999</v>
      </c>
      <c r="M117" s="2"/>
      <c r="N117" s="19">
        <f t="shared" si="36"/>
        <v>38.165455694456469</v>
      </c>
      <c r="O117" s="10"/>
      <c r="P117" s="2">
        <v>274961.02</v>
      </c>
      <c r="Q117" s="2"/>
      <c r="R117" s="19">
        <f t="shared" si="37"/>
        <v>5.8433811269104019E-2</v>
      </c>
      <c r="S117" s="2"/>
      <c r="T117" s="2">
        <v>595582.78</v>
      </c>
      <c r="U117" s="2"/>
      <c r="V117" s="19">
        <f t="shared" si="38"/>
        <v>5.3522514736364608E-2</v>
      </c>
      <c r="W117" s="2"/>
      <c r="X117" s="2">
        <f t="shared" si="39"/>
        <v>-320621.76</v>
      </c>
      <c r="Y117" s="2"/>
      <c r="Z117" s="19">
        <f t="shared" si="40"/>
        <v>-0.53833282419615958</v>
      </c>
    </row>
    <row r="118" spans="1:26" s="23" customFormat="1" hidden="1" outlineLevel="1" x14ac:dyDescent="0.25">
      <c r="A118" s="44"/>
      <c r="B118" s="10" t="str">
        <f>CONCATENATE("          ", "5003", " - ", "PURCHASES @ COST-RENTAL TEXT")</f>
        <v xml:space="preserve">          5003 - PURCHASES @ COST-RENTAL TEXT</v>
      </c>
      <c r="C118" s="10"/>
      <c r="D118" s="2"/>
      <c r="E118" s="2"/>
      <c r="F118" s="19">
        <f t="shared" si="33"/>
        <v>0</v>
      </c>
      <c r="G118" s="2"/>
      <c r="H118" s="2"/>
      <c r="I118" s="2"/>
      <c r="J118" s="19">
        <f t="shared" si="34"/>
        <v>0</v>
      </c>
      <c r="K118" s="2"/>
      <c r="L118" s="2">
        <f t="shared" si="35"/>
        <v>0</v>
      </c>
      <c r="M118" s="2"/>
      <c r="N118" s="19">
        <f t="shared" si="36"/>
        <v>0</v>
      </c>
      <c r="O118" s="10"/>
      <c r="P118" s="2">
        <v>32.520000000000003</v>
      </c>
      <c r="Q118" s="2"/>
      <c r="R118" s="19">
        <f t="shared" si="37"/>
        <v>6.9110433997926788E-6</v>
      </c>
      <c r="S118" s="2"/>
      <c r="T118" s="2">
        <v>-78.400000000000006</v>
      </c>
      <c r="U118" s="2"/>
      <c r="V118" s="19">
        <f t="shared" si="38"/>
        <v>-7.0454776334046888E-6</v>
      </c>
      <c r="W118" s="2"/>
      <c r="X118" s="2">
        <f t="shared" si="39"/>
        <v>110.92000000000002</v>
      </c>
      <c r="Y118" s="2"/>
      <c r="Z118" s="19">
        <f t="shared" si="40"/>
        <v>-1.4147959183673471</v>
      </c>
    </row>
    <row r="119" spans="1:26" s="23" customFormat="1" hidden="1" outlineLevel="1" x14ac:dyDescent="0.25">
      <c r="A119" s="44"/>
      <c r="B119" s="10" t="str">
        <f>CONCATENATE("          ", "5004", " - ", "PURCHASES @ COST-DIGITAL TEXT")</f>
        <v xml:space="preserve">          5004 - PURCHASES @ COST-DIGITAL TEXT</v>
      </c>
      <c r="C119" s="10"/>
      <c r="D119" s="2">
        <v>887.88</v>
      </c>
      <c r="E119" s="2"/>
      <c r="F119" s="19">
        <f t="shared" si="33"/>
        <v>2.0247282375635521E-3</v>
      </c>
      <c r="G119" s="2"/>
      <c r="H119" s="2">
        <v>54465.03</v>
      </c>
      <c r="I119" s="2"/>
      <c r="J119" s="19">
        <f t="shared" si="34"/>
        <v>0.33032760547461076</v>
      </c>
      <c r="K119" s="2"/>
      <c r="L119" s="2">
        <f t="shared" si="35"/>
        <v>-53577.15</v>
      </c>
      <c r="M119" s="2"/>
      <c r="N119" s="19">
        <f t="shared" si="36"/>
        <v>-0.98369816375755237</v>
      </c>
      <c r="O119" s="10"/>
      <c r="P119" s="2">
        <v>207450.38</v>
      </c>
      <c r="Q119" s="2"/>
      <c r="R119" s="19">
        <f t="shared" si="37"/>
        <v>4.4086672185838963E-2</v>
      </c>
      <c r="S119" s="2"/>
      <c r="T119" s="2">
        <v>492787.91</v>
      </c>
      <c r="U119" s="2"/>
      <c r="V119" s="19">
        <f t="shared" si="38"/>
        <v>4.4284772932617893E-2</v>
      </c>
      <c r="W119" s="2"/>
      <c r="X119" s="2">
        <f t="shared" si="39"/>
        <v>-285337.52999999997</v>
      </c>
      <c r="Y119" s="2"/>
      <c r="Z119" s="19">
        <f t="shared" si="40"/>
        <v>-0.57902705039983626</v>
      </c>
    </row>
    <row r="120" spans="1:26" s="23" customFormat="1" hidden="1" outlineLevel="1" x14ac:dyDescent="0.25">
      <c r="A120" s="44"/>
      <c r="B120" s="10" t="str">
        <f>CONCATENATE("          ", "5011", " - ", "PURCHASES @ COST-NO VALUE TEXT")</f>
        <v xml:space="preserve">          5011 - PURCHASES @ COST-NO VALUE TEXT</v>
      </c>
      <c r="C120" s="10"/>
      <c r="D120" s="2"/>
      <c r="E120" s="2"/>
      <c r="F120" s="19">
        <f t="shared" si="33"/>
        <v>0</v>
      </c>
      <c r="G120" s="2"/>
      <c r="H120" s="2">
        <v>42</v>
      </c>
      <c r="I120" s="2"/>
      <c r="J120" s="19">
        <f t="shared" si="34"/>
        <v>2.5472783967866449E-4</v>
      </c>
      <c r="K120" s="2"/>
      <c r="L120" s="2">
        <f t="shared" si="35"/>
        <v>-42</v>
      </c>
      <c r="M120" s="2"/>
      <c r="N120" s="19">
        <f t="shared" si="36"/>
        <v>-1</v>
      </c>
      <c r="O120" s="10"/>
      <c r="P120" s="2">
        <v>67.17</v>
      </c>
      <c r="Q120" s="2"/>
      <c r="R120" s="19">
        <f t="shared" si="37"/>
        <v>1.4274747391269195E-5</v>
      </c>
      <c r="S120" s="2"/>
      <c r="T120" s="2">
        <v>6363</v>
      </c>
      <c r="U120" s="2"/>
      <c r="V120" s="19">
        <f t="shared" si="38"/>
        <v>5.7181599721114844E-4</v>
      </c>
      <c r="W120" s="2"/>
      <c r="X120" s="2">
        <f t="shared" si="39"/>
        <v>-6295.83</v>
      </c>
      <c r="Y120" s="2"/>
      <c r="Z120" s="19">
        <f t="shared" si="40"/>
        <v>-0.98944365865157946</v>
      </c>
    </row>
    <row r="121" spans="1:26" s="23" customFormat="1" hidden="1" outlineLevel="1" x14ac:dyDescent="0.25">
      <c r="A121" s="44"/>
      <c r="B121" s="10" t="str">
        <f>CONCATENATE("          ", "5013", " - ", "PURCHASES @ COST-TRADE BOOKS")</f>
        <v xml:space="preserve">          5013 - PURCHASES @ COST-TRADE BOOKS</v>
      </c>
      <c r="C121" s="10"/>
      <c r="D121" s="2">
        <v>800</v>
      </c>
      <c r="E121" s="2"/>
      <c r="F121" s="19">
        <f t="shared" si="33"/>
        <v>1.8243260238442599E-3</v>
      </c>
      <c r="G121" s="2"/>
      <c r="H121" s="2">
        <v>-3150.69</v>
      </c>
      <c r="I121" s="2"/>
      <c r="J121" s="19">
        <f t="shared" si="34"/>
        <v>-1.9108772790408842E-2</v>
      </c>
      <c r="K121" s="2"/>
      <c r="L121" s="2">
        <f t="shared" si="35"/>
        <v>3950.69</v>
      </c>
      <c r="M121" s="2"/>
      <c r="N121" s="19">
        <f t="shared" si="36"/>
        <v>-1.2539126350101089</v>
      </c>
      <c r="O121" s="10"/>
      <c r="P121" s="2">
        <v>9670.02</v>
      </c>
      <c r="Q121" s="2"/>
      <c r="R121" s="19">
        <f t="shared" si="37"/>
        <v>2.0550408332368755E-3</v>
      </c>
      <c r="S121" s="2"/>
      <c r="T121" s="2">
        <v>3197.85</v>
      </c>
      <c r="U121" s="2"/>
      <c r="V121" s="19">
        <f t="shared" si="38"/>
        <v>2.8737730420896917E-4</v>
      </c>
      <c r="W121" s="2"/>
      <c r="X121" s="2">
        <f t="shared" si="39"/>
        <v>6472.17</v>
      </c>
      <c r="Y121" s="2"/>
      <c r="Z121" s="19">
        <f t="shared" si="40"/>
        <v>2.0239129415075756</v>
      </c>
    </row>
    <row r="122" spans="1:26" s="23" customFormat="1" hidden="1" outlineLevel="1" x14ac:dyDescent="0.25">
      <c r="A122" s="44"/>
      <c r="B122" s="10" t="str">
        <f>CONCATENATE("          ", "5014", " - ", "PURCHASES @ COST-REMAINDERS")</f>
        <v xml:space="preserve">          5014 - PURCHASES @ COST-REMAINDERS</v>
      </c>
      <c r="C122" s="10"/>
      <c r="D122" s="2"/>
      <c r="E122" s="2"/>
      <c r="F122" s="19">
        <f t="shared" si="33"/>
        <v>0</v>
      </c>
      <c r="G122" s="2"/>
      <c r="H122" s="2"/>
      <c r="I122" s="2"/>
      <c r="J122" s="19">
        <f t="shared" si="34"/>
        <v>0</v>
      </c>
      <c r="K122" s="2"/>
      <c r="L122" s="2">
        <f t="shared" si="35"/>
        <v>0</v>
      </c>
      <c r="M122" s="2"/>
      <c r="N122" s="19">
        <f t="shared" si="36"/>
        <v>0</v>
      </c>
      <c r="O122" s="10"/>
      <c r="P122" s="2">
        <v>111.57</v>
      </c>
      <c r="Q122" s="2"/>
      <c r="R122" s="19">
        <f t="shared" si="37"/>
        <v>2.3710489302425249E-5</v>
      </c>
      <c r="S122" s="2"/>
      <c r="T122" s="2">
        <v>615.07000000000005</v>
      </c>
      <c r="U122" s="2"/>
      <c r="V122" s="19">
        <f t="shared" si="38"/>
        <v>5.5273749081354872E-5</v>
      </c>
      <c r="W122" s="2"/>
      <c r="X122" s="2">
        <f t="shared" si="39"/>
        <v>-503.50000000000006</v>
      </c>
      <c r="Y122" s="2"/>
      <c r="Z122" s="19">
        <f t="shared" si="40"/>
        <v>-0.81860601232380059</v>
      </c>
    </row>
    <row r="123" spans="1:26" s="23" customFormat="1" hidden="1" outlineLevel="1" x14ac:dyDescent="0.25">
      <c r="A123" s="44"/>
      <c r="B123" s="10" t="str">
        <f>CONCATENATE("          ", "5017", " - ", "PURCHASES @ COST-DORM/HOUSEWAR")</f>
        <v xml:space="preserve">          5017 - PURCHASES @ COST-DORM/HOUSEWAR</v>
      </c>
      <c r="C123" s="10"/>
      <c r="D123" s="2"/>
      <c r="E123" s="2"/>
      <c r="F123" s="19">
        <f t="shared" si="33"/>
        <v>0</v>
      </c>
      <c r="G123" s="2"/>
      <c r="H123" s="2"/>
      <c r="I123" s="2"/>
      <c r="J123" s="19">
        <f t="shared" si="34"/>
        <v>0</v>
      </c>
      <c r="K123" s="2"/>
      <c r="L123" s="2">
        <f t="shared" si="35"/>
        <v>0</v>
      </c>
      <c r="M123" s="2"/>
      <c r="N123" s="19">
        <f t="shared" si="36"/>
        <v>0</v>
      </c>
      <c r="O123" s="10"/>
      <c r="P123" s="2"/>
      <c r="Q123" s="2"/>
      <c r="R123" s="19">
        <f t="shared" si="37"/>
        <v>0</v>
      </c>
      <c r="S123" s="2"/>
      <c r="T123" s="2">
        <v>14.46</v>
      </c>
      <c r="U123" s="2"/>
      <c r="V123" s="19">
        <f t="shared" si="38"/>
        <v>1.2994592675896914E-6</v>
      </c>
      <c r="W123" s="2"/>
      <c r="X123" s="2">
        <f t="shared" si="39"/>
        <v>-14.46</v>
      </c>
      <c r="Y123" s="2"/>
      <c r="Z123" s="19">
        <f t="shared" si="40"/>
        <v>-1</v>
      </c>
    </row>
    <row r="124" spans="1:26" s="23" customFormat="1" hidden="1" outlineLevel="1" x14ac:dyDescent="0.25">
      <c r="A124" s="44"/>
      <c r="B124" s="10" t="str">
        <f>CONCATENATE("          ", "5018", " - ", "PURCHASES @ COST-STUDY GUIDES")</f>
        <v xml:space="preserve">          5018 - PURCHASES @ COST-STUDY GUIDES</v>
      </c>
      <c r="C124" s="10"/>
      <c r="D124" s="2"/>
      <c r="E124" s="2"/>
      <c r="F124" s="19">
        <f t="shared" si="33"/>
        <v>0</v>
      </c>
      <c r="G124" s="2"/>
      <c r="H124" s="2">
        <v>-2582.4699999999998</v>
      </c>
      <c r="I124" s="2"/>
      <c r="J124" s="19">
        <f t="shared" si="34"/>
        <v>-1.5662547717499063E-2</v>
      </c>
      <c r="K124" s="2"/>
      <c r="L124" s="2">
        <f t="shared" si="35"/>
        <v>2582.4699999999998</v>
      </c>
      <c r="M124" s="2"/>
      <c r="N124" s="19">
        <f t="shared" si="36"/>
        <v>-1</v>
      </c>
      <c r="O124" s="10"/>
      <c r="P124" s="2">
        <v>967.21</v>
      </c>
      <c r="Q124" s="2"/>
      <c r="R124" s="19">
        <f t="shared" si="37"/>
        <v>2.055482867993074E-4</v>
      </c>
      <c r="S124" s="2"/>
      <c r="T124" s="2">
        <v>-205.14</v>
      </c>
      <c r="U124" s="2"/>
      <c r="V124" s="19">
        <f t="shared" si="38"/>
        <v>-1.8435067368834665E-5</v>
      </c>
      <c r="W124" s="2"/>
      <c r="X124" s="2">
        <f t="shared" si="39"/>
        <v>1172.3499999999999</v>
      </c>
      <c r="Y124" s="2"/>
      <c r="Z124" s="19">
        <f t="shared" si="40"/>
        <v>-5.7148776445354388</v>
      </c>
    </row>
    <row r="125" spans="1:26" s="23" customFormat="1" hidden="1" outlineLevel="1" x14ac:dyDescent="0.25">
      <c r="A125" s="44"/>
      <c r="B125" s="10" t="str">
        <f>CONCATENATE("          ", "5025", " - ", "PURCHASES @ COST-TEST FORMS")</f>
        <v xml:space="preserve">          5025 - PURCHASES @ COST-TEST FORMS</v>
      </c>
      <c r="C125" s="10"/>
      <c r="D125" s="2"/>
      <c r="E125" s="2"/>
      <c r="F125" s="19">
        <f t="shared" si="33"/>
        <v>0</v>
      </c>
      <c r="G125" s="2"/>
      <c r="H125" s="2"/>
      <c r="I125" s="2"/>
      <c r="J125" s="19">
        <f t="shared" si="34"/>
        <v>0</v>
      </c>
      <c r="K125" s="2"/>
      <c r="L125" s="2">
        <f t="shared" si="35"/>
        <v>0</v>
      </c>
      <c r="M125" s="2"/>
      <c r="N125" s="19">
        <f t="shared" si="36"/>
        <v>0</v>
      </c>
      <c r="O125" s="10"/>
      <c r="P125" s="2">
        <v>599.29</v>
      </c>
      <c r="Q125" s="2"/>
      <c r="R125" s="19">
        <f t="shared" si="37"/>
        <v>1.2735913896253856E-4</v>
      </c>
      <c r="S125" s="2"/>
      <c r="T125" s="2">
        <v>26400.39</v>
      </c>
      <c r="U125" s="2"/>
      <c r="V125" s="19">
        <f t="shared" si="38"/>
        <v>2.3724918017622551E-3</v>
      </c>
      <c r="W125" s="2"/>
      <c r="X125" s="2">
        <f t="shared" si="39"/>
        <v>-25801.1</v>
      </c>
      <c r="Y125" s="2"/>
      <c r="Z125" s="19">
        <f t="shared" si="40"/>
        <v>-0.97729995655367208</v>
      </c>
    </row>
    <row r="126" spans="1:26" s="23" customFormat="1" hidden="1" outlineLevel="1" x14ac:dyDescent="0.25">
      <c r="A126" s="44"/>
      <c r="B126" s="10" t="str">
        <f>CONCATENATE("          ", "5026", " - ", "PURCHASES @ COST-WRITING INSTR")</f>
        <v xml:space="preserve">          5026 - PURCHASES @ COST-WRITING INSTR</v>
      </c>
      <c r="C126" s="10"/>
      <c r="D126" s="2"/>
      <c r="E126" s="2"/>
      <c r="F126" s="19">
        <f t="shared" si="33"/>
        <v>0</v>
      </c>
      <c r="G126" s="2"/>
      <c r="H126" s="2">
        <v>2463.3000000000002</v>
      </c>
      <c r="I126" s="2"/>
      <c r="J126" s="19">
        <f t="shared" si="34"/>
        <v>1.4939787797153674E-2</v>
      </c>
      <c r="K126" s="2"/>
      <c r="L126" s="2">
        <f t="shared" si="35"/>
        <v>-2463.3000000000002</v>
      </c>
      <c r="M126" s="2"/>
      <c r="N126" s="19">
        <f t="shared" si="36"/>
        <v>-1</v>
      </c>
      <c r="O126" s="10"/>
      <c r="P126" s="2">
        <v>584.54999999999995</v>
      </c>
      <c r="Q126" s="2"/>
      <c r="R126" s="19">
        <f t="shared" si="37"/>
        <v>1.2422664266140251E-4</v>
      </c>
      <c r="S126" s="2"/>
      <c r="T126" s="2">
        <v>51434.57</v>
      </c>
      <c r="U126" s="2"/>
      <c r="V126" s="19">
        <f t="shared" si="38"/>
        <v>4.6222080678416811E-3</v>
      </c>
      <c r="W126" s="2"/>
      <c r="X126" s="2">
        <f t="shared" si="39"/>
        <v>-50850.02</v>
      </c>
      <c r="Y126" s="2"/>
      <c r="Z126" s="19">
        <f t="shared" si="40"/>
        <v>-0.98863507559215513</v>
      </c>
    </row>
    <row r="127" spans="1:26" s="23" customFormat="1" hidden="1" outlineLevel="1" x14ac:dyDescent="0.25">
      <c r="A127" s="44"/>
      <c r="B127" s="10" t="str">
        <f>CONCATENATE("          ", "5027", " - ", "PURCHASES @ COST-SCHOOL SUPPLI")</f>
        <v xml:space="preserve">          5027 - PURCHASES @ COST-SCHOOL SUPPLI</v>
      </c>
      <c r="C127" s="10"/>
      <c r="D127" s="2">
        <v>1838.72</v>
      </c>
      <c r="E127" s="2"/>
      <c r="F127" s="19">
        <f t="shared" si="33"/>
        <v>4.1930309332036475E-3</v>
      </c>
      <c r="G127" s="2"/>
      <c r="H127" s="2">
        <v>6003.13</v>
      </c>
      <c r="I127" s="2"/>
      <c r="J127" s="19">
        <f t="shared" si="34"/>
        <v>3.6408674671670978E-2</v>
      </c>
      <c r="K127" s="2"/>
      <c r="L127" s="2">
        <f t="shared" si="35"/>
        <v>-4164.41</v>
      </c>
      <c r="M127" s="2"/>
      <c r="N127" s="19">
        <f t="shared" si="36"/>
        <v>-0.6937064498020199</v>
      </c>
      <c r="O127" s="10"/>
      <c r="P127" s="2">
        <v>23734.6</v>
      </c>
      <c r="Q127" s="2"/>
      <c r="R127" s="19">
        <f t="shared" si="37"/>
        <v>5.0439990983001011E-3</v>
      </c>
      <c r="S127" s="2"/>
      <c r="T127" s="2">
        <v>143608.17000000001</v>
      </c>
      <c r="U127" s="2"/>
      <c r="V127" s="19">
        <f t="shared" si="38"/>
        <v>1.2905461093229315E-2</v>
      </c>
      <c r="W127" s="2"/>
      <c r="X127" s="2">
        <f t="shared" si="39"/>
        <v>-119873.57</v>
      </c>
      <c r="Y127" s="2"/>
      <c r="Z127" s="19">
        <f t="shared" si="40"/>
        <v>-0.83472667328049643</v>
      </c>
    </row>
    <row r="128" spans="1:26" s="23" customFormat="1" hidden="1" outlineLevel="1" x14ac:dyDescent="0.25">
      <c r="A128" s="44"/>
      <c r="B128" s="10" t="str">
        <f>CONCATENATE("          ", "5028", " - ", "PURCHASES @ COST-ART/TECH")</f>
        <v xml:space="preserve">          5028 - PURCHASES @ COST-ART/TECH</v>
      </c>
      <c r="C128" s="10"/>
      <c r="D128" s="2">
        <v>1371.26</v>
      </c>
      <c r="E128" s="2"/>
      <c r="F128" s="19">
        <f t="shared" si="33"/>
        <v>3.1270316293208499E-3</v>
      </c>
      <c r="G128" s="2"/>
      <c r="H128" s="2">
        <v>8617.84</v>
      </c>
      <c r="I128" s="2"/>
      <c r="J128" s="19">
        <f t="shared" si="34"/>
        <v>5.2266756330866242E-2</v>
      </c>
      <c r="K128" s="2"/>
      <c r="L128" s="2">
        <f t="shared" si="35"/>
        <v>-7246.58</v>
      </c>
      <c r="M128" s="2"/>
      <c r="N128" s="19">
        <f t="shared" si="36"/>
        <v>-0.8408812417032574</v>
      </c>
      <c r="O128" s="10"/>
      <c r="P128" s="2">
        <v>47006.62</v>
      </c>
      <c r="Q128" s="2"/>
      <c r="R128" s="19">
        <f t="shared" si="37"/>
        <v>9.9896922170222176E-3</v>
      </c>
      <c r="S128" s="2"/>
      <c r="T128" s="2">
        <v>159687.99</v>
      </c>
      <c r="U128" s="2"/>
      <c r="V128" s="19">
        <f t="shared" si="38"/>
        <v>1.4350486758524891E-2</v>
      </c>
      <c r="W128" s="2"/>
      <c r="X128" s="2">
        <f t="shared" si="39"/>
        <v>-112681.37</v>
      </c>
      <c r="Y128" s="2"/>
      <c r="Z128" s="19">
        <f t="shared" si="40"/>
        <v>-0.70563459406058027</v>
      </c>
    </row>
    <row r="129" spans="1:26" s="23" customFormat="1" hidden="1" outlineLevel="1" x14ac:dyDescent="0.25">
      <c r="A129" s="44"/>
      <c r="B129" s="10" t="str">
        <f>CONCATENATE("          ", "5031", " - ", "PURCHASES @ COST-FOOD")</f>
        <v xml:space="preserve">          5031 - PURCHASES @ COST-FOOD</v>
      </c>
      <c r="C129" s="10"/>
      <c r="D129" s="2"/>
      <c r="E129" s="2"/>
      <c r="F129" s="19">
        <f t="shared" si="33"/>
        <v>0</v>
      </c>
      <c r="G129" s="2"/>
      <c r="H129" s="2"/>
      <c r="I129" s="2"/>
      <c r="J129" s="19">
        <f t="shared" si="34"/>
        <v>0</v>
      </c>
      <c r="K129" s="2"/>
      <c r="L129" s="2">
        <f t="shared" si="35"/>
        <v>0</v>
      </c>
      <c r="M129" s="2"/>
      <c r="N129" s="19">
        <f t="shared" si="36"/>
        <v>0</v>
      </c>
      <c r="O129" s="10"/>
      <c r="P129" s="2">
        <v>7785.72</v>
      </c>
      <c r="Q129" s="2"/>
      <c r="R129" s="19">
        <f t="shared" si="37"/>
        <v>1.6545955971289622E-3</v>
      </c>
      <c r="S129" s="2"/>
      <c r="T129" s="2">
        <v>33239.879999999997</v>
      </c>
      <c r="U129" s="2"/>
      <c r="V129" s="19">
        <f t="shared" si="38"/>
        <v>2.9871279474114262E-3</v>
      </c>
      <c r="W129" s="2"/>
      <c r="X129" s="2">
        <f t="shared" si="39"/>
        <v>-25454.159999999996</v>
      </c>
      <c r="Y129" s="2"/>
      <c r="Z129" s="19">
        <f t="shared" si="40"/>
        <v>-0.76577171758742801</v>
      </c>
    </row>
    <row r="130" spans="1:26" s="23" customFormat="1" hidden="1" outlineLevel="1" x14ac:dyDescent="0.25">
      <c r="A130" s="44"/>
      <c r="B130" s="10" t="str">
        <f>CONCATENATE("          ", "5032", " - ", "PURCHASES @ COST-JUICE")</f>
        <v xml:space="preserve">          5032 - PURCHASES @ COST-JUICE</v>
      </c>
      <c r="C130" s="10"/>
      <c r="D130" s="2"/>
      <c r="E130" s="2"/>
      <c r="F130" s="19">
        <f t="shared" si="33"/>
        <v>0</v>
      </c>
      <c r="G130" s="2"/>
      <c r="H130" s="2"/>
      <c r="I130" s="2"/>
      <c r="J130" s="19">
        <f t="shared" si="34"/>
        <v>0</v>
      </c>
      <c r="K130" s="2"/>
      <c r="L130" s="2">
        <f t="shared" si="35"/>
        <v>0</v>
      </c>
      <c r="M130" s="2"/>
      <c r="N130" s="19">
        <f t="shared" si="36"/>
        <v>0</v>
      </c>
      <c r="O130" s="10"/>
      <c r="P130" s="2"/>
      <c r="Q130" s="2"/>
      <c r="R130" s="19">
        <f t="shared" si="37"/>
        <v>0</v>
      </c>
      <c r="S130" s="2"/>
      <c r="T130" s="2">
        <v>7802.45</v>
      </c>
      <c r="U130" s="2"/>
      <c r="V130" s="19">
        <f t="shared" si="38"/>
        <v>7.0117330307089805E-4</v>
      </c>
      <c r="W130" s="2"/>
      <c r="X130" s="2">
        <f t="shared" si="39"/>
        <v>-7802.45</v>
      </c>
      <c r="Y130" s="2"/>
      <c r="Z130" s="19">
        <f t="shared" si="40"/>
        <v>-1</v>
      </c>
    </row>
    <row r="131" spans="1:26" s="23" customFormat="1" hidden="1" outlineLevel="1" x14ac:dyDescent="0.25">
      <c r="A131" s="44"/>
      <c r="B131" s="10" t="str">
        <f>CONCATENATE("          ", "5033", " - ", "PURCHASES @ COST-CANDY")</f>
        <v xml:space="preserve">          5033 - PURCHASES @ COST-CANDY</v>
      </c>
      <c r="C131" s="10"/>
      <c r="D131" s="2"/>
      <c r="E131" s="2"/>
      <c r="F131" s="19">
        <f t="shared" si="33"/>
        <v>0</v>
      </c>
      <c r="G131" s="2"/>
      <c r="H131" s="2">
        <v>-25.2</v>
      </c>
      <c r="I131" s="2"/>
      <c r="J131" s="19">
        <f t="shared" si="34"/>
        <v>-1.5283670380719869E-4</v>
      </c>
      <c r="K131" s="2"/>
      <c r="L131" s="2">
        <f t="shared" si="35"/>
        <v>25.2</v>
      </c>
      <c r="M131" s="2"/>
      <c r="N131" s="19">
        <f t="shared" si="36"/>
        <v>-1</v>
      </c>
      <c r="O131" s="10"/>
      <c r="P131" s="2"/>
      <c r="Q131" s="2"/>
      <c r="R131" s="19">
        <f t="shared" si="37"/>
        <v>0</v>
      </c>
      <c r="S131" s="2"/>
      <c r="T131" s="2">
        <v>9998.41</v>
      </c>
      <c r="U131" s="2"/>
      <c r="V131" s="19">
        <f t="shared" si="38"/>
        <v>8.9851497480369609E-4</v>
      </c>
      <c r="W131" s="2"/>
      <c r="X131" s="2">
        <f t="shared" si="39"/>
        <v>-9998.41</v>
      </c>
      <c r="Y131" s="2"/>
      <c r="Z131" s="19">
        <f t="shared" si="40"/>
        <v>-1</v>
      </c>
    </row>
    <row r="132" spans="1:26" s="23" customFormat="1" hidden="1" outlineLevel="1" x14ac:dyDescent="0.25">
      <c r="A132" s="44"/>
      <c r="B132" s="10" t="str">
        <f>CONCATENATE("          ", "5034", " - ", "PURCHASES @ COST-SODA")</f>
        <v xml:space="preserve">          5034 - PURCHASES @ COST-SODA</v>
      </c>
      <c r="C132" s="10"/>
      <c r="D132" s="2"/>
      <c r="E132" s="2"/>
      <c r="F132" s="19">
        <f t="shared" si="33"/>
        <v>0</v>
      </c>
      <c r="G132" s="2"/>
      <c r="H132" s="2"/>
      <c r="I132" s="2"/>
      <c r="J132" s="19">
        <f t="shared" si="34"/>
        <v>0</v>
      </c>
      <c r="K132" s="2"/>
      <c r="L132" s="2">
        <f t="shared" si="35"/>
        <v>0</v>
      </c>
      <c r="M132" s="2"/>
      <c r="N132" s="19">
        <f t="shared" si="36"/>
        <v>0</v>
      </c>
      <c r="O132" s="10"/>
      <c r="P132" s="2"/>
      <c r="Q132" s="2"/>
      <c r="R132" s="19">
        <f t="shared" si="37"/>
        <v>0</v>
      </c>
      <c r="S132" s="2"/>
      <c r="T132" s="2">
        <v>4033.88</v>
      </c>
      <c r="U132" s="2"/>
      <c r="V132" s="19">
        <f t="shared" si="38"/>
        <v>3.6250779739589929E-4</v>
      </c>
      <c r="W132" s="2"/>
      <c r="X132" s="2">
        <f t="shared" si="39"/>
        <v>-4033.88</v>
      </c>
      <c r="Y132" s="2"/>
      <c r="Z132" s="19">
        <f t="shared" si="40"/>
        <v>-1</v>
      </c>
    </row>
    <row r="133" spans="1:26" s="23" customFormat="1" hidden="1" outlineLevel="1" x14ac:dyDescent="0.25">
      <c r="A133" s="44"/>
      <c r="B133" s="10" t="str">
        <f>CONCATENATE("          ", "5035", " - ", "PURCHASES @ COST-HEALTH &amp; BEAU")</f>
        <v xml:space="preserve">          5035 - PURCHASES @ COST-HEALTH &amp; BEAU</v>
      </c>
      <c r="C133" s="10"/>
      <c r="D133" s="2"/>
      <c r="E133" s="2"/>
      <c r="F133" s="19">
        <f t="shared" si="33"/>
        <v>0</v>
      </c>
      <c r="G133" s="2"/>
      <c r="H133" s="2"/>
      <c r="I133" s="2"/>
      <c r="J133" s="19">
        <f t="shared" si="34"/>
        <v>0</v>
      </c>
      <c r="K133" s="2"/>
      <c r="L133" s="2">
        <f t="shared" si="35"/>
        <v>0</v>
      </c>
      <c r="M133" s="2"/>
      <c r="N133" s="19">
        <f t="shared" si="36"/>
        <v>0</v>
      </c>
      <c r="O133" s="10"/>
      <c r="P133" s="2"/>
      <c r="Q133" s="2"/>
      <c r="R133" s="19">
        <f t="shared" si="37"/>
        <v>0</v>
      </c>
      <c r="S133" s="2"/>
      <c r="T133" s="2">
        <v>1117.6500000000001</v>
      </c>
      <c r="U133" s="2"/>
      <c r="V133" s="19">
        <f t="shared" si="38"/>
        <v>1.0043849587977999E-4</v>
      </c>
      <c r="W133" s="2"/>
      <c r="X133" s="2">
        <f t="shared" si="39"/>
        <v>-1117.6500000000001</v>
      </c>
      <c r="Y133" s="2"/>
      <c r="Z133" s="19">
        <f t="shared" si="40"/>
        <v>-1</v>
      </c>
    </row>
    <row r="134" spans="1:26" s="23" customFormat="1" hidden="1" outlineLevel="1" x14ac:dyDescent="0.25">
      <c r="A134" s="44"/>
      <c r="B134" s="10" t="str">
        <f>CONCATENATE("          ", "5037", " - ", "PURCHASES @ COST-WATER")</f>
        <v xml:space="preserve">          5037 - PURCHASES @ COST-WATER</v>
      </c>
      <c r="C134" s="10"/>
      <c r="D134" s="2"/>
      <c r="E134" s="2"/>
      <c r="F134" s="19">
        <f t="shared" si="33"/>
        <v>0</v>
      </c>
      <c r="G134" s="2"/>
      <c r="H134" s="2"/>
      <c r="I134" s="2"/>
      <c r="J134" s="19">
        <f t="shared" si="34"/>
        <v>0</v>
      </c>
      <c r="K134" s="2"/>
      <c r="L134" s="2">
        <f t="shared" si="35"/>
        <v>0</v>
      </c>
      <c r="M134" s="2"/>
      <c r="N134" s="19">
        <f t="shared" si="36"/>
        <v>0</v>
      </c>
      <c r="O134" s="10"/>
      <c r="P134" s="2"/>
      <c r="Q134" s="2"/>
      <c r="R134" s="19">
        <f t="shared" si="37"/>
        <v>0</v>
      </c>
      <c r="S134" s="2"/>
      <c r="T134" s="2">
        <v>5693.57</v>
      </c>
      <c r="U134" s="2"/>
      <c r="V134" s="19">
        <f t="shared" si="38"/>
        <v>5.1165714399520324E-4</v>
      </c>
      <c r="W134" s="2"/>
      <c r="X134" s="2">
        <f t="shared" si="39"/>
        <v>-5693.57</v>
      </c>
      <c r="Y134" s="2"/>
      <c r="Z134" s="19">
        <f t="shared" si="40"/>
        <v>-1</v>
      </c>
    </row>
    <row r="135" spans="1:26" s="23" customFormat="1" hidden="1" outlineLevel="1" x14ac:dyDescent="0.25">
      <c r="A135" s="44"/>
      <c r="B135" s="10" t="str">
        <f>CONCATENATE("          ", "5040", " - ", "PURCHASES @ COST-LOGO CLOTHING")</f>
        <v xml:space="preserve">          5040 - PURCHASES @ COST-LOGO CLOTHING</v>
      </c>
      <c r="C135" s="10"/>
      <c r="D135" s="2">
        <v>39218.65</v>
      </c>
      <c r="E135" s="2"/>
      <c r="F135" s="19">
        <f t="shared" si="33"/>
        <v>8.9434504768799605E-2</v>
      </c>
      <c r="G135" s="2"/>
      <c r="H135" s="2">
        <v>8012.9</v>
      </c>
      <c r="I135" s="2"/>
      <c r="J135" s="19">
        <f t="shared" si="34"/>
        <v>4.8597826346694538E-2</v>
      </c>
      <c r="K135" s="2"/>
      <c r="L135" s="2">
        <f t="shared" si="35"/>
        <v>31205.75</v>
      </c>
      <c r="M135" s="2"/>
      <c r="N135" s="19">
        <f t="shared" si="36"/>
        <v>3.894438967165446</v>
      </c>
      <c r="O135" s="10"/>
      <c r="P135" s="2">
        <v>279090.25</v>
      </c>
      <c r="Q135" s="2"/>
      <c r="R135" s="19">
        <f t="shared" si="37"/>
        <v>5.9311341642342821E-2</v>
      </c>
      <c r="S135" s="2"/>
      <c r="T135" s="2">
        <v>974911.44</v>
      </c>
      <c r="U135" s="2"/>
      <c r="V135" s="19">
        <f t="shared" si="38"/>
        <v>8.7611182972836182E-2</v>
      </c>
      <c r="W135" s="2"/>
      <c r="X135" s="2">
        <f t="shared" si="39"/>
        <v>-695821.19</v>
      </c>
      <c r="Y135" s="2"/>
      <c r="Z135" s="19">
        <f t="shared" si="40"/>
        <v>-0.71372758740014375</v>
      </c>
    </row>
    <row r="136" spans="1:26" s="23" customFormat="1" hidden="1" outlineLevel="1" x14ac:dyDescent="0.25">
      <c r="A136" s="44"/>
      <c r="B136" s="10" t="str">
        <f>CONCATENATE("          ", "5041", " - ", "PURCHASES @ COST-LOGO GIFTS")</f>
        <v xml:space="preserve">          5041 - PURCHASES @ COST-LOGO GIFTS</v>
      </c>
      <c r="C136" s="10"/>
      <c r="D136" s="2">
        <v>15798.51</v>
      </c>
      <c r="E136" s="2"/>
      <c r="F136" s="19">
        <f t="shared" si="33"/>
        <v>3.6027041163704726E-2</v>
      </c>
      <c r="G136" s="2"/>
      <c r="H136" s="2">
        <v>-4050.7</v>
      </c>
      <c r="I136" s="2"/>
      <c r="J136" s="19">
        <f t="shared" si="34"/>
        <v>-2.4567287147294434E-2</v>
      </c>
      <c r="K136" s="2"/>
      <c r="L136" s="2">
        <f t="shared" si="35"/>
        <v>19849.21</v>
      </c>
      <c r="M136" s="2"/>
      <c r="N136" s="19">
        <f t="shared" si="36"/>
        <v>-4.9001925593107361</v>
      </c>
      <c r="O136" s="10"/>
      <c r="P136" s="2">
        <v>84261.95</v>
      </c>
      <c r="Q136" s="2"/>
      <c r="R136" s="19">
        <f t="shared" si="37"/>
        <v>1.7907072367809369E-2</v>
      </c>
      <c r="S136" s="2"/>
      <c r="T136" s="2">
        <v>145460.03</v>
      </c>
      <c r="U136" s="2"/>
      <c r="V136" s="19">
        <f t="shared" si="38"/>
        <v>1.3071879947951212E-2</v>
      </c>
      <c r="W136" s="2"/>
      <c r="X136" s="2">
        <f t="shared" si="39"/>
        <v>-61198.080000000002</v>
      </c>
      <c r="Y136" s="2"/>
      <c r="Z136" s="19">
        <f t="shared" si="40"/>
        <v>-0.42072093619119977</v>
      </c>
    </row>
    <row r="137" spans="1:26" s="23" customFormat="1" hidden="1" outlineLevel="1" x14ac:dyDescent="0.25">
      <c r="A137" s="44"/>
      <c r="B137" s="10" t="str">
        <f>CONCATENATE("          ", "5042", " - ", "PURCHASES @ COST-EVERYDAY GIFT")</f>
        <v xml:space="preserve">          5042 - PURCHASES @ COST-EVERYDAY GIFT</v>
      </c>
      <c r="C137" s="10"/>
      <c r="D137" s="2"/>
      <c r="E137" s="2"/>
      <c r="F137" s="19">
        <f t="shared" si="33"/>
        <v>0</v>
      </c>
      <c r="G137" s="2"/>
      <c r="H137" s="2">
        <v>521.79999999999995</v>
      </c>
      <c r="I137" s="2"/>
      <c r="J137" s="19">
        <f t="shared" si="34"/>
        <v>3.164690160579217E-3</v>
      </c>
      <c r="K137" s="2"/>
      <c r="L137" s="2">
        <f t="shared" si="35"/>
        <v>-521.79999999999995</v>
      </c>
      <c r="M137" s="2"/>
      <c r="N137" s="19">
        <f t="shared" si="36"/>
        <v>-1</v>
      </c>
      <c r="O137" s="10"/>
      <c r="P137" s="2">
        <v>18748.18</v>
      </c>
      <c r="Q137" s="2"/>
      <c r="R137" s="19">
        <f t="shared" si="37"/>
        <v>3.9843015266643632E-3</v>
      </c>
      <c r="S137" s="2"/>
      <c r="T137" s="2">
        <v>115885.04</v>
      </c>
      <c r="U137" s="2"/>
      <c r="V137" s="19">
        <f t="shared" si="38"/>
        <v>1.041410022150775E-2</v>
      </c>
      <c r="W137" s="2"/>
      <c r="X137" s="2">
        <f t="shared" si="39"/>
        <v>-97136.859999999986</v>
      </c>
      <c r="Y137" s="2"/>
      <c r="Z137" s="19">
        <f t="shared" si="40"/>
        <v>-0.83821742651165321</v>
      </c>
    </row>
    <row r="138" spans="1:26" s="23" customFormat="1" hidden="1" outlineLevel="1" x14ac:dyDescent="0.25">
      <c r="A138" s="44"/>
      <c r="B138" s="10" t="str">
        <f>CONCATENATE("          ", "5043", " - ", "PURCHASES @ COST-CARDS")</f>
        <v xml:space="preserve">          5043 - PURCHASES @ COST-CARDS</v>
      </c>
      <c r="C138" s="10"/>
      <c r="D138" s="2">
        <v>41</v>
      </c>
      <c r="E138" s="2"/>
      <c r="F138" s="19">
        <f t="shared" si="33"/>
        <v>9.3496708722018329E-5</v>
      </c>
      <c r="G138" s="2"/>
      <c r="H138" s="2">
        <v>6137.75</v>
      </c>
      <c r="I138" s="2"/>
      <c r="J138" s="19">
        <f t="shared" si="34"/>
        <v>3.7225138047326738E-2</v>
      </c>
      <c r="K138" s="2"/>
      <c r="L138" s="2">
        <f t="shared" si="35"/>
        <v>-6096.75</v>
      </c>
      <c r="M138" s="2"/>
      <c r="N138" s="19">
        <f t="shared" si="36"/>
        <v>-0.9933200276974461</v>
      </c>
      <c r="O138" s="10"/>
      <c r="P138" s="2">
        <v>55405.33</v>
      </c>
      <c r="Q138" s="2"/>
      <c r="R138" s="19">
        <f t="shared" si="37"/>
        <v>1.1774558432036755E-2</v>
      </c>
      <c r="S138" s="2"/>
      <c r="T138" s="2">
        <v>30914.66</v>
      </c>
      <c r="U138" s="2"/>
      <c r="V138" s="19">
        <f t="shared" si="38"/>
        <v>2.778170224162125E-3</v>
      </c>
      <c r="W138" s="2"/>
      <c r="X138" s="2">
        <f t="shared" si="39"/>
        <v>24490.670000000002</v>
      </c>
      <c r="Y138" s="2"/>
      <c r="Z138" s="19">
        <f t="shared" si="40"/>
        <v>0.7922024696373825</v>
      </c>
    </row>
    <row r="139" spans="1:26" s="23" customFormat="1" hidden="1" outlineLevel="1" x14ac:dyDescent="0.25">
      <c r="A139" s="44"/>
      <c r="B139" s="10" t="str">
        <f>CONCATENATE("          ", "5044", " - ", "PURCHASES @ COST-ACCESSORIES")</f>
        <v xml:space="preserve">          5044 - PURCHASES @ COST-ACCESSORIES</v>
      </c>
      <c r="C139" s="10"/>
      <c r="D139" s="2">
        <v>1490.88</v>
      </c>
      <c r="E139" s="2"/>
      <c r="F139" s="19">
        <f t="shared" si="33"/>
        <v>3.3998139780361631E-3</v>
      </c>
      <c r="G139" s="2"/>
      <c r="H139" s="2">
        <v>4380</v>
      </c>
      <c r="I139" s="2"/>
      <c r="J139" s="19">
        <f t="shared" si="34"/>
        <v>2.656447470934644E-2</v>
      </c>
      <c r="K139" s="2"/>
      <c r="L139" s="2">
        <f t="shared" si="35"/>
        <v>-2889.12</v>
      </c>
      <c r="M139" s="2"/>
      <c r="N139" s="19">
        <f t="shared" si="36"/>
        <v>-0.65961643835616435</v>
      </c>
      <c r="O139" s="10"/>
      <c r="P139" s="2">
        <v>2555.71</v>
      </c>
      <c r="Q139" s="2"/>
      <c r="R139" s="19">
        <f t="shared" si="37"/>
        <v>5.431310801747892E-4</v>
      </c>
      <c r="S139" s="2"/>
      <c r="T139" s="2">
        <v>36474.03</v>
      </c>
      <c r="U139" s="2"/>
      <c r="V139" s="19">
        <f t="shared" si="38"/>
        <v>3.2777673796572909E-3</v>
      </c>
      <c r="W139" s="2"/>
      <c r="X139" s="2">
        <f t="shared" si="39"/>
        <v>-33918.32</v>
      </c>
      <c r="Y139" s="2"/>
      <c r="Z139" s="19">
        <f t="shared" si="40"/>
        <v>-0.92993069315345744</v>
      </c>
    </row>
    <row r="140" spans="1:26" s="23" customFormat="1" hidden="1" outlineLevel="1" x14ac:dyDescent="0.25">
      <c r="A140" s="44"/>
      <c r="B140" s="10" t="str">
        <f>CONCATENATE("          ", "5045", " - ", "PURCHASES @ COST-SPECIAL ORDER")</f>
        <v xml:space="preserve">          5045 - PURCHASES @ COST-SPECIAL ORDER</v>
      </c>
      <c r="C140" s="10"/>
      <c r="D140" s="2">
        <v>5771.38</v>
      </c>
      <c r="E140" s="2"/>
      <c r="F140" s="19">
        <f t="shared" si="33"/>
        <v>1.3161098409367857E-2</v>
      </c>
      <c r="G140" s="2"/>
      <c r="H140" s="2">
        <v>4221.8999999999996</v>
      </c>
      <c r="I140" s="2"/>
      <c r="J140" s="19">
        <f t="shared" si="34"/>
        <v>2.5605606341413178E-2</v>
      </c>
      <c r="K140" s="2"/>
      <c r="L140" s="2">
        <f t="shared" si="35"/>
        <v>1549.4800000000005</v>
      </c>
      <c r="M140" s="2"/>
      <c r="N140" s="19">
        <f t="shared" si="36"/>
        <v>0.36701011392974742</v>
      </c>
      <c r="O140" s="10"/>
      <c r="P140" s="2">
        <v>114998.07</v>
      </c>
      <c r="Q140" s="2"/>
      <c r="R140" s="19">
        <f t="shared" si="37"/>
        <v>2.4439011459483285E-2</v>
      </c>
      <c r="S140" s="2"/>
      <c r="T140" s="2">
        <v>61923.15</v>
      </c>
      <c r="U140" s="2"/>
      <c r="V140" s="19">
        <f t="shared" si="38"/>
        <v>5.5647725550378004E-3</v>
      </c>
      <c r="W140" s="2"/>
      <c r="X140" s="2">
        <f t="shared" si="39"/>
        <v>53074.920000000006</v>
      </c>
      <c r="Y140" s="2"/>
      <c r="Z140" s="19">
        <f t="shared" si="40"/>
        <v>0.85710949782108958</v>
      </c>
    </row>
    <row r="141" spans="1:26" s="23" customFormat="1" hidden="1" outlineLevel="1" x14ac:dyDescent="0.25">
      <c r="A141" s="44"/>
      <c r="B141" s="10" t="str">
        <f>CONCATENATE("          ", "5053", " - ", "PURCHASES @ COST-FOOD")</f>
        <v xml:space="preserve">          5053 - PURCHASES @ COST-FOOD</v>
      </c>
      <c r="C141" s="10"/>
      <c r="D141" s="2">
        <v>176.4</v>
      </c>
      <c r="E141" s="2"/>
      <c r="F141" s="19">
        <f t="shared" si="33"/>
        <v>4.0226388825765936E-4</v>
      </c>
      <c r="G141" s="2"/>
      <c r="H141" s="2">
        <v>-1745.37</v>
      </c>
      <c r="I141" s="2"/>
      <c r="J141" s="19">
        <f t="shared" si="34"/>
        <v>-1.0585579274760729E-2</v>
      </c>
      <c r="K141" s="2"/>
      <c r="L141" s="2">
        <f t="shared" si="35"/>
        <v>1921.77</v>
      </c>
      <c r="M141" s="2"/>
      <c r="N141" s="19">
        <f t="shared" si="36"/>
        <v>-1.1010673954519672</v>
      </c>
      <c r="O141" s="10"/>
      <c r="P141" s="2">
        <v>-2470.15</v>
      </c>
      <c r="Q141" s="2"/>
      <c r="R141" s="19">
        <f t="shared" si="37"/>
        <v>-5.2494815049193989E-4</v>
      </c>
      <c r="S141" s="2"/>
      <c r="T141" s="2">
        <v>1160260.42</v>
      </c>
      <c r="U141" s="2"/>
      <c r="V141" s="19">
        <f t="shared" si="38"/>
        <v>0.10426771477085114</v>
      </c>
      <c r="W141" s="2"/>
      <c r="X141" s="2">
        <f t="shared" si="39"/>
        <v>-1162730.5699999998</v>
      </c>
      <c r="Y141" s="2"/>
      <c r="Z141" s="19">
        <f t="shared" si="40"/>
        <v>-1.00212896170327</v>
      </c>
    </row>
    <row r="142" spans="1:26" s="23" customFormat="1" hidden="1" outlineLevel="1" x14ac:dyDescent="0.25">
      <c r="A142" s="44"/>
      <c r="B142" s="10" t="str">
        <f>CONCATENATE("          ", "5059", " - ", "PURCHASES @ COST-FOOD")</f>
        <v xml:space="preserve">          5059 - PURCHASES @ COST-FOOD</v>
      </c>
      <c r="C142" s="10"/>
      <c r="D142" s="2">
        <v>24.08</v>
      </c>
      <c r="E142" s="2"/>
      <c r="F142" s="19">
        <f t="shared" si="33"/>
        <v>5.4912213317712221E-5</v>
      </c>
      <c r="G142" s="2"/>
      <c r="H142" s="2">
        <v>105570.95</v>
      </c>
      <c r="I142" s="2"/>
      <c r="J142" s="19">
        <f t="shared" si="34"/>
        <v>0.64028238157915007</v>
      </c>
      <c r="K142" s="2"/>
      <c r="L142" s="2">
        <f t="shared" si="35"/>
        <v>-105546.87</v>
      </c>
      <c r="M142" s="2"/>
      <c r="N142" s="19">
        <f t="shared" si="36"/>
        <v>-0.99977190694978113</v>
      </c>
      <c r="O142" s="10"/>
      <c r="P142" s="2">
        <v>30889.99</v>
      </c>
      <c r="Q142" s="2"/>
      <c r="R142" s="19">
        <f t="shared" si="37"/>
        <v>6.5646390377971046E-3</v>
      </c>
      <c r="S142" s="2"/>
      <c r="T142" s="2">
        <v>73826.8</v>
      </c>
      <c r="U142" s="2"/>
      <c r="V142" s="19">
        <f t="shared" si="38"/>
        <v>6.6345034202275671E-3</v>
      </c>
      <c r="W142" s="2"/>
      <c r="X142" s="2">
        <f t="shared" si="39"/>
        <v>-42936.81</v>
      </c>
      <c r="Y142" s="2"/>
      <c r="Z142" s="19">
        <f t="shared" si="40"/>
        <v>-0.58158839337476353</v>
      </c>
    </row>
    <row r="143" spans="1:26" s="23" customFormat="1" hidden="1" outlineLevel="1" x14ac:dyDescent="0.25">
      <c r="A143" s="44"/>
      <c r="B143" s="10" t="str">
        <f>CONCATENATE("          ", "5081", " - ", "PURCHASES @ COST-ELECTRONICS")</f>
        <v xml:space="preserve">          5081 - PURCHASES @ COST-ELECTRONICS</v>
      </c>
      <c r="C143" s="10"/>
      <c r="D143" s="2"/>
      <c r="E143" s="2"/>
      <c r="F143" s="19">
        <f t="shared" si="33"/>
        <v>0</v>
      </c>
      <c r="G143" s="2"/>
      <c r="H143" s="2"/>
      <c r="I143" s="2"/>
      <c r="J143" s="19">
        <f t="shared" si="34"/>
        <v>0</v>
      </c>
      <c r="K143" s="2"/>
      <c r="L143" s="2">
        <f t="shared" si="35"/>
        <v>0</v>
      </c>
      <c r="M143" s="2"/>
      <c r="N143" s="19">
        <f t="shared" si="36"/>
        <v>0</v>
      </c>
      <c r="O143" s="10"/>
      <c r="P143" s="2"/>
      <c r="Q143" s="2"/>
      <c r="R143" s="19">
        <f t="shared" si="37"/>
        <v>0</v>
      </c>
      <c r="S143" s="2"/>
      <c r="T143" s="2">
        <v>2008.03</v>
      </c>
      <c r="U143" s="2"/>
      <c r="V143" s="19">
        <f t="shared" si="38"/>
        <v>1.8045319454343899E-4</v>
      </c>
      <c r="W143" s="2"/>
      <c r="X143" s="2">
        <f t="shared" si="39"/>
        <v>-2008.03</v>
      </c>
      <c r="Y143" s="2"/>
      <c r="Z143" s="19">
        <f t="shared" si="40"/>
        <v>-1</v>
      </c>
    </row>
    <row r="144" spans="1:26" s="23" customFormat="1" hidden="1" outlineLevel="1" x14ac:dyDescent="0.25">
      <c r="A144" s="44"/>
      <c r="B144" s="10" t="str">
        <f>CONCATENATE("          ", "5082", " - ", "PURCHASES @ COST-COMPUTER HARD")</f>
        <v xml:space="preserve">          5082 - PURCHASES @ COST-COMPUTER HARD</v>
      </c>
      <c r="C144" s="10"/>
      <c r="D144" s="2"/>
      <c r="E144" s="2"/>
      <c r="F144" s="19">
        <f t="shared" si="33"/>
        <v>0</v>
      </c>
      <c r="G144" s="2"/>
      <c r="H144" s="2"/>
      <c r="I144" s="2"/>
      <c r="J144" s="19">
        <f t="shared" si="34"/>
        <v>0</v>
      </c>
      <c r="K144" s="2"/>
      <c r="L144" s="2">
        <f t="shared" si="35"/>
        <v>0</v>
      </c>
      <c r="M144" s="2"/>
      <c r="N144" s="19">
        <f t="shared" si="36"/>
        <v>0</v>
      </c>
      <c r="O144" s="10"/>
      <c r="P144" s="2"/>
      <c r="Q144" s="2"/>
      <c r="R144" s="19">
        <f t="shared" si="37"/>
        <v>0</v>
      </c>
      <c r="S144" s="2"/>
      <c r="T144" s="2">
        <v>349.6</v>
      </c>
      <c r="U144" s="2"/>
      <c r="V144" s="19">
        <f t="shared" si="38"/>
        <v>3.1417078834671932E-5</v>
      </c>
      <c r="W144" s="2"/>
      <c r="X144" s="2">
        <f t="shared" si="39"/>
        <v>-349.6</v>
      </c>
      <c r="Y144" s="2"/>
      <c r="Z144" s="19">
        <f t="shared" si="40"/>
        <v>-1</v>
      </c>
    </row>
    <row r="145" spans="1:26" s="23" customFormat="1" hidden="1" outlineLevel="1" x14ac:dyDescent="0.25">
      <c r="A145" s="44"/>
      <c r="B145" s="10" t="str">
        <f>CONCATENATE("          ", "5083", " - ", "PURCHASES @ COST-COMPUTER EQUI")</f>
        <v xml:space="preserve">          5083 - PURCHASES @ COST-COMPUTER EQUI</v>
      </c>
      <c r="C145" s="10"/>
      <c r="D145" s="2"/>
      <c r="E145" s="2"/>
      <c r="F145" s="19">
        <f t="shared" si="33"/>
        <v>0</v>
      </c>
      <c r="G145" s="2"/>
      <c r="H145" s="2"/>
      <c r="I145" s="2"/>
      <c r="J145" s="19">
        <f t="shared" si="34"/>
        <v>0</v>
      </c>
      <c r="K145" s="2"/>
      <c r="L145" s="2">
        <f t="shared" si="35"/>
        <v>0</v>
      </c>
      <c r="M145" s="2"/>
      <c r="N145" s="19">
        <f t="shared" si="36"/>
        <v>0</v>
      </c>
      <c r="O145" s="10"/>
      <c r="P145" s="2"/>
      <c r="Q145" s="2"/>
      <c r="R145" s="19">
        <f t="shared" si="37"/>
        <v>0</v>
      </c>
      <c r="S145" s="2"/>
      <c r="T145" s="2">
        <v>395.06</v>
      </c>
      <c r="U145" s="2"/>
      <c r="V145" s="19">
        <f t="shared" si="38"/>
        <v>3.5502377472612961E-5</v>
      </c>
      <c r="W145" s="2"/>
      <c r="X145" s="2">
        <f t="shared" si="39"/>
        <v>-395.06</v>
      </c>
      <c r="Y145" s="2"/>
      <c r="Z145" s="19">
        <f t="shared" si="40"/>
        <v>-1</v>
      </c>
    </row>
    <row r="146" spans="1:26" s="23" customFormat="1" hidden="1" outlineLevel="1" x14ac:dyDescent="0.25">
      <c r="A146" s="44"/>
      <c r="B146" s="10" t="str">
        <f>CONCATENATE("          ", "5086", " - ", "PURCHASES @ COST-COMPUTER SUPP")</f>
        <v xml:space="preserve">          5086 - PURCHASES @ COST-COMPUTER SUPP</v>
      </c>
      <c r="C146" s="10"/>
      <c r="D146" s="2"/>
      <c r="E146" s="2"/>
      <c r="F146" s="19">
        <f t="shared" si="33"/>
        <v>0</v>
      </c>
      <c r="G146" s="2"/>
      <c r="H146" s="2"/>
      <c r="I146" s="2"/>
      <c r="J146" s="19">
        <f t="shared" si="34"/>
        <v>0</v>
      </c>
      <c r="K146" s="2"/>
      <c r="L146" s="2">
        <f t="shared" si="35"/>
        <v>0</v>
      </c>
      <c r="M146" s="2"/>
      <c r="N146" s="19">
        <f t="shared" si="36"/>
        <v>0</v>
      </c>
      <c r="O146" s="10"/>
      <c r="P146" s="2">
        <v>13.21</v>
      </c>
      <c r="Q146" s="2"/>
      <c r="R146" s="19">
        <f t="shared" si="37"/>
        <v>2.8073457352786372E-6</v>
      </c>
      <c r="S146" s="2"/>
      <c r="T146" s="2">
        <v>426.22</v>
      </c>
      <c r="U146" s="2"/>
      <c r="V146" s="19">
        <f t="shared" si="38"/>
        <v>3.8302595368746769E-5</v>
      </c>
      <c r="W146" s="2"/>
      <c r="X146" s="2">
        <f t="shared" si="39"/>
        <v>-413.01000000000005</v>
      </c>
      <c r="Y146" s="2"/>
      <c r="Z146" s="19">
        <f t="shared" si="40"/>
        <v>-0.96900661630144058</v>
      </c>
    </row>
    <row r="147" spans="1:26" s="23" customFormat="1" hidden="1" outlineLevel="1" x14ac:dyDescent="0.25">
      <c r="A147" s="44"/>
      <c r="B147" s="10" t="str">
        <f>CONCATENATE("          ", "5092", " - ", "PURCHASES @ COST-GRAD MERCH")</f>
        <v xml:space="preserve">          5092 - PURCHASES @ COST-GRAD MERCH</v>
      </c>
      <c r="C147" s="10"/>
      <c r="D147" s="2"/>
      <c r="E147" s="2"/>
      <c r="F147" s="19">
        <f t="shared" si="33"/>
        <v>0</v>
      </c>
      <c r="G147" s="2"/>
      <c r="H147" s="2">
        <v>5539.35</v>
      </c>
      <c r="I147" s="2"/>
      <c r="J147" s="19">
        <f t="shared" si="34"/>
        <v>3.3595872826762151E-2</v>
      </c>
      <c r="K147" s="2"/>
      <c r="L147" s="2">
        <f t="shared" si="35"/>
        <v>-5539.35</v>
      </c>
      <c r="M147" s="2"/>
      <c r="N147" s="19">
        <f t="shared" si="36"/>
        <v>-1</v>
      </c>
      <c r="O147" s="10"/>
      <c r="P147" s="2">
        <v>0</v>
      </c>
      <c r="Q147" s="2"/>
      <c r="R147" s="19">
        <f t="shared" si="37"/>
        <v>0</v>
      </c>
      <c r="S147" s="2"/>
      <c r="T147" s="2">
        <v>8485.48</v>
      </c>
      <c r="U147" s="2"/>
      <c r="V147" s="19">
        <f t="shared" si="38"/>
        <v>7.6255433097835218E-4</v>
      </c>
      <c r="W147" s="2"/>
      <c r="X147" s="2">
        <f t="shared" si="39"/>
        <v>-8485.48</v>
      </c>
      <c r="Y147" s="2"/>
      <c r="Z147" s="19">
        <f t="shared" si="40"/>
        <v>-1</v>
      </c>
    </row>
    <row r="148" spans="1:26" s="23" customFormat="1" hidden="1" outlineLevel="1" x14ac:dyDescent="0.25">
      <c r="A148" s="44"/>
      <c r="B148" s="10" t="str">
        <f>CONCATENATE("          ", "5095", " - ", "PURCHASES @ COST-CUSTOMER SERV")</f>
        <v xml:space="preserve">          5095 - PURCHASES @ COST-CUSTOMER SERV</v>
      </c>
      <c r="C148" s="10"/>
      <c r="D148" s="2"/>
      <c r="E148" s="2"/>
      <c r="F148" s="19">
        <f t="shared" si="33"/>
        <v>0</v>
      </c>
      <c r="G148" s="2"/>
      <c r="H148" s="2"/>
      <c r="I148" s="2"/>
      <c r="J148" s="19">
        <f t="shared" si="34"/>
        <v>0</v>
      </c>
      <c r="K148" s="2"/>
      <c r="L148" s="2">
        <f t="shared" si="35"/>
        <v>0</v>
      </c>
      <c r="M148" s="2"/>
      <c r="N148" s="19">
        <f t="shared" si="36"/>
        <v>0</v>
      </c>
      <c r="O148" s="10"/>
      <c r="P148" s="2"/>
      <c r="Q148" s="2"/>
      <c r="R148" s="19">
        <f t="shared" si="37"/>
        <v>0</v>
      </c>
      <c r="S148" s="2"/>
      <c r="T148" s="2">
        <v>0</v>
      </c>
      <c r="U148" s="2"/>
      <c r="V148" s="19">
        <f t="shared" si="38"/>
        <v>0</v>
      </c>
      <c r="W148" s="2"/>
      <c r="X148" s="2">
        <f t="shared" si="39"/>
        <v>0</v>
      </c>
      <c r="Y148" s="2"/>
      <c r="Z148" s="19">
        <f t="shared" si="40"/>
        <v>0</v>
      </c>
    </row>
    <row r="149" spans="1:26" s="23" customFormat="1" hidden="1" outlineLevel="1" x14ac:dyDescent="0.25">
      <c r="A149" s="44"/>
      <c r="B149" s="10" t="str">
        <f>CONCATENATE("          ", "5200", " - ", "PURCHASES OFFSET")</f>
        <v xml:space="preserve">          5200 - PURCHASES OFFSET</v>
      </c>
      <c r="C149" s="10"/>
      <c r="D149" s="2">
        <v>78563.789999999994</v>
      </c>
      <c r="E149" s="2"/>
      <c r="F149" s="19">
        <f t="shared" si="33"/>
        <v>0.17915745828604426</v>
      </c>
      <c r="G149" s="2"/>
      <c r="H149" s="2">
        <v>-50558</v>
      </c>
      <c r="I149" s="2"/>
      <c r="J149" s="19">
        <f t="shared" si="34"/>
        <v>-0.30663166948747428</v>
      </c>
      <c r="K149" s="2"/>
      <c r="L149" s="2">
        <f t="shared" si="35"/>
        <v>129121.79</v>
      </c>
      <c r="M149" s="2"/>
      <c r="N149" s="19">
        <f t="shared" si="36"/>
        <v>-2.5539338977016492</v>
      </c>
      <c r="O149" s="10"/>
      <c r="P149" s="2">
        <v>-1685385.13</v>
      </c>
      <c r="Q149" s="2"/>
      <c r="R149" s="19">
        <f t="shared" si="37"/>
        <v>-0.35817250242297738</v>
      </c>
      <c r="S149" s="2"/>
      <c r="T149" s="2">
        <v>-3418171</v>
      </c>
      <c r="U149" s="2"/>
      <c r="V149" s="19">
        <f t="shared" si="38"/>
        <v>-0.30717662407720076</v>
      </c>
      <c r="W149" s="2"/>
      <c r="X149" s="2">
        <f t="shared" si="39"/>
        <v>1732785.87</v>
      </c>
      <c r="Y149" s="2"/>
      <c r="Z149" s="19">
        <f t="shared" si="40"/>
        <v>-0.50693364082721437</v>
      </c>
    </row>
    <row r="150" spans="1:26" s="23" customFormat="1" hidden="1" outlineLevel="1" x14ac:dyDescent="0.25">
      <c r="A150" s="44"/>
      <c r="B150" s="10" t="str">
        <f>CONCATENATE("          ", "5300", " - ", "COG$ OFFSET")</f>
        <v xml:space="preserve">          5300 - COG$ OFFSET</v>
      </c>
      <c r="C150" s="10"/>
      <c r="D150" s="2">
        <v>222888</v>
      </c>
      <c r="E150" s="2"/>
      <c r="F150" s="19">
        <f t="shared" si="33"/>
        <v>0.50827547350324931</v>
      </c>
      <c r="G150" s="2"/>
      <c r="H150" s="2">
        <v>64332</v>
      </c>
      <c r="I150" s="2"/>
      <c r="J150" s="19">
        <f t="shared" si="34"/>
        <v>0.39017027100494867</v>
      </c>
      <c r="K150" s="2"/>
      <c r="L150" s="2">
        <f t="shared" si="35"/>
        <v>158556</v>
      </c>
      <c r="M150" s="2"/>
      <c r="N150" s="19">
        <f t="shared" si="36"/>
        <v>2.4646521171423244</v>
      </c>
      <c r="O150" s="10"/>
      <c r="P150" s="2">
        <v>2400396</v>
      </c>
      <c r="Q150" s="2"/>
      <c r="R150" s="19">
        <f t="shared" si="37"/>
        <v>0.51012425992277821</v>
      </c>
      <c r="S150" s="2"/>
      <c r="T150" s="2">
        <v>3887601.47</v>
      </c>
      <c r="U150" s="2"/>
      <c r="V150" s="19">
        <f t="shared" si="38"/>
        <v>0.34936236230199225</v>
      </c>
      <c r="W150" s="2"/>
      <c r="X150" s="2">
        <f t="shared" si="39"/>
        <v>-1487205.4700000002</v>
      </c>
      <c r="Y150" s="2"/>
      <c r="Z150" s="19">
        <f t="shared" si="40"/>
        <v>-0.38255090741078462</v>
      </c>
    </row>
    <row r="151" spans="1:26" s="23" customFormat="1" hidden="1" outlineLevel="1" x14ac:dyDescent="0.25">
      <c r="A151" s="44"/>
      <c r="B151" s="10" t="str">
        <f>CONCATENATE("          ", "5500", " - ", "FREIGHT-IN")</f>
        <v xml:space="preserve">          5500 - FREIGHT-IN</v>
      </c>
      <c r="C151" s="10"/>
      <c r="D151" s="2"/>
      <c r="E151" s="2"/>
      <c r="F151" s="19">
        <f t="shared" si="33"/>
        <v>0</v>
      </c>
      <c r="G151" s="2"/>
      <c r="H151" s="2"/>
      <c r="I151" s="2"/>
      <c r="J151" s="19">
        <f t="shared" si="34"/>
        <v>0</v>
      </c>
      <c r="K151" s="2"/>
      <c r="L151" s="2">
        <f t="shared" si="35"/>
        <v>0</v>
      </c>
      <c r="M151" s="2"/>
      <c r="N151" s="19">
        <f t="shared" si="36"/>
        <v>0</v>
      </c>
      <c r="O151" s="10"/>
      <c r="P151" s="2">
        <v>0</v>
      </c>
      <c r="Q151" s="2"/>
      <c r="R151" s="19">
        <f t="shared" si="37"/>
        <v>0</v>
      </c>
      <c r="S151" s="2"/>
      <c r="T151" s="2">
        <v>156.47999999999999</v>
      </c>
      <c r="U151" s="2"/>
      <c r="V151" s="19">
        <f t="shared" si="38"/>
        <v>1.4062198215244459E-5</v>
      </c>
      <c r="W151" s="2"/>
      <c r="X151" s="2">
        <f t="shared" si="39"/>
        <v>-156.47999999999999</v>
      </c>
      <c r="Y151" s="2"/>
      <c r="Z151" s="19">
        <f t="shared" si="40"/>
        <v>-1</v>
      </c>
    </row>
    <row r="152" spans="1:26" s="23" customFormat="1" hidden="1" outlineLevel="1" x14ac:dyDescent="0.25">
      <c r="A152" s="44"/>
      <c r="B152" s="10" t="str">
        <f>CONCATENATE("          ", "5501", " - ", "FREIGHT-IN-NEW TEXT")</f>
        <v xml:space="preserve">          5501 - FREIGHT-IN-NEW TEXT</v>
      </c>
      <c r="C152" s="10"/>
      <c r="D152" s="2">
        <v>271.27</v>
      </c>
      <c r="E152" s="2"/>
      <c r="F152" s="19">
        <f t="shared" si="33"/>
        <v>6.1860615061029047E-4</v>
      </c>
      <c r="G152" s="2"/>
      <c r="H152" s="2">
        <v>2428.4</v>
      </c>
      <c r="I152" s="2"/>
      <c r="J152" s="19">
        <f t="shared" si="34"/>
        <v>1.472812109227783E-2</v>
      </c>
      <c r="K152" s="2"/>
      <c r="L152" s="2">
        <f t="shared" si="35"/>
        <v>-2157.13</v>
      </c>
      <c r="M152" s="2"/>
      <c r="N152" s="19">
        <f t="shared" si="36"/>
        <v>-0.88829270301433039</v>
      </c>
      <c r="O152" s="10"/>
      <c r="P152" s="2">
        <v>50313.73</v>
      </c>
      <c r="Q152" s="2"/>
      <c r="R152" s="19">
        <f t="shared" si="37"/>
        <v>1.0692508352873643E-2</v>
      </c>
      <c r="S152" s="2"/>
      <c r="T152" s="2">
        <v>69768.95</v>
      </c>
      <c r="U152" s="2"/>
      <c r="V152" s="19">
        <f t="shared" si="38"/>
        <v>6.2698415399378834E-3</v>
      </c>
      <c r="W152" s="2"/>
      <c r="X152" s="2">
        <f t="shared" si="39"/>
        <v>-19455.219999999994</v>
      </c>
      <c r="Y152" s="2"/>
      <c r="Z152" s="19">
        <f t="shared" si="40"/>
        <v>-0.27885212547988747</v>
      </c>
    </row>
    <row r="153" spans="1:26" s="23" customFormat="1" hidden="1" outlineLevel="1" x14ac:dyDescent="0.25">
      <c r="A153" s="44"/>
      <c r="B153" s="10" t="str">
        <f>CONCATENATE("          ", "5502", " - ", "FREIGHT-IN-USED TEXT")</f>
        <v xml:space="preserve">          5502 - FREIGHT-IN-USED TEXT</v>
      </c>
      <c r="C153" s="10"/>
      <c r="D153" s="2">
        <v>58.77</v>
      </c>
      <c r="E153" s="2"/>
      <c r="F153" s="19">
        <f t="shared" si="33"/>
        <v>1.3401955052665896E-4</v>
      </c>
      <c r="G153" s="2"/>
      <c r="H153" s="2">
        <v>36.700000000000003</v>
      </c>
      <c r="I153" s="2"/>
      <c r="J153" s="19">
        <f t="shared" si="34"/>
        <v>2.2258361229064255E-4</v>
      </c>
      <c r="K153" s="2"/>
      <c r="L153" s="2">
        <f t="shared" si="35"/>
        <v>22.07</v>
      </c>
      <c r="M153" s="2"/>
      <c r="N153" s="19">
        <f t="shared" si="36"/>
        <v>0.60136239782016343</v>
      </c>
      <c r="O153" s="10"/>
      <c r="P153" s="2">
        <v>17858.900000000001</v>
      </c>
      <c r="Q153" s="2"/>
      <c r="R153" s="19">
        <f t="shared" si="37"/>
        <v>3.7953146670528129E-3</v>
      </c>
      <c r="S153" s="2"/>
      <c r="T153" s="2">
        <v>15301.34</v>
      </c>
      <c r="U153" s="2"/>
      <c r="V153" s="19">
        <f t="shared" si="38"/>
        <v>1.3750669481010268E-3</v>
      </c>
      <c r="W153" s="2"/>
      <c r="X153" s="2">
        <f t="shared" si="39"/>
        <v>2557.5600000000013</v>
      </c>
      <c r="Y153" s="2"/>
      <c r="Z153" s="19">
        <f t="shared" si="40"/>
        <v>0.16714614537027483</v>
      </c>
    </row>
    <row r="154" spans="1:26" s="23" customFormat="1" hidden="1" outlineLevel="1" x14ac:dyDescent="0.25">
      <c r="A154" s="44"/>
      <c r="B154" s="10" t="str">
        <f>CONCATENATE("          ", "5504", " - ", "FREIGHT-IN-DIGITAL TEXT")</f>
        <v xml:space="preserve">          5504 - FREIGHT-IN-DIGITAL TEXT</v>
      </c>
      <c r="C154" s="10"/>
      <c r="D154" s="2"/>
      <c r="E154" s="2"/>
      <c r="F154" s="19">
        <f t="shared" si="33"/>
        <v>0</v>
      </c>
      <c r="G154" s="2"/>
      <c r="H154" s="2"/>
      <c r="I154" s="2"/>
      <c r="J154" s="19">
        <f t="shared" si="34"/>
        <v>0</v>
      </c>
      <c r="K154" s="2"/>
      <c r="L154" s="2">
        <f t="shared" si="35"/>
        <v>0</v>
      </c>
      <c r="M154" s="2"/>
      <c r="N154" s="19">
        <f t="shared" si="36"/>
        <v>0</v>
      </c>
      <c r="O154" s="10"/>
      <c r="P154" s="2">
        <v>28.92</v>
      </c>
      <c r="Q154" s="2"/>
      <c r="R154" s="19">
        <f t="shared" si="37"/>
        <v>6.1459832448340792E-6</v>
      </c>
      <c r="S154" s="2"/>
      <c r="T154" s="2">
        <v>118.75</v>
      </c>
      <c r="U154" s="2"/>
      <c r="V154" s="19">
        <f t="shared" si="38"/>
        <v>1.0671562104168453E-5</v>
      </c>
      <c r="W154" s="2"/>
      <c r="X154" s="2">
        <f t="shared" si="39"/>
        <v>-89.83</v>
      </c>
      <c r="Y154" s="2"/>
      <c r="Z154" s="19">
        <f t="shared" si="40"/>
        <v>-0.75646315789473684</v>
      </c>
    </row>
    <row r="155" spans="1:26" s="23" customFormat="1" hidden="1" outlineLevel="1" x14ac:dyDescent="0.25">
      <c r="A155" s="44"/>
      <c r="B155" s="10" t="str">
        <f>CONCATENATE("          ", "5513", " - ", "FREIGHT-IN-TRADE BOOKS")</f>
        <v xml:space="preserve">          5513 - FREIGHT-IN-TRADE BOOKS</v>
      </c>
      <c r="C155" s="10"/>
      <c r="D155" s="2"/>
      <c r="E155" s="2"/>
      <c r="F155" s="19">
        <f t="shared" si="33"/>
        <v>0</v>
      </c>
      <c r="G155" s="2"/>
      <c r="H155" s="2"/>
      <c r="I155" s="2"/>
      <c r="J155" s="19">
        <f t="shared" si="34"/>
        <v>0</v>
      </c>
      <c r="K155" s="2"/>
      <c r="L155" s="2">
        <f t="shared" si="35"/>
        <v>0</v>
      </c>
      <c r="M155" s="2"/>
      <c r="N155" s="19">
        <f t="shared" si="36"/>
        <v>0</v>
      </c>
      <c r="O155" s="10"/>
      <c r="P155" s="2">
        <v>85.28</v>
      </c>
      <c r="Q155" s="2"/>
      <c r="R155" s="19">
        <f t="shared" si="37"/>
        <v>1.8123425004130368E-5</v>
      </c>
      <c r="S155" s="2"/>
      <c r="T155" s="2">
        <v>30.24</v>
      </c>
      <c r="U155" s="2"/>
      <c r="V155" s="19">
        <f t="shared" si="38"/>
        <v>2.7175413728846653E-6</v>
      </c>
      <c r="W155" s="2"/>
      <c r="X155" s="2">
        <f t="shared" si="39"/>
        <v>55.040000000000006</v>
      </c>
      <c r="Y155" s="2"/>
      <c r="Z155" s="19">
        <f t="shared" si="40"/>
        <v>1.8201058201058204</v>
      </c>
    </row>
    <row r="156" spans="1:26" s="23" customFormat="1" hidden="1" outlineLevel="1" x14ac:dyDescent="0.25">
      <c r="A156" s="44"/>
      <c r="B156" s="10" t="str">
        <f>CONCATENATE("          ", "5518", " - ", "FREIGHT-IN-STUDY GUIDES")</f>
        <v xml:space="preserve">          5518 - FREIGHT-IN-STUDY GUIDES</v>
      </c>
      <c r="C156" s="10"/>
      <c r="D156" s="2"/>
      <c r="E156" s="2"/>
      <c r="F156" s="19">
        <f t="shared" si="33"/>
        <v>0</v>
      </c>
      <c r="G156" s="2"/>
      <c r="H156" s="2"/>
      <c r="I156" s="2"/>
      <c r="J156" s="19">
        <f t="shared" si="34"/>
        <v>0</v>
      </c>
      <c r="K156" s="2"/>
      <c r="L156" s="2">
        <f t="shared" si="35"/>
        <v>0</v>
      </c>
      <c r="M156" s="2"/>
      <c r="N156" s="19">
        <f t="shared" si="36"/>
        <v>0</v>
      </c>
      <c r="O156" s="10"/>
      <c r="P156" s="2"/>
      <c r="Q156" s="2"/>
      <c r="R156" s="19">
        <f t="shared" si="37"/>
        <v>0</v>
      </c>
      <c r="S156" s="2"/>
      <c r="T156" s="2">
        <v>21.13</v>
      </c>
      <c r="U156" s="2"/>
      <c r="V156" s="19">
        <f t="shared" si="38"/>
        <v>1.898864061145932E-6</v>
      </c>
      <c r="W156" s="2"/>
      <c r="X156" s="2">
        <f t="shared" si="39"/>
        <v>-21.13</v>
      </c>
      <c r="Y156" s="2"/>
      <c r="Z156" s="19">
        <f t="shared" si="40"/>
        <v>-1</v>
      </c>
    </row>
    <row r="157" spans="1:26" s="23" customFormat="1" hidden="1" outlineLevel="1" x14ac:dyDescent="0.25">
      <c r="A157" s="44"/>
      <c r="B157" s="10" t="str">
        <f>CONCATENATE("          ", "5525", " - ", "FREIGHT-IN-TEST FORMS")</f>
        <v xml:space="preserve">          5525 - FREIGHT-IN-TEST FORMS</v>
      </c>
      <c r="C157" s="10"/>
      <c r="D157" s="2"/>
      <c r="E157" s="2"/>
      <c r="F157" s="19">
        <f t="shared" si="33"/>
        <v>0</v>
      </c>
      <c r="G157" s="2"/>
      <c r="H157" s="2"/>
      <c r="I157" s="2"/>
      <c r="J157" s="19">
        <f t="shared" si="34"/>
        <v>0</v>
      </c>
      <c r="K157" s="2"/>
      <c r="L157" s="2">
        <f t="shared" si="35"/>
        <v>0</v>
      </c>
      <c r="M157" s="2"/>
      <c r="N157" s="19">
        <f t="shared" si="36"/>
        <v>0</v>
      </c>
      <c r="O157" s="10"/>
      <c r="P157" s="2">
        <v>48.14</v>
      </c>
      <c r="Q157" s="2"/>
      <c r="R157" s="19">
        <f t="shared" si="37"/>
        <v>1.0230554405474156E-5</v>
      </c>
      <c r="S157" s="2"/>
      <c r="T157" s="2">
        <v>1237.22</v>
      </c>
      <c r="U157" s="2"/>
      <c r="V157" s="19">
        <f t="shared" si="38"/>
        <v>1.1118374792858354E-4</v>
      </c>
      <c r="W157" s="2"/>
      <c r="X157" s="2">
        <f t="shared" si="39"/>
        <v>-1189.08</v>
      </c>
      <c r="Y157" s="2"/>
      <c r="Z157" s="19">
        <f t="shared" si="40"/>
        <v>-0.9610901860623009</v>
      </c>
    </row>
    <row r="158" spans="1:26" s="23" customFormat="1" hidden="1" outlineLevel="1" x14ac:dyDescent="0.25">
      <c r="A158" s="44"/>
      <c r="B158" s="10" t="str">
        <f>CONCATENATE("          ", "5526", " - ", "FREIGHT-IN-WRITING INSTRUMENTS")</f>
        <v xml:space="preserve">          5526 - FREIGHT-IN-WRITING INSTRUMENTS</v>
      </c>
      <c r="C158" s="10"/>
      <c r="D158" s="2"/>
      <c r="E158" s="2"/>
      <c r="F158" s="19">
        <f t="shared" si="33"/>
        <v>0</v>
      </c>
      <c r="G158" s="2"/>
      <c r="H158" s="2"/>
      <c r="I158" s="2"/>
      <c r="J158" s="19">
        <f t="shared" si="34"/>
        <v>0</v>
      </c>
      <c r="K158" s="2"/>
      <c r="L158" s="2">
        <f t="shared" si="35"/>
        <v>0</v>
      </c>
      <c r="M158" s="2"/>
      <c r="N158" s="19">
        <f t="shared" si="36"/>
        <v>0</v>
      </c>
      <c r="O158" s="10"/>
      <c r="P158" s="2">
        <v>0</v>
      </c>
      <c r="Q158" s="2"/>
      <c r="R158" s="19">
        <f t="shared" si="37"/>
        <v>0</v>
      </c>
      <c r="S158" s="2"/>
      <c r="T158" s="2">
        <v>260.35000000000002</v>
      </c>
      <c r="U158" s="2"/>
      <c r="V158" s="19">
        <f t="shared" si="38"/>
        <v>2.3396557421644271E-5</v>
      </c>
      <c r="W158" s="2"/>
      <c r="X158" s="2">
        <f t="shared" si="39"/>
        <v>-260.35000000000002</v>
      </c>
      <c r="Y158" s="2"/>
      <c r="Z158" s="19">
        <f t="shared" si="40"/>
        <v>-1</v>
      </c>
    </row>
    <row r="159" spans="1:26" s="23" customFormat="1" hidden="1" outlineLevel="1" x14ac:dyDescent="0.25">
      <c r="A159" s="44"/>
      <c r="B159" s="10" t="str">
        <f>CONCATENATE("          ", "5527", " - ", "FREIGHT-IN-SCHOOL SUPPLIES")</f>
        <v xml:space="preserve">          5527 - FREIGHT-IN-SCHOOL SUPPLIES</v>
      </c>
      <c r="C159" s="10"/>
      <c r="D159" s="2"/>
      <c r="E159" s="2"/>
      <c r="F159" s="19">
        <f t="shared" si="33"/>
        <v>0</v>
      </c>
      <c r="G159" s="2"/>
      <c r="H159" s="2"/>
      <c r="I159" s="2"/>
      <c r="J159" s="19">
        <f t="shared" si="34"/>
        <v>0</v>
      </c>
      <c r="K159" s="2"/>
      <c r="L159" s="2">
        <f t="shared" si="35"/>
        <v>0</v>
      </c>
      <c r="M159" s="2"/>
      <c r="N159" s="19">
        <f t="shared" si="36"/>
        <v>0</v>
      </c>
      <c r="O159" s="10"/>
      <c r="P159" s="2">
        <v>218.62</v>
      </c>
      <c r="Q159" s="2"/>
      <c r="R159" s="19">
        <f t="shared" si="37"/>
        <v>4.6460403076958034E-5</v>
      </c>
      <c r="S159" s="2"/>
      <c r="T159" s="2">
        <v>2058.91</v>
      </c>
      <c r="U159" s="2"/>
      <c r="V159" s="19">
        <f t="shared" si="38"/>
        <v>1.850255657422608E-4</v>
      </c>
      <c r="W159" s="2"/>
      <c r="X159" s="2">
        <f t="shared" si="39"/>
        <v>-1840.29</v>
      </c>
      <c r="Y159" s="2"/>
      <c r="Z159" s="19">
        <f t="shared" si="40"/>
        <v>-0.89381760251783715</v>
      </c>
    </row>
    <row r="160" spans="1:26" s="23" customFormat="1" hidden="1" outlineLevel="1" x14ac:dyDescent="0.25">
      <c r="A160" s="44"/>
      <c r="B160" s="10" t="str">
        <f>CONCATENATE("          ", "5528", " - ", "FREIGHT-IN-ART/TECH")</f>
        <v xml:space="preserve">          5528 - FREIGHT-IN-ART/TECH</v>
      </c>
      <c r="C160" s="10"/>
      <c r="D160" s="2">
        <v>89.22</v>
      </c>
      <c r="E160" s="2"/>
      <c r="F160" s="19">
        <f t="shared" si="33"/>
        <v>2.0345795980923108E-4</v>
      </c>
      <c r="G160" s="2"/>
      <c r="H160" s="2">
        <v>576.6</v>
      </c>
      <c r="I160" s="2"/>
      <c r="J160" s="19">
        <f t="shared" si="34"/>
        <v>3.4970493418742367E-3</v>
      </c>
      <c r="K160" s="2"/>
      <c r="L160" s="2">
        <f t="shared" si="35"/>
        <v>-487.38</v>
      </c>
      <c r="M160" s="2"/>
      <c r="N160" s="19">
        <f t="shared" si="36"/>
        <v>-0.8452653485952133</v>
      </c>
      <c r="O160" s="10"/>
      <c r="P160" s="2">
        <v>544.42999999999995</v>
      </c>
      <c r="Q160" s="2"/>
      <c r="R160" s="19">
        <f t="shared" si="37"/>
        <v>1.1570047226780835E-4</v>
      </c>
      <c r="S160" s="2"/>
      <c r="T160" s="2">
        <v>2844.12</v>
      </c>
      <c r="U160" s="2"/>
      <c r="V160" s="19">
        <f t="shared" si="38"/>
        <v>2.5558907967753754E-4</v>
      </c>
      <c r="W160" s="2"/>
      <c r="X160" s="2">
        <f t="shared" si="39"/>
        <v>-2299.69</v>
      </c>
      <c r="Y160" s="2"/>
      <c r="Z160" s="19">
        <f t="shared" si="40"/>
        <v>-0.80857699393837112</v>
      </c>
    </row>
    <row r="161" spans="1:26" s="23" customFormat="1" hidden="1" outlineLevel="1" x14ac:dyDescent="0.25">
      <c r="A161" s="44"/>
      <c r="B161" s="10" t="str">
        <f>CONCATENATE("          ", "5540", " - ", "FREIGHT-IN-LOGO CLOTHING")</f>
        <v xml:space="preserve">          5540 - FREIGHT-IN-LOGO CLOTHING</v>
      </c>
      <c r="C161" s="10"/>
      <c r="D161" s="2">
        <v>2107.65</v>
      </c>
      <c r="E161" s="2"/>
      <c r="F161" s="19">
        <f t="shared" si="33"/>
        <v>4.8063009301941937E-3</v>
      </c>
      <c r="G161" s="2"/>
      <c r="H161" s="2">
        <v>1044.9100000000001</v>
      </c>
      <c r="I161" s="2"/>
      <c r="J161" s="19">
        <f t="shared" si="34"/>
        <v>6.3373254037769845E-3</v>
      </c>
      <c r="K161" s="2"/>
      <c r="L161" s="2">
        <f t="shared" si="35"/>
        <v>1062.74</v>
      </c>
      <c r="M161" s="2"/>
      <c r="N161" s="19">
        <f t="shared" si="36"/>
        <v>1.0170636705553588</v>
      </c>
      <c r="O161" s="10"/>
      <c r="P161" s="2">
        <v>9216.02</v>
      </c>
      <c r="Q161" s="2"/>
      <c r="R161" s="19">
        <f t="shared" si="37"/>
        <v>1.9585582470282078E-3</v>
      </c>
      <c r="S161" s="2"/>
      <c r="T161" s="2">
        <v>31703.3</v>
      </c>
      <c r="U161" s="2"/>
      <c r="V161" s="19">
        <f t="shared" si="38"/>
        <v>2.8490419777438629E-3</v>
      </c>
      <c r="W161" s="2"/>
      <c r="X161" s="2">
        <f t="shared" si="39"/>
        <v>-22487.279999999999</v>
      </c>
      <c r="Y161" s="2"/>
      <c r="Z161" s="19">
        <f t="shared" si="40"/>
        <v>-0.7093040787552084</v>
      </c>
    </row>
    <row r="162" spans="1:26" s="23" customFormat="1" hidden="1" outlineLevel="1" x14ac:dyDescent="0.25">
      <c r="A162" s="44"/>
      <c r="B162" s="10" t="str">
        <f>CONCATENATE("          ", "5541", " - ", "FREIGHT-IN-LOGO GIFTS")</f>
        <v xml:space="preserve">          5541 - FREIGHT-IN-LOGO GIFTS</v>
      </c>
      <c r="C162" s="10"/>
      <c r="D162" s="2">
        <v>2877.99</v>
      </c>
      <c r="E162" s="2"/>
      <c r="F162" s="19">
        <f t="shared" si="33"/>
        <v>6.562990066704427E-3</v>
      </c>
      <c r="G162" s="2"/>
      <c r="H162" s="2">
        <v>186.99</v>
      </c>
      <c r="I162" s="2"/>
      <c r="J162" s="19">
        <f t="shared" si="34"/>
        <v>1.1340847319407971E-3</v>
      </c>
      <c r="K162" s="2"/>
      <c r="L162" s="2">
        <f t="shared" si="35"/>
        <v>2691</v>
      </c>
      <c r="M162" s="2"/>
      <c r="N162" s="19">
        <f t="shared" si="36"/>
        <v>14.391143911439114</v>
      </c>
      <c r="O162" s="10"/>
      <c r="P162" s="2">
        <v>5015.99</v>
      </c>
      <c r="Q162" s="2"/>
      <c r="R162" s="19">
        <f t="shared" si="37"/>
        <v>1.0659816907418842E-3</v>
      </c>
      <c r="S162" s="2"/>
      <c r="T162" s="2">
        <v>4882.9399999999996</v>
      </c>
      <c r="U162" s="2"/>
      <c r="V162" s="19">
        <f t="shared" si="38"/>
        <v>4.3880924177623837E-4</v>
      </c>
      <c r="W162" s="2"/>
      <c r="X162" s="2">
        <f t="shared" si="39"/>
        <v>133.05000000000018</v>
      </c>
      <c r="Y162" s="2"/>
      <c r="Z162" s="19">
        <f t="shared" si="40"/>
        <v>2.7247928502090991E-2</v>
      </c>
    </row>
    <row r="163" spans="1:26" s="23" customFormat="1" hidden="1" outlineLevel="1" x14ac:dyDescent="0.25">
      <c r="A163" s="44"/>
      <c r="B163" s="10" t="str">
        <f>CONCATENATE("          ", "5542", " - ", "FREIGHT-IN-EVERYDAY GIFTS")</f>
        <v xml:space="preserve">          5542 - FREIGHT-IN-EVERYDAY GIFTS</v>
      </c>
      <c r="C163" s="10"/>
      <c r="D163" s="2"/>
      <c r="E163" s="2"/>
      <c r="F163" s="19">
        <f t="shared" si="33"/>
        <v>0</v>
      </c>
      <c r="G163" s="2"/>
      <c r="H163" s="2">
        <v>45.1</v>
      </c>
      <c r="I163" s="2"/>
      <c r="J163" s="19">
        <f t="shared" si="34"/>
        <v>2.7352918022637544E-4</v>
      </c>
      <c r="K163" s="2"/>
      <c r="L163" s="2">
        <f t="shared" si="35"/>
        <v>-45.1</v>
      </c>
      <c r="M163" s="2"/>
      <c r="N163" s="19">
        <f t="shared" si="36"/>
        <v>-1</v>
      </c>
      <c r="O163" s="10"/>
      <c r="P163" s="2">
        <v>681.72</v>
      </c>
      <c r="Q163" s="2"/>
      <c r="R163" s="19">
        <f t="shared" si="37"/>
        <v>1.4487689134399338E-4</v>
      </c>
      <c r="S163" s="2"/>
      <c r="T163" s="2">
        <v>1839.04</v>
      </c>
      <c r="U163" s="2"/>
      <c r="V163" s="19">
        <f t="shared" si="38"/>
        <v>1.6526677534357855E-4</v>
      </c>
      <c r="W163" s="2"/>
      <c r="X163" s="2">
        <f t="shared" si="39"/>
        <v>-1157.32</v>
      </c>
      <c r="Y163" s="2"/>
      <c r="Z163" s="19">
        <f t="shared" si="40"/>
        <v>-0.62930659474508432</v>
      </c>
    </row>
    <row r="164" spans="1:26" s="23" customFormat="1" hidden="1" outlineLevel="1" x14ac:dyDescent="0.25">
      <c r="A164" s="44"/>
      <c r="B164" s="10" t="str">
        <f>CONCATENATE("          ", "5543", " - ", "FREIGHT-IN-CARDS")</f>
        <v xml:space="preserve">          5543 - FREIGHT-IN-CARDS</v>
      </c>
      <c r="C164" s="10"/>
      <c r="D164" s="2"/>
      <c r="E164" s="2"/>
      <c r="F164" s="19">
        <f t="shared" si="33"/>
        <v>0</v>
      </c>
      <c r="G164" s="2"/>
      <c r="H164" s="2"/>
      <c r="I164" s="2"/>
      <c r="J164" s="19">
        <f t="shared" si="34"/>
        <v>0</v>
      </c>
      <c r="K164" s="2"/>
      <c r="L164" s="2">
        <f t="shared" si="35"/>
        <v>0</v>
      </c>
      <c r="M164" s="2"/>
      <c r="N164" s="19">
        <f t="shared" si="36"/>
        <v>0</v>
      </c>
      <c r="O164" s="10"/>
      <c r="P164" s="2">
        <v>9110.5300000000007</v>
      </c>
      <c r="Q164" s="2"/>
      <c r="R164" s="19">
        <f t="shared" si="37"/>
        <v>1.9361398593208238E-3</v>
      </c>
      <c r="S164" s="2"/>
      <c r="T164" s="2">
        <v>2926.76</v>
      </c>
      <c r="U164" s="2"/>
      <c r="V164" s="19">
        <f t="shared" si="38"/>
        <v>2.630155882441774E-4</v>
      </c>
      <c r="W164" s="2"/>
      <c r="X164" s="2">
        <f t="shared" si="39"/>
        <v>6183.77</v>
      </c>
      <c r="Y164" s="2"/>
      <c r="Z164" s="19">
        <f t="shared" si="40"/>
        <v>2.112838087168063</v>
      </c>
    </row>
    <row r="165" spans="1:26" s="23" customFormat="1" hidden="1" outlineLevel="1" x14ac:dyDescent="0.25">
      <c r="A165" s="44"/>
      <c r="B165" s="10" t="str">
        <f>CONCATENATE("          ", "5544", " - ", "FREIGHT-IN-ACCESSORIES")</f>
        <v xml:space="preserve">          5544 - FREIGHT-IN-ACCESSORIES</v>
      </c>
      <c r="C165" s="10"/>
      <c r="D165" s="2"/>
      <c r="E165" s="2"/>
      <c r="F165" s="19">
        <f t="shared" si="33"/>
        <v>0</v>
      </c>
      <c r="G165" s="2"/>
      <c r="H165" s="2"/>
      <c r="I165" s="2"/>
      <c r="J165" s="19">
        <f t="shared" si="34"/>
        <v>0</v>
      </c>
      <c r="K165" s="2"/>
      <c r="L165" s="2">
        <f t="shared" si="35"/>
        <v>0</v>
      </c>
      <c r="M165" s="2"/>
      <c r="N165" s="19">
        <f t="shared" si="36"/>
        <v>0</v>
      </c>
      <c r="O165" s="10"/>
      <c r="P165" s="2"/>
      <c r="Q165" s="2"/>
      <c r="R165" s="19">
        <f t="shared" si="37"/>
        <v>0</v>
      </c>
      <c r="S165" s="2"/>
      <c r="T165" s="2">
        <v>483.44</v>
      </c>
      <c r="U165" s="2"/>
      <c r="V165" s="19">
        <f t="shared" si="38"/>
        <v>4.3444715651698505E-5</v>
      </c>
      <c r="W165" s="2"/>
      <c r="X165" s="2">
        <f t="shared" si="39"/>
        <v>-483.44</v>
      </c>
      <c r="Y165" s="2"/>
      <c r="Z165" s="19">
        <f t="shared" si="40"/>
        <v>-1</v>
      </c>
    </row>
    <row r="166" spans="1:26" s="23" customFormat="1" hidden="1" outlineLevel="1" x14ac:dyDescent="0.25">
      <c r="A166" s="44"/>
      <c r="B166" s="10" t="str">
        <f>CONCATENATE("          ", "5545", " - ", "FREIGHT-IN-SPECIAL ORDERS")</f>
        <v xml:space="preserve">          5545 - FREIGHT-IN-SPECIAL ORDERS</v>
      </c>
      <c r="C166" s="10"/>
      <c r="D166" s="2">
        <v>168.6</v>
      </c>
      <c r="E166" s="2"/>
      <c r="F166" s="19">
        <f t="shared" si="33"/>
        <v>3.8447670952517778E-4</v>
      </c>
      <c r="G166" s="2"/>
      <c r="H166" s="2">
        <v>17.190000000000001</v>
      </c>
      <c r="I166" s="2"/>
      <c r="J166" s="19">
        <f t="shared" si="34"/>
        <v>1.0425646581133911E-4</v>
      </c>
      <c r="K166" s="2"/>
      <c r="L166" s="2">
        <f t="shared" si="35"/>
        <v>151.41</v>
      </c>
      <c r="M166" s="2"/>
      <c r="N166" s="19">
        <f t="shared" si="36"/>
        <v>8.8080279232111689</v>
      </c>
      <c r="O166" s="10"/>
      <c r="P166" s="2">
        <v>1434.76</v>
      </c>
      <c r="Q166" s="2"/>
      <c r="R166" s="19">
        <f t="shared" si="37"/>
        <v>3.0491047442455545E-4</v>
      </c>
      <c r="S166" s="2"/>
      <c r="T166" s="2">
        <v>892.26</v>
      </c>
      <c r="U166" s="2"/>
      <c r="V166" s="19">
        <f t="shared" si="38"/>
        <v>8.0183646341602907E-5</v>
      </c>
      <c r="W166" s="2"/>
      <c r="X166" s="2">
        <f t="shared" si="39"/>
        <v>542.5</v>
      </c>
      <c r="Y166" s="2"/>
      <c r="Z166" s="19">
        <f t="shared" si="40"/>
        <v>0.60800663483737927</v>
      </c>
    </row>
    <row r="167" spans="1:26" s="23" customFormat="1" hidden="1" outlineLevel="1" x14ac:dyDescent="0.25">
      <c r="A167" s="44"/>
      <c r="B167" s="10" t="str">
        <f>CONCATENATE("          ", "5592", " - ", "FREIGHT-IN-GRAD MERCH")</f>
        <v xml:space="preserve">          5592 - FREIGHT-IN-GRAD MERCH</v>
      </c>
      <c r="C167" s="10"/>
      <c r="D167" s="2"/>
      <c r="E167" s="2"/>
      <c r="F167" s="19">
        <f t="shared" si="33"/>
        <v>0</v>
      </c>
      <c r="G167" s="2"/>
      <c r="H167" s="2"/>
      <c r="I167" s="2"/>
      <c r="J167" s="19">
        <f t="shared" si="34"/>
        <v>0</v>
      </c>
      <c r="K167" s="2"/>
      <c r="L167" s="2">
        <f t="shared" si="35"/>
        <v>0</v>
      </c>
      <c r="M167" s="2"/>
      <c r="N167" s="19">
        <f t="shared" si="36"/>
        <v>0</v>
      </c>
      <c r="O167" s="10"/>
      <c r="P167" s="2">
        <v>0</v>
      </c>
      <c r="Q167" s="2"/>
      <c r="R167" s="19">
        <f t="shared" si="37"/>
        <v>0</v>
      </c>
      <c r="S167" s="2"/>
      <c r="T167" s="2">
        <v>118.73</v>
      </c>
      <c r="U167" s="2"/>
      <c r="V167" s="19">
        <f t="shared" si="38"/>
        <v>1.0669764788445647E-5</v>
      </c>
      <c r="W167" s="2"/>
      <c r="X167" s="2">
        <f t="shared" si="39"/>
        <v>-118.73</v>
      </c>
      <c r="Y167" s="2"/>
      <c r="Z167" s="19">
        <f t="shared" si="40"/>
        <v>-1</v>
      </c>
    </row>
    <row r="168" spans="1:26" x14ac:dyDescent="0.25">
      <c r="A168" s="9"/>
      <c r="B168" s="11"/>
      <c r="C168" s="11"/>
      <c r="D168" s="3"/>
      <c r="E168" s="3"/>
      <c r="F168" s="8"/>
      <c r="G168" s="3"/>
      <c r="H168" s="3"/>
      <c r="I168" s="3"/>
      <c r="J168" s="8"/>
      <c r="K168" s="3"/>
      <c r="L168" s="3"/>
      <c r="M168" s="3"/>
      <c r="N168" s="8"/>
      <c r="O168" s="11"/>
      <c r="P168" s="3"/>
      <c r="Q168" s="3"/>
      <c r="R168" s="8"/>
      <c r="S168" s="3"/>
      <c r="T168" s="3"/>
      <c r="U168" s="3"/>
      <c r="V168" s="8"/>
      <c r="W168" s="3"/>
      <c r="X168" s="3"/>
      <c r="Y168" s="3"/>
      <c r="Z168" s="8"/>
    </row>
    <row r="169" spans="1:26" s="24" customFormat="1" x14ac:dyDescent="0.25">
      <c r="A169" s="11"/>
      <c r="B169" s="29" t="s">
        <v>107</v>
      </c>
      <c r="C169" s="29"/>
      <c r="D169" s="20">
        <f>D12-D114</f>
        <v>215135.6400000001</v>
      </c>
      <c r="E169" s="14"/>
      <c r="F169" s="22">
        <f>IF(D$12=0,0,D169/D$12)</f>
        <v>0.49059693338548788</v>
      </c>
      <c r="G169" s="14"/>
      <c r="H169" s="20">
        <f>H12-H114</f>
        <v>-19619.350000000035</v>
      </c>
      <c r="I169" s="14"/>
      <c r="J169" s="22">
        <f>IF(H$12=0,0,H169/H$12)</f>
        <v>-0.11899034860475274</v>
      </c>
      <c r="K169" s="16"/>
      <c r="L169" s="20">
        <f>+D169-H169</f>
        <v>234754.99000000014</v>
      </c>
      <c r="M169" s="16"/>
      <c r="N169" s="22">
        <f>IF(H169=0,0,L169/H169)</f>
        <v>-11.965482546567532</v>
      </c>
      <c r="O169" s="28"/>
      <c r="P169" s="20">
        <f>P12-P114</f>
        <v>1732934.7499999991</v>
      </c>
      <c r="Q169" s="14"/>
      <c r="R169" s="22">
        <f>IF(P$12=0,0,P169/P$12)</f>
        <v>0.36827759121337234</v>
      </c>
      <c r="S169" s="14"/>
      <c r="T169" s="20">
        <f>T12-T114</f>
        <v>4801264.339999998</v>
      </c>
      <c r="U169" s="14"/>
      <c r="V169" s="22">
        <f>IF(T$12=0,0,T169/T$12)</f>
        <v>0.43146939438180498</v>
      </c>
      <c r="W169" s="16"/>
      <c r="X169" s="20">
        <f>+P169-T169</f>
        <v>-3068329.5899999989</v>
      </c>
      <c r="Y169" s="16"/>
      <c r="Z169" s="22">
        <f>IF(T169=0,0,X169/T169)</f>
        <v>-0.63906699833985814</v>
      </c>
    </row>
    <row r="170" spans="1:26" x14ac:dyDescent="0.25">
      <c r="A170" s="9"/>
      <c r="B170" s="11"/>
      <c r="C170" s="9"/>
      <c r="D170" s="1"/>
      <c r="E170" s="1"/>
      <c r="F170" s="5"/>
      <c r="G170" s="1"/>
      <c r="H170" s="1"/>
      <c r="I170" s="1"/>
      <c r="J170" s="5"/>
      <c r="K170" s="1"/>
      <c r="L170" s="1"/>
      <c r="M170" s="1"/>
      <c r="N170" s="5"/>
      <c r="O170" s="37"/>
      <c r="P170" s="1"/>
      <c r="Q170" s="1"/>
      <c r="R170" s="5"/>
      <c r="S170" s="1"/>
      <c r="T170" s="1"/>
      <c r="U170" s="1"/>
      <c r="V170" s="5"/>
      <c r="W170" s="1"/>
      <c r="X170" s="1"/>
      <c r="Y170" s="1"/>
      <c r="Z170" s="5"/>
    </row>
    <row r="171" spans="1:26" s="24" customFormat="1" x14ac:dyDescent="0.25">
      <c r="A171" s="11"/>
      <c r="B171" s="28" t="s">
        <v>294</v>
      </c>
      <c r="C171" s="11"/>
      <c r="D171" s="21">
        <f>SUM(OSRRefD22x_0)</f>
        <v>271150.80999999994</v>
      </c>
      <c r="E171" s="21"/>
      <c r="F171" s="31">
        <f t="shared" ref="F171:F182" si="41">IF(D$12=0,0,D171/D$12)</f>
        <v>0.61833434883681282</v>
      </c>
      <c r="G171" s="21"/>
      <c r="H171" s="21">
        <f>SUM(OSRRefH22x_0)</f>
        <v>287261.1399999999</v>
      </c>
      <c r="I171" s="21"/>
      <c r="J171" s="31">
        <f t="shared" ref="J171:J182" si="42">IF(H$12=0,0,H171/H$12)</f>
        <v>1.7422240384721517</v>
      </c>
      <c r="K171" s="4"/>
      <c r="L171" s="21">
        <f t="shared" ref="L171:L182" si="43">+D171-H171</f>
        <v>-16110.329999999958</v>
      </c>
      <c r="M171" s="4"/>
      <c r="N171" s="31">
        <f t="shared" ref="N171:N182" si="44">IF(H171=0,0,L171/H171)</f>
        <v>-5.6082524771711079E-2</v>
      </c>
      <c r="O171" s="11"/>
      <c r="P171" s="21">
        <f>SUM(OSRRefP22x_0)</f>
        <v>2871436.7500000009</v>
      </c>
      <c r="Q171" s="21"/>
      <c r="R171" s="31">
        <f t="shared" ref="R171:R182" si="45">IF(P$12=0,0,P171/P$12)</f>
        <v>0.61022829025244907</v>
      </c>
      <c r="S171" s="21"/>
      <c r="T171" s="21">
        <f>SUM(OSRRefT22x_0)</f>
        <v>4644888.9800000004</v>
      </c>
      <c r="U171" s="21"/>
      <c r="V171" s="31">
        <f t="shared" ref="V171:V182" si="46">IF(T$12=0,0,T171/T$12)</f>
        <v>0.41741659972242245</v>
      </c>
      <c r="W171" s="4"/>
      <c r="X171" s="21">
        <f t="shared" ref="X171:X182" si="47">+P171-T171</f>
        <v>-1773452.2299999995</v>
      </c>
      <c r="Y171" s="4"/>
      <c r="Z171" s="31">
        <f t="shared" ref="Z171:Z182" si="48">IF(T171=0,0,X171/T171)</f>
        <v>-0.3818072375111965</v>
      </c>
    </row>
    <row r="172" spans="1:26" s="26" customFormat="1" outlineLevel="1" collapsed="1" x14ac:dyDescent="0.25">
      <c r="A172" s="25"/>
      <c r="B172" s="12" t="str">
        <f>CONCATENATE("     ","*Benefits                                         ")</f>
        <v xml:space="preserve">     *Benefits                                         </v>
      </c>
      <c r="C172" s="12"/>
      <c r="D172" s="1">
        <f>SUM(OSRRefD22_0x_0)</f>
        <v>53608.380000000005</v>
      </c>
      <c r="E172" s="1"/>
      <c r="F172" s="5">
        <f t="shared" si="41"/>
        <v>0.1222489534126652</v>
      </c>
      <c r="G172" s="1"/>
      <c r="H172" s="1">
        <f>SUM(OSRRefH22_0x_0)</f>
        <v>34112.730000000003</v>
      </c>
      <c r="I172" s="1"/>
      <c r="J172" s="5">
        <f t="shared" si="42"/>
        <v>0.20689195282003736</v>
      </c>
      <c r="K172" s="1"/>
      <c r="L172" s="1">
        <f t="shared" si="43"/>
        <v>19495.650000000001</v>
      </c>
      <c r="M172" s="1"/>
      <c r="N172" s="5">
        <f t="shared" si="44"/>
        <v>0.57150659006183324</v>
      </c>
      <c r="O172" s="12"/>
      <c r="P172" s="1">
        <f>SUM(OSRRefP22_0x_0)</f>
        <v>498887.14999999991</v>
      </c>
      <c r="Q172" s="1"/>
      <c r="R172" s="5">
        <f t="shared" si="45"/>
        <v>0.10602185563495939</v>
      </c>
      <c r="S172" s="1"/>
      <c r="T172" s="1">
        <f>SUM(OSRRefT22_0x_0)</f>
        <v>579042.68999999994</v>
      </c>
      <c r="U172" s="1"/>
      <c r="V172" s="5">
        <f t="shared" si="46"/>
        <v>5.2036126545682196E-2</v>
      </c>
      <c r="W172" s="1"/>
      <c r="X172" s="1">
        <f t="shared" si="47"/>
        <v>-80155.540000000037</v>
      </c>
      <c r="Y172" s="1"/>
      <c r="Z172" s="5">
        <f t="shared" si="48"/>
        <v>-0.13842768656659848</v>
      </c>
    </row>
    <row r="173" spans="1:26" s="23" customFormat="1" hidden="1" outlineLevel="2" x14ac:dyDescent="0.25">
      <c r="A173" s="27"/>
      <c r="B173" s="10" t="str">
        <f>CONCATENATE("          ", "6111", " - ", "F.I.C.A.")</f>
        <v xml:space="preserve">          6111 - F.I.C.A.</v>
      </c>
      <c r="C173" s="10"/>
      <c r="D173" s="6">
        <v>10750.32</v>
      </c>
      <c r="E173" s="2"/>
      <c r="F173" s="7">
        <f t="shared" si="41"/>
        <v>2.4515110675816781E-2</v>
      </c>
      <c r="G173" s="2"/>
      <c r="H173" s="6">
        <v>9729.24</v>
      </c>
      <c r="I173" s="2"/>
      <c r="J173" s="7">
        <f t="shared" si="42"/>
        <v>5.90073401646488E-2</v>
      </c>
      <c r="K173" s="2"/>
      <c r="L173" s="6">
        <f t="shared" si="43"/>
        <v>1021.0799999999999</v>
      </c>
      <c r="M173" s="2"/>
      <c r="N173" s="7">
        <f t="shared" si="44"/>
        <v>0.10494961579732846</v>
      </c>
      <c r="O173" s="10"/>
      <c r="P173" s="6">
        <v>93127.86</v>
      </c>
      <c r="Q173" s="2"/>
      <c r="R173" s="7">
        <f t="shared" si="45"/>
        <v>1.9791226389600756E-2</v>
      </c>
      <c r="S173" s="2"/>
      <c r="T173" s="6">
        <v>115851.84</v>
      </c>
      <c r="U173" s="2"/>
      <c r="V173" s="7">
        <f t="shared" si="46"/>
        <v>1.041111667740789E-2</v>
      </c>
      <c r="W173" s="2"/>
      <c r="X173" s="6">
        <f t="shared" si="47"/>
        <v>-22723.979999999996</v>
      </c>
      <c r="Y173" s="2"/>
      <c r="Z173" s="7">
        <f t="shared" si="48"/>
        <v>-0.19614690625543796</v>
      </c>
    </row>
    <row r="174" spans="1:26" s="23" customFormat="1" hidden="1" outlineLevel="2" x14ac:dyDescent="0.25">
      <c r="A174" s="27"/>
      <c r="B174" s="10" t="str">
        <f>CONCATENATE("          ", "6112", " - ", "COMPENSATION INSURANCE")</f>
        <v xml:space="preserve">          6112 - COMPENSATION INSURANCE</v>
      </c>
      <c r="C174" s="10"/>
      <c r="D174" s="6">
        <v>1599.53</v>
      </c>
      <c r="E174" s="2"/>
      <c r="F174" s="7">
        <f t="shared" si="41"/>
        <v>3.6475802561495114E-3</v>
      </c>
      <c r="G174" s="2"/>
      <c r="H174" s="6">
        <v>1460.79</v>
      </c>
      <c r="I174" s="2"/>
      <c r="J174" s="7">
        <f t="shared" si="42"/>
        <v>8.8596162124808635E-3</v>
      </c>
      <c r="K174" s="2"/>
      <c r="L174" s="6">
        <f t="shared" si="43"/>
        <v>138.74</v>
      </c>
      <c r="M174" s="2"/>
      <c r="N174" s="7">
        <f t="shared" si="44"/>
        <v>9.4976006133667412E-2</v>
      </c>
      <c r="O174" s="10"/>
      <c r="P174" s="6">
        <v>22409</v>
      </c>
      <c r="Q174" s="2"/>
      <c r="R174" s="7">
        <f t="shared" si="45"/>
        <v>4.7622869479075685E-3</v>
      </c>
      <c r="S174" s="2"/>
      <c r="T174" s="6">
        <v>33273.980000000003</v>
      </c>
      <c r="U174" s="2"/>
      <c r="V174" s="7">
        <f t="shared" si="46"/>
        <v>2.9901923707188133E-3</v>
      </c>
      <c r="W174" s="2"/>
      <c r="X174" s="6">
        <f t="shared" si="47"/>
        <v>-10864.980000000003</v>
      </c>
      <c r="Y174" s="2"/>
      <c r="Z174" s="7">
        <f t="shared" si="48"/>
        <v>-0.32653082077947998</v>
      </c>
    </row>
    <row r="175" spans="1:26" s="23" customFormat="1" hidden="1" outlineLevel="2" x14ac:dyDescent="0.25">
      <c r="A175" s="27"/>
      <c r="B175" s="10" t="str">
        <f>CONCATENATE("          ", "6113", " - ", "GROUP INSURANCE")</f>
        <v xml:space="preserve">          6113 - GROUP INSURANCE</v>
      </c>
      <c r="C175" s="10"/>
      <c r="D175" s="6">
        <v>18284.05</v>
      </c>
      <c r="E175" s="2"/>
      <c r="F175" s="7">
        <f t="shared" si="41"/>
        <v>4.1695085295337053E-2</v>
      </c>
      <c r="G175" s="2"/>
      <c r="H175" s="6">
        <v>18033.84</v>
      </c>
      <c r="I175" s="2"/>
      <c r="J175" s="7">
        <f t="shared" si="42"/>
        <v>0.10937431200739731</v>
      </c>
      <c r="K175" s="2"/>
      <c r="L175" s="6">
        <f t="shared" si="43"/>
        <v>250.20999999999913</v>
      </c>
      <c r="M175" s="2"/>
      <c r="N175" s="7">
        <f t="shared" si="44"/>
        <v>1.3874471549043305E-2</v>
      </c>
      <c r="O175" s="10"/>
      <c r="P175" s="6">
        <v>182937.86</v>
      </c>
      <c r="Q175" s="2"/>
      <c r="R175" s="7">
        <f t="shared" si="45"/>
        <v>3.8877352088720694E-2</v>
      </c>
      <c r="S175" s="2"/>
      <c r="T175" s="6">
        <v>231933.51</v>
      </c>
      <c r="U175" s="2"/>
      <c r="V175" s="7">
        <f t="shared" si="46"/>
        <v>2.0842887208444422E-2</v>
      </c>
      <c r="W175" s="2"/>
      <c r="X175" s="6">
        <f t="shared" si="47"/>
        <v>-48995.650000000023</v>
      </c>
      <c r="Y175" s="2"/>
      <c r="Z175" s="7">
        <f t="shared" si="48"/>
        <v>-0.21124868933342156</v>
      </c>
    </row>
    <row r="176" spans="1:26" s="23" customFormat="1" hidden="1" outlineLevel="2" x14ac:dyDescent="0.25">
      <c r="A176" s="27"/>
      <c r="B176" s="10" t="str">
        <f>CONCATENATE("          ", "6114", " - ", "STATE UNEMPLOYMENT INSURANCE")</f>
        <v xml:space="preserve">          6114 - STATE UNEMPLOYMENT INSURANCE</v>
      </c>
      <c r="C176" s="10"/>
      <c r="D176" s="6">
        <v>297.08999999999997</v>
      </c>
      <c r="E176" s="2"/>
      <c r="F176" s="7">
        <f t="shared" si="41"/>
        <v>6.7748627302986395E-4</v>
      </c>
      <c r="G176" s="2"/>
      <c r="H176" s="6">
        <v>256.85000000000002</v>
      </c>
      <c r="I176" s="2"/>
      <c r="J176" s="7">
        <f t="shared" si="42"/>
        <v>1.5577820386063091E-3</v>
      </c>
      <c r="K176" s="2"/>
      <c r="L176" s="6">
        <f t="shared" si="43"/>
        <v>40.239999999999952</v>
      </c>
      <c r="M176" s="2"/>
      <c r="N176" s="7">
        <f t="shared" si="44"/>
        <v>0.15666731555382499</v>
      </c>
      <c r="O176" s="10"/>
      <c r="P176" s="6">
        <v>3665.58</v>
      </c>
      <c r="Q176" s="2"/>
      <c r="R176" s="7">
        <f t="shared" si="45"/>
        <v>7.7899700078142822E-4</v>
      </c>
      <c r="S176" s="2"/>
      <c r="T176" s="6">
        <v>6116.54</v>
      </c>
      <c r="U176" s="2"/>
      <c r="V176" s="7">
        <f t="shared" si="46"/>
        <v>5.4966767555899383E-4</v>
      </c>
      <c r="W176" s="2"/>
      <c r="X176" s="6">
        <f t="shared" si="47"/>
        <v>-2450.96</v>
      </c>
      <c r="Y176" s="2"/>
      <c r="Z176" s="7">
        <f t="shared" si="48"/>
        <v>-0.4007102054429465</v>
      </c>
    </row>
    <row r="177" spans="1:26" s="23" customFormat="1" hidden="1" outlineLevel="2" x14ac:dyDescent="0.25">
      <c r="A177" s="27"/>
      <c r="B177" s="10" t="str">
        <f>CONCATENATE("          ", "6115", " - ", "P.E.R.S.")</f>
        <v xml:space="preserve">          6115 - P.E.R.S.</v>
      </c>
      <c r="C177" s="10"/>
      <c r="D177" s="6">
        <v>6172.91</v>
      </c>
      <c r="E177" s="2"/>
      <c r="F177" s="7">
        <f t="shared" si="41"/>
        <v>1.4076750444810588E-2</v>
      </c>
      <c r="G177" s="2"/>
      <c r="H177" s="6">
        <v>6050.5</v>
      </c>
      <c r="I177" s="2"/>
      <c r="J177" s="7">
        <f t="shared" si="42"/>
        <v>3.669597128513713E-2</v>
      </c>
      <c r="K177" s="2"/>
      <c r="L177" s="6">
        <f t="shared" si="43"/>
        <v>122.40999999999985</v>
      </c>
      <c r="M177" s="2"/>
      <c r="N177" s="7">
        <f t="shared" si="44"/>
        <v>2.023138583588131E-2</v>
      </c>
      <c r="O177" s="10"/>
      <c r="P177" s="6">
        <v>73870.539999999994</v>
      </c>
      <c r="Q177" s="2"/>
      <c r="R177" s="7">
        <f t="shared" si="45"/>
        <v>1.5698724105354275E-2</v>
      </c>
      <c r="S177" s="2"/>
      <c r="T177" s="6">
        <v>85202.02</v>
      </c>
      <c r="U177" s="2"/>
      <c r="V177" s="7">
        <f t="shared" si="46"/>
        <v>7.6567465080471806E-3</v>
      </c>
      <c r="W177" s="2"/>
      <c r="X177" s="6">
        <f t="shared" si="47"/>
        <v>-11331.48000000001</v>
      </c>
      <c r="Y177" s="2"/>
      <c r="Z177" s="7">
        <f t="shared" si="48"/>
        <v>-0.1329954383710622</v>
      </c>
    </row>
    <row r="178" spans="1:26" s="23" customFormat="1" hidden="1" outlineLevel="2" x14ac:dyDescent="0.25">
      <c r="A178" s="27"/>
      <c r="B178" s="10" t="str">
        <f>CONCATENATE("          ", "6116", " - ", "EDUCATIONAL BENEFITS")</f>
        <v xml:space="preserve">          6116 - EDUCATIONAL BENEFITS</v>
      </c>
      <c r="C178" s="10"/>
      <c r="D178" s="6"/>
      <c r="E178" s="2"/>
      <c r="F178" s="7">
        <f t="shared" si="41"/>
        <v>0</v>
      </c>
      <c r="G178" s="2"/>
      <c r="H178" s="6"/>
      <c r="I178" s="2"/>
      <c r="J178" s="7">
        <f t="shared" si="42"/>
        <v>0</v>
      </c>
      <c r="K178" s="2"/>
      <c r="L178" s="6">
        <f t="shared" si="43"/>
        <v>0</v>
      </c>
      <c r="M178" s="2"/>
      <c r="N178" s="7">
        <f t="shared" si="44"/>
        <v>0</v>
      </c>
      <c r="O178" s="10"/>
      <c r="P178" s="6">
        <v>0</v>
      </c>
      <c r="Q178" s="2"/>
      <c r="R178" s="7">
        <f t="shared" si="45"/>
        <v>0</v>
      </c>
      <c r="S178" s="2"/>
      <c r="T178" s="6"/>
      <c r="U178" s="2"/>
      <c r="V178" s="7">
        <f t="shared" si="46"/>
        <v>0</v>
      </c>
      <c r="W178" s="2"/>
      <c r="X178" s="6">
        <f t="shared" si="47"/>
        <v>0</v>
      </c>
      <c r="Y178" s="2"/>
      <c r="Z178" s="7">
        <f t="shared" si="48"/>
        <v>0</v>
      </c>
    </row>
    <row r="179" spans="1:26" s="23" customFormat="1" hidden="1" outlineLevel="2" x14ac:dyDescent="0.25">
      <c r="A179" s="27"/>
      <c r="B179" s="10" t="str">
        <f>CONCATENATE("          ", "6117", " - ", "RETIREMENT STAFF HOURLY")</f>
        <v xml:space="preserve">          6117 - RETIREMENT STAFF HOURLY</v>
      </c>
      <c r="C179" s="10"/>
      <c r="D179" s="6">
        <v>359.71</v>
      </c>
      <c r="E179" s="2"/>
      <c r="F179" s="7">
        <f t="shared" si="41"/>
        <v>8.202853925462734E-4</v>
      </c>
      <c r="G179" s="2"/>
      <c r="H179" s="6">
        <v>442.21</v>
      </c>
      <c r="I179" s="2"/>
      <c r="J179" s="7">
        <f t="shared" si="42"/>
        <v>2.6819809043881482E-3</v>
      </c>
      <c r="K179" s="2"/>
      <c r="L179" s="6">
        <f t="shared" si="43"/>
        <v>-82.5</v>
      </c>
      <c r="M179" s="2"/>
      <c r="N179" s="7">
        <f t="shared" si="44"/>
        <v>-0.18656294520702835</v>
      </c>
      <c r="O179" s="10"/>
      <c r="P179" s="6">
        <v>3760.97</v>
      </c>
      <c r="Q179" s="2"/>
      <c r="R179" s="7">
        <f t="shared" si="45"/>
        <v>7.9926896972073395E-4</v>
      </c>
      <c r="S179" s="2"/>
      <c r="T179" s="6">
        <v>1616.32</v>
      </c>
      <c r="U179" s="2"/>
      <c r="V179" s="7">
        <f t="shared" si="46"/>
        <v>1.4525186745439626E-4</v>
      </c>
      <c r="W179" s="2"/>
      <c r="X179" s="6">
        <f t="shared" si="47"/>
        <v>2144.6499999999996</v>
      </c>
      <c r="Y179" s="2"/>
      <c r="Z179" s="7">
        <f t="shared" si="48"/>
        <v>1.326872154028905</v>
      </c>
    </row>
    <row r="180" spans="1:26" s="23" customFormat="1" hidden="1" outlineLevel="2" x14ac:dyDescent="0.25">
      <c r="A180" s="27"/>
      <c r="B180" s="10" t="str">
        <f>CONCATENATE("          ", "6118", " - ", "VACATION")</f>
        <v xml:space="preserve">          6118 - VACATION</v>
      </c>
      <c r="C180" s="10"/>
      <c r="D180" s="6">
        <v>8608.57</v>
      </c>
      <c r="E180" s="2"/>
      <c r="F180" s="7">
        <f t="shared" si="41"/>
        <v>1.9631047848856227E-2</v>
      </c>
      <c r="G180" s="2"/>
      <c r="H180" s="6">
        <v>7652.09</v>
      </c>
      <c r="I180" s="2"/>
      <c r="J180" s="7">
        <f t="shared" si="42"/>
        <v>4.6409532255397901E-2</v>
      </c>
      <c r="K180" s="2"/>
      <c r="L180" s="6">
        <f t="shared" si="43"/>
        <v>956.47999999999956</v>
      </c>
      <c r="M180" s="2"/>
      <c r="N180" s="7">
        <f t="shared" si="44"/>
        <v>0.12499591614839861</v>
      </c>
      <c r="O180" s="10"/>
      <c r="P180" s="6">
        <v>60940.61</v>
      </c>
      <c r="Q180" s="2"/>
      <c r="R180" s="7">
        <f t="shared" si="45"/>
        <v>1.295089792496432E-2</v>
      </c>
      <c r="S180" s="2"/>
      <c r="T180" s="6">
        <v>70296.399999999994</v>
      </c>
      <c r="U180" s="2"/>
      <c r="V180" s="7">
        <f t="shared" si="46"/>
        <v>6.3172412488376184E-3</v>
      </c>
      <c r="W180" s="2"/>
      <c r="X180" s="6">
        <f t="shared" si="47"/>
        <v>-9355.7899999999936</v>
      </c>
      <c r="Y180" s="2"/>
      <c r="Z180" s="7">
        <f t="shared" si="48"/>
        <v>-0.1330905992341001</v>
      </c>
    </row>
    <row r="181" spans="1:26" s="23" customFormat="1" hidden="1" outlineLevel="2" x14ac:dyDescent="0.25">
      <c r="A181" s="27"/>
      <c r="B181" s="10" t="str">
        <f>CONCATENATE("          ", "6119", " - ", "SICK LEAVE")</f>
        <v xml:space="preserve">          6119 - SICK LEAVE</v>
      </c>
      <c r="C181" s="10"/>
      <c r="D181" s="6">
        <v>5736.04</v>
      </c>
      <c r="E181" s="2"/>
      <c r="F181" s="7">
        <f t="shared" si="41"/>
        <v>1.3080508807264536E-2</v>
      </c>
      <c r="G181" s="2"/>
      <c r="H181" s="6">
        <v>-9944.67</v>
      </c>
      <c r="I181" s="2"/>
      <c r="J181" s="7">
        <f t="shared" si="42"/>
        <v>-6.0313912033743436E-2</v>
      </c>
      <c r="K181" s="2"/>
      <c r="L181" s="6">
        <f t="shared" si="43"/>
        <v>15680.71</v>
      </c>
      <c r="M181" s="2"/>
      <c r="N181" s="7">
        <f t="shared" si="44"/>
        <v>-1.5767954089979856</v>
      </c>
      <c r="O181" s="10"/>
      <c r="P181" s="6">
        <v>43151.73</v>
      </c>
      <c r="Q181" s="2"/>
      <c r="R181" s="7">
        <f t="shared" si="45"/>
        <v>9.1704636779254521E-3</v>
      </c>
      <c r="S181" s="2"/>
      <c r="T181" s="6">
        <v>11418.09</v>
      </c>
      <c r="U181" s="2"/>
      <c r="V181" s="7">
        <f t="shared" si="46"/>
        <v>1.0260956340714508E-3</v>
      </c>
      <c r="W181" s="2"/>
      <c r="X181" s="6">
        <f t="shared" si="47"/>
        <v>31733.640000000003</v>
      </c>
      <c r="Y181" s="2"/>
      <c r="Z181" s="7">
        <f t="shared" si="48"/>
        <v>2.7792424126977457</v>
      </c>
    </row>
    <row r="182" spans="1:26" s="23" customFormat="1" hidden="1" outlineLevel="2" x14ac:dyDescent="0.25">
      <c r="A182" s="27"/>
      <c r="B182" s="10" t="str">
        <f>CONCATENATE("          ", "6156", " - ", "EMPLOYEE MEALS")</f>
        <v xml:space="preserve">          6156 - EMPLOYEE MEALS</v>
      </c>
      <c r="C182" s="10"/>
      <c r="D182" s="6">
        <v>1800.16</v>
      </c>
      <c r="E182" s="2"/>
      <c r="F182" s="7">
        <f t="shared" si="41"/>
        <v>4.1050984188543537E-3</v>
      </c>
      <c r="G182" s="2"/>
      <c r="H182" s="6">
        <v>431.88</v>
      </c>
      <c r="I182" s="2"/>
      <c r="J182" s="7">
        <f t="shared" si="42"/>
        <v>2.6193299857243243E-3</v>
      </c>
      <c r="K182" s="2"/>
      <c r="L182" s="6">
        <f t="shared" si="43"/>
        <v>1368.2800000000002</v>
      </c>
      <c r="M182" s="2"/>
      <c r="N182" s="7">
        <f t="shared" si="44"/>
        <v>3.1681948689450778</v>
      </c>
      <c r="O182" s="10"/>
      <c r="P182" s="6">
        <v>15023</v>
      </c>
      <c r="Q182" s="2"/>
      <c r="R182" s="7">
        <f t="shared" si="45"/>
        <v>3.1926385299841761E-3</v>
      </c>
      <c r="S182" s="2"/>
      <c r="T182" s="6">
        <v>23333.99</v>
      </c>
      <c r="U182" s="2"/>
      <c r="V182" s="7">
        <f t="shared" si="46"/>
        <v>2.0969273551414373E-3</v>
      </c>
      <c r="W182" s="2"/>
      <c r="X182" s="6">
        <f t="shared" si="47"/>
        <v>-8310.9900000000016</v>
      </c>
      <c r="Y182" s="2"/>
      <c r="Z182" s="7">
        <f t="shared" si="48"/>
        <v>-0.35617526192477161</v>
      </c>
    </row>
    <row r="183" spans="1:26" s="26" customFormat="1" outlineLevel="1" collapsed="1" x14ac:dyDescent="0.25">
      <c r="A183" s="25"/>
      <c r="B183" s="12" t="str">
        <f>CONCATENATE("     ","*Payroll                                          ")</f>
        <v xml:space="preserve">     *Payroll                                          </v>
      </c>
      <c r="C183" s="12"/>
      <c r="D183" s="1">
        <f>SUM(OSRRefD22_1x_0)</f>
        <v>125797.98</v>
      </c>
      <c r="E183" s="1"/>
      <c r="F183" s="5">
        <f t="shared" ref="F183:F190" si="49">IF(D$12=0,0,D183/D$12)</f>
        <v>0.28687066082629964</v>
      </c>
      <c r="G183" s="1"/>
      <c r="H183" s="1">
        <f>SUM(OSRRefH22_1x_0)</f>
        <v>93386.76</v>
      </c>
      <c r="I183" s="1"/>
      <c r="J183" s="5">
        <f t="shared" ref="J183:J190" si="50">IF(H$12=0,0,H183/H$12)</f>
        <v>0.56638589593785515</v>
      </c>
      <c r="K183" s="1"/>
      <c r="L183" s="1">
        <f t="shared" ref="L183:L190" si="51">+D183-H183</f>
        <v>32411.22</v>
      </c>
      <c r="M183" s="1"/>
      <c r="N183" s="5">
        <f t="shared" ref="N183:N190" si="52">IF(H183=0,0,L183/H183)</f>
        <v>0.34706440184882742</v>
      </c>
      <c r="O183" s="12"/>
      <c r="P183" s="1">
        <f>SUM(OSRRefP22_1x_0)</f>
        <v>1290820.1599999999</v>
      </c>
      <c r="Q183" s="1"/>
      <c r="R183" s="5">
        <f t="shared" ref="R183:R190" si="53">IF(P$12=0,0,P183/P$12)</f>
        <v>0.27432085323146765</v>
      </c>
      <c r="S183" s="1"/>
      <c r="T183" s="1">
        <f>SUM(OSRRefT22_1x_0)</f>
        <v>2209436.5300000003</v>
      </c>
      <c r="U183" s="1"/>
      <c r="V183" s="5">
        <f t="shared" ref="V183:V190" si="54">IF(T$12=0,0,T183/T$12)</f>
        <v>0.1985527506956922</v>
      </c>
      <c r="W183" s="1"/>
      <c r="X183" s="1">
        <f t="shared" ref="X183:X190" si="55">+P183-T183</f>
        <v>-918616.37000000034</v>
      </c>
      <c r="Y183" s="1"/>
      <c r="Z183" s="5">
        <f t="shared" ref="Z183:Z190" si="56">IF(T183=0,0,X183/T183)</f>
        <v>-0.41576952201473749</v>
      </c>
    </row>
    <row r="184" spans="1:26" s="23" customFormat="1" hidden="1" outlineLevel="2" x14ac:dyDescent="0.25">
      <c r="A184" s="27"/>
      <c r="B184" s="10" t="str">
        <f>CONCATENATE("          ", "6001", " - ", "ADMINISTRATIVE SALARIES")</f>
        <v xml:space="preserve">          6001 - ADMINISTRATIVE SALARIES</v>
      </c>
      <c r="C184" s="10"/>
      <c r="D184" s="6">
        <v>4416.46</v>
      </c>
      <c r="E184" s="2"/>
      <c r="F184" s="7">
        <f t="shared" si="49"/>
        <v>1.0071328639084026E-2</v>
      </c>
      <c r="G184" s="2"/>
      <c r="H184" s="6"/>
      <c r="I184" s="2"/>
      <c r="J184" s="7">
        <f t="shared" si="50"/>
        <v>0</v>
      </c>
      <c r="K184" s="2"/>
      <c r="L184" s="6">
        <f t="shared" si="51"/>
        <v>4416.46</v>
      </c>
      <c r="M184" s="2"/>
      <c r="N184" s="7">
        <f t="shared" si="52"/>
        <v>0</v>
      </c>
      <c r="O184" s="10"/>
      <c r="P184" s="6">
        <v>43192.79</v>
      </c>
      <c r="Q184" s="2"/>
      <c r="R184" s="7">
        <f t="shared" si="53"/>
        <v>9.1791896140261744E-3</v>
      </c>
      <c r="S184" s="2"/>
      <c r="T184" s="6">
        <v>93238.31</v>
      </c>
      <c r="U184" s="2"/>
      <c r="V184" s="7">
        <f t="shared" si="54"/>
        <v>8.3789340265491407E-3</v>
      </c>
      <c r="W184" s="2"/>
      <c r="X184" s="6">
        <f t="shared" si="55"/>
        <v>-50045.52</v>
      </c>
      <c r="Y184" s="2"/>
      <c r="Z184" s="7">
        <f t="shared" si="56"/>
        <v>-0.53674846744862703</v>
      </c>
    </row>
    <row r="185" spans="1:26" s="23" customFormat="1" hidden="1" outlineLevel="2" x14ac:dyDescent="0.25">
      <c r="A185" s="27"/>
      <c r="B185" s="10" t="str">
        <f>CONCATENATE("          ", "6002", " - ", "STAFF SALARIES")</f>
        <v xml:space="preserve">          6002 - STAFF SALARIES</v>
      </c>
      <c r="C185" s="10"/>
      <c r="D185" s="6">
        <v>68299.41</v>
      </c>
      <c r="E185" s="2"/>
      <c r="F185" s="7">
        <f t="shared" si="49"/>
        <v>0.1557504888452611</v>
      </c>
      <c r="G185" s="2"/>
      <c r="H185" s="6">
        <v>55252.02</v>
      </c>
      <c r="I185" s="2"/>
      <c r="J185" s="7">
        <f t="shared" si="50"/>
        <v>0.3351006593448182</v>
      </c>
      <c r="K185" s="2"/>
      <c r="L185" s="6">
        <f t="shared" si="51"/>
        <v>13047.390000000007</v>
      </c>
      <c r="M185" s="2"/>
      <c r="N185" s="7">
        <f t="shared" si="52"/>
        <v>0.23614322155099501</v>
      </c>
      <c r="O185" s="10"/>
      <c r="P185" s="6">
        <v>643003.30000000005</v>
      </c>
      <c r="Q185" s="2"/>
      <c r="R185" s="7">
        <f t="shared" si="53"/>
        <v>0.13664894564913627</v>
      </c>
      <c r="S185" s="2"/>
      <c r="T185" s="6">
        <v>718142.72</v>
      </c>
      <c r="U185" s="2"/>
      <c r="V185" s="7">
        <f t="shared" si="54"/>
        <v>6.4536460093780681E-2</v>
      </c>
      <c r="W185" s="2"/>
      <c r="X185" s="6">
        <f t="shared" si="55"/>
        <v>-75139.419999999925</v>
      </c>
      <c r="Y185" s="2"/>
      <c r="Z185" s="7">
        <f t="shared" si="56"/>
        <v>-0.10463020498209594</v>
      </c>
    </row>
    <row r="186" spans="1:26" s="23" customFormat="1" hidden="1" outlineLevel="2" x14ac:dyDescent="0.25">
      <c r="A186" s="27"/>
      <c r="B186" s="10" t="str">
        <f>CONCATENATE("          ", "6004", " - ", "STAFF HOURLY")</f>
        <v xml:space="preserve">          6004 - STAFF HOURLY</v>
      </c>
      <c r="C186" s="10"/>
      <c r="D186" s="6">
        <v>17783.84</v>
      </c>
      <c r="E186" s="2"/>
      <c r="F186" s="7">
        <f t="shared" si="49"/>
        <v>4.0554402644853133E-2</v>
      </c>
      <c r="G186" s="2"/>
      <c r="H186" s="6">
        <v>9634.3700000000008</v>
      </c>
      <c r="I186" s="2"/>
      <c r="J186" s="7">
        <f t="shared" si="50"/>
        <v>5.8431958494403212E-2</v>
      </c>
      <c r="K186" s="2"/>
      <c r="L186" s="6">
        <f t="shared" si="51"/>
        <v>8149.4699999999993</v>
      </c>
      <c r="M186" s="2"/>
      <c r="N186" s="7">
        <f t="shared" si="52"/>
        <v>0.84587471728820862</v>
      </c>
      <c r="O186" s="10"/>
      <c r="P186" s="6">
        <v>155291.97</v>
      </c>
      <c r="Q186" s="2"/>
      <c r="R186" s="7">
        <f t="shared" si="53"/>
        <v>3.3002138508896141E-2</v>
      </c>
      <c r="S186" s="2"/>
      <c r="T186" s="6">
        <v>48412.639999999999</v>
      </c>
      <c r="U186" s="2"/>
      <c r="V186" s="7">
        <f t="shared" si="54"/>
        <v>4.3506399527305254E-3</v>
      </c>
      <c r="W186" s="2"/>
      <c r="X186" s="6">
        <f t="shared" si="55"/>
        <v>106879.33</v>
      </c>
      <c r="Y186" s="2"/>
      <c r="Z186" s="7">
        <f t="shared" si="56"/>
        <v>2.2076740702428128</v>
      </c>
    </row>
    <row r="187" spans="1:26" s="23" customFormat="1" hidden="1" outlineLevel="2" x14ac:dyDescent="0.25">
      <c r="A187" s="27"/>
      <c r="B187" s="10" t="str">
        <f>CONCATENATE("          ", "6005", " - ", "TEMPORARY WAGES-HOURLY")</f>
        <v xml:space="preserve">          6005 - TEMPORARY WAGES-HOURLY</v>
      </c>
      <c r="C187" s="10"/>
      <c r="D187" s="6">
        <v>16005.07</v>
      </c>
      <c r="E187" s="2"/>
      <c r="F187" s="7">
        <f t="shared" si="49"/>
        <v>3.6498082143061314E-2</v>
      </c>
      <c r="G187" s="2"/>
      <c r="H187" s="6">
        <v>13759.87</v>
      </c>
      <c r="I187" s="2"/>
      <c r="J187" s="7">
        <f t="shared" si="50"/>
        <v>8.3452903794268229E-2</v>
      </c>
      <c r="K187" s="2"/>
      <c r="L187" s="6">
        <f t="shared" si="51"/>
        <v>2245.1999999999989</v>
      </c>
      <c r="M187" s="2"/>
      <c r="N187" s="7">
        <f t="shared" si="52"/>
        <v>0.16317014622957912</v>
      </c>
      <c r="O187" s="10"/>
      <c r="P187" s="6">
        <v>154364.01</v>
      </c>
      <c r="Q187" s="2"/>
      <c r="R187" s="7">
        <f t="shared" si="53"/>
        <v>3.2804931502952987E-2</v>
      </c>
      <c r="S187" s="2"/>
      <c r="T187" s="6">
        <v>247583.12</v>
      </c>
      <c r="U187" s="2"/>
      <c r="V187" s="7">
        <f t="shared" si="54"/>
        <v>2.2249251713884553E-2</v>
      </c>
      <c r="W187" s="2"/>
      <c r="X187" s="6">
        <f t="shared" si="55"/>
        <v>-93219.109999999986</v>
      </c>
      <c r="Y187" s="2"/>
      <c r="Z187" s="7">
        <f t="shared" si="56"/>
        <v>-0.3765164200208802</v>
      </c>
    </row>
    <row r="188" spans="1:26" s="23" customFormat="1" hidden="1" outlineLevel="2" x14ac:dyDescent="0.25">
      <c r="A188" s="27"/>
      <c r="B188" s="10" t="str">
        <f>CONCATENATE("          ", "6006", " - ", "TEMPORARY PART TIME")</f>
        <v xml:space="preserve">          6006 - TEMPORARY PART TIME</v>
      </c>
      <c r="C188" s="10"/>
      <c r="D188" s="6">
        <v>2893.47</v>
      </c>
      <c r="E188" s="2"/>
      <c r="F188" s="7">
        <f t="shared" si="49"/>
        <v>6.5982907752658131E-3</v>
      </c>
      <c r="G188" s="2"/>
      <c r="H188" s="6">
        <v>3309.56</v>
      </c>
      <c r="I188" s="2"/>
      <c r="J188" s="7">
        <f t="shared" si="50"/>
        <v>2.0072311168736211E-2</v>
      </c>
      <c r="K188" s="2"/>
      <c r="L188" s="6">
        <f t="shared" si="51"/>
        <v>-416.09000000000015</v>
      </c>
      <c r="M188" s="2"/>
      <c r="N188" s="7">
        <f t="shared" si="52"/>
        <v>-0.12572366115133135</v>
      </c>
      <c r="O188" s="10"/>
      <c r="P188" s="6">
        <v>16946.759999999998</v>
      </c>
      <c r="Q188" s="2"/>
      <c r="R188" s="7">
        <f t="shared" si="53"/>
        <v>3.6014696754572743E-3</v>
      </c>
      <c r="S188" s="2"/>
      <c r="T188" s="6">
        <v>54941.85</v>
      </c>
      <c r="U188" s="2"/>
      <c r="V188" s="7">
        <f t="shared" si="54"/>
        <v>4.9373925422560635E-3</v>
      </c>
      <c r="W188" s="2"/>
      <c r="X188" s="6">
        <f t="shared" si="55"/>
        <v>-37995.089999999997</v>
      </c>
      <c r="Y188" s="2"/>
      <c r="Z188" s="7">
        <f t="shared" si="56"/>
        <v>-0.69155097616843986</v>
      </c>
    </row>
    <row r="189" spans="1:26" s="23" customFormat="1" hidden="1" outlineLevel="2" x14ac:dyDescent="0.25">
      <c r="A189" s="27"/>
      <c r="B189" s="10" t="str">
        <f>CONCATENATE("          ", "6007", " - ", "STUDENT HOURLY")</f>
        <v xml:space="preserve">          6007 - STUDENT HOURLY</v>
      </c>
      <c r="C189" s="10"/>
      <c r="D189" s="6">
        <v>14809.4</v>
      </c>
      <c r="E189" s="2"/>
      <c r="F189" s="7">
        <f t="shared" si="49"/>
        <v>3.3771467271898982E-2</v>
      </c>
      <c r="G189" s="2"/>
      <c r="H189" s="6">
        <v>11274.94</v>
      </c>
      <c r="I189" s="2"/>
      <c r="J189" s="7">
        <f t="shared" si="50"/>
        <v>6.838193115968004E-2</v>
      </c>
      <c r="K189" s="2"/>
      <c r="L189" s="6">
        <f t="shared" si="51"/>
        <v>3534.4599999999991</v>
      </c>
      <c r="M189" s="2"/>
      <c r="N189" s="7">
        <f t="shared" si="52"/>
        <v>0.31347927350389437</v>
      </c>
      <c r="O189" s="10"/>
      <c r="P189" s="6">
        <v>268019.38</v>
      </c>
      <c r="Q189" s="2"/>
      <c r="R189" s="7">
        <f t="shared" si="53"/>
        <v>5.6958596776307678E-2</v>
      </c>
      <c r="S189" s="2"/>
      <c r="T189" s="6">
        <v>1020801.08</v>
      </c>
      <c r="U189" s="2"/>
      <c r="V189" s="7">
        <f t="shared" si="54"/>
        <v>9.1735091547134565E-2</v>
      </c>
      <c r="W189" s="2"/>
      <c r="X189" s="6">
        <f t="shared" si="55"/>
        <v>-752781.7</v>
      </c>
      <c r="Y189" s="2"/>
      <c r="Z189" s="7">
        <f t="shared" si="56"/>
        <v>-0.73744210772190799</v>
      </c>
    </row>
    <row r="190" spans="1:26" s="23" customFormat="1" hidden="1" outlineLevel="2" x14ac:dyDescent="0.25">
      <c r="A190" s="27"/>
      <c r="B190" s="10" t="str">
        <f>CONCATENATE("          ", "6008", " - ", "STUDENT HOURLY-FICA EXEMPT")</f>
        <v xml:space="preserve">          6008 - STUDENT HOURLY-FICA EXEMPT</v>
      </c>
      <c r="C190" s="10"/>
      <c r="D190" s="6">
        <v>1590.33</v>
      </c>
      <c r="E190" s="2"/>
      <c r="F190" s="7">
        <f t="shared" si="49"/>
        <v>3.6266005068753024E-3</v>
      </c>
      <c r="G190" s="2"/>
      <c r="H190" s="6">
        <v>156</v>
      </c>
      <c r="I190" s="2"/>
      <c r="J190" s="7">
        <f t="shared" si="50"/>
        <v>9.4613197594932527E-4</v>
      </c>
      <c r="K190" s="2"/>
      <c r="L190" s="6">
        <f t="shared" si="51"/>
        <v>1434.33</v>
      </c>
      <c r="M190" s="2"/>
      <c r="N190" s="7">
        <f t="shared" si="52"/>
        <v>9.1944230769230764</v>
      </c>
      <c r="O190" s="10"/>
      <c r="P190" s="6">
        <v>10001.950000000001</v>
      </c>
      <c r="Q190" s="2"/>
      <c r="R190" s="7">
        <f t="shared" si="53"/>
        <v>2.1255815046911557E-3</v>
      </c>
      <c r="S190" s="2"/>
      <c r="T190" s="6">
        <v>26316.81</v>
      </c>
      <c r="U190" s="2"/>
      <c r="V190" s="7">
        <f t="shared" si="54"/>
        <v>2.3649808193566433E-3</v>
      </c>
      <c r="W190" s="2"/>
      <c r="X190" s="6">
        <f t="shared" si="55"/>
        <v>-16314.86</v>
      </c>
      <c r="Y190" s="2"/>
      <c r="Z190" s="7">
        <f t="shared" si="56"/>
        <v>-0.61994063870203109</v>
      </c>
    </row>
    <row r="191" spans="1:26" s="26" customFormat="1" outlineLevel="1" collapsed="1" x14ac:dyDescent="0.25">
      <c r="A191" s="25"/>
      <c r="B191" s="12" t="str">
        <f>CONCATENATE("     ","Advertising/Promo                                 ")</f>
        <v xml:space="preserve">     Advertising/Promo                                 </v>
      </c>
      <c r="C191" s="12"/>
      <c r="D191" s="1">
        <f>SUM(OSRRefD22_2x_0)</f>
        <v>1313.83</v>
      </c>
      <c r="E191" s="1"/>
      <c r="F191" s="5">
        <f t="shared" ref="F191:F195" si="57">IF(D$12=0,0,D191/D$12)</f>
        <v>2.99606782488413E-3</v>
      </c>
      <c r="G191" s="1"/>
      <c r="H191" s="1">
        <f>SUM(OSRRefH22_2x_0)</f>
        <v>799.5</v>
      </c>
      <c r="I191" s="1"/>
      <c r="J191" s="5">
        <f t="shared" ref="J191:J195" si="58">IF(H$12=0,0,H191/H$12)</f>
        <v>4.8489263767402917E-3</v>
      </c>
      <c r="K191" s="1"/>
      <c r="L191" s="1">
        <f t="shared" ref="L191:L195" si="59">+D191-H191</f>
        <v>514.32999999999993</v>
      </c>
      <c r="M191" s="1"/>
      <c r="N191" s="5">
        <f t="shared" ref="N191:N195" si="60">IF(H191=0,0,L191/H191)</f>
        <v>0.64331457160725447</v>
      </c>
      <c r="O191" s="12"/>
      <c r="P191" s="1">
        <f>SUM(OSRRefP22_2x_0)</f>
        <v>17536.05</v>
      </c>
      <c r="Q191" s="1"/>
      <c r="R191" s="5">
        <f t="shared" ref="R191:R195" si="61">IF(P$12=0,0,P191/P$12)</f>
        <v>3.7267036473227059E-3</v>
      </c>
      <c r="S191" s="1"/>
      <c r="T191" s="1">
        <f>SUM(OSRRefT22_2x_0)</f>
        <v>48049.68</v>
      </c>
      <c r="U191" s="1"/>
      <c r="V191" s="5">
        <f t="shared" ref="V191:V195" si="62">IF(T$12=0,0,T191/T$12)</f>
        <v>4.3180222669930175E-3</v>
      </c>
      <c r="W191" s="1"/>
      <c r="X191" s="1">
        <f t="shared" ref="X191:X195" si="63">+P191-T191</f>
        <v>-30513.63</v>
      </c>
      <c r="Y191" s="1"/>
      <c r="Z191" s="5">
        <f t="shared" ref="Z191:Z195" si="64">IF(T191=0,0,X191/T191)</f>
        <v>-0.63504335512744314</v>
      </c>
    </row>
    <row r="192" spans="1:26" s="23" customFormat="1" hidden="1" outlineLevel="2" x14ac:dyDescent="0.25">
      <c r="A192" s="27"/>
      <c r="B192" s="10" t="str">
        <f>CONCATENATE("          ", "6362", " - ", "ADVERTISING EXPENSE")</f>
        <v xml:space="preserve">          6362 - ADVERTISING EXPENSE</v>
      </c>
      <c r="C192" s="10"/>
      <c r="D192" s="6">
        <v>1313.83</v>
      </c>
      <c r="E192" s="2"/>
      <c r="F192" s="7">
        <f t="shared" si="57"/>
        <v>2.99606782488413E-3</v>
      </c>
      <c r="G192" s="2"/>
      <c r="H192" s="6">
        <v>799.5</v>
      </c>
      <c r="I192" s="2"/>
      <c r="J192" s="7">
        <f t="shared" si="58"/>
        <v>4.8489263767402917E-3</v>
      </c>
      <c r="K192" s="2"/>
      <c r="L192" s="6">
        <f t="shared" si="59"/>
        <v>514.32999999999993</v>
      </c>
      <c r="M192" s="2"/>
      <c r="N192" s="7">
        <f t="shared" si="60"/>
        <v>0.64331457160725447</v>
      </c>
      <c r="O192" s="10"/>
      <c r="P192" s="6">
        <v>17536.05</v>
      </c>
      <c r="Q192" s="2"/>
      <c r="R192" s="7">
        <f t="shared" si="61"/>
        <v>3.7267036473227059E-3</v>
      </c>
      <c r="S192" s="2"/>
      <c r="T192" s="6">
        <v>48049.68</v>
      </c>
      <c r="U192" s="2"/>
      <c r="V192" s="7">
        <f t="shared" si="62"/>
        <v>4.3180222669930175E-3</v>
      </c>
      <c r="W192" s="2"/>
      <c r="X192" s="6">
        <f t="shared" si="63"/>
        <v>-30513.63</v>
      </c>
      <c r="Y192" s="2"/>
      <c r="Z192" s="7">
        <f t="shared" si="64"/>
        <v>-0.63504335512744314</v>
      </c>
    </row>
    <row r="193" spans="1:26" s="26" customFormat="1" outlineLevel="1" collapsed="1" x14ac:dyDescent="0.25">
      <c r="A193" s="25"/>
      <c r="B193" s="12" t="str">
        <f>CONCATENATE("     ","Bad Debts/Over/Short                              ")</f>
        <v xml:space="preserve">     Bad Debts/Over/Short                              </v>
      </c>
      <c r="C193" s="12"/>
      <c r="D193" s="1">
        <f>SUM(OSRRefD22_3x_0)</f>
        <v>-1.25</v>
      </c>
      <c r="E193" s="1"/>
      <c r="F193" s="5">
        <f t="shared" si="57"/>
        <v>-2.8505094122566564E-6</v>
      </c>
      <c r="G193" s="1"/>
      <c r="H193" s="1">
        <f>SUM(OSRRefH22_3x_0)</f>
        <v>4.6500000000000004</v>
      </c>
      <c r="I193" s="1"/>
      <c r="J193" s="5">
        <f t="shared" si="58"/>
        <v>2.8202010821566427E-5</v>
      </c>
      <c r="K193" s="1"/>
      <c r="L193" s="1">
        <f t="shared" si="59"/>
        <v>-5.9</v>
      </c>
      <c r="M193" s="1"/>
      <c r="N193" s="5">
        <f t="shared" si="60"/>
        <v>-1.2688172043010753</v>
      </c>
      <c r="O193" s="12"/>
      <c r="P193" s="1">
        <f>SUM(OSRRefP22_3x_0)</f>
        <v>5186.01</v>
      </c>
      <c r="Q193" s="1"/>
      <c r="R193" s="5">
        <f t="shared" si="61"/>
        <v>1.1021137817269014E-3</v>
      </c>
      <c r="S193" s="1"/>
      <c r="T193" s="1">
        <f>SUM(OSRRefT22_3x_0)</f>
        <v>-455.28999999999996</v>
      </c>
      <c r="U193" s="1"/>
      <c r="V193" s="5">
        <f t="shared" si="62"/>
        <v>-4.0914993771847197E-5</v>
      </c>
      <c r="W193" s="1"/>
      <c r="X193" s="1">
        <f t="shared" si="63"/>
        <v>5641.3</v>
      </c>
      <c r="Y193" s="1"/>
      <c r="Z193" s="5">
        <f t="shared" si="64"/>
        <v>-12.390564255749084</v>
      </c>
    </row>
    <row r="194" spans="1:26" s="23" customFormat="1" hidden="1" outlineLevel="2" x14ac:dyDescent="0.25">
      <c r="A194" s="27"/>
      <c r="B194" s="10" t="str">
        <f>CONCATENATE("          ", "6272", " - ", "CASH (OVER/SHORT)")</f>
        <v xml:space="preserve">          6272 - CASH (OVER/SHORT)</v>
      </c>
      <c r="C194" s="10"/>
      <c r="D194" s="6">
        <v>-1.25</v>
      </c>
      <c r="E194" s="2"/>
      <c r="F194" s="7">
        <f t="shared" si="57"/>
        <v>-2.8505094122566564E-6</v>
      </c>
      <c r="G194" s="2"/>
      <c r="H194" s="6">
        <v>4.6500000000000004</v>
      </c>
      <c r="I194" s="2"/>
      <c r="J194" s="7">
        <f t="shared" si="58"/>
        <v>2.8202010821566427E-5</v>
      </c>
      <c r="K194" s="2"/>
      <c r="L194" s="6">
        <f t="shared" si="59"/>
        <v>-5.9</v>
      </c>
      <c r="M194" s="2"/>
      <c r="N194" s="7">
        <f t="shared" si="60"/>
        <v>-1.2688172043010753</v>
      </c>
      <c r="O194" s="10"/>
      <c r="P194" s="6">
        <v>-163.41</v>
      </c>
      <c r="Q194" s="2"/>
      <c r="R194" s="7">
        <f t="shared" si="61"/>
        <v>-3.4727355533829077E-5</v>
      </c>
      <c r="S194" s="2"/>
      <c r="T194" s="6">
        <v>-500.09</v>
      </c>
      <c r="U194" s="2"/>
      <c r="V194" s="7">
        <f t="shared" si="62"/>
        <v>-4.4940980990935592E-5</v>
      </c>
      <c r="W194" s="2"/>
      <c r="X194" s="6">
        <f t="shared" si="63"/>
        <v>336.67999999999995</v>
      </c>
      <c r="Y194" s="2"/>
      <c r="Z194" s="7">
        <f t="shared" si="64"/>
        <v>-0.67323881701293764</v>
      </c>
    </row>
    <row r="195" spans="1:26" s="23" customFormat="1" hidden="1" outlineLevel="2" x14ac:dyDescent="0.25">
      <c r="A195" s="27"/>
      <c r="B195" s="10" t="str">
        <f>CONCATENATE("          ", "6342", " - ", "BAD DEBT")</f>
        <v xml:space="preserve">          6342 - BAD DEBT</v>
      </c>
      <c r="C195" s="10"/>
      <c r="D195" s="6"/>
      <c r="E195" s="2"/>
      <c r="F195" s="7">
        <f t="shared" si="57"/>
        <v>0</v>
      </c>
      <c r="G195" s="2"/>
      <c r="H195" s="6"/>
      <c r="I195" s="2"/>
      <c r="J195" s="7">
        <f t="shared" si="58"/>
        <v>0</v>
      </c>
      <c r="K195" s="2"/>
      <c r="L195" s="6">
        <f t="shared" si="59"/>
        <v>0</v>
      </c>
      <c r="M195" s="2"/>
      <c r="N195" s="7">
        <f t="shared" si="60"/>
        <v>0</v>
      </c>
      <c r="O195" s="10"/>
      <c r="P195" s="6">
        <v>5349.42</v>
      </c>
      <c r="Q195" s="2"/>
      <c r="R195" s="7">
        <f t="shared" si="61"/>
        <v>1.1368411372607303E-3</v>
      </c>
      <c r="S195" s="2"/>
      <c r="T195" s="6">
        <v>44.8</v>
      </c>
      <c r="U195" s="2"/>
      <c r="V195" s="7">
        <f t="shared" si="62"/>
        <v>4.0259872190883934E-6</v>
      </c>
      <c r="W195" s="2"/>
      <c r="X195" s="6">
        <f t="shared" si="63"/>
        <v>5304.62</v>
      </c>
      <c r="Y195" s="2"/>
      <c r="Z195" s="7">
        <f t="shared" si="64"/>
        <v>118.40669642857144</v>
      </c>
    </row>
    <row r="196" spans="1:26" s="26" customFormat="1" outlineLevel="1" collapsed="1" x14ac:dyDescent="0.25">
      <c r="A196" s="25"/>
      <c r="B196" s="12" t="str">
        <f>CONCATENATE("     ","Bank/card Fees                                    ")</f>
        <v xml:space="preserve">     Bank/card Fees                                    </v>
      </c>
      <c r="C196" s="12"/>
      <c r="D196" s="1">
        <f>SUM(OSRRefD22_4x_0)</f>
        <v>6047.39</v>
      </c>
      <c r="E196" s="1"/>
      <c r="F196" s="5">
        <f t="shared" ref="F196:F201" si="65">IF(D$12=0,0,D196/D$12)</f>
        <v>1.3790513691669426E-2</v>
      </c>
      <c r="G196" s="1"/>
      <c r="H196" s="1">
        <f>SUM(OSRRefH22_4x_0)</f>
        <v>2743.78</v>
      </c>
      <c r="I196" s="1"/>
      <c r="J196" s="5">
        <f t="shared" ref="J196:J201" si="66">IF(H$12=0,0,H196/H$12)</f>
        <v>1.6640884570322052E-2</v>
      </c>
      <c r="K196" s="1"/>
      <c r="L196" s="1">
        <f t="shared" ref="L196:L201" si="67">+D196-H196</f>
        <v>3303.61</v>
      </c>
      <c r="M196" s="1"/>
      <c r="N196" s="5">
        <f t="shared" ref="N196:N201" si="68">IF(H196=0,0,L196/H196)</f>
        <v>1.2040360378747568</v>
      </c>
      <c r="O196" s="12"/>
      <c r="P196" s="1">
        <f>SUM(OSRRefP22_4x_0)</f>
        <v>76960.58</v>
      </c>
      <c r="Q196" s="1"/>
      <c r="R196" s="5">
        <f t="shared" ref="R196:R201" si="69">IF(P$12=0,0,P196/P$12)</f>
        <v>1.6355409239028795E-2</v>
      </c>
      <c r="S196" s="1"/>
      <c r="T196" s="1">
        <f>SUM(OSRRefT22_4x_0)</f>
        <v>228992.32</v>
      </c>
      <c r="U196" s="1"/>
      <c r="V196" s="5">
        <f t="shared" ref="V196:V201" si="70">IF(T$12=0,0,T196/T$12)</f>
        <v>2.0578574856906239E-2</v>
      </c>
      <c r="W196" s="1"/>
      <c r="X196" s="1">
        <f t="shared" ref="X196:X201" si="71">+P196-T196</f>
        <v>-152031.74</v>
      </c>
      <c r="Y196" s="1"/>
      <c r="Z196" s="5">
        <f t="shared" ref="Z196:Z201" si="72">IF(T196=0,0,X196/T196)</f>
        <v>-0.66391632697550729</v>
      </c>
    </row>
    <row r="197" spans="1:26" s="23" customFormat="1" hidden="1" outlineLevel="2" x14ac:dyDescent="0.25">
      <c r="A197" s="27"/>
      <c r="B197" s="10" t="str">
        <f>CONCATENATE("          ", "6381", " - ", "BANK/CREDIT CARD FEES")</f>
        <v xml:space="preserve">          6381 - BANK/CREDIT CARD FEES</v>
      </c>
      <c r="C197" s="10"/>
      <c r="D197" s="6">
        <v>6047.39</v>
      </c>
      <c r="E197" s="2"/>
      <c r="F197" s="7">
        <f t="shared" si="65"/>
        <v>1.3790513691669426E-2</v>
      </c>
      <c r="G197" s="2"/>
      <c r="H197" s="6">
        <v>2743.78</v>
      </c>
      <c r="I197" s="2"/>
      <c r="J197" s="7">
        <f t="shared" si="66"/>
        <v>1.6640884570322052E-2</v>
      </c>
      <c r="K197" s="2"/>
      <c r="L197" s="6">
        <f t="shared" si="67"/>
        <v>3303.61</v>
      </c>
      <c r="M197" s="2"/>
      <c r="N197" s="7">
        <f t="shared" si="68"/>
        <v>1.2040360378747568</v>
      </c>
      <c r="O197" s="10"/>
      <c r="P197" s="6">
        <v>76960.58</v>
      </c>
      <c r="Q197" s="2"/>
      <c r="R197" s="7">
        <f t="shared" si="69"/>
        <v>1.6355409239028795E-2</v>
      </c>
      <c r="S197" s="2"/>
      <c r="T197" s="6">
        <v>228992.32</v>
      </c>
      <c r="U197" s="2"/>
      <c r="V197" s="7">
        <f t="shared" si="70"/>
        <v>2.0578574856906239E-2</v>
      </c>
      <c r="W197" s="2"/>
      <c r="X197" s="6">
        <f t="shared" si="71"/>
        <v>-152031.74</v>
      </c>
      <c r="Y197" s="2"/>
      <c r="Z197" s="7">
        <f t="shared" si="72"/>
        <v>-0.66391632697550729</v>
      </c>
    </row>
    <row r="198" spans="1:26" s="26" customFormat="1" outlineLevel="1" collapsed="1" x14ac:dyDescent="0.25">
      <c r="A198" s="25"/>
      <c r="B198" s="12" t="str">
        <f>CONCATENATE("     ","Depreciation                                      ")</f>
        <v xml:space="preserve">     Depreciation                                      </v>
      </c>
      <c r="C198" s="12"/>
      <c r="D198" s="1">
        <f>SUM(OSRRefD22_5x_0)</f>
        <v>39887.94</v>
      </c>
      <c r="E198" s="1"/>
      <c r="F198" s="5">
        <f t="shared" si="65"/>
        <v>9.0960758724423024E-2</v>
      </c>
      <c r="G198" s="1"/>
      <c r="H198" s="1">
        <f>SUM(OSRRefH22_5x_0)</f>
        <v>39340.21</v>
      </c>
      <c r="I198" s="1"/>
      <c r="J198" s="5">
        <f t="shared" si="66"/>
        <v>0.23859635013821412</v>
      </c>
      <c r="K198" s="1"/>
      <c r="L198" s="1">
        <f t="shared" si="67"/>
        <v>547.7300000000032</v>
      </c>
      <c r="M198" s="1"/>
      <c r="N198" s="5">
        <f t="shared" si="68"/>
        <v>1.3922904834519268E-2</v>
      </c>
      <c r="O198" s="12"/>
      <c r="P198" s="1">
        <f>SUM(OSRRefP22_5x_0)</f>
        <v>399356.17</v>
      </c>
      <c r="Q198" s="1"/>
      <c r="R198" s="5">
        <f t="shared" si="69"/>
        <v>8.4869859251075722E-2</v>
      </c>
      <c r="S198" s="1"/>
      <c r="T198" s="1">
        <f>SUM(OSRRefT22_5x_0)</f>
        <v>384411.17</v>
      </c>
      <c r="U198" s="1"/>
      <c r="V198" s="5">
        <f t="shared" si="70"/>
        <v>3.4545411993187849E-2</v>
      </c>
      <c r="W198" s="1"/>
      <c r="X198" s="1">
        <f t="shared" si="71"/>
        <v>14945</v>
      </c>
      <c r="Y198" s="1"/>
      <c r="Z198" s="5">
        <f t="shared" si="72"/>
        <v>3.8877642395250898E-2</v>
      </c>
    </row>
    <row r="199" spans="1:26" s="23" customFormat="1" hidden="1" outlineLevel="2" x14ac:dyDescent="0.25">
      <c r="A199" s="27"/>
      <c r="B199" s="10" t="str">
        <f>CONCATENATE("          ", "6321", " - ", "BUILDING DEPRECIATION")</f>
        <v xml:space="preserve">          6321 - BUILDING DEPRECIATION</v>
      </c>
      <c r="C199" s="10"/>
      <c r="D199" s="6">
        <v>21477.03</v>
      </c>
      <c r="E199" s="2"/>
      <c r="F199" s="7">
        <f t="shared" si="65"/>
        <v>4.8976380929854853E-2</v>
      </c>
      <c r="G199" s="2"/>
      <c r="H199" s="6">
        <v>21477.03</v>
      </c>
      <c r="I199" s="2"/>
      <c r="J199" s="7">
        <f t="shared" si="66"/>
        <v>0.13025708225271113</v>
      </c>
      <c r="K199" s="2"/>
      <c r="L199" s="6">
        <f t="shared" si="67"/>
        <v>0</v>
      </c>
      <c r="M199" s="2"/>
      <c r="N199" s="7">
        <f t="shared" si="68"/>
        <v>0</v>
      </c>
      <c r="O199" s="10"/>
      <c r="P199" s="6">
        <v>214770.3</v>
      </c>
      <c r="Q199" s="2"/>
      <c r="R199" s="7">
        <f t="shared" si="69"/>
        <v>4.5642277499584667E-2</v>
      </c>
      <c r="S199" s="2"/>
      <c r="T199" s="6">
        <v>214770.3</v>
      </c>
      <c r="U199" s="2"/>
      <c r="V199" s="7">
        <f t="shared" si="70"/>
        <v>1.9300501849102231E-2</v>
      </c>
      <c r="W199" s="2"/>
      <c r="X199" s="6">
        <f t="shared" si="71"/>
        <v>0</v>
      </c>
      <c r="Y199" s="2"/>
      <c r="Z199" s="7">
        <f t="shared" si="72"/>
        <v>0</v>
      </c>
    </row>
    <row r="200" spans="1:26" s="23" customFormat="1" hidden="1" outlineLevel="2" x14ac:dyDescent="0.25">
      <c r="A200" s="27"/>
      <c r="B200" s="10" t="str">
        <f>CONCATENATE("          ", "6322", " - ", "EQUIPMENT DEPRECIATION EXPENSE")</f>
        <v xml:space="preserve">          6322 - EQUIPMENT DEPRECIATION EXPENSE</v>
      </c>
      <c r="C200" s="10"/>
      <c r="D200" s="6">
        <v>18410.91</v>
      </c>
      <c r="E200" s="2"/>
      <c r="F200" s="7">
        <f t="shared" si="65"/>
        <v>4.1984377794568158E-2</v>
      </c>
      <c r="G200" s="2"/>
      <c r="H200" s="6">
        <v>17863.18</v>
      </c>
      <c r="I200" s="2"/>
      <c r="J200" s="7">
        <f t="shared" si="66"/>
        <v>0.10833926788550301</v>
      </c>
      <c r="K200" s="2"/>
      <c r="L200" s="6">
        <f t="shared" si="67"/>
        <v>547.72999999999956</v>
      </c>
      <c r="M200" s="2"/>
      <c r="N200" s="7">
        <f t="shared" si="68"/>
        <v>3.0662513617396206E-2</v>
      </c>
      <c r="O200" s="10"/>
      <c r="P200" s="6">
        <v>184585.87</v>
      </c>
      <c r="Q200" s="2"/>
      <c r="R200" s="7">
        <f t="shared" si="69"/>
        <v>3.9227581751491061E-2</v>
      </c>
      <c r="S200" s="2"/>
      <c r="T200" s="6">
        <v>169640.87</v>
      </c>
      <c r="U200" s="2"/>
      <c r="V200" s="7">
        <f t="shared" si="70"/>
        <v>1.5244910144085617E-2</v>
      </c>
      <c r="W200" s="2"/>
      <c r="X200" s="6">
        <f t="shared" si="71"/>
        <v>14945</v>
      </c>
      <c r="Y200" s="2"/>
      <c r="Z200" s="7">
        <f t="shared" si="72"/>
        <v>8.8097874055939468E-2</v>
      </c>
    </row>
    <row r="201" spans="1:26" s="23" customFormat="1" hidden="1" outlineLevel="2" x14ac:dyDescent="0.25">
      <c r="A201" s="27"/>
      <c r="B201" s="10" t="str">
        <f>CONCATENATE("          ", "6324", " - ", "FURNITURE + FIXT DEPRECIATION")</f>
        <v xml:space="preserve">          6324 - FURNITURE + FIXT DEPRECIATION</v>
      </c>
      <c r="C201" s="10"/>
      <c r="D201" s="6"/>
      <c r="E201" s="2"/>
      <c r="F201" s="7">
        <f t="shared" si="65"/>
        <v>0</v>
      </c>
      <c r="G201" s="2"/>
      <c r="H201" s="6"/>
      <c r="I201" s="2"/>
      <c r="J201" s="7">
        <f t="shared" si="66"/>
        <v>0</v>
      </c>
      <c r="K201" s="2"/>
      <c r="L201" s="6">
        <f t="shared" si="67"/>
        <v>0</v>
      </c>
      <c r="M201" s="2"/>
      <c r="N201" s="7">
        <f t="shared" si="68"/>
        <v>0</v>
      </c>
      <c r="O201" s="10"/>
      <c r="P201" s="6"/>
      <c r="Q201" s="2"/>
      <c r="R201" s="7">
        <f t="shared" si="69"/>
        <v>0</v>
      </c>
      <c r="S201" s="2"/>
      <c r="T201" s="6">
        <v>0</v>
      </c>
      <c r="U201" s="2"/>
      <c r="V201" s="7">
        <f t="shared" si="70"/>
        <v>0</v>
      </c>
      <c r="W201" s="2"/>
      <c r="X201" s="6">
        <f t="shared" si="71"/>
        <v>0</v>
      </c>
      <c r="Y201" s="2"/>
      <c r="Z201" s="7">
        <f t="shared" si="72"/>
        <v>0</v>
      </c>
    </row>
    <row r="202" spans="1:26" s="26" customFormat="1" outlineLevel="1" collapsed="1" x14ac:dyDescent="0.25">
      <c r="A202" s="25"/>
      <c r="B202" s="12" t="str">
        <f>CONCATENATE("     ","Discounts and Markdowns                           ")</f>
        <v xml:space="preserve">     Discounts and Markdowns                           </v>
      </c>
      <c r="C202" s="12"/>
      <c r="D202" s="1">
        <f>SUM(OSRRefD22_6x_0)</f>
        <v>-15.43</v>
      </c>
      <c r="E202" s="1"/>
      <c r="F202" s="5">
        <f t="shared" ref="F202:F204" si="73">IF(D$12=0,0,D202/D$12)</f>
        <v>-3.5186688184896166E-5</v>
      </c>
      <c r="G202" s="1"/>
      <c r="H202" s="1">
        <f>SUM(OSRRefH22_6x_0)</f>
        <v>31843.850000000002</v>
      </c>
      <c r="I202" s="1"/>
      <c r="J202" s="5">
        <f t="shared" ref="J202:J204" si="74">IF(H$12=0,0,H202/H$12)</f>
        <v>0.19313131232265335</v>
      </c>
      <c r="K202" s="1"/>
      <c r="L202" s="1">
        <f t="shared" ref="L202:L204" si="75">+D202-H202</f>
        <v>-31859.280000000002</v>
      </c>
      <c r="M202" s="1"/>
      <c r="N202" s="5">
        <f t="shared" ref="N202:N204" si="76">IF(H202=0,0,L202/H202)</f>
        <v>-1.0004845519621528</v>
      </c>
      <c r="O202" s="12"/>
      <c r="P202" s="1">
        <f>SUM(OSRRefP22_6x_0)</f>
        <v>-15.43</v>
      </c>
      <c r="Q202" s="1"/>
      <c r="R202" s="5">
        <f t="shared" ref="R202:R204" si="77">IF(P$12=0,0,P202/P$12)</f>
        <v>-3.2791328308364399E-6</v>
      </c>
      <c r="S202" s="1"/>
      <c r="T202" s="1">
        <f>SUM(OSRRefT22_6x_0)</f>
        <v>304020.44</v>
      </c>
      <c r="U202" s="1"/>
      <c r="V202" s="5">
        <f t="shared" ref="V202:V204" si="78">IF(T$12=0,0,T202/T$12)</f>
        <v>2.732103584333995E-2</v>
      </c>
      <c r="W202" s="1"/>
      <c r="X202" s="1">
        <f t="shared" ref="X202:X204" si="79">+P202-T202</f>
        <v>-304035.87</v>
      </c>
      <c r="Y202" s="1"/>
      <c r="Z202" s="5">
        <f t="shared" ref="Z202:Z204" si="80">IF(T202=0,0,X202/T202)</f>
        <v>-1.0000507531664646</v>
      </c>
    </row>
    <row r="203" spans="1:26" s="23" customFormat="1" hidden="1" outlineLevel="2" x14ac:dyDescent="0.25">
      <c r="A203" s="27"/>
      <c r="B203" s="10" t="str">
        <f>CONCATENATE("          ", "6382", " - ", "DISCOUNTS/MARK DOWNS")</f>
        <v xml:space="preserve">          6382 - DISCOUNTS/MARK DOWNS</v>
      </c>
      <c r="C203" s="10"/>
      <c r="D203" s="6">
        <v>0</v>
      </c>
      <c r="E203" s="2"/>
      <c r="F203" s="7">
        <f t="shared" si="73"/>
        <v>0</v>
      </c>
      <c r="G203" s="2"/>
      <c r="H203" s="6">
        <v>31843.99</v>
      </c>
      <c r="I203" s="2"/>
      <c r="J203" s="7">
        <f t="shared" si="74"/>
        <v>0.19313216141545228</v>
      </c>
      <c r="K203" s="2"/>
      <c r="L203" s="6">
        <f t="shared" si="75"/>
        <v>-31843.99</v>
      </c>
      <c r="M203" s="2"/>
      <c r="N203" s="7">
        <f t="shared" si="76"/>
        <v>-1</v>
      </c>
      <c r="O203" s="10"/>
      <c r="P203" s="6">
        <v>0</v>
      </c>
      <c r="Q203" s="2"/>
      <c r="R203" s="7">
        <f t="shared" si="77"/>
        <v>0</v>
      </c>
      <c r="S203" s="2"/>
      <c r="T203" s="6">
        <v>307252.06</v>
      </c>
      <c r="U203" s="2"/>
      <c r="V203" s="7">
        <f t="shared" si="78"/>
        <v>2.7611447915146879E-2</v>
      </c>
      <c r="W203" s="2"/>
      <c r="X203" s="6">
        <f t="shared" si="79"/>
        <v>-307252.06</v>
      </c>
      <c r="Y203" s="2"/>
      <c r="Z203" s="7">
        <f t="shared" si="80"/>
        <v>-1</v>
      </c>
    </row>
    <row r="204" spans="1:26" s="23" customFormat="1" hidden="1" outlineLevel="2" x14ac:dyDescent="0.25">
      <c r="A204" s="27"/>
      <c r="B204" s="10" t="str">
        <f>CONCATENATE("          ", "9175", " - ", "EARNED DISCOUNTS")</f>
        <v xml:space="preserve">          9175 - EARNED DISCOUNTS</v>
      </c>
      <c r="C204" s="10"/>
      <c r="D204" s="6">
        <v>-15.43</v>
      </c>
      <c r="E204" s="2"/>
      <c r="F204" s="7">
        <f t="shared" si="73"/>
        <v>-3.5186688184896166E-5</v>
      </c>
      <c r="G204" s="2"/>
      <c r="H204" s="6">
        <v>-0.14000000000000001</v>
      </c>
      <c r="I204" s="2"/>
      <c r="J204" s="7">
        <f t="shared" si="74"/>
        <v>-8.4909279892888171E-7</v>
      </c>
      <c r="K204" s="2"/>
      <c r="L204" s="6">
        <f t="shared" si="75"/>
        <v>-15.29</v>
      </c>
      <c r="M204" s="2"/>
      <c r="N204" s="7">
        <f t="shared" si="76"/>
        <v>109.21428571428569</v>
      </c>
      <c r="O204" s="10"/>
      <c r="P204" s="6">
        <v>-15.43</v>
      </c>
      <c r="Q204" s="2"/>
      <c r="R204" s="7">
        <f t="shared" si="77"/>
        <v>-3.2791328308364399E-6</v>
      </c>
      <c r="S204" s="2"/>
      <c r="T204" s="6">
        <v>-3231.62</v>
      </c>
      <c r="U204" s="2"/>
      <c r="V204" s="7">
        <f t="shared" si="78"/>
        <v>-2.9041207180692931E-4</v>
      </c>
      <c r="W204" s="2"/>
      <c r="X204" s="6">
        <f t="shared" si="79"/>
        <v>3216.19</v>
      </c>
      <c r="Y204" s="2"/>
      <c r="Z204" s="7">
        <f t="shared" si="80"/>
        <v>-0.9952253049554094</v>
      </c>
    </row>
    <row r="205" spans="1:26" s="26" customFormat="1" outlineLevel="1" collapsed="1" x14ac:dyDescent="0.25">
      <c r="A205" s="25"/>
      <c r="B205" s="12" t="str">
        <f>CONCATENATE("     ","Donations                                         ")</f>
        <v xml:space="preserve">     Donations                                         </v>
      </c>
      <c r="C205" s="12"/>
      <c r="D205" s="1">
        <f>SUM(OSRRefD22_7x_0)</f>
        <v>360.9</v>
      </c>
      <c r="E205" s="1"/>
      <c r="F205" s="5">
        <f t="shared" ref="F205:F213" si="81">IF(D$12=0,0,D205/D$12)</f>
        <v>8.2299907750674173E-4</v>
      </c>
      <c r="G205" s="1"/>
      <c r="H205" s="1">
        <f>SUM(OSRRefH22_7x_0)</f>
        <v>0</v>
      </c>
      <c r="I205" s="1"/>
      <c r="J205" s="5">
        <f t="shared" ref="J205:J213" si="82">IF(H$12=0,0,H205/H$12)</f>
        <v>0</v>
      </c>
      <c r="K205" s="1"/>
      <c r="L205" s="1">
        <f t="shared" ref="L205:L213" si="83">+D205-H205</f>
        <v>360.9</v>
      </c>
      <c r="M205" s="1"/>
      <c r="N205" s="5">
        <f t="shared" ref="N205:N213" si="84">IF(H205=0,0,L205/H205)</f>
        <v>0</v>
      </c>
      <c r="O205" s="12"/>
      <c r="P205" s="1">
        <f>SUM(OSRRefP22_7x_0)</f>
        <v>360.9</v>
      </c>
      <c r="Q205" s="1"/>
      <c r="R205" s="5">
        <f t="shared" ref="R205:R213" si="85">IF(P$12=0,0,P205/P$12)</f>
        <v>7.6697280534599553E-5</v>
      </c>
      <c r="S205" s="1"/>
      <c r="T205" s="1">
        <f>SUM(OSRRefT22_7x_0)</f>
        <v>12371.45</v>
      </c>
      <c r="U205" s="1"/>
      <c r="V205" s="5">
        <f t="shared" ref="V205:V213" si="86">IF(T$12=0,0,T205/T$12)</f>
        <v>1.1117700799462302E-3</v>
      </c>
      <c r="W205" s="1"/>
      <c r="X205" s="1">
        <f t="shared" ref="X205:X213" si="87">+P205-T205</f>
        <v>-12010.550000000001</v>
      </c>
      <c r="Y205" s="1"/>
      <c r="Z205" s="5">
        <f t="shared" ref="Z205:Z213" si="88">IF(T205=0,0,X205/T205)</f>
        <v>-0.9708279951016251</v>
      </c>
    </row>
    <row r="206" spans="1:26" s="23" customFormat="1" hidden="1" outlineLevel="2" x14ac:dyDescent="0.25">
      <c r="A206" s="27"/>
      <c r="B206" s="10" t="str">
        <f>CONCATENATE("          ", "6399", " - ", "DONATION-ON CAMPUS")</f>
        <v xml:space="preserve">          6399 - DONATION-ON CAMPUS</v>
      </c>
      <c r="C206" s="10"/>
      <c r="D206" s="6">
        <v>360.9</v>
      </c>
      <c r="E206" s="2"/>
      <c r="F206" s="7">
        <f t="shared" si="81"/>
        <v>8.2299907750674173E-4</v>
      </c>
      <c r="G206" s="2"/>
      <c r="H206" s="6"/>
      <c r="I206" s="2"/>
      <c r="J206" s="7">
        <f t="shared" si="82"/>
        <v>0</v>
      </c>
      <c r="K206" s="2"/>
      <c r="L206" s="6">
        <f t="shared" si="83"/>
        <v>360.9</v>
      </c>
      <c r="M206" s="2"/>
      <c r="N206" s="7">
        <f t="shared" si="84"/>
        <v>0</v>
      </c>
      <c r="O206" s="10"/>
      <c r="P206" s="6">
        <v>360.9</v>
      </c>
      <c r="Q206" s="2"/>
      <c r="R206" s="7">
        <f t="shared" si="85"/>
        <v>7.6697280534599553E-5</v>
      </c>
      <c r="S206" s="2"/>
      <c r="T206" s="6">
        <v>12371.45</v>
      </c>
      <c r="U206" s="2"/>
      <c r="V206" s="7">
        <f t="shared" si="86"/>
        <v>1.1117700799462302E-3</v>
      </c>
      <c r="W206" s="2"/>
      <c r="X206" s="6">
        <f t="shared" si="87"/>
        <v>-12010.550000000001</v>
      </c>
      <c r="Y206" s="2"/>
      <c r="Z206" s="7">
        <f t="shared" si="88"/>
        <v>-0.9708279951016251</v>
      </c>
    </row>
    <row r="207" spans="1:26" s="26" customFormat="1" outlineLevel="1" collapsed="1" x14ac:dyDescent="0.25">
      <c r="A207" s="25"/>
      <c r="B207" s="12" t="str">
        <f>CONCATENATE("     ","Employees' Appreciation                           ")</f>
        <v xml:space="preserve">     Employees' Appreciation                           </v>
      </c>
      <c r="C207" s="12"/>
      <c r="D207" s="1">
        <f>SUM(OSRRefD22_8x_0)</f>
        <v>0</v>
      </c>
      <c r="E207" s="1"/>
      <c r="F207" s="5">
        <f t="shared" si="81"/>
        <v>0</v>
      </c>
      <c r="G207" s="1"/>
      <c r="H207" s="1">
        <f>SUM(OSRRefH22_8x_0)</f>
        <v>30.15</v>
      </c>
      <c r="I207" s="1"/>
      <c r="J207" s="5">
        <f t="shared" si="82"/>
        <v>1.8285819919789843E-4</v>
      </c>
      <c r="K207" s="1"/>
      <c r="L207" s="1">
        <f t="shared" si="83"/>
        <v>-30.15</v>
      </c>
      <c r="M207" s="1"/>
      <c r="N207" s="5">
        <f t="shared" si="84"/>
        <v>-1</v>
      </c>
      <c r="O207" s="12"/>
      <c r="P207" s="1">
        <f>SUM(OSRRefP22_8x_0)</f>
        <v>186.03</v>
      </c>
      <c r="Q207" s="1"/>
      <c r="R207" s="5">
        <f t="shared" si="85"/>
        <v>3.9534483507485607E-5</v>
      </c>
      <c r="S207" s="1"/>
      <c r="T207" s="1">
        <f>SUM(OSRRefT22_8x_0)</f>
        <v>1718.11</v>
      </c>
      <c r="U207" s="1"/>
      <c r="V207" s="5">
        <f t="shared" si="86"/>
        <v>1.543993058256241E-4</v>
      </c>
      <c r="W207" s="1"/>
      <c r="X207" s="1">
        <f t="shared" si="87"/>
        <v>-1532.08</v>
      </c>
      <c r="Y207" s="1"/>
      <c r="Z207" s="5">
        <f t="shared" si="88"/>
        <v>-0.89172404560825558</v>
      </c>
    </row>
    <row r="208" spans="1:26" s="23" customFormat="1" hidden="1" outlineLevel="2" x14ac:dyDescent="0.25">
      <c r="A208" s="27"/>
      <c r="B208" s="10" t="str">
        <f>CONCATENATE("          ", "6277", " - ", "EMPLOYEE APPRECIATION")</f>
        <v xml:space="preserve">          6277 - EMPLOYEE APPRECIATION</v>
      </c>
      <c r="C208" s="10"/>
      <c r="D208" s="6"/>
      <c r="E208" s="2"/>
      <c r="F208" s="7">
        <f t="shared" si="81"/>
        <v>0</v>
      </c>
      <c r="G208" s="2"/>
      <c r="H208" s="6">
        <v>30.15</v>
      </c>
      <c r="I208" s="2"/>
      <c r="J208" s="7">
        <f t="shared" si="82"/>
        <v>1.8285819919789843E-4</v>
      </c>
      <c r="K208" s="2"/>
      <c r="L208" s="6">
        <f t="shared" si="83"/>
        <v>-30.15</v>
      </c>
      <c r="M208" s="2"/>
      <c r="N208" s="7">
        <f t="shared" si="84"/>
        <v>-1</v>
      </c>
      <c r="O208" s="10"/>
      <c r="P208" s="6">
        <v>186.03</v>
      </c>
      <c r="Q208" s="2"/>
      <c r="R208" s="7">
        <f t="shared" si="85"/>
        <v>3.9534483507485607E-5</v>
      </c>
      <c r="S208" s="2"/>
      <c r="T208" s="6">
        <v>1718.11</v>
      </c>
      <c r="U208" s="2"/>
      <c r="V208" s="7">
        <f t="shared" si="86"/>
        <v>1.543993058256241E-4</v>
      </c>
      <c r="W208" s="2"/>
      <c r="X208" s="6">
        <f t="shared" si="87"/>
        <v>-1532.08</v>
      </c>
      <c r="Y208" s="2"/>
      <c r="Z208" s="7">
        <f t="shared" si="88"/>
        <v>-0.89172404560825558</v>
      </c>
    </row>
    <row r="209" spans="1:26" s="26" customFormat="1" outlineLevel="1" collapsed="1" x14ac:dyDescent="0.25">
      <c r="A209" s="25"/>
      <c r="B209" s="12" t="str">
        <f>CONCATENATE("     ","Equipment Rental                                  ")</f>
        <v xml:space="preserve">     Equipment Rental                                  </v>
      </c>
      <c r="C209" s="12"/>
      <c r="D209" s="1">
        <f>SUM(OSRRefD22_9x_0)</f>
        <v>1564.56</v>
      </c>
      <c r="E209" s="1"/>
      <c r="F209" s="5">
        <f t="shared" si="81"/>
        <v>3.5678344048322192E-3</v>
      </c>
      <c r="G209" s="1"/>
      <c r="H209" s="1">
        <f>SUM(OSRRefH22_9x_0)</f>
        <v>1545.78</v>
      </c>
      <c r="I209" s="1"/>
      <c r="J209" s="5">
        <f t="shared" si="82"/>
        <v>9.3750761909163326E-3</v>
      </c>
      <c r="K209" s="1"/>
      <c r="L209" s="1">
        <f t="shared" si="83"/>
        <v>18.779999999999973</v>
      </c>
      <c r="M209" s="1"/>
      <c r="N209" s="5">
        <f t="shared" si="84"/>
        <v>1.2149206225982982E-2</v>
      </c>
      <c r="O209" s="12"/>
      <c r="P209" s="1">
        <f>SUM(OSRRefP22_9x_0)</f>
        <v>15451.52</v>
      </c>
      <c r="Q209" s="1"/>
      <c r="R209" s="5">
        <f t="shared" si="85"/>
        <v>3.2837061904294148E-3</v>
      </c>
      <c r="S209" s="1"/>
      <c r="T209" s="1">
        <f>SUM(OSRRefT22_9x_0)</f>
        <v>17713.98</v>
      </c>
      <c r="U209" s="1"/>
      <c r="V209" s="5">
        <f t="shared" si="86"/>
        <v>1.5918807383747192E-3</v>
      </c>
      <c r="W209" s="1"/>
      <c r="X209" s="1">
        <f t="shared" si="87"/>
        <v>-2262.4599999999991</v>
      </c>
      <c r="Y209" s="1"/>
      <c r="Z209" s="5">
        <f t="shared" si="88"/>
        <v>-0.12772172035872228</v>
      </c>
    </row>
    <row r="210" spans="1:26" s="23" customFormat="1" hidden="1" outlineLevel="2" x14ac:dyDescent="0.25">
      <c r="A210" s="27"/>
      <c r="B210" s="10" t="str">
        <f>CONCATENATE("          ", "6351", " - ", "EQUIPMENT RENTAL")</f>
        <v xml:space="preserve">          6351 - EQUIPMENT RENTAL</v>
      </c>
      <c r="C210" s="10"/>
      <c r="D210" s="6">
        <v>1564.56</v>
      </c>
      <c r="E210" s="2"/>
      <c r="F210" s="7">
        <f t="shared" si="81"/>
        <v>3.5678344048322192E-3</v>
      </c>
      <c r="G210" s="2"/>
      <c r="H210" s="6">
        <v>1545.78</v>
      </c>
      <c r="I210" s="2"/>
      <c r="J210" s="7">
        <f t="shared" si="82"/>
        <v>9.3750761909163326E-3</v>
      </c>
      <c r="K210" s="2"/>
      <c r="L210" s="6">
        <f t="shared" si="83"/>
        <v>18.779999999999973</v>
      </c>
      <c r="M210" s="2"/>
      <c r="N210" s="7">
        <f t="shared" si="84"/>
        <v>1.2149206225982982E-2</v>
      </c>
      <c r="O210" s="10"/>
      <c r="P210" s="6">
        <v>15451.52</v>
      </c>
      <c r="Q210" s="2"/>
      <c r="R210" s="7">
        <f t="shared" si="85"/>
        <v>3.2837061904294148E-3</v>
      </c>
      <c r="S210" s="2"/>
      <c r="T210" s="6">
        <v>17713.98</v>
      </c>
      <c r="U210" s="2"/>
      <c r="V210" s="7">
        <f t="shared" si="86"/>
        <v>1.5918807383747192E-3</v>
      </c>
      <c r="W210" s="2"/>
      <c r="X210" s="6">
        <f t="shared" si="87"/>
        <v>-2262.4599999999991</v>
      </c>
      <c r="Y210" s="2"/>
      <c r="Z210" s="7">
        <f t="shared" si="88"/>
        <v>-0.12772172035872228</v>
      </c>
    </row>
    <row r="211" spans="1:26" s="26" customFormat="1" outlineLevel="1" collapsed="1" x14ac:dyDescent="0.25">
      <c r="A211" s="25"/>
      <c r="B211" s="12" t="str">
        <f>CONCATENATE("     ","Freight out/Postage                               ")</f>
        <v xml:space="preserve">     Freight out/Postage                               </v>
      </c>
      <c r="C211" s="12"/>
      <c r="D211" s="1">
        <f>SUM(OSRRefD22_10x_0)</f>
        <v>-12484.620000000003</v>
      </c>
      <c r="E211" s="1"/>
      <c r="F211" s="5">
        <f t="shared" si="81"/>
        <v>-2.8470021454758163E-2</v>
      </c>
      <c r="G211" s="1"/>
      <c r="H211" s="1">
        <f>SUM(OSRRefH22_10x_0)</f>
        <v>9042.8799999999992</v>
      </c>
      <c r="I211" s="1"/>
      <c r="J211" s="5">
        <f t="shared" si="82"/>
        <v>5.4844602068414315E-2</v>
      </c>
      <c r="K211" s="1"/>
      <c r="L211" s="1">
        <f t="shared" si="83"/>
        <v>-21527.5</v>
      </c>
      <c r="M211" s="1"/>
      <c r="N211" s="5">
        <f t="shared" si="84"/>
        <v>-2.3806021975299907</v>
      </c>
      <c r="O211" s="12"/>
      <c r="P211" s="1">
        <f>SUM(OSRRefP22_10x_0)</f>
        <v>-46741.450000000012</v>
      </c>
      <c r="Q211" s="1"/>
      <c r="R211" s="5">
        <f t="shared" si="85"/>
        <v>-9.9333391611082268E-3</v>
      </c>
      <c r="S211" s="1"/>
      <c r="T211" s="1">
        <f>SUM(OSRRefT22_10x_0)</f>
        <v>10225.380000000005</v>
      </c>
      <c r="U211" s="1"/>
      <c r="V211" s="5">
        <f t="shared" si="86"/>
        <v>9.1891181228397534E-4</v>
      </c>
      <c r="W211" s="1"/>
      <c r="X211" s="1">
        <f t="shared" si="87"/>
        <v>-56966.830000000016</v>
      </c>
      <c r="Y211" s="1"/>
      <c r="Z211" s="5">
        <f t="shared" si="88"/>
        <v>-5.5711210732510663</v>
      </c>
    </row>
    <row r="212" spans="1:26" s="23" customFormat="1" hidden="1" outlineLevel="2" x14ac:dyDescent="0.25">
      <c r="A212" s="27"/>
      <c r="B212" s="10" t="str">
        <f>CONCATENATE("          ", "6305", " - ", "FREIGHT OUT")</f>
        <v xml:space="preserve">          6305 - FREIGHT OUT</v>
      </c>
      <c r="C212" s="10"/>
      <c r="D212" s="6">
        <v>22697.32</v>
      </c>
      <c r="E212" s="2"/>
      <c r="F212" s="7">
        <f t="shared" si="81"/>
        <v>5.1759139434400997E-2</v>
      </c>
      <c r="G212" s="2"/>
      <c r="H212" s="6">
        <v>10602.72</v>
      </c>
      <c r="I212" s="2"/>
      <c r="J212" s="7">
        <f t="shared" si="82"/>
        <v>6.4304951436137361E-2</v>
      </c>
      <c r="K212" s="2"/>
      <c r="L212" s="6">
        <f t="shared" si="83"/>
        <v>12094.6</v>
      </c>
      <c r="M212" s="2"/>
      <c r="N212" s="7">
        <f t="shared" si="84"/>
        <v>1.1407072902047777</v>
      </c>
      <c r="O212" s="10"/>
      <c r="P212" s="6">
        <v>202180.93</v>
      </c>
      <c r="Q212" s="2"/>
      <c r="R212" s="7">
        <f t="shared" si="85"/>
        <v>4.2966826009853798E-2</v>
      </c>
      <c r="S212" s="2"/>
      <c r="T212" s="6">
        <v>62656.37</v>
      </c>
      <c r="U212" s="2"/>
      <c r="V212" s="7">
        <f t="shared" si="86"/>
        <v>5.6306639467516399E-3</v>
      </c>
      <c r="W212" s="2"/>
      <c r="X212" s="6">
        <f t="shared" si="87"/>
        <v>139524.56</v>
      </c>
      <c r="Y212" s="2"/>
      <c r="Z212" s="7">
        <f t="shared" si="88"/>
        <v>2.2268216304264032</v>
      </c>
    </row>
    <row r="213" spans="1:26" s="23" customFormat="1" hidden="1" outlineLevel="2" x14ac:dyDescent="0.25">
      <c r="A213" s="27"/>
      <c r="B213" s="10" t="str">
        <f>CONCATENATE("          ", "6307", " - ", "POSTAGE")</f>
        <v xml:space="preserve">          6307 - POSTAGE</v>
      </c>
      <c r="C213" s="10"/>
      <c r="D213" s="6">
        <v>-35181.94</v>
      </c>
      <c r="E213" s="2"/>
      <c r="F213" s="7">
        <f t="shared" si="81"/>
        <v>-8.0229160889159157E-2</v>
      </c>
      <c r="G213" s="2"/>
      <c r="H213" s="6">
        <v>-1559.84</v>
      </c>
      <c r="I213" s="2"/>
      <c r="J213" s="7">
        <f t="shared" si="82"/>
        <v>-9.460349367723048E-3</v>
      </c>
      <c r="K213" s="2"/>
      <c r="L213" s="6">
        <f t="shared" si="83"/>
        <v>-33622.100000000006</v>
      </c>
      <c r="M213" s="2"/>
      <c r="N213" s="7">
        <f t="shared" si="84"/>
        <v>21.554838957841834</v>
      </c>
      <c r="O213" s="10"/>
      <c r="P213" s="6">
        <v>-248922.38</v>
      </c>
      <c r="Q213" s="2"/>
      <c r="R213" s="7">
        <f t="shared" si="85"/>
        <v>-5.2900165170962021E-2</v>
      </c>
      <c r="S213" s="2"/>
      <c r="T213" s="6">
        <v>-52430.99</v>
      </c>
      <c r="U213" s="2"/>
      <c r="V213" s="7">
        <f t="shared" si="86"/>
        <v>-4.711752134467664E-3</v>
      </c>
      <c r="W213" s="2"/>
      <c r="X213" s="6">
        <f t="shared" si="87"/>
        <v>-196491.39</v>
      </c>
      <c r="Y213" s="2"/>
      <c r="Z213" s="7">
        <f t="shared" si="88"/>
        <v>3.7476192991969066</v>
      </c>
    </row>
    <row r="214" spans="1:26" s="26" customFormat="1" outlineLevel="1" collapsed="1" x14ac:dyDescent="0.25">
      <c r="A214" s="25"/>
      <c r="B214" s="12" t="str">
        <f>CONCATENATE("     ","General                                           ")</f>
        <v xml:space="preserve">     General                                           </v>
      </c>
      <c r="C214" s="12"/>
      <c r="D214" s="1">
        <f>SUM(OSRRefD22_11x_0)</f>
        <v>213.84</v>
      </c>
      <c r="E214" s="1"/>
      <c r="F214" s="5">
        <f t="shared" ref="F214:F223" si="89">IF(D$12=0,0,D214/D$12)</f>
        <v>4.876423461735707E-4</v>
      </c>
      <c r="G214" s="1"/>
      <c r="H214" s="1">
        <f>SUM(OSRRefH22_11x_0)</f>
        <v>-660.03</v>
      </c>
      <c r="I214" s="1"/>
      <c r="J214" s="5">
        <f t="shared" ref="J214:J223" si="90">IF(H$12=0,0,H214/H$12)</f>
        <v>-4.0030480005502122E-3</v>
      </c>
      <c r="K214" s="1"/>
      <c r="L214" s="1">
        <f t="shared" ref="L214:L223" si="91">+D214-H214</f>
        <v>873.87</v>
      </c>
      <c r="M214" s="1"/>
      <c r="N214" s="5">
        <f t="shared" ref="N214:N223" si="92">IF(H214=0,0,L214/H214)</f>
        <v>-1.3239852733966639</v>
      </c>
      <c r="O214" s="12"/>
      <c r="P214" s="1">
        <f>SUM(OSRRefP22_11x_0)</f>
        <v>6158.49</v>
      </c>
      <c r="Q214" s="1"/>
      <c r="R214" s="5">
        <f t="shared" ref="R214:R223" si="93">IF(P$12=0,0,P214/P$12)</f>
        <v>1.308782031586384E-3</v>
      </c>
      <c r="S214" s="1"/>
      <c r="T214" s="1">
        <f>SUM(OSRRefT22_11x_0)</f>
        <v>9089.52</v>
      </c>
      <c r="U214" s="1"/>
      <c r="V214" s="5">
        <f t="shared" ref="V214:V223" si="94">IF(T$12=0,0,T214/T$12)</f>
        <v>8.1683686043857893E-4</v>
      </c>
      <c r="W214" s="1"/>
      <c r="X214" s="1">
        <f t="shared" ref="X214:X223" si="95">+P214-T214</f>
        <v>-2931.0300000000007</v>
      </c>
      <c r="Y214" s="1"/>
      <c r="Z214" s="5">
        <f t="shared" ref="Z214:Z223" si="96">IF(T214=0,0,X214/T214)</f>
        <v>-0.32246257228104458</v>
      </c>
    </row>
    <row r="215" spans="1:26" s="23" customFormat="1" hidden="1" outlineLevel="2" x14ac:dyDescent="0.25">
      <c r="A215" s="27"/>
      <c r="B215" s="10" t="str">
        <f>CONCATENATE("          ", "6279", " - ", "GENERAL EXPENSE")</f>
        <v xml:space="preserve">          6279 - GENERAL EXPENSE</v>
      </c>
      <c r="C215" s="10"/>
      <c r="D215" s="6">
        <v>213.84</v>
      </c>
      <c r="E215" s="2"/>
      <c r="F215" s="7">
        <f t="shared" si="89"/>
        <v>4.876423461735707E-4</v>
      </c>
      <c r="G215" s="2"/>
      <c r="H215" s="6">
        <v>-660.03</v>
      </c>
      <c r="I215" s="2"/>
      <c r="J215" s="7">
        <f t="shared" si="90"/>
        <v>-4.0030480005502122E-3</v>
      </c>
      <c r="K215" s="2"/>
      <c r="L215" s="6">
        <f t="shared" si="91"/>
        <v>873.87</v>
      </c>
      <c r="M215" s="2"/>
      <c r="N215" s="7">
        <f t="shared" si="92"/>
        <v>-1.3239852733966639</v>
      </c>
      <c r="O215" s="10"/>
      <c r="P215" s="6">
        <v>6158.49</v>
      </c>
      <c r="Q215" s="2"/>
      <c r="R215" s="7">
        <f t="shared" si="93"/>
        <v>1.308782031586384E-3</v>
      </c>
      <c r="S215" s="2"/>
      <c r="T215" s="6">
        <v>9089.52</v>
      </c>
      <c r="U215" s="2"/>
      <c r="V215" s="7">
        <f t="shared" si="94"/>
        <v>8.1683686043857893E-4</v>
      </c>
      <c r="W215" s="2"/>
      <c r="X215" s="6">
        <f t="shared" si="95"/>
        <v>-2931.0300000000007</v>
      </c>
      <c r="Y215" s="2"/>
      <c r="Z215" s="7">
        <f t="shared" si="96"/>
        <v>-0.32246257228104458</v>
      </c>
    </row>
    <row r="216" spans="1:26" s="26" customFormat="1" outlineLevel="1" collapsed="1" x14ac:dyDescent="0.25">
      <c r="A216" s="25"/>
      <c r="B216" s="12" t="str">
        <f>CONCATENATE("     ","Insurance                                         ")</f>
        <v xml:space="preserve">     Insurance                                         </v>
      </c>
      <c r="C216" s="12"/>
      <c r="D216" s="1">
        <f>SUM(OSRRefD22_12x_0)</f>
        <v>4288.28</v>
      </c>
      <c r="E216" s="1"/>
      <c r="F216" s="5">
        <f t="shared" si="89"/>
        <v>9.7790260019135784E-3</v>
      </c>
      <c r="G216" s="1"/>
      <c r="H216" s="1">
        <f>SUM(OSRRefH22_12x_0)</f>
        <v>4288.28</v>
      </c>
      <c r="I216" s="1"/>
      <c r="J216" s="5">
        <f t="shared" si="90"/>
        <v>2.6008197627076745E-2</v>
      </c>
      <c r="K216" s="1"/>
      <c r="L216" s="1">
        <f t="shared" si="91"/>
        <v>0</v>
      </c>
      <c r="M216" s="1"/>
      <c r="N216" s="5">
        <f t="shared" si="92"/>
        <v>0</v>
      </c>
      <c r="O216" s="12"/>
      <c r="P216" s="1">
        <f>SUM(OSRRefP22_12x_0)</f>
        <v>42882.8</v>
      </c>
      <c r="Q216" s="1"/>
      <c r="R216" s="5">
        <f t="shared" si="93"/>
        <v>9.1133115591829489E-3</v>
      </c>
      <c r="S216" s="1"/>
      <c r="T216" s="1">
        <f>SUM(OSRRefT22_12x_0)</f>
        <v>42882.8</v>
      </c>
      <c r="U216" s="1"/>
      <c r="V216" s="5">
        <f t="shared" si="94"/>
        <v>3.8536965339000841E-3</v>
      </c>
      <c r="W216" s="1"/>
      <c r="X216" s="1">
        <f t="shared" si="95"/>
        <v>0</v>
      </c>
      <c r="Y216" s="1"/>
      <c r="Z216" s="5">
        <f t="shared" si="96"/>
        <v>0</v>
      </c>
    </row>
    <row r="217" spans="1:26" s="23" customFormat="1" hidden="1" outlineLevel="2" x14ac:dyDescent="0.25">
      <c r="A217" s="27"/>
      <c r="B217" s="10" t="str">
        <f>CONCATENATE("          ", "6314", " - ", "LIABILITY INSURANCE")</f>
        <v xml:space="preserve">          6314 - LIABILITY INSURANCE</v>
      </c>
      <c r="C217" s="10"/>
      <c r="D217" s="6">
        <v>4288.28</v>
      </c>
      <c r="E217" s="2"/>
      <c r="F217" s="7">
        <f t="shared" si="89"/>
        <v>9.7790260019135784E-3</v>
      </c>
      <c r="G217" s="2"/>
      <c r="H217" s="6">
        <v>4288.28</v>
      </c>
      <c r="I217" s="2"/>
      <c r="J217" s="7">
        <f t="shared" si="90"/>
        <v>2.6008197627076745E-2</v>
      </c>
      <c r="K217" s="2"/>
      <c r="L217" s="6">
        <f t="shared" si="91"/>
        <v>0</v>
      </c>
      <c r="M217" s="2"/>
      <c r="N217" s="7">
        <f t="shared" si="92"/>
        <v>0</v>
      </c>
      <c r="O217" s="10"/>
      <c r="P217" s="6">
        <v>42882.8</v>
      </c>
      <c r="Q217" s="2"/>
      <c r="R217" s="7">
        <f t="shared" si="93"/>
        <v>9.1133115591829489E-3</v>
      </c>
      <c r="S217" s="2"/>
      <c r="T217" s="6">
        <v>42882.8</v>
      </c>
      <c r="U217" s="2"/>
      <c r="V217" s="7">
        <f t="shared" si="94"/>
        <v>3.8536965339000841E-3</v>
      </c>
      <c r="W217" s="2"/>
      <c r="X217" s="6">
        <f t="shared" si="95"/>
        <v>0</v>
      </c>
      <c r="Y217" s="2"/>
      <c r="Z217" s="7">
        <f t="shared" si="96"/>
        <v>0</v>
      </c>
    </row>
    <row r="218" spans="1:26" s="26" customFormat="1" outlineLevel="1" collapsed="1" x14ac:dyDescent="0.25">
      <c r="A218" s="25"/>
      <c r="B218" s="12" t="str">
        <f>CONCATENATE("     ","Interest                                          ")</f>
        <v xml:space="preserve">     Interest                                          </v>
      </c>
      <c r="C218" s="12"/>
      <c r="D218" s="1">
        <f>SUM(OSRRefD22_13x_0)</f>
        <v>3213</v>
      </c>
      <c r="E218" s="1"/>
      <c r="F218" s="5">
        <f t="shared" si="89"/>
        <v>7.3269493932645088E-3</v>
      </c>
      <c r="G218" s="1"/>
      <c r="H218" s="1">
        <f>SUM(OSRRefH22_13x_0)</f>
        <v>3124.82</v>
      </c>
      <c r="I218" s="1"/>
      <c r="J218" s="5">
        <f t="shared" si="90"/>
        <v>1.8951872571063913E-2</v>
      </c>
      <c r="K218" s="1"/>
      <c r="L218" s="1">
        <f t="shared" si="91"/>
        <v>88.179999999999836</v>
      </c>
      <c r="M218" s="1"/>
      <c r="N218" s="5">
        <f t="shared" si="92"/>
        <v>2.8219225427384562E-2</v>
      </c>
      <c r="O218" s="12"/>
      <c r="P218" s="1">
        <f>SUM(OSRRefP22_13x_0)</f>
        <v>39346.85</v>
      </c>
      <c r="Q218" s="1"/>
      <c r="R218" s="5">
        <f t="shared" si="93"/>
        <v>8.3618630994813196E-3</v>
      </c>
      <c r="S218" s="1"/>
      <c r="T218" s="1">
        <f>SUM(OSRRefT22_13x_0)</f>
        <v>40493.769999999997</v>
      </c>
      <c r="U218" s="1"/>
      <c r="V218" s="5">
        <f t="shared" si="94"/>
        <v>3.6390044748371652E-3</v>
      </c>
      <c r="W218" s="1"/>
      <c r="X218" s="1">
        <f t="shared" si="95"/>
        <v>-1146.9199999999983</v>
      </c>
      <c r="Y218" s="1"/>
      <c r="Z218" s="5">
        <f t="shared" si="96"/>
        <v>-2.8323369249146187E-2</v>
      </c>
    </row>
    <row r="219" spans="1:26" s="23" customFormat="1" hidden="1" outlineLevel="2" x14ac:dyDescent="0.25">
      <c r="A219" s="27"/>
      <c r="B219" s="10" t="str">
        <f>CONCATENATE("          ", "6401", " - ", "INTEREST EXPENSE")</f>
        <v xml:space="preserve">          6401 - INTEREST EXPENSE</v>
      </c>
      <c r="C219" s="10"/>
      <c r="D219" s="6">
        <v>3213</v>
      </c>
      <c r="E219" s="2"/>
      <c r="F219" s="7">
        <f t="shared" si="89"/>
        <v>7.3269493932645088E-3</v>
      </c>
      <c r="G219" s="2"/>
      <c r="H219" s="6">
        <v>3124.82</v>
      </c>
      <c r="I219" s="2"/>
      <c r="J219" s="7">
        <f t="shared" si="90"/>
        <v>1.8951872571063913E-2</v>
      </c>
      <c r="K219" s="2"/>
      <c r="L219" s="6">
        <f t="shared" si="91"/>
        <v>88.179999999999836</v>
      </c>
      <c r="M219" s="2"/>
      <c r="N219" s="7">
        <f t="shared" si="92"/>
        <v>2.8219225427384562E-2</v>
      </c>
      <c r="O219" s="10"/>
      <c r="P219" s="6">
        <v>39346.85</v>
      </c>
      <c r="Q219" s="2"/>
      <c r="R219" s="7">
        <f t="shared" si="93"/>
        <v>8.3618630994813196E-3</v>
      </c>
      <c r="S219" s="2"/>
      <c r="T219" s="6">
        <v>40493.769999999997</v>
      </c>
      <c r="U219" s="2"/>
      <c r="V219" s="7">
        <f t="shared" si="94"/>
        <v>3.6390044748371652E-3</v>
      </c>
      <c r="W219" s="2"/>
      <c r="X219" s="6">
        <f t="shared" si="95"/>
        <v>-1146.9199999999983</v>
      </c>
      <c r="Y219" s="2"/>
      <c r="Z219" s="7">
        <f t="shared" si="96"/>
        <v>-2.8323369249146187E-2</v>
      </c>
    </row>
    <row r="220" spans="1:26" s="26" customFormat="1" outlineLevel="1" collapsed="1" x14ac:dyDescent="0.25">
      <c r="A220" s="25"/>
      <c r="B220" s="12" t="str">
        <f>CONCATENATE("     ","Inventory Adjustment                              ")</f>
        <v xml:space="preserve">     Inventory Adjustment                              </v>
      </c>
      <c r="C220" s="12"/>
      <c r="D220" s="1">
        <f>SUM(OSRRefD22_14x_0)</f>
        <v>2100</v>
      </c>
      <c r="E220" s="1"/>
      <c r="F220" s="5">
        <f t="shared" si="89"/>
        <v>4.7888558125911826E-3</v>
      </c>
      <c r="G220" s="1"/>
      <c r="H220" s="1">
        <f>SUM(OSRRefH22_14x_0)</f>
        <v>4550</v>
      </c>
      <c r="I220" s="1"/>
      <c r="J220" s="5">
        <f t="shared" si="90"/>
        <v>2.7595515965188652E-2</v>
      </c>
      <c r="K220" s="1"/>
      <c r="L220" s="1">
        <f t="shared" si="91"/>
        <v>-2450</v>
      </c>
      <c r="M220" s="1"/>
      <c r="N220" s="5">
        <f t="shared" si="92"/>
        <v>-0.53846153846153844</v>
      </c>
      <c r="O220" s="12"/>
      <c r="P220" s="1">
        <f>SUM(OSRRefP22_14x_0)</f>
        <v>26000</v>
      </c>
      <c r="Q220" s="1"/>
      <c r="R220" s="5">
        <f t="shared" si="93"/>
        <v>5.5254344524787707E-3</v>
      </c>
      <c r="S220" s="1"/>
      <c r="T220" s="1">
        <f>SUM(OSRRefT22_14x_0)</f>
        <v>48800</v>
      </c>
      <c r="U220" s="1"/>
      <c r="V220" s="5">
        <f t="shared" si="94"/>
        <v>4.3854503636498576E-3</v>
      </c>
      <c r="W220" s="1"/>
      <c r="X220" s="1">
        <f t="shared" si="95"/>
        <v>-22800</v>
      </c>
      <c r="Y220" s="1"/>
      <c r="Z220" s="5">
        <f t="shared" si="96"/>
        <v>-0.46721311475409838</v>
      </c>
    </row>
    <row r="221" spans="1:26" s="23" customFormat="1" hidden="1" outlineLevel="2" x14ac:dyDescent="0.25">
      <c r="A221" s="27"/>
      <c r="B221" s="10" t="str">
        <f>CONCATENATE("          ", "6408", " - ", "INVENTORY ADJUSTMENT")</f>
        <v xml:space="preserve">          6408 - INVENTORY ADJUSTMENT</v>
      </c>
      <c r="C221" s="10"/>
      <c r="D221" s="6">
        <v>2100</v>
      </c>
      <c r="E221" s="2"/>
      <c r="F221" s="7">
        <f t="shared" si="89"/>
        <v>4.7888558125911826E-3</v>
      </c>
      <c r="G221" s="2"/>
      <c r="H221" s="6">
        <v>4550</v>
      </c>
      <c r="I221" s="2"/>
      <c r="J221" s="7">
        <f t="shared" si="90"/>
        <v>2.7595515965188652E-2</v>
      </c>
      <c r="K221" s="2"/>
      <c r="L221" s="6">
        <f t="shared" si="91"/>
        <v>-2450</v>
      </c>
      <c r="M221" s="2"/>
      <c r="N221" s="7">
        <f t="shared" si="92"/>
        <v>-0.53846153846153844</v>
      </c>
      <c r="O221" s="10"/>
      <c r="P221" s="6">
        <v>26000</v>
      </c>
      <c r="Q221" s="2"/>
      <c r="R221" s="7">
        <f t="shared" si="93"/>
        <v>5.5254344524787707E-3</v>
      </c>
      <c r="S221" s="2"/>
      <c r="T221" s="6">
        <v>48800</v>
      </c>
      <c r="U221" s="2"/>
      <c r="V221" s="7">
        <f t="shared" si="94"/>
        <v>4.3854503636498576E-3</v>
      </c>
      <c r="W221" s="2"/>
      <c r="X221" s="6">
        <f t="shared" si="95"/>
        <v>-22800</v>
      </c>
      <c r="Y221" s="2"/>
      <c r="Z221" s="7">
        <f t="shared" si="96"/>
        <v>-0.46721311475409838</v>
      </c>
    </row>
    <row r="222" spans="1:26" s="23" customFormat="1" hidden="1" outlineLevel="2" x14ac:dyDescent="0.25">
      <c r="A222" s="27"/>
      <c r="B222" s="10" t="str">
        <f>CONCATENATE("          ", "7701", " - ", "INV. SHRINKAGE-NEW TEXT")</f>
        <v xml:space="preserve">          7701 - INV. SHRINKAGE-NEW TEXT</v>
      </c>
      <c r="C222" s="10"/>
      <c r="D222" s="6"/>
      <c r="E222" s="2"/>
      <c r="F222" s="7">
        <f t="shared" si="89"/>
        <v>0</v>
      </c>
      <c r="G222" s="2"/>
      <c r="H222" s="6"/>
      <c r="I222" s="2"/>
      <c r="J222" s="7">
        <f t="shared" si="90"/>
        <v>0</v>
      </c>
      <c r="K222" s="2"/>
      <c r="L222" s="6">
        <f t="shared" si="91"/>
        <v>0</v>
      </c>
      <c r="M222" s="2"/>
      <c r="N222" s="7">
        <f t="shared" si="92"/>
        <v>0</v>
      </c>
      <c r="O222" s="10"/>
      <c r="P222" s="6"/>
      <c r="Q222" s="2"/>
      <c r="R222" s="7">
        <f t="shared" si="93"/>
        <v>0</v>
      </c>
      <c r="S222" s="2"/>
      <c r="T222" s="6">
        <v>0</v>
      </c>
      <c r="U222" s="2"/>
      <c r="V222" s="7">
        <f t="shared" si="94"/>
        <v>0</v>
      </c>
      <c r="W222" s="2"/>
      <c r="X222" s="6">
        <f t="shared" si="95"/>
        <v>0</v>
      </c>
      <c r="Y222" s="2"/>
      <c r="Z222" s="7">
        <f t="shared" si="96"/>
        <v>0</v>
      </c>
    </row>
    <row r="223" spans="1:26" s="23" customFormat="1" hidden="1" outlineLevel="2" x14ac:dyDescent="0.25">
      <c r="A223" s="27"/>
      <c r="B223" s="10" t="str">
        <f>CONCATENATE("          ", "7741", " - ", "INV. SHRINKAGE-LOGO GIFTS")</f>
        <v xml:space="preserve">          7741 - INV. SHRINKAGE-LOGO GIFTS</v>
      </c>
      <c r="C223" s="10"/>
      <c r="D223" s="6"/>
      <c r="E223" s="2"/>
      <c r="F223" s="7">
        <f t="shared" si="89"/>
        <v>0</v>
      </c>
      <c r="G223" s="2"/>
      <c r="H223" s="6"/>
      <c r="I223" s="2"/>
      <c r="J223" s="7">
        <f t="shared" si="90"/>
        <v>0</v>
      </c>
      <c r="K223" s="2"/>
      <c r="L223" s="6">
        <f t="shared" si="91"/>
        <v>0</v>
      </c>
      <c r="M223" s="2"/>
      <c r="N223" s="7">
        <f t="shared" si="92"/>
        <v>0</v>
      </c>
      <c r="O223" s="10"/>
      <c r="P223" s="6">
        <v>0</v>
      </c>
      <c r="Q223" s="2"/>
      <c r="R223" s="7">
        <f t="shared" si="93"/>
        <v>0</v>
      </c>
      <c r="S223" s="2"/>
      <c r="T223" s="6"/>
      <c r="U223" s="2"/>
      <c r="V223" s="7">
        <f t="shared" si="94"/>
        <v>0</v>
      </c>
      <c r="W223" s="2"/>
      <c r="X223" s="6">
        <f t="shared" si="95"/>
        <v>0</v>
      </c>
      <c r="Y223" s="2"/>
      <c r="Z223" s="7">
        <f t="shared" si="96"/>
        <v>0</v>
      </c>
    </row>
    <row r="224" spans="1:26" s="26" customFormat="1" outlineLevel="1" collapsed="1" x14ac:dyDescent="0.25">
      <c r="A224" s="25"/>
      <c r="B224" s="12" t="str">
        <f>CONCATENATE("     ","Professional Services                             ")</f>
        <v xml:space="preserve">     Professional Services                             </v>
      </c>
      <c r="C224" s="12"/>
      <c r="D224" s="1">
        <f>SUM(OSRRefD22_15x_0)</f>
        <v>0</v>
      </c>
      <c r="E224" s="1"/>
      <c r="F224" s="5">
        <f t="shared" ref="F224:F232" si="97">IF(D$12=0,0,D224/D$12)</f>
        <v>0</v>
      </c>
      <c r="G224" s="1"/>
      <c r="H224" s="1">
        <f>SUM(OSRRefH22_15x_0)</f>
        <v>2930</v>
      </c>
      <c r="I224" s="1"/>
      <c r="J224" s="5">
        <f t="shared" ref="J224:J232" si="98">IF(H$12=0,0,H224/H$12)</f>
        <v>1.7770299291868737E-2</v>
      </c>
      <c r="K224" s="1"/>
      <c r="L224" s="1">
        <f t="shared" ref="L224:L232" si="99">+D224-H224</f>
        <v>-2930</v>
      </c>
      <c r="M224" s="1"/>
      <c r="N224" s="5">
        <f t="shared" ref="N224:N232" si="100">IF(H224=0,0,L224/H224)</f>
        <v>-1</v>
      </c>
      <c r="O224" s="12"/>
      <c r="P224" s="1">
        <f>SUM(OSRRefP22_15x_0)</f>
        <v>0</v>
      </c>
      <c r="Q224" s="1"/>
      <c r="R224" s="5">
        <f t="shared" ref="R224:R232" si="101">IF(P$12=0,0,P224/P$12)</f>
        <v>0</v>
      </c>
      <c r="S224" s="1"/>
      <c r="T224" s="1">
        <f>SUM(OSRRefT22_15x_0)</f>
        <v>9129.56</v>
      </c>
      <c r="U224" s="1"/>
      <c r="V224" s="5">
        <f t="shared" ref="V224:V232" si="102">IF(T$12=0,0,T224/T$12)</f>
        <v>8.2043508651563905E-4</v>
      </c>
      <c r="W224" s="1"/>
      <c r="X224" s="1">
        <f t="shared" ref="X224:X232" si="103">+P224-T224</f>
        <v>-9129.56</v>
      </c>
      <c r="Y224" s="1"/>
      <c r="Z224" s="5">
        <f t="shared" ref="Z224:Z232" si="104">IF(T224=0,0,X224/T224)</f>
        <v>-1</v>
      </c>
    </row>
    <row r="225" spans="1:26" s="23" customFormat="1" hidden="1" outlineLevel="2" x14ac:dyDescent="0.25">
      <c r="A225" s="27"/>
      <c r="B225" s="10" t="str">
        <f>CONCATENATE("          ", "6336", " - ", "PROFESSIONAL SERVICES")</f>
        <v xml:space="preserve">          6336 - PROFESSIONAL SERVICES</v>
      </c>
      <c r="C225" s="10"/>
      <c r="D225" s="6"/>
      <c r="E225" s="2"/>
      <c r="F225" s="7">
        <f t="shared" si="97"/>
        <v>0</v>
      </c>
      <c r="G225" s="2"/>
      <c r="H225" s="6">
        <v>2930</v>
      </c>
      <c r="I225" s="2"/>
      <c r="J225" s="7">
        <f t="shared" si="98"/>
        <v>1.7770299291868737E-2</v>
      </c>
      <c r="K225" s="2"/>
      <c r="L225" s="6">
        <f t="shared" si="99"/>
        <v>-2930</v>
      </c>
      <c r="M225" s="2"/>
      <c r="N225" s="7">
        <f t="shared" si="100"/>
        <v>-1</v>
      </c>
      <c r="O225" s="10"/>
      <c r="P225" s="6"/>
      <c r="Q225" s="2"/>
      <c r="R225" s="7">
        <f t="shared" si="101"/>
        <v>0</v>
      </c>
      <c r="S225" s="2"/>
      <c r="T225" s="6">
        <v>9129.56</v>
      </c>
      <c r="U225" s="2"/>
      <c r="V225" s="7">
        <f t="shared" si="102"/>
        <v>8.2043508651563905E-4</v>
      </c>
      <c r="W225" s="2"/>
      <c r="X225" s="6">
        <f t="shared" si="103"/>
        <v>-9129.56</v>
      </c>
      <c r="Y225" s="2"/>
      <c r="Z225" s="7">
        <f t="shared" si="104"/>
        <v>-1</v>
      </c>
    </row>
    <row r="226" spans="1:26" s="26" customFormat="1" outlineLevel="1" collapsed="1" x14ac:dyDescent="0.25">
      <c r="A226" s="25"/>
      <c r="B226" s="12" t="str">
        <f>CONCATENATE("     ","Rent                                              ")</f>
        <v xml:space="preserve">     Rent                                              </v>
      </c>
      <c r="C226" s="12"/>
      <c r="D226" s="1">
        <f>SUM(OSRRefD22_16x_0)</f>
        <v>6100</v>
      </c>
      <c r="E226" s="1"/>
      <c r="F226" s="5">
        <f t="shared" si="97"/>
        <v>1.3910485931812482E-2</v>
      </c>
      <c r="G226" s="1"/>
      <c r="H226" s="1">
        <f>SUM(OSRRefH22_16x_0)</f>
        <v>7250</v>
      </c>
      <c r="I226" s="1"/>
      <c r="J226" s="5">
        <f t="shared" si="98"/>
        <v>4.3970877087388512E-2</v>
      </c>
      <c r="K226" s="1"/>
      <c r="L226" s="1">
        <f t="shared" si="99"/>
        <v>-1150</v>
      </c>
      <c r="M226" s="1"/>
      <c r="N226" s="5">
        <f t="shared" si="100"/>
        <v>-0.15862068965517243</v>
      </c>
      <c r="O226" s="12"/>
      <c r="P226" s="1">
        <f>SUM(OSRRefP22_16x_0)</f>
        <v>61000</v>
      </c>
      <c r="Q226" s="1"/>
      <c r="R226" s="5">
        <f t="shared" si="101"/>
        <v>1.296351929235404E-2</v>
      </c>
      <c r="S226" s="1"/>
      <c r="T226" s="1">
        <f>SUM(OSRRefT22_16x_0)</f>
        <v>74100</v>
      </c>
      <c r="U226" s="1"/>
      <c r="V226" s="5">
        <f t="shared" si="102"/>
        <v>6.6590547530011148E-3</v>
      </c>
      <c r="W226" s="1"/>
      <c r="X226" s="1">
        <f t="shared" si="103"/>
        <v>-13100</v>
      </c>
      <c r="Y226" s="1"/>
      <c r="Z226" s="5">
        <f t="shared" si="104"/>
        <v>-0.17678812415654521</v>
      </c>
    </row>
    <row r="227" spans="1:26" s="23" customFormat="1" hidden="1" outlineLevel="2" x14ac:dyDescent="0.25">
      <c r="A227" s="27"/>
      <c r="B227" s="10" t="str">
        <f>CONCATENATE("          ", "6273", " - ", "RENT")</f>
        <v xml:space="preserve">          6273 - RENT</v>
      </c>
      <c r="C227" s="10"/>
      <c r="D227" s="6">
        <v>6100</v>
      </c>
      <c r="E227" s="2"/>
      <c r="F227" s="7">
        <f t="shared" si="97"/>
        <v>1.3910485931812482E-2</v>
      </c>
      <c r="G227" s="2"/>
      <c r="H227" s="6">
        <v>7250</v>
      </c>
      <c r="I227" s="2"/>
      <c r="J227" s="7">
        <f t="shared" si="98"/>
        <v>4.3970877087388512E-2</v>
      </c>
      <c r="K227" s="2"/>
      <c r="L227" s="6">
        <f t="shared" si="99"/>
        <v>-1150</v>
      </c>
      <c r="M227" s="2"/>
      <c r="N227" s="7">
        <f t="shared" si="100"/>
        <v>-0.15862068965517243</v>
      </c>
      <c r="O227" s="10"/>
      <c r="P227" s="6">
        <v>61000</v>
      </c>
      <c r="Q227" s="2"/>
      <c r="R227" s="7">
        <f t="shared" si="101"/>
        <v>1.296351929235404E-2</v>
      </c>
      <c r="S227" s="2"/>
      <c r="T227" s="6">
        <v>74100</v>
      </c>
      <c r="U227" s="2"/>
      <c r="V227" s="7">
        <f t="shared" si="102"/>
        <v>6.6590547530011148E-3</v>
      </c>
      <c r="W227" s="2"/>
      <c r="X227" s="6">
        <f t="shared" si="103"/>
        <v>-13100</v>
      </c>
      <c r="Y227" s="2"/>
      <c r="Z227" s="7">
        <f t="shared" si="104"/>
        <v>-0.17678812415654521</v>
      </c>
    </row>
    <row r="228" spans="1:26" s="26" customFormat="1" outlineLevel="1" collapsed="1" x14ac:dyDescent="0.25">
      <c r="A228" s="25"/>
      <c r="B228" s="12" t="str">
        <f>CONCATENATE("     ","Repair and Maintenance                            ")</f>
        <v xml:space="preserve">     Repair and Maintenance                            </v>
      </c>
      <c r="C228" s="12"/>
      <c r="D228" s="1">
        <f>SUM(OSRRefD22_17x_0)</f>
        <v>2485.83</v>
      </c>
      <c r="E228" s="1"/>
      <c r="F228" s="5">
        <f t="shared" si="97"/>
        <v>5.6687054498159705E-3</v>
      </c>
      <c r="G228" s="1"/>
      <c r="H228" s="1">
        <f>SUM(OSRRefH22_17x_0)</f>
        <v>7476.9100000000008</v>
      </c>
      <c r="I228" s="1"/>
      <c r="J228" s="5">
        <f t="shared" si="98"/>
        <v>4.5347074565995321E-2</v>
      </c>
      <c r="K228" s="1"/>
      <c r="L228" s="1">
        <f t="shared" si="99"/>
        <v>-4991.0800000000008</v>
      </c>
      <c r="M228" s="1"/>
      <c r="N228" s="5">
        <f t="shared" si="100"/>
        <v>-0.66753244321517846</v>
      </c>
      <c r="O228" s="12"/>
      <c r="P228" s="1">
        <f>SUM(OSRRefP22_17x_0)</f>
        <v>135741.99</v>
      </c>
      <c r="Q228" s="1"/>
      <c r="R228" s="5">
        <f t="shared" si="101"/>
        <v>2.8847441084385722E-2</v>
      </c>
      <c r="S228" s="1"/>
      <c r="T228" s="1">
        <f>SUM(OSRRefT22_17x_0)</f>
        <v>145866.93</v>
      </c>
      <c r="U228" s="1"/>
      <c r="V228" s="5">
        <f t="shared" si="102"/>
        <v>1.3108446336331726E-2</v>
      </c>
      <c r="W228" s="1"/>
      <c r="X228" s="1">
        <f t="shared" si="103"/>
        <v>-10124.940000000002</v>
      </c>
      <c r="Y228" s="1"/>
      <c r="Z228" s="5">
        <f t="shared" si="104"/>
        <v>-6.9412169022821019E-2</v>
      </c>
    </row>
    <row r="229" spans="1:26" s="23" customFormat="1" hidden="1" outlineLevel="2" x14ac:dyDescent="0.25">
      <c r="A229" s="27"/>
      <c r="B229" s="10" t="str">
        <f>CONCATENATE("          ", "6371", " - ", "COMPUTER SOFTWARE MAINTENANCE")</f>
        <v xml:space="preserve">          6371 - COMPUTER SOFTWARE MAINTENANCE</v>
      </c>
      <c r="C229" s="10"/>
      <c r="D229" s="6"/>
      <c r="E229" s="2"/>
      <c r="F229" s="7">
        <f t="shared" si="97"/>
        <v>0</v>
      </c>
      <c r="G229" s="2"/>
      <c r="H229" s="6">
        <v>631.04999999999995</v>
      </c>
      <c r="I229" s="2"/>
      <c r="J229" s="7">
        <f t="shared" si="98"/>
        <v>3.8272857911719337E-3</v>
      </c>
      <c r="K229" s="2"/>
      <c r="L229" s="6">
        <f t="shared" si="99"/>
        <v>-631.04999999999995</v>
      </c>
      <c r="M229" s="2"/>
      <c r="N229" s="7">
        <f t="shared" si="100"/>
        <v>-1</v>
      </c>
      <c r="O229" s="10"/>
      <c r="P229" s="6">
        <v>59767.72</v>
      </c>
      <c r="Q229" s="2"/>
      <c r="R229" s="7">
        <f t="shared" si="101"/>
        <v>1.2701639201311711E-2</v>
      </c>
      <c r="S229" s="2"/>
      <c r="T229" s="6">
        <v>17729.43</v>
      </c>
      <c r="U229" s="2"/>
      <c r="V229" s="7">
        <f t="shared" si="102"/>
        <v>1.5932691647705878E-3</v>
      </c>
      <c r="W229" s="2"/>
      <c r="X229" s="6">
        <f t="shared" si="103"/>
        <v>42038.29</v>
      </c>
      <c r="Y229" s="2"/>
      <c r="Z229" s="7">
        <f t="shared" si="104"/>
        <v>2.3711021730535049</v>
      </c>
    </row>
    <row r="230" spans="1:26" s="23" customFormat="1" hidden="1" outlineLevel="2" x14ac:dyDescent="0.25">
      <c r="A230" s="27"/>
      <c r="B230" s="10" t="str">
        <f>CONCATENATE("          ", "6372", " - ", "COMPUTER HARDWARE MAINTENANCE")</f>
        <v xml:space="preserve">          6372 - COMPUTER HARDWARE MAINTENANCE</v>
      </c>
      <c r="C230" s="10"/>
      <c r="D230" s="6"/>
      <c r="E230" s="2"/>
      <c r="F230" s="7">
        <f t="shared" si="97"/>
        <v>0</v>
      </c>
      <c r="G230" s="2"/>
      <c r="H230" s="6"/>
      <c r="I230" s="2"/>
      <c r="J230" s="7">
        <f t="shared" si="98"/>
        <v>0</v>
      </c>
      <c r="K230" s="2"/>
      <c r="L230" s="6">
        <f t="shared" si="99"/>
        <v>0</v>
      </c>
      <c r="M230" s="2"/>
      <c r="N230" s="7">
        <f t="shared" si="100"/>
        <v>0</v>
      </c>
      <c r="O230" s="10"/>
      <c r="P230" s="6">
        <v>-1.1499999999999999</v>
      </c>
      <c r="Q230" s="2"/>
      <c r="R230" s="7">
        <f t="shared" si="101"/>
        <v>-2.4439421616733022E-7</v>
      </c>
      <c r="S230" s="2"/>
      <c r="T230" s="6">
        <v>52.32</v>
      </c>
      <c r="U230" s="2"/>
      <c r="V230" s="7">
        <f t="shared" si="102"/>
        <v>4.7017779308639455E-6</v>
      </c>
      <c r="W230" s="2"/>
      <c r="X230" s="6">
        <f t="shared" si="103"/>
        <v>-53.47</v>
      </c>
      <c r="Y230" s="2"/>
      <c r="Z230" s="7">
        <f t="shared" si="104"/>
        <v>-1.0219801223241589</v>
      </c>
    </row>
    <row r="231" spans="1:26" s="23" customFormat="1" hidden="1" outlineLevel="2" x14ac:dyDescent="0.25">
      <c r="A231" s="27"/>
      <c r="B231" s="10" t="str">
        <f>CONCATENATE("          ", "6373", " - ", "MAINTENANCE CONTRACTS")</f>
        <v xml:space="preserve">          6373 - MAINTENANCE CONTRACTS</v>
      </c>
      <c r="C231" s="10"/>
      <c r="D231" s="6">
        <v>1429</v>
      </c>
      <c r="E231" s="2"/>
      <c r="F231" s="7">
        <f t="shared" si="97"/>
        <v>3.2587023600918093E-3</v>
      </c>
      <c r="G231" s="2"/>
      <c r="H231" s="6">
        <v>5481.56</v>
      </c>
      <c r="I231" s="2"/>
      <c r="J231" s="7">
        <f t="shared" si="98"/>
        <v>3.3245379449261432E-2</v>
      </c>
      <c r="K231" s="2"/>
      <c r="L231" s="6">
        <f t="shared" si="99"/>
        <v>-4052.5600000000004</v>
      </c>
      <c r="M231" s="2"/>
      <c r="N231" s="7">
        <f t="shared" si="100"/>
        <v>-0.73930778829384336</v>
      </c>
      <c r="O231" s="10"/>
      <c r="P231" s="6">
        <v>47376.63</v>
      </c>
      <c r="Q231" s="2"/>
      <c r="R231" s="7">
        <f t="shared" si="101"/>
        <v>1.0068325524782281E-2</v>
      </c>
      <c r="S231" s="2"/>
      <c r="T231" s="6">
        <v>75814.19</v>
      </c>
      <c r="U231" s="2"/>
      <c r="V231" s="7">
        <f t="shared" si="102"/>
        <v>6.8131017849450692E-3</v>
      </c>
      <c r="W231" s="2"/>
      <c r="X231" s="6">
        <f t="shared" si="103"/>
        <v>-28437.560000000005</v>
      </c>
      <c r="Y231" s="2"/>
      <c r="Z231" s="7">
        <f t="shared" si="104"/>
        <v>-0.3750954801469224</v>
      </c>
    </row>
    <row r="232" spans="1:26" s="23" customFormat="1" hidden="1" outlineLevel="2" x14ac:dyDescent="0.25">
      <c r="A232" s="27"/>
      <c r="B232" s="10" t="str">
        <f>CONCATENATE("          ", "6375", " - ", "OUTSIDE REPAIRS &amp; MAINTENANCE")</f>
        <v xml:space="preserve">          6375 - OUTSIDE REPAIRS &amp; MAINTENANCE</v>
      </c>
      <c r="C232" s="10"/>
      <c r="D232" s="6">
        <v>1056.83</v>
      </c>
      <c r="E232" s="2"/>
      <c r="F232" s="7">
        <f t="shared" si="97"/>
        <v>2.4100030897241612E-3</v>
      </c>
      <c r="G232" s="2"/>
      <c r="H232" s="6">
        <v>1364.3</v>
      </c>
      <c r="I232" s="2"/>
      <c r="J232" s="7">
        <f t="shared" si="98"/>
        <v>8.2744093255619506E-3</v>
      </c>
      <c r="K232" s="2"/>
      <c r="L232" s="6">
        <f t="shared" si="99"/>
        <v>-307.47000000000003</v>
      </c>
      <c r="M232" s="2"/>
      <c r="N232" s="7">
        <f t="shared" si="100"/>
        <v>-0.22536832075056809</v>
      </c>
      <c r="O232" s="10"/>
      <c r="P232" s="6">
        <v>28598.79</v>
      </c>
      <c r="Q232" s="2"/>
      <c r="R232" s="7">
        <f t="shared" si="101"/>
        <v>6.077720752507898E-3</v>
      </c>
      <c r="S232" s="2"/>
      <c r="T232" s="6">
        <v>52270.99</v>
      </c>
      <c r="U232" s="2"/>
      <c r="V232" s="7">
        <f t="shared" si="102"/>
        <v>4.6973736086852059E-3</v>
      </c>
      <c r="W232" s="2"/>
      <c r="X232" s="6">
        <f t="shared" si="103"/>
        <v>-23672.199999999997</v>
      </c>
      <c r="Y232" s="2"/>
      <c r="Z232" s="7">
        <f t="shared" si="104"/>
        <v>-0.45287452944740475</v>
      </c>
    </row>
    <row r="233" spans="1:26" s="26" customFormat="1" outlineLevel="1" collapsed="1" x14ac:dyDescent="0.25">
      <c r="A233" s="25"/>
      <c r="B233" s="12" t="str">
        <f>CONCATENATE("     ","Royalty &amp; Commissions                             ")</f>
        <v xml:space="preserve">     Royalty &amp; Commissions                             </v>
      </c>
      <c r="C233" s="12"/>
      <c r="D233" s="1">
        <f>SUM(OSRRefD22_18x_0)</f>
        <v>11531.75</v>
      </c>
      <c r="E233" s="1"/>
      <c r="F233" s="5">
        <f t="shared" ref="F233:F236" si="105">IF(D$12=0,0,D233/D$12)</f>
        <v>2.6297089531832556E-2</v>
      </c>
      <c r="G233" s="1"/>
      <c r="H233" s="1">
        <f>SUM(OSRRefH22_18x_0)</f>
        <v>20337.45</v>
      </c>
      <c r="I233" s="1"/>
      <c r="J233" s="5">
        <f t="shared" ref="J233:J236" si="106">IF(H$12=0,0,H233/H$12)</f>
        <v>0.12334558816840131</v>
      </c>
      <c r="K233" s="1"/>
      <c r="L233" s="1">
        <f t="shared" ref="L233:L236" si="107">+D233-H233</f>
        <v>-8805.7000000000007</v>
      </c>
      <c r="M233" s="1"/>
      <c r="N233" s="5">
        <f t="shared" ref="N233:N236" si="108">IF(H233=0,0,L233/H233)</f>
        <v>-0.4329795525004364</v>
      </c>
      <c r="O233" s="12"/>
      <c r="P233" s="1">
        <f>SUM(OSRRefP22_18x_0)</f>
        <v>48578.649999999994</v>
      </c>
      <c r="Q233" s="1"/>
      <c r="R233" s="5">
        <f t="shared" ref="R233:R236" si="109">IF(P$12=0,0,P233/P$12)</f>
        <v>1.0323774860188763E-2</v>
      </c>
      <c r="S233" s="1"/>
      <c r="T233" s="1">
        <f>SUM(OSRRefT22_18x_0)</f>
        <v>148005.54</v>
      </c>
      <c r="U233" s="1"/>
      <c r="V233" s="5">
        <f t="shared" ref="V233:V236" si="110">IF(T$12=0,0,T233/T$12)</f>
        <v>1.3300634205229376E-2</v>
      </c>
      <c r="W233" s="1"/>
      <c r="X233" s="1">
        <f t="shared" ref="X233:X236" si="111">+P233-T233</f>
        <v>-99426.890000000014</v>
      </c>
      <c r="Y233" s="1"/>
      <c r="Z233" s="5">
        <f t="shared" ref="Z233:Z236" si="112">IF(T233=0,0,X233/T233)</f>
        <v>-0.6717781645200579</v>
      </c>
    </row>
    <row r="234" spans="1:26" s="23" customFormat="1" hidden="1" outlineLevel="2" x14ac:dyDescent="0.25">
      <c r="A234" s="27"/>
      <c r="B234" s="10" t="str">
        <f>CONCATENATE("          ", "6253", " - ", "ROYALTY DUE ATHLETICS-LRG")</f>
        <v xml:space="preserve">          6253 - ROYALTY DUE ATHLETICS-LRG</v>
      </c>
      <c r="C234" s="10"/>
      <c r="D234" s="6">
        <v>8961.48</v>
      </c>
      <c r="E234" s="2"/>
      <c r="F234" s="7">
        <f t="shared" si="105"/>
        <v>2.0435826470199821E-2</v>
      </c>
      <c r="G234" s="2"/>
      <c r="H234" s="6">
        <v>14555.51</v>
      </c>
      <c r="I234" s="2"/>
      <c r="J234" s="7">
        <f t="shared" si="106"/>
        <v>8.8278419469552324E-2</v>
      </c>
      <c r="K234" s="2"/>
      <c r="L234" s="6">
        <f t="shared" si="107"/>
        <v>-5594.0300000000007</v>
      </c>
      <c r="M234" s="2"/>
      <c r="N234" s="7">
        <f t="shared" si="108"/>
        <v>-0.38432387460143963</v>
      </c>
      <c r="O234" s="10"/>
      <c r="P234" s="6">
        <v>35159.06</v>
      </c>
      <c r="Q234" s="2"/>
      <c r="R234" s="7">
        <f t="shared" si="109"/>
        <v>7.4718877477218558E-3</v>
      </c>
      <c r="S234" s="2"/>
      <c r="T234" s="6">
        <v>32870.44</v>
      </c>
      <c r="U234" s="2"/>
      <c r="V234" s="7">
        <f t="shared" si="110"/>
        <v>2.9539279313797301E-3</v>
      </c>
      <c r="W234" s="2"/>
      <c r="X234" s="6">
        <f t="shared" si="111"/>
        <v>2288.6199999999953</v>
      </c>
      <c r="Y234" s="2"/>
      <c r="Z234" s="7">
        <f t="shared" si="112"/>
        <v>6.962547504688088E-2</v>
      </c>
    </row>
    <row r="235" spans="1:26" s="23" customFormat="1" hidden="1" outlineLevel="2" x14ac:dyDescent="0.25">
      <c r="A235" s="27"/>
      <c r="B235" s="10" t="str">
        <f>CONCATENATE("          ", "6254", " - ", "ROYALTY &amp; COMMISSIONS")</f>
        <v xml:space="preserve">          6254 - ROYALTY &amp; COMMISSIONS</v>
      </c>
      <c r="C235" s="10"/>
      <c r="D235" s="6"/>
      <c r="E235" s="2"/>
      <c r="F235" s="7">
        <f t="shared" si="105"/>
        <v>0</v>
      </c>
      <c r="G235" s="2"/>
      <c r="H235" s="6"/>
      <c r="I235" s="2"/>
      <c r="J235" s="7">
        <f t="shared" si="106"/>
        <v>0</v>
      </c>
      <c r="K235" s="2"/>
      <c r="L235" s="6">
        <f t="shared" si="107"/>
        <v>0</v>
      </c>
      <c r="M235" s="2"/>
      <c r="N235" s="7">
        <f t="shared" si="108"/>
        <v>0</v>
      </c>
      <c r="O235" s="10"/>
      <c r="P235" s="6">
        <v>185.7</v>
      </c>
      <c r="Q235" s="2"/>
      <c r="R235" s="7">
        <f t="shared" si="109"/>
        <v>3.946435299328107E-5</v>
      </c>
      <c r="S235" s="2"/>
      <c r="T235" s="6">
        <v>32527.360000000001</v>
      </c>
      <c r="U235" s="2"/>
      <c r="V235" s="7">
        <f t="shared" si="110"/>
        <v>2.9230967774706929E-3</v>
      </c>
      <c r="W235" s="2"/>
      <c r="X235" s="6">
        <f t="shared" si="111"/>
        <v>-32341.66</v>
      </c>
      <c r="Y235" s="2"/>
      <c r="Z235" s="7">
        <f t="shared" si="112"/>
        <v>-0.9942909599795372</v>
      </c>
    </row>
    <row r="236" spans="1:26" s="23" customFormat="1" hidden="1" outlineLevel="2" x14ac:dyDescent="0.25">
      <c r="A236" s="27"/>
      <c r="B236" s="10" t="str">
        <f>CONCATENATE("          ", "6259", " - ", "ROYALTY &amp; COMMISSIONS")</f>
        <v xml:space="preserve">          6259 - ROYALTY &amp; COMMISSIONS</v>
      </c>
      <c r="C236" s="10"/>
      <c r="D236" s="6">
        <v>2570.27</v>
      </c>
      <c r="E236" s="2"/>
      <c r="F236" s="7">
        <f t="shared" si="105"/>
        <v>5.8612630616327321E-3</v>
      </c>
      <c r="G236" s="2"/>
      <c r="H236" s="6">
        <v>5781.94</v>
      </c>
      <c r="I236" s="2"/>
      <c r="J236" s="7">
        <f t="shared" si="106"/>
        <v>3.5067168698848981E-2</v>
      </c>
      <c r="K236" s="2"/>
      <c r="L236" s="6">
        <f t="shared" si="107"/>
        <v>-3211.6699999999996</v>
      </c>
      <c r="M236" s="2"/>
      <c r="N236" s="7">
        <f t="shared" si="108"/>
        <v>-0.55546581251275517</v>
      </c>
      <c r="O236" s="10"/>
      <c r="P236" s="6">
        <v>13233.89</v>
      </c>
      <c r="Q236" s="2"/>
      <c r="R236" s="7">
        <f t="shared" si="109"/>
        <v>2.8124227594736261E-3</v>
      </c>
      <c r="S236" s="2"/>
      <c r="T236" s="6">
        <v>82607.740000000005</v>
      </c>
      <c r="U236" s="2"/>
      <c r="V236" s="7">
        <f t="shared" si="110"/>
        <v>7.4236094963789521E-3</v>
      </c>
      <c r="W236" s="2"/>
      <c r="X236" s="6">
        <f t="shared" si="111"/>
        <v>-69373.850000000006</v>
      </c>
      <c r="Y236" s="2"/>
      <c r="Z236" s="7">
        <f t="shared" si="112"/>
        <v>-0.83979842566810325</v>
      </c>
    </row>
    <row r="237" spans="1:26" s="26" customFormat="1" outlineLevel="1" collapsed="1" x14ac:dyDescent="0.25">
      <c r="A237" s="25"/>
      <c r="B237" s="12" t="str">
        <f>CONCATENATE("     ","Services                                          ")</f>
        <v xml:space="preserve">     Services                                          </v>
      </c>
      <c r="C237" s="12"/>
      <c r="D237" s="1">
        <f>SUM(OSRRefD22_19x_0)</f>
        <v>4447.17</v>
      </c>
      <c r="E237" s="1"/>
      <c r="F237" s="5">
        <f t="shared" ref="F237:F242" si="113">IF(D$12=0,0,D237/D$12)</f>
        <v>1.0141359954324348E-2</v>
      </c>
      <c r="G237" s="1"/>
      <c r="H237" s="1">
        <f>SUM(OSRRefH22_19x_0)</f>
        <v>5120.0499999999993</v>
      </c>
      <c r="I237" s="1"/>
      <c r="J237" s="5">
        <f t="shared" ref="J237:J242" si="114">IF(H$12=0,0,H237/H$12)</f>
        <v>3.105283989397014E-2</v>
      </c>
      <c r="K237" s="1"/>
      <c r="L237" s="1">
        <f t="shared" ref="L237:L242" si="115">+D237-H237</f>
        <v>-672.8799999999992</v>
      </c>
      <c r="M237" s="1"/>
      <c r="N237" s="5">
        <f t="shared" ref="N237:N242" si="116">IF(H237=0,0,L237/H237)</f>
        <v>-0.13142059159578506</v>
      </c>
      <c r="O237" s="12"/>
      <c r="P237" s="1">
        <f>SUM(OSRRefP22_19x_0)</f>
        <v>42590.19</v>
      </c>
      <c r="Q237" s="1"/>
      <c r="R237" s="5">
        <f t="shared" ref="R237:R242" si="117">IF(P$12=0,0,P237/P$12)</f>
        <v>9.0511270447544943E-3</v>
      </c>
      <c r="S237" s="1"/>
      <c r="T237" s="1">
        <f>SUM(OSRRefT22_19x_0)</f>
        <v>62437.38</v>
      </c>
      <c r="U237" s="1"/>
      <c r="V237" s="5">
        <f t="shared" ref="V237:V242" si="118">IF(T$12=0,0,T237/T$12)</f>
        <v>5.6109842382447601E-3</v>
      </c>
      <c r="W237" s="1"/>
      <c r="X237" s="1">
        <f t="shared" ref="X237:X242" si="119">+P237-T237</f>
        <v>-19847.189999999995</v>
      </c>
      <c r="Y237" s="1"/>
      <c r="Z237" s="5">
        <f t="shared" ref="Z237:Z242" si="120">IF(T237=0,0,X237/T237)</f>
        <v>-0.3178735238410067</v>
      </c>
    </row>
    <row r="238" spans="1:26" s="23" customFormat="1" hidden="1" outlineLevel="2" x14ac:dyDescent="0.25">
      <c r="A238" s="27"/>
      <c r="B238" s="10" t="str">
        <f>CONCATENATE("          ", "6282", " - ", "JANITORIAL/EXTERMINATOR EXPENS")</f>
        <v xml:space="preserve">          6282 - JANITORIAL/EXTERMINATOR EXPENS</v>
      </c>
      <c r="C238" s="10"/>
      <c r="D238" s="6">
        <v>151.85</v>
      </c>
      <c r="E238" s="2"/>
      <c r="F238" s="7">
        <f t="shared" si="113"/>
        <v>3.4627988340093856E-4</v>
      </c>
      <c r="G238" s="2"/>
      <c r="H238" s="6">
        <v>351.5</v>
      </c>
      <c r="I238" s="2"/>
      <c r="J238" s="7">
        <f t="shared" si="114"/>
        <v>2.1318294201678706E-3</v>
      </c>
      <c r="K238" s="2"/>
      <c r="L238" s="6">
        <f t="shared" si="115"/>
        <v>-199.65</v>
      </c>
      <c r="M238" s="2"/>
      <c r="N238" s="7">
        <f t="shared" si="116"/>
        <v>-0.56799431009957324</v>
      </c>
      <c r="O238" s="10"/>
      <c r="P238" s="6">
        <v>9492.93</v>
      </c>
      <c r="Q238" s="2"/>
      <c r="R238" s="7">
        <f t="shared" si="117"/>
        <v>2.0174062491142039E-3</v>
      </c>
      <c r="S238" s="2"/>
      <c r="T238" s="6">
        <v>8732.11</v>
      </c>
      <c r="U238" s="2"/>
      <c r="V238" s="7">
        <f t="shared" si="118"/>
        <v>7.8471792981415079E-4</v>
      </c>
      <c r="W238" s="2"/>
      <c r="X238" s="6">
        <f t="shared" si="119"/>
        <v>760.81999999999971</v>
      </c>
      <c r="Y238" s="2"/>
      <c r="Z238" s="7">
        <f t="shared" si="120"/>
        <v>8.7128998604002889E-2</v>
      </c>
    </row>
    <row r="239" spans="1:26" s="23" customFormat="1" hidden="1" outlineLevel="2" x14ac:dyDescent="0.25">
      <c r="A239" s="27"/>
      <c r="B239" s="10" t="str">
        <f>CONCATENATE("          ", "6283", " - ", "PLANT SERVICE")</f>
        <v xml:space="preserve">          6283 - PLANT SERVICE</v>
      </c>
      <c r="C239" s="10"/>
      <c r="D239" s="6"/>
      <c r="E239" s="2"/>
      <c r="F239" s="7">
        <f t="shared" si="113"/>
        <v>0</v>
      </c>
      <c r="G239" s="2"/>
      <c r="H239" s="6"/>
      <c r="I239" s="2"/>
      <c r="J239" s="7">
        <f t="shared" si="114"/>
        <v>0</v>
      </c>
      <c r="K239" s="2"/>
      <c r="L239" s="6">
        <f t="shared" si="115"/>
        <v>0</v>
      </c>
      <c r="M239" s="2"/>
      <c r="N239" s="7">
        <f t="shared" si="116"/>
        <v>0</v>
      </c>
      <c r="O239" s="10"/>
      <c r="P239" s="6">
        <v>171.31</v>
      </c>
      <c r="Q239" s="2"/>
      <c r="R239" s="7">
        <f t="shared" si="117"/>
        <v>3.6406237540543777E-5</v>
      </c>
      <c r="S239" s="2"/>
      <c r="T239" s="6">
        <v>541.98</v>
      </c>
      <c r="U239" s="2"/>
      <c r="V239" s="7">
        <f t="shared" si="118"/>
        <v>4.8705458772355529E-5</v>
      </c>
      <c r="W239" s="2"/>
      <c r="X239" s="6">
        <f t="shared" si="119"/>
        <v>-370.67</v>
      </c>
      <c r="Y239" s="2"/>
      <c r="Z239" s="7">
        <f t="shared" si="120"/>
        <v>-0.68391822576478833</v>
      </c>
    </row>
    <row r="240" spans="1:26" s="23" customFormat="1" hidden="1" outlineLevel="2" x14ac:dyDescent="0.25">
      <c r="A240" s="27"/>
      <c r="B240" s="10" t="str">
        <f>CONCATENATE("          ", "6284", " - ", "TRASH REMOVAL EXPENSE")</f>
        <v xml:space="preserve">          6284 - TRASH REMOVAL EXPENSE</v>
      </c>
      <c r="C240" s="10"/>
      <c r="D240" s="6">
        <v>431.57</v>
      </c>
      <c r="E240" s="2"/>
      <c r="F240" s="7">
        <f t="shared" si="113"/>
        <v>9.8415547763808404E-4</v>
      </c>
      <c r="G240" s="2"/>
      <c r="H240" s="6">
        <v>423.82</v>
      </c>
      <c r="I240" s="2"/>
      <c r="J240" s="7">
        <f t="shared" si="114"/>
        <v>2.5704465003002757E-3</v>
      </c>
      <c r="K240" s="2"/>
      <c r="L240" s="6">
        <f t="shared" si="115"/>
        <v>7.75</v>
      </c>
      <c r="M240" s="2"/>
      <c r="N240" s="7">
        <f t="shared" si="116"/>
        <v>1.8286064838846681E-2</v>
      </c>
      <c r="O240" s="10"/>
      <c r="P240" s="6">
        <v>2604.7199999999998</v>
      </c>
      <c r="Q240" s="2"/>
      <c r="R240" s="7">
        <f t="shared" si="117"/>
        <v>5.5354652411771172E-4</v>
      </c>
      <c r="S240" s="2"/>
      <c r="T240" s="6">
        <v>4237.2</v>
      </c>
      <c r="U240" s="2"/>
      <c r="V240" s="7">
        <f t="shared" si="118"/>
        <v>3.8077930903395851E-4</v>
      </c>
      <c r="W240" s="2"/>
      <c r="X240" s="6">
        <f t="shared" si="119"/>
        <v>-1632.48</v>
      </c>
      <c r="Y240" s="2"/>
      <c r="Z240" s="7">
        <f t="shared" si="120"/>
        <v>-0.38527329368450863</v>
      </c>
    </row>
    <row r="241" spans="1:26" s="23" customFormat="1" hidden="1" outlineLevel="2" x14ac:dyDescent="0.25">
      <c r="A241" s="27"/>
      <c r="B241" s="10" t="str">
        <f>CONCATENATE("          ", "6285", " - ", "JANITORIAL SERVICES")</f>
        <v xml:space="preserve">          6285 - JANITORIAL SERVICES</v>
      </c>
      <c r="C241" s="10"/>
      <c r="D241" s="6">
        <v>3863.75</v>
      </c>
      <c r="E241" s="2"/>
      <c r="F241" s="7">
        <f t="shared" si="113"/>
        <v>8.8109245932853249E-3</v>
      </c>
      <c r="G241" s="2"/>
      <c r="H241" s="6">
        <v>4344.7299999999996</v>
      </c>
      <c r="I241" s="2"/>
      <c r="J241" s="7">
        <f t="shared" si="114"/>
        <v>2.6350563973501998E-2</v>
      </c>
      <c r="K241" s="2"/>
      <c r="L241" s="6">
        <f t="shared" si="115"/>
        <v>-480.97999999999956</v>
      </c>
      <c r="M241" s="2"/>
      <c r="N241" s="7">
        <f t="shared" si="116"/>
        <v>-0.11070423248395174</v>
      </c>
      <c r="O241" s="10"/>
      <c r="P241" s="6">
        <v>30321.23</v>
      </c>
      <c r="Q241" s="2"/>
      <c r="R241" s="7">
        <f t="shared" si="117"/>
        <v>6.4437680339820341E-3</v>
      </c>
      <c r="S241" s="2"/>
      <c r="T241" s="6">
        <v>42868.45</v>
      </c>
      <c r="U241" s="2"/>
      <c r="V241" s="7">
        <f t="shared" si="118"/>
        <v>3.8524069598689695E-3</v>
      </c>
      <c r="W241" s="2"/>
      <c r="X241" s="6">
        <f t="shared" si="119"/>
        <v>-12547.219999999998</v>
      </c>
      <c r="Y241" s="2"/>
      <c r="Z241" s="7">
        <f t="shared" si="120"/>
        <v>-0.29269124495987137</v>
      </c>
    </row>
    <row r="242" spans="1:26" s="23" customFormat="1" hidden="1" outlineLevel="2" x14ac:dyDescent="0.25">
      <c r="A242" s="27"/>
      <c r="B242" s="10" t="str">
        <f>CONCATENATE("          ", "6286", " - ", "LAUNDRY EXPENSE")</f>
        <v xml:space="preserve">          6286 - LAUNDRY EXPENSE</v>
      </c>
      <c r="C242" s="10"/>
      <c r="D242" s="6"/>
      <c r="E242" s="2"/>
      <c r="F242" s="7">
        <f t="shared" si="113"/>
        <v>0</v>
      </c>
      <c r="G242" s="2"/>
      <c r="H242" s="6"/>
      <c r="I242" s="2"/>
      <c r="J242" s="7">
        <f t="shared" si="114"/>
        <v>0</v>
      </c>
      <c r="K242" s="2"/>
      <c r="L242" s="6">
        <f t="shared" si="115"/>
        <v>0</v>
      </c>
      <c r="M242" s="2"/>
      <c r="N242" s="7">
        <f t="shared" si="116"/>
        <v>0</v>
      </c>
      <c r="O242" s="10"/>
      <c r="P242" s="6"/>
      <c r="Q242" s="2"/>
      <c r="R242" s="7">
        <f t="shared" si="117"/>
        <v>0</v>
      </c>
      <c r="S242" s="2"/>
      <c r="T242" s="6">
        <v>6057.64</v>
      </c>
      <c r="U242" s="2"/>
      <c r="V242" s="7">
        <f t="shared" si="118"/>
        <v>5.4437458075532624E-4</v>
      </c>
      <c r="W242" s="2"/>
      <c r="X242" s="6">
        <f t="shared" si="119"/>
        <v>-6057.64</v>
      </c>
      <c r="Y242" s="2"/>
      <c r="Z242" s="7">
        <f t="shared" si="120"/>
        <v>-1</v>
      </c>
    </row>
    <row r="243" spans="1:26" s="26" customFormat="1" outlineLevel="1" collapsed="1" x14ac:dyDescent="0.25">
      <c r="A243" s="25"/>
      <c r="B243" s="12" t="str">
        <f>CONCATENATE("     ","Subscriptions &amp; Dues                              ")</f>
        <v xml:space="preserve">     Subscriptions &amp; Dues                              </v>
      </c>
      <c r="C243" s="12"/>
      <c r="D243" s="1">
        <f>SUM(OSRRefD22_20x_0)</f>
        <v>2343.58</v>
      </c>
      <c r="E243" s="1"/>
      <c r="F243" s="5">
        <f t="shared" ref="F243:F245" si="121">IF(D$12=0,0,D243/D$12)</f>
        <v>5.3443174787011632E-3</v>
      </c>
      <c r="G243" s="1"/>
      <c r="H243" s="1">
        <f>SUM(OSRRefH22_20x_0)</f>
        <v>2177.08</v>
      </c>
      <c r="I243" s="1"/>
      <c r="J243" s="5">
        <f t="shared" ref="J243:J245" si="122">IF(H$12=0,0,H243/H$12)</f>
        <v>1.3203878219229212E-2</v>
      </c>
      <c r="K243" s="1"/>
      <c r="L243" s="1">
        <f t="shared" ref="L243:L245" si="123">+D243-H243</f>
        <v>166.5</v>
      </c>
      <c r="M243" s="1"/>
      <c r="N243" s="5">
        <f t="shared" ref="N243:N245" si="124">IF(H243=0,0,L243/H243)</f>
        <v>7.6478585995921139E-2</v>
      </c>
      <c r="O243" s="12"/>
      <c r="P243" s="1">
        <f>SUM(OSRRefP22_20x_0)</f>
        <v>6677.91</v>
      </c>
      <c r="Q243" s="1"/>
      <c r="R243" s="5">
        <f t="shared" ref="R243:R245" si="125">IF(P$12=0,0,P243/P$12)</f>
        <v>1.4191674609443272E-3</v>
      </c>
      <c r="S243" s="1"/>
      <c r="T243" s="1">
        <f>SUM(OSRRefT22_20x_0)</f>
        <v>8510.0499999999993</v>
      </c>
      <c r="U243" s="1"/>
      <c r="V243" s="5">
        <f t="shared" ref="V243:V245" si="126">IF(T$12=0,0,T243/T$12)</f>
        <v>7.6476233334382096E-4</v>
      </c>
      <c r="W243" s="1"/>
      <c r="X243" s="1">
        <f t="shared" ref="X243:X245" si="127">+P243-T243</f>
        <v>-1832.1399999999994</v>
      </c>
      <c r="Y243" s="1"/>
      <c r="Z243" s="5">
        <f t="shared" ref="Z243:Z245" si="128">IF(T243=0,0,X243/T243)</f>
        <v>-0.21529133201332537</v>
      </c>
    </row>
    <row r="244" spans="1:26" s="23" customFormat="1" hidden="1" outlineLevel="2" x14ac:dyDescent="0.25">
      <c r="A244" s="27"/>
      <c r="B244" s="10" t="str">
        <f>CONCATENATE("          ", "6258", " - ", "MEMBERSHIP DUES")</f>
        <v xml:space="preserve">          6258 - MEMBERSHIP DUES</v>
      </c>
      <c r="C244" s="10"/>
      <c r="D244" s="6">
        <v>328.71</v>
      </c>
      <c r="E244" s="2"/>
      <c r="F244" s="7">
        <f t="shared" si="121"/>
        <v>7.495927591223083E-4</v>
      </c>
      <c r="G244" s="2"/>
      <c r="H244" s="6">
        <v>250</v>
      </c>
      <c r="I244" s="2"/>
      <c r="J244" s="7">
        <f t="shared" si="122"/>
        <v>1.5162371409444314E-3</v>
      </c>
      <c r="K244" s="2"/>
      <c r="L244" s="6">
        <f t="shared" si="123"/>
        <v>78.70999999999998</v>
      </c>
      <c r="M244" s="2"/>
      <c r="N244" s="7">
        <f t="shared" si="124"/>
        <v>0.3148399999999999</v>
      </c>
      <c r="O244" s="10"/>
      <c r="P244" s="6">
        <v>2435.23</v>
      </c>
      <c r="Q244" s="2"/>
      <c r="R244" s="7">
        <f t="shared" si="125"/>
        <v>5.175270669888415E-4</v>
      </c>
      <c r="S244" s="2"/>
      <c r="T244" s="6">
        <v>4306.41</v>
      </c>
      <c r="U244" s="2"/>
      <c r="V244" s="7">
        <f t="shared" si="126"/>
        <v>3.8699892009273323E-4</v>
      </c>
      <c r="W244" s="2"/>
      <c r="X244" s="6">
        <f t="shared" si="127"/>
        <v>-1871.1799999999998</v>
      </c>
      <c r="Y244" s="2"/>
      <c r="Z244" s="7">
        <f t="shared" si="128"/>
        <v>-0.43451041586843797</v>
      </c>
    </row>
    <row r="245" spans="1:26" s="23" customFormat="1" hidden="1" outlineLevel="2" x14ac:dyDescent="0.25">
      <c r="A245" s="27"/>
      <c r="B245" s="10" t="str">
        <f>CONCATENATE("          ", "6275", " - ", "SUBSCRIPTIONS")</f>
        <v xml:space="preserve">          6275 - SUBSCRIPTIONS</v>
      </c>
      <c r="C245" s="10"/>
      <c r="D245" s="6">
        <v>2014.87</v>
      </c>
      <c r="E245" s="2"/>
      <c r="F245" s="7">
        <f t="shared" si="121"/>
        <v>4.5947247195788545E-3</v>
      </c>
      <c r="G245" s="2"/>
      <c r="H245" s="6">
        <v>1927.08</v>
      </c>
      <c r="I245" s="2"/>
      <c r="J245" s="7">
        <f t="shared" si="122"/>
        <v>1.168764107828478E-2</v>
      </c>
      <c r="K245" s="2"/>
      <c r="L245" s="6">
        <f t="shared" si="123"/>
        <v>87.789999999999964</v>
      </c>
      <c r="M245" s="2"/>
      <c r="N245" s="7">
        <f t="shared" si="124"/>
        <v>4.5555970691408744E-2</v>
      </c>
      <c r="O245" s="10"/>
      <c r="P245" s="6">
        <v>4242.68</v>
      </c>
      <c r="Q245" s="2"/>
      <c r="R245" s="7">
        <f t="shared" si="125"/>
        <v>9.0164039395548596E-4</v>
      </c>
      <c r="S245" s="2"/>
      <c r="T245" s="6">
        <v>4203.6400000000003</v>
      </c>
      <c r="U245" s="2"/>
      <c r="V245" s="7">
        <f t="shared" si="126"/>
        <v>3.7776341325108784E-4</v>
      </c>
      <c r="W245" s="2"/>
      <c r="X245" s="6">
        <f t="shared" si="127"/>
        <v>39.039999999999964</v>
      </c>
      <c r="Y245" s="2"/>
      <c r="Z245" s="7">
        <f t="shared" si="128"/>
        <v>9.287189197933211E-3</v>
      </c>
    </row>
    <row r="246" spans="1:26" s="26" customFormat="1" outlineLevel="1" collapsed="1" x14ac:dyDescent="0.25">
      <c r="A246" s="25"/>
      <c r="B246" s="12" t="str">
        <f>CONCATENATE("     ","Supplies                                          ")</f>
        <v xml:space="preserve">     Supplies                                          </v>
      </c>
      <c r="C246" s="12"/>
      <c r="D246" s="1">
        <f>SUM(OSRRefD22_21x_0)</f>
        <v>8692.42</v>
      </c>
      <c r="E246" s="1"/>
      <c r="F246" s="5">
        <f t="shared" ref="F246:F255" si="129">IF(D$12=0,0,D246/D$12)</f>
        <v>1.9822260020230402E-2</v>
      </c>
      <c r="G246" s="1"/>
      <c r="H246" s="1">
        <f>SUM(OSRRefH22_21x_0)</f>
        <v>5388.7699999999995</v>
      </c>
      <c r="I246" s="1"/>
      <c r="J246" s="5">
        <f t="shared" ref="J246:J255" si="130">IF(H$12=0,0,H246/H$12)</f>
        <v>3.2682612872028491E-2</v>
      </c>
      <c r="K246" s="1"/>
      <c r="L246" s="1">
        <f t="shared" ref="L246:L255" si="131">+D246-H246</f>
        <v>3303.6500000000005</v>
      </c>
      <c r="M246" s="1"/>
      <c r="N246" s="5">
        <f t="shared" ref="N246:N255" si="132">IF(H246=0,0,L246/H246)</f>
        <v>0.61306197889314273</v>
      </c>
      <c r="O246" s="12"/>
      <c r="P246" s="1">
        <f>SUM(OSRRefP22_21x_0)</f>
        <v>112790.78</v>
      </c>
      <c r="Q246" s="1"/>
      <c r="R246" s="5">
        <f t="shared" ref="R246:R255" si="133">IF(P$12=0,0,P246/P$12)</f>
        <v>2.3969925451305905E-2</v>
      </c>
      <c r="S246" s="1"/>
      <c r="T246" s="1">
        <f>SUM(OSRRefT22_21x_0)</f>
        <v>138042.44999999998</v>
      </c>
      <c r="U246" s="1"/>
      <c r="V246" s="5">
        <f t="shared" ref="V246:V255" si="134">IF(T$12=0,0,T246/T$12)</f>
        <v>1.2405293289992155E-2</v>
      </c>
      <c r="W246" s="1"/>
      <c r="X246" s="1">
        <f t="shared" ref="X246:X255" si="135">+P246-T246</f>
        <v>-25251.669999999984</v>
      </c>
      <c r="Y246" s="1"/>
      <c r="Z246" s="5">
        <f t="shared" ref="Z246:Z255" si="136">IF(T246=0,0,X246/T246)</f>
        <v>-0.18292684605351461</v>
      </c>
    </row>
    <row r="247" spans="1:26" s="23" customFormat="1" hidden="1" outlineLevel="2" x14ac:dyDescent="0.25">
      <c r="A247" s="27"/>
      <c r="B247" s="10" t="str">
        <f>CONCATENATE("          ", "6234", " - ", "EXPENDABLE SUPPLIES &amp; EQUIPMEN")</f>
        <v xml:space="preserve">          6234 - EXPENDABLE SUPPLIES &amp; EQUIPMEN</v>
      </c>
      <c r="C247" s="10"/>
      <c r="D247" s="6">
        <v>53</v>
      </c>
      <c r="E247" s="2"/>
      <c r="F247" s="7">
        <f t="shared" si="129"/>
        <v>1.2086159907968222E-4</v>
      </c>
      <c r="G247" s="2"/>
      <c r="H247" s="6">
        <v>140.1</v>
      </c>
      <c r="I247" s="2"/>
      <c r="J247" s="7">
        <f t="shared" si="130"/>
        <v>8.4969929378525934E-4</v>
      </c>
      <c r="K247" s="2"/>
      <c r="L247" s="6">
        <f t="shared" si="131"/>
        <v>-87.1</v>
      </c>
      <c r="M247" s="2"/>
      <c r="N247" s="7">
        <f t="shared" si="132"/>
        <v>-0.62169878658101352</v>
      </c>
      <c r="O247" s="10"/>
      <c r="P247" s="6">
        <v>316.83</v>
      </c>
      <c r="Q247" s="2"/>
      <c r="R247" s="7">
        <f t="shared" si="133"/>
        <v>6.7331669137648037E-5</v>
      </c>
      <c r="S247" s="2"/>
      <c r="T247" s="6">
        <v>4534.26</v>
      </c>
      <c r="U247" s="2"/>
      <c r="V247" s="7">
        <f t="shared" si="134"/>
        <v>4.0747483946481565E-4</v>
      </c>
      <c r="W247" s="2"/>
      <c r="X247" s="6">
        <f t="shared" si="135"/>
        <v>-4217.43</v>
      </c>
      <c r="Y247" s="2"/>
      <c r="Z247" s="7">
        <f t="shared" si="136"/>
        <v>-0.93012531261992037</v>
      </c>
    </row>
    <row r="248" spans="1:26" s="23" customFormat="1" hidden="1" outlineLevel="2" x14ac:dyDescent="0.25">
      <c r="A248" s="27"/>
      <c r="B248" s="10" t="str">
        <f>CONCATENATE("          ", "6235", " - ", "COVID-19 EXPENSES")</f>
        <v xml:space="preserve">          6235 - COVID-19 EXPENSES</v>
      </c>
      <c r="C248" s="10"/>
      <c r="D248" s="6">
        <v>3407.79</v>
      </c>
      <c r="E248" s="2"/>
      <c r="F248" s="7">
        <f t="shared" si="129"/>
        <v>7.7711499759952878E-3</v>
      </c>
      <c r="G248" s="2"/>
      <c r="H248" s="6"/>
      <c r="I248" s="2"/>
      <c r="J248" s="7">
        <f t="shared" si="130"/>
        <v>0</v>
      </c>
      <c r="K248" s="2"/>
      <c r="L248" s="6">
        <f t="shared" si="131"/>
        <v>3407.79</v>
      </c>
      <c r="M248" s="2"/>
      <c r="N248" s="7">
        <f t="shared" si="132"/>
        <v>0</v>
      </c>
      <c r="O248" s="10"/>
      <c r="P248" s="6">
        <v>41277.06</v>
      </c>
      <c r="Q248" s="2"/>
      <c r="R248" s="7">
        <f t="shared" si="133"/>
        <v>8.7720649777320529E-3</v>
      </c>
      <c r="S248" s="2"/>
      <c r="T248" s="6"/>
      <c r="U248" s="2"/>
      <c r="V248" s="7">
        <f t="shared" si="134"/>
        <v>0</v>
      </c>
      <c r="W248" s="2"/>
      <c r="X248" s="6">
        <f t="shared" si="135"/>
        <v>41277.06</v>
      </c>
      <c r="Y248" s="2"/>
      <c r="Z248" s="7">
        <f t="shared" si="136"/>
        <v>0</v>
      </c>
    </row>
    <row r="249" spans="1:26" s="23" customFormat="1" hidden="1" outlineLevel="2" x14ac:dyDescent="0.25">
      <c r="A249" s="27"/>
      <c r="B249" s="10" t="str">
        <f>CONCATENATE("          ", "6237", " - ", "JANITORIAL SUPPLIES")</f>
        <v xml:space="preserve">          6237 - JANITORIAL SUPPLIES</v>
      </c>
      <c r="C249" s="10"/>
      <c r="D249" s="6">
        <v>588.30999999999995</v>
      </c>
      <c r="E249" s="2"/>
      <c r="F249" s="7">
        <f t="shared" si="129"/>
        <v>1.3415865538597706E-3</v>
      </c>
      <c r="G249" s="2"/>
      <c r="H249" s="6">
        <v>482.39</v>
      </c>
      <c r="I249" s="2"/>
      <c r="J249" s="7">
        <f t="shared" si="130"/>
        <v>2.9256705376807372E-3</v>
      </c>
      <c r="K249" s="2"/>
      <c r="L249" s="6">
        <f t="shared" si="131"/>
        <v>105.91999999999996</v>
      </c>
      <c r="M249" s="2"/>
      <c r="N249" s="7">
        <f t="shared" si="132"/>
        <v>0.21957337424075948</v>
      </c>
      <c r="O249" s="10"/>
      <c r="P249" s="6">
        <v>3807.12</v>
      </c>
      <c r="Q249" s="2"/>
      <c r="R249" s="7">
        <f t="shared" si="133"/>
        <v>8.0907661587388373E-4</v>
      </c>
      <c r="S249" s="2"/>
      <c r="T249" s="6">
        <v>9724.01</v>
      </c>
      <c r="U249" s="2"/>
      <c r="V249" s="7">
        <f t="shared" si="134"/>
        <v>8.7385580308677968E-4</v>
      </c>
      <c r="W249" s="2"/>
      <c r="X249" s="6">
        <f t="shared" si="135"/>
        <v>-5916.89</v>
      </c>
      <c r="Y249" s="2"/>
      <c r="Z249" s="7">
        <f t="shared" si="136"/>
        <v>-0.60848250875924648</v>
      </c>
    </row>
    <row r="250" spans="1:26" s="23" customFormat="1" hidden="1" outlineLevel="2" x14ac:dyDescent="0.25">
      <c r="A250" s="27"/>
      <c r="B250" s="10" t="str">
        <f>CONCATENATE("          ", "6239", " - ", "KITCHEN SUPPLIES")</f>
        <v xml:space="preserve">          6239 - KITCHEN SUPPLIES</v>
      </c>
      <c r="C250" s="10"/>
      <c r="D250" s="6"/>
      <c r="E250" s="2"/>
      <c r="F250" s="7">
        <f t="shared" si="129"/>
        <v>0</v>
      </c>
      <c r="G250" s="2"/>
      <c r="H250" s="6"/>
      <c r="I250" s="2"/>
      <c r="J250" s="7">
        <f t="shared" si="130"/>
        <v>0</v>
      </c>
      <c r="K250" s="2"/>
      <c r="L250" s="6">
        <f t="shared" si="131"/>
        <v>0</v>
      </c>
      <c r="M250" s="2"/>
      <c r="N250" s="7">
        <f t="shared" si="132"/>
        <v>0</v>
      </c>
      <c r="O250" s="10"/>
      <c r="P250" s="6"/>
      <c r="Q250" s="2"/>
      <c r="R250" s="7">
        <f t="shared" si="133"/>
        <v>0</v>
      </c>
      <c r="S250" s="2"/>
      <c r="T250" s="6">
        <v>441.2</v>
      </c>
      <c r="U250" s="2"/>
      <c r="V250" s="7">
        <f t="shared" si="134"/>
        <v>3.9648784845129442E-5</v>
      </c>
      <c r="W250" s="2"/>
      <c r="X250" s="6">
        <f t="shared" si="135"/>
        <v>-441.2</v>
      </c>
      <c r="Y250" s="2"/>
      <c r="Z250" s="7">
        <f t="shared" si="136"/>
        <v>-1</v>
      </c>
    </row>
    <row r="251" spans="1:26" s="23" customFormat="1" hidden="1" outlineLevel="2" x14ac:dyDescent="0.25">
      <c r="A251" s="27"/>
      <c r="B251" s="10" t="str">
        <f>CONCATENATE("          ", "6241", " - ", "OFFICE EXPENSE")</f>
        <v xml:space="preserve">          6241 - OFFICE EXPENSE</v>
      </c>
      <c r="C251" s="10"/>
      <c r="D251" s="6">
        <v>514.54999999999995</v>
      </c>
      <c r="E251" s="2"/>
      <c r="F251" s="7">
        <f t="shared" si="129"/>
        <v>1.1733836944613299E-3</v>
      </c>
      <c r="G251" s="2"/>
      <c r="H251" s="6">
        <v>674.84</v>
      </c>
      <c r="I251" s="2"/>
      <c r="J251" s="7">
        <f t="shared" si="130"/>
        <v>4.0928698887797606E-3</v>
      </c>
      <c r="K251" s="2"/>
      <c r="L251" s="6">
        <f t="shared" si="131"/>
        <v>-160.29000000000008</v>
      </c>
      <c r="M251" s="2"/>
      <c r="N251" s="7">
        <f t="shared" si="132"/>
        <v>-0.23752296840732628</v>
      </c>
      <c r="O251" s="10"/>
      <c r="P251" s="6">
        <v>10999.01</v>
      </c>
      <c r="Q251" s="2"/>
      <c r="R251" s="7">
        <f t="shared" si="133"/>
        <v>2.3374734152753281E-3</v>
      </c>
      <c r="S251" s="2"/>
      <c r="T251" s="6">
        <v>25457.89</v>
      </c>
      <c r="U251" s="2"/>
      <c r="V251" s="7">
        <f t="shared" si="134"/>
        <v>2.2877932983249604E-3</v>
      </c>
      <c r="W251" s="2"/>
      <c r="X251" s="6">
        <f t="shared" si="135"/>
        <v>-14458.88</v>
      </c>
      <c r="Y251" s="2"/>
      <c r="Z251" s="7">
        <f t="shared" si="136"/>
        <v>-0.56795280362983736</v>
      </c>
    </row>
    <row r="252" spans="1:26" s="23" customFormat="1" hidden="1" outlineLevel="2" x14ac:dyDescent="0.25">
      <c r="A252" s="27"/>
      <c r="B252" s="10" t="str">
        <f>CONCATENATE("          ", "6243", " - ", "PAPER SUPPLIES")</f>
        <v xml:space="preserve">          6243 - PAPER SUPPLIES</v>
      </c>
      <c r="C252" s="10"/>
      <c r="D252" s="6">
        <v>199.93</v>
      </c>
      <c r="E252" s="2"/>
      <c r="F252" s="7">
        <f t="shared" si="129"/>
        <v>4.5592187743397864E-4</v>
      </c>
      <c r="G252" s="2"/>
      <c r="H252" s="6">
        <v>791.44</v>
      </c>
      <c r="I252" s="2"/>
      <c r="J252" s="7">
        <f t="shared" si="130"/>
        <v>4.8000428913162439E-3</v>
      </c>
      <c r="K252" s="2"/>
      <c r="L252" s="6">
        <f t="shared" si="131"/>
        <v>-591.51</v>
      </c>
      <c r="M252" s="2"/>
      <c r="N252" s="7">
        <f t="shared" si="132"/>
        <v>-0.74738451430304254</v>
      </c>
      <c r="O252" s="10"/>
      <c r="P252" s="6">
        <v>6682.58</v>
      </c>
      <c r="Q252" s="2"/>
      <c r="R252" s="7">
        <f t="shared" si="133"/>
        <v>1.4201599139786764E-3</v>
      </c>
      <c r="S252" s="2"/>
      <c r="T252" s="6">
        <v>22853.279999999999</v>
      </c>
      <c r="U252" s="2"/>
      <c r="V252" s="7">
        <f t="shared" si="134"/>
        <v>2.0537279730859018E-3</v>
      </c>
      <c r="W252" s="2"/>
      <c r="X252" s="6">
        <f t="shared" si="135"/>
        <v>-16170.699999999999</v>
      </c>
      <c r="Y252" s="2"/>
      <c r="Z252" s="7">
        <f t="shared" si="136"/>
        <v>-0.70758770732253751</v>
      </c>
    </row>
    <row r="253" spans="1:26" s="23" customFormat="1" hidden="1" outlineLevel="2" x14ac:dyDescent="0.25">
      <c r="A253" s="27"/>
      <c r="B253" s="10" t="str">
        <f>CONCATENATE("          ", "6245", " - ", "PRINTING")</f>
        <v xml:space="preserve">          6245 - PRINTING</v>
      </c>
      <c r="C253" s="10"/>
      <c r="D253" s="6">
        <v>1766.38</v>
      </c>
      <c r="E253" s="2"/>
      <c r="F253" s="7">
        <f t="shared" si="129"/>
        <v>4.0280662524975301E-3</v>
      </c>
      <c r="G253" s="2"/>
      <c r="H253" s="6">
        <v>485.1</v>
      </c>
      <c r="I253" s="2"/>
      <c r="J253" s="7">
        <f t="shared" si="130"/>
        <v>2.942106548288575E-3</v>
      </c>
      <c r="K253" s="2"/>
      <c r="L253" s="6">
        <f t="shared" si="131"/>
        <v>1281.2800000000002</v>
      </c>
      <c r="M253" s="2"/>
      <c r="N253" s="7">
        <f t="shared" si="132"/>
        <v>2.6412698412698417</v>
      </c>
      <c r="O253" s="10"/>
      <c r="P253" s="6">
        <v>3120.59</v>
      </c>
      <c r="Q253" s="2"/>
      <c r="R253" s="7">
        <f t="shared" si="133"/>
        <v>6.6317751915618184E-4</v>
      </c>
      <c r="S253" s="2"/>
      <c r="T253" s="6">
        <v>10643.19</v>
      </c>
      <c r="U253" s="2"/>
      <c r="V253" s="7">
        <f t="shared" si="134"/>
        <v>9.5645863639128123E-4</v>
      </c>
      <c r="W253" s="2"/>
      <c r="X253" s="6">
        <f t="shared" si="135"/>
        <v>-7522.6</v>
      </c>
      <c r="Y253" s="2"/>
      <c r="Z253" s="7">
        <f t="shared" si="136"/>
        <v>-0.70679937124114101</v>
      </c>
    </row>
    <row r="254" spans="1:26" s="23" customFormat="1" hidden="1" outlineLevel="2" x14ac:dyDescent="0.25">
      <c r="A254" s="27"/>
      <c r="B254" s="10" t="str">
        <f>CONCATENATE("          ", "6247", " - ", "STORE SUPPLIES")</f>
        <v xml:space="preserve">          6247 - STORE SUPPLIES</v>
      </c>
      <c r="C254" s="10"/>
      <c r="D254" s="6">
        <v>2162.46</v>
      </c>
      <c r="E254" s="2"/>
      <c r="F254" s="7">
        <f t="shared" si="129"/>
        <v>4.9312900669028232E-3</v>
      </c>
      <c r="G254" s="2"/>
      <c r="H254" s="6">
        <v>2770.99</v>
      </c>
      <c r="I254" s="2"/>
      <c r="J254" s="7">
        <f t="shared" si="130"/>
        <v>1.6805911820742439E-2</v>
      </c>
      <c r="K254" s="2"/>
      <c r="L254" s="6">
        <f t="shared" si="131"/>
        <v>-608.52999999999975</v>
      </c>
      <c r="M254" s="2"/>
      <c r="N254" s="7">
        <f t="shared" si="132"/>
        <v>-0.21960743272260086</v>
      </c>
      <c r="O254" s="10"/>
      <c r="P254" s="6">
        <v>46587.59</v>
      </c>
      <c r="Q254" s="2"/>
      <c r="R254" s="7">
        <f t="shared" si="133"/>
        <v>9.9006413401521321E-3</v>
      </c>
      <c r="S254" s="2"/>
      <c r="T254" s="6">
        <v>64191.6</v>
      </c>
      <c r="U254" s="2"/>
      <c r="V254" s="7">
        <f t="shared" si="134"/>
        <v>5.7686285976079133E-3</v>
      </c>
      <c r="W254" s="2"/>
      <c r="X254" s="6">
        <f t="shared" si="135"/>
        <v>-17604.010000000002</v>
      </c>
      <c r="Y254" s="2"/>
      <c r="Z254" s="7">
        <f t="shared" si="136"/>
        <v>-0.27424164532431039</v>
      </c>
    </row>
    <row r="255" spans="1:26" s="23" customFormat="1" hidden="1" outlineLevel="2" x14ac:dyDescent="0.25">
      <c r="A255" s="27"/>
      <c r="B255" s="10" t="str">
        <f>CONCATENATE("          ", "6248", " - ", "UNIFORMS")</f>
        <v xml:space="preserve">          6248 - UNIFORMS</v>
      </c>
      <c r="C255" s="10"/>
      <c r="D255" s="6"/>
      <c r="E255" s="2"/>
      <c r="F255" s="7">
        <f t="shared" si="129"/>
        <v>0</v>
      </c>
      <c r="G255" s="2"/>
      <c r="H255" s="6">
        <v>43.91</v>
      </c>
      <c r="I255" s="2"/>
      <c r="J255" s="7">
        <f t="shared" si="130"/>
        <v>2.6631189143547994E-4</v>
      </c>
      <c r="K255" s="2"/>
      <c r="L255" s="6">
        <f t="shared" si="131"/>
        <v>-43.91</v>
      </c>
      <c r="M255" s="2"/>
      <c r="N255" s="7">
        <f t="shared" si="132"/>
        <v>-1</v>
      </c>
      <c r="O255" s="10"/>
      <c r="P255" s="6"/>
      <c r="Q255" s="2"/>
      <c r="R255" s="7">
        <f t="shared" si="133"/>
        <v>0</v>
      </c>
      <c r="S255" s="2"/>
      <c r="T255" s="6">
        <v>197.02</v>
      </c>
      <c r="U255" s="2"/>
      <c r="V255" s="7">
        <f t="shared" si="134"/>
        <v>1.7705357185374896E-5</v>
      </c>
      <c r="W255" s="2"/>
      <c r="X255" s="6">
        <f t="shared" si="135"/>
        <v>-197.02</v>
      </c>
      <c r="Y255" s="2"/>
      <c r="Z255" s="7">
        <f t="shared" si="136"/>
        <v>-1</v>
      </c>
    </row>
    <row r="256" spans="1:26" s="26" customFormat="1" outlineLevel="1" collapsed="1" x14ac:dyDescent="0.25">
      <c r="A256" s="25"/>
      <c r="B256" s="12" t="str">
        <f>CONCATENATE("     ","Telephone/Data Lines                              ")</f>
        <v xml:space="preserve">     Telephone/Data Lines                              </v>
      </c>
      <c r="C256" s="12"/>
      <c r="D256" s="1">
        <f>SUM(OSRRefD22_22x_0)</f>
        <v>2288.2600000000002</v>
      </c>
      <c r="E256" s="1"/>
      <c r="F256" s="5">
        <f t="shared" ref="F256:F258" si="137">IF(D$12=0,0,D256/D$12)</f>
        <v>5.2181653341523337E-3</v>
      </c>
      <c r="G256" s="1"/>
      <c r="H256" s="1">
        <f>SUM(OSRRefH22_22x_0)</f>
        <v>3033.4</v>
      </c>
      <c r="I256" s="1"/>
      <c r="J256" s="5">
        <f t="shared" ref="J256:J258" si="138">IF(H$12=0,0,H256/H$12)</f>
        <v>1.8397414973363356E-2</v>
      </c>
      <c r="K256" s="1"/>
      <c r="L256" s="1">
        <f t="shared" ref="L256:L258" si="139">+D256-H256</f>
        <v>-745.13999999999987</v>
      </c>
      <c r="M256" s="1"/>
      <c r="N256" s="5">
        <f t="shared" ref="N256:N258" si="140">IF(H256=0,0,L256/H256)</f>
        <v>-0.24564515065602949</v>
      </c>
      <c r="O256" s="12"/>
      <c r="P256" s="1">
        <f>SUM(OSRRefP22_22x_0)</f>
        <v>25349.82</v>
      </c>
      <c r="Q256" s="1"/>
      <c r="R256" s="5">
        <f t="shared" ref="R256:R258" si="141">IF(P$12=0,0,P256/P$12)</f>
        <v>5.3872603381590542E-3</v>
      </c>
      <c r="S256" s="1"/>
      <c r="T256" s="1">
        <f>SUM(OSRRefT22_22x_0)</f>
        <v>29093.759999999998</v>
      </c>
      <c r="U256" s="1"/>
      <c r="V256" s="5">
        <f t="shared" ref="V256:V258" si="142">IF(T$12=0,0,T256/T$12)</f>
        <v>2.6145336141791325E-3</v>
      </c>
      <c r="W256" s="1"/>
      <c r="X256" s="1">
        <f t="shared" ref="X256:X258" si="143">+P256-T256</f>
        <v>-3743.9399999999987</v>
      </c>
      <c r="Y256" s="1"/>
      <c r="Z256" s="5">
        <f t="shared" ref="Z256:Z258" si="144">IF(T256=0,0,X256/T256)</f>
        <v>-0.12868532633801882</v>
      </c>
    </row>
    <row r="257" spans="1:26" s="23" customFormat="1" hidden="1" outlineLevel="2" x14ac:dyDescent="0.25">
      <c r="A257" s="27"/>
      <c r="B257" s="10" t="str">
        <f>CONCATENATE("          ", "6303", " - ", "DATA PHONE LINES")</f>
        <v xml:space="preserve">          6303 - DATA PHONE LINES</v>
      </c>
      <c r="C257" s="10"/>
      <c r="D257" s="6">
        <v>590</v>
      </c>
      <c r="E257" s="2"/>
      <c r="F257" s="7">
        <f t="shared" si="137"/>
        <v>1.3454404425851418E-3</v>
      </c>
      <c r="G257" s="2"/>
      <c r="H257" s="6"/>
      <c r="I257" s="2"/>
      <c r="J257" s="7">
        <f t="shared" si="138"/>
        <v>0</v>
      </c>
      <c r="K257" s="2"/>
      <c r="L257" s="6">
        <f t="shared" si="139"/>
        <v>590</v>
      </c>
      <c r="M257" s="2"/>
      <c r="N257" s="7">
        <f t="shared" si="140"/>
        <v>0</v>
      </c>
      <c r="O257" s="10"/>
      <c r="P257" s="6">
        <v>3540</v>
      </c>
      <c r="Q257" s="2"/>
      <c r="R257" s="7">
        <f t="shared" si="141"/>
        <v>7.5230915237595576E-4</v>
      </c>
      <c r="S257" s="2"/>
      <c r="T257" s="6">
        <v>2360</v>
      </c>
      <c r="U257" s="2"/>
      <c r="V257" s="7">
        <f t="shared" si="142"/>
        <v>2.1208325529126359E-4</v>
      </c>
      <c r="W257" s="2"/>
      <c r="X257" s="6">
        <f t="shared" si="143"/>
        <v>1180</v>
      </c>
      <c r="Y257" s="2"/>
      <c r="Z257" s="7">
        <f t="shared" si="144"/>
        <v>0.5</v>
      </c>
    </row>
    <row r="258" spans="1:26" s="23" customFormat="1" hidden="1" outlineLevel="2" x14ac:dyDescent="0.25">
      <c r="A258" s="27"/>
      <c r="B258" s="10" t="str">
        <f>CONCATENATE("          ", "6309", " - ", "TELEPHONE")</f>
        <v xml:space="preserve">          6309 - TELEPHONE</v>
      </c>
      <c r="C258" s="10"/>
      <c r="D258" s="6">
        <v>1698.26</v>
      </c>
      <c r="E258" s="2"/>
      <c r="F258" s="7">
        <f t="shared" si="137"/>
        <v>3.8727248915671913E-3</v>
      </c>
      <c r="G258" s="2"/>
      <c r="H258" s="6">
        <v>3033.4</v>
      </c>
      <c r="I258" s="2"/>
      <c r="J258" s="7">
        <f t="shared" si="138"/>
        <v>1.8397414973363356E-2</v>
      </c>
      <c r="K258" s="2"/>
      <c r="L258" s="6">
        <f t="shared" si="139"/>
        <v>-1335.14</v>
      </c>
      <c r="M258" s="2"/>
      <c r="N258" s="7">
        <f t="shared" si="140"/>
        <v>-0.44014637040944155</v>
      </c>
      <c r="O258" s="10"/>
      <c r="P258" s="6">
        <v>21809.82</v>
      </c>
      <c r="Q258" s="2"/>
      <c r="R258" s="7">
        <f t="shared" si="141"/>
        <v>4.6349511857830981E-3</v>
      </c>
      <c r="S258" s="2"/>
      <c r="T258" s="6">
        <v>26733.759999999998</v>
      </c>
      <c r="U258" s="2"/>
      <c r="V258" s="7">
        <f t="shared" si="142"/>
        <v>2.4024503588878691E-3</v>
      </c>
      <c r="W258" s="2"/>
      <c r="X258" s="6">
        <f t="shared" si="143"/>
        <v>-4923.9399999999987</v>
      </c>
      <c r="Y258" s="2"/>
      <c r="Z258" s="7">
        <f t="shared" si="144"/>
        <v>-0.18418434219503724</v>
      </c>
    </row>
    <row r="259" spans="1:26" s="26" customFormat="1" outlineLevel="1" collapsed="1" x14ac:dyDescent="0.25">
      <c r="A259" s="25"/>
      <c r="B259" s="12" t="str">
        <f>CONCATENATE("     ","Training                                          ")</f>
        <v xml:space="preserve">     Training                                          </v>
      </c>
      <c r="C259" s="12"/>
      <c r="D259" s="1">
        <f>SUM(OSRRefD22_23x_0)</f>
        <v>0</v>
      </c>
      <c r="E259" s="1"/>
      <c r="F259" s="5">
        <f t="shared" ref="F259:F264" si="145">IF(D$12=0,0,D259/D$12)</f>
        <v>0</v>
      </c>
      <c r="G259" s="1"/>
      <c r="H259" s="1">
        <f>SUM(OSRRefH22_23x_0)</f>
        <v>1350</v>
      </c>
      <c r="I259" s="1"/>
      <c r="J259" s="5">
        <f t="shared" ref="J259:J264" si="146">IF(H$12=0,0,H259/H$12)</f>
        <v>8.1876805610999297E-3</v>
      </c>
      <c r="K259" s="1"/>
      <c r="L259" s="1">
        <f t="shared" ref="L259:L264" si="147">+D259-H259</f>
        <v>-1350</v>
      </c>
      <c r="M259" s="1"/>
      <c r="N259" s="5">
        <f t="shared" ref="N259:N264" si="148">IF(H259=0,0,L259/H259)</f>
        <v>-1</v>
      </c>
      <c r="O259" s="12"/>
      <c r="P259" s="1">
        <f>SUM(OSRRefP22_23x_0)</f>
        <v>895.63</v>
      </c>
      <c r="Q259" s="1"/>
      <c r="R259" s="5">
        <f t="shared" ref="R259:R264" si="149">IF(P$12=0,0,P259/P$12)</f>
        <v>1.9033634071821391E-4</v>
      </c>
      <c r="S259" s="1"/>
      <c r="T259" s="1">
        <f>SUM(OSRRefT22_23x_0)</f>
        <v>21826.880000000001</v>
      </c>
      <c r="U259" s="1"/>
      <c r="V259" s="5">
        <f t="shared" ref="V259:V264" si="150">IF(T$12=0,0,T259/T$12)</f>
        <v>1.9614897301914302E-3</v>
      </c>
      <c r="W259" s="1"/>
      <c r="X259" s="1">
        <f t="shared" ref="X259:X264" si="151">+P259-T259</f>
        <v>-20931.25</v>
      </c>
      <c r="Y259" s="1"/>
      <c r="Z259" s="5">
        <f t="shared" ref="Z259:Z264" si="152">IF(T259=0,0,X259/T259)</f>
        <v>-0.9589666502954155</v>
      </c>
    </row>
    <row r="260" spans="1:26" s="23" customFormat="1" hidden="1" outlineLevel="2" x14ac:dyDescent="0.25">
      <c r="A260" s="27"/>
      <c r="B260" s="10" t="str">
        <f>CONCATENATE("          ", "6376", " - ", "TRAINING")</f>
        <v xml:space="preserve">          6376 - TRAINING</v>
      </c>
      <c r="C260" s="10"/>
      <c r="D260" s="6"/>
      <c r="E260" s="2"/>
      <c r="F260" s="7">
        <f t="shared" si="145"/>
        <v>0</v>
      </c>
      <c r="G260" s="2"/>
      <c r="H260" s="6">
        <v>1350</v>
      </c>
      <c r="I260" s="2"/>
      <c r="J260" s="7">
        <f t="shared" si="146"/>
        <v>8.1876805610999297E-3</v>
      </c>
      <c r="K260" s="2"/>
      <c r="L260" s="6">
        <f t="shared" si="147"/>
        <v>-1350</v>
      </c>
      <c r="M260" s="2"/>
      <c r="N260" s="7">
        <f t="shared" si="148"/>
        <v>-1</v>
      </c>
      <c r="O260" s="10"/>
      <c r="P260" s="6">
        <v>895.63</v>
      </c>
      <c r="Q260" s="2"/>
      <c r="R260" s="7">
        <f t="shared" si="149"/>
        <v>1.9033634071821391E-4</v>
      </c>
      <c r="S260" s="2"/>
      <c r="T260" s="6">
        <v>21826.880000000001</v>
      </c>
      <c r="U260" s="2"/>
      <c r="V260" s="7">
        <f t="shared" si="150"/>
        <v>1.9614897301914302E-3</v>
      </c>
      <c r="W260" s="2"/>
      <c r="X260" s="6">
        <f t="shared" si="151"/>
        <v>-20931.25</v>
      </c>
      <c r="Y260" s="2"/>
      <c r="Z260" s="7">
        <f t="shared" si="152"/>
        <v>-0.9589666502954155</v>
      </c>
    </row>
    <row r="261" spans="1:26" s="26" customFormat="1" outlineLevel="1" collapsed="1" x14ac:dyDescent="0.25">
      <c r="A261" s="25"/>
      <c r="B261" s="12" t="str">
        <f>CONCATENATE("     ","Travel                                            ")</f>
        <v xml:space="preserve">     Travel                                            </v>
      </c>
      <c r="C261" s="12"/>
      <c r="D261" s="1">
        <f>SUM(OSRRefD22_24x_0)</f>
        <v>69.069999999999993</v>
      </c>
      <c r="E261" s="1"/>
      <c r="F261" s="5">
        <f t="shared" si="145"/>
        <v>1.5750774808365379E-4</v>
      </c>
      <c r="G261" s="1"/>
      <c r="H261" s="1">
        <f>SUM(OSRRefH22_24x_0)</f>
        <v>151.44999999999999</v>
      </c>
      <c r="I261" s="1"/>
      <c r="J261" s="5">
        <f t="shared" si="146"/>
        <v>9.1853645998413657E-4</v>
      </c>
      <c r="K261" s="1"/>
      <c r="L261" s="1">
        <f t="shared" si="147"/>
        <v>-82.38</v>
      </c>
      <c r="M261" s="1"/>
      <c r="N261" s="5">
        <f t="shared" si="148"/>
        <v>-0.54394189501485635</v>
      </c>
      <c r="O261" s="12"/>
      <c r="P261" s="1">
        <f>SUM(OSRRefP22_24x_0)</f>
        <v>972.4</v>
      </c>
      <c r="Q261" s="1"/>
      <c r="R261" s="5">
        <f t="shared" si="149"/>
        <v>2.0665124852270602E-4</v>
      </c>
      <c r="S261" s="1"/>
      <c r="T261" s="1">
        <f>SUM(OSRRefT22_24x_0)</f>
        <v>1383.79</v>
      </c>
      <c r="U261" s="1"/>
      <c r="V261" s="5">
        <f t="shared" si="150"/>
        <v>1.2435537620317697E-4</v>
      </c>
      <c r="W261" s="1"/>
      <c r="X261" s="1">
        <f t="shared" si="151"/>
        <v>-411.39</v>
      </c>
      <c r="Y261" s="1"/>
      <c r="Z261" s="5">
        <f t="shared" si="152"/>
        <v>-0.29729221919510906</v>
      </c>
    </row>
    <row r="262" spans="1:26" s="23" customFormat="1" hidden="1" outlineLevel="2" x14ac:dyDescent="0.25">
      <c r="A262" s="27"/>
      <c r="B262" s="10" t="str">
        <f>CONCATENATE("          ", "6292", " - ", "TRAVEL/CONFERENCE")</f>
        <v xml:space="preserve">          6292 - TRAVEL/CONFERENCE</v>
      </c>
      <c r="C262" s="10"/>
      <c r="D262" s="6"/>
      <c r="E262" s="2"/>
      <c r="F262" s="7">
        <f t="shared" si="145"/>
        <v>0</v>
      </c>
      <c r="G262" s="2"/>
      <c r="H262" s="6"/>
      <c r="I262" s="2"/>
      <c r="J262" s="7">
        <f t="shared" si="146"/>
        <v>0</v>
      </c>
      <c r="K262" s="2"/>
      <c r="L262" s="6">
        <f t="shared" si="147"/>
        <v>0</v>
      </c>
      <c r="M262" s="2"/>
      <c r="N262" s="7">
        <f t="shared" si="148"/>
        <v>0</v>
      </c>
      <c r="O262" s="10"/>
      <c r="P262" s="6">
        <v>299.16000000000003</v>
      </c>
      <c r="Q262" s="2"/>
      <c r="R262" s="7">
        <f t="shared" si="149"/>
        <v>6.3576498877059592E-5</v>
      </c>
      <c r="S262" s="2"/>
      <c r="T262" s="6">
        <v>504.66</v>
      </c>
      <c r="U262" s="2"/>
      <c r="V262" s="7">
        <f t="shared" si="150"/>
        <v>4.5351667633597068E-5</v>
      </c>
      <c r="W262" s="2"/>
      <c r="X262" s="6">
        <f t="shared" si="151"/>
        <v>-205.5</v>
      </c>
      <c r="Y262" s="2"/>
      <c r="Z262" s="7">
        <f t="shared" si="152"/>
        <v>-0.40720485079063129</v>
      </c>
    </row>
    <row r="263" spans="1:26" s="23" customFormat="1" hidden="1" outlineLevel="2" x14ac:dyDescent="0.25">
      <c r="A263" s="27"/>
      <c r="B263" s="10" t="str">
        <f>CONCATENATE("          ", "6294", " - ", "TRAVEL OPERATIONAL")</f>
        <v xml:space="preserve">          6294 - TRAVEL OPERATIONAL</v>
      </c>
      <c r="C263" s="10"/>
      <c r="D263" s="6">
        <v>69.069999999999993</v>
      </c>
      <c r="E263" s="2"/>
      <c r="F263" s="7">
        <f t="shared" si="145"/>
        <v>1.5750774808365379E-4</v>
      </c>
      <c r="G263" s="2"/>
      <c r="H263" s="6"/>
      <c r="I263" s="2"/>
      <c r="J263" s="7">
        <f t="shared" si="146"/>
        <v>0</v>
      </c>
      <c r="K263" s="2"/>
      <c r="L263" s="6">
        <f t="shared" si="147"/>
        <v>69.069999999999993</v>
      </c>
      <c r="M263" s="2"/>
      <c r="N263" s="7">
        <f t="shared" si="148"/>
        <v>0</v>
      </c>
      <c r="O263" s="10"/>
      <c r="P263" s="6">
        <v>613.35</v>
      </c>
      <c r="Q263" s="2"/>
      <c r="R263" s="7">
        <f t="shared" si="149"/>
        <v>1.3034712390107132E-4</v>
      </c>
      <c r="S263" s="2"/>
      <c r="T263" s="6">
        <v>361.61</v>
      </c>
      <c r="U263" s="2"/>
      <c r="V263" s="7">
        <f t="shared" si="150"/>
        <v>3.2496366926217724E-5</v>
      </c>
      <c r="W263" s="2"/>
      <c r="X263" s="6">
        <f t="shared" si="151"/>
        <v>251.74</v>
      </c>
      <c r="Y263" s="2"/>
      <c r="Z263" s="7">
        <f t="shared" si="152"/>
        <v>0.69616437598517744</v>
      </c>
    </row>
    <row r="264" spans="1:26" s="23" customFormat="1" hidden="1" outlineLevel="2" x14ac:dyDescent="0.25">
      <c r="A264" s="27"/>
      <c r="B264" s="10" t="str">
        <f>CONCATENATE("          ", "6298", " - ", "VEHICLE MILEAGE")</f>
        <v xml:space="preserve">          6298 - VEHICLE MILEAGE</v>
      </c>
      <c r="C264" s="10"/>
      <c r="D264" s="6"/>
      <c r="E264" s="2"/>
      <c r="F264" s="7">
        <f t="shared" si="145"/>
        <v>0</v>
      </c>
      <c r="G264" s="2"/>
      <c r="H264" s="6">
        <v>151.44999999999999</v>
      </c>
      <c r="I264" s="2"/>
      <c r="J264" s="7">
        <f t="shared" si="146"/>
        <v>9.1853645998413657E-4</v>
      </c>
      <c r="K264" s="2"/>
      <c r="L264" s="6">
        <f t="shared" si="147"/>
        <v>-151.44999999999999</v>
      </c>
      <c r="M264" s="2"/>
      <c r="N264" s="7">
        <f t="shared" si="148"/>
        <v>-1</v>
      </c>
      <c r="O264" s="10"/>
      <c r="P264" s="6">
        <v>59.89</v>
      </c>
      <c r="Q264" s="2"/>
      <c r="R264" s="7">
        <f t="shared" si="149"/>
        <v>1.2727625744575139E-5</v>
      </c>
      <c r="S264" s="2"/>
      <c r="T264" s="6">
        <v>517.52</v>
      </c>
      <c r="U264" s="2"/>
      <c r="V264" s="7">
        <f t="shared" si="150"/>
        <v>4.6507341643362174E-5</v>
      </c>
      <c r="W264" s="2"/>
      <c r="X264" s="6">
        <f t="shared" si="151"/>
        <v>-457.63</v>
      </c>
      <c r="Y264" s="2"/>
      <c r="Z264" s="7">
        <f t="shared" si="152"/>
        <v>-0.88427500386458502</v>
      </c>
    </row>
    <row r="265" spans="1:26" s="26" customFormat="1" outlineLevel="1" collapsed="1" x14ac:dyDescent="0.25">
      <c r="A265" s="25"/>
      <c r="B265" s="12" t="str">
        <f>CONCATENATE("     ","Utilities                                         ")</f>
        <v xml:space="preserve">     Utilities                                         </v>
      </c>
      <c r="C265" s="12"/>
      <c r="D265" s="1">
        <f>SUM(OSRRefD22_25x_0)</f>
        <v>7297.93</v>
      </c>
      <c r="E265" s="1"/>
      <c r="F265" s="5">
        <f t="shared" ref="F265:F266" si="153">IF(D$12=0,0,D265/D$12)</f>
        <v>1.6642254523992175E-2</v>
      </c>
      <c r="G265" s="1"/>
      <c r="H265" s="1">
        <f>SUM(OSRRefH22_25x_0)</f>
        <v>7892.67</v>
      </c>
      <c r="I265" s="1"/>
      <c r="J265" s="5">
        <f t="shared" ref="J265:J266" si="154">IF(H$12=0,0,H265/H$12)</f>
        <v>4.7868637580871544E-2</v>
      </c>
      <c r="K265" s="1"/>
      <c r="L265" s="1">
        <f t="shared" ref="L265:L266" si="155">+D265-H265</f>
        <v>-594.73999999999978</v>
      </c>
      <c r="M265" s="1"/>
      <c r="N265" s="5">
        <f t="shared" ref="N265:N266" si="156">IF(H265=0,0,L265/H265)</f>
        <v>-7.5353460869388905E-2</v>
      </c>
      <c r="O265" s="12"/>
      <c r="P265" s="1">
        <f>SUM(OSRRefP22_25x_0)</f>
        <v>64463.55</v>
      </c>
      <c r="Q265" s="1"/>
      <c r="R265" s="5">
        <f t="shared" ref="R265:R266" si="157">IF(P$12=0,0,P265/P$12)</f>
        <v>1.3699581542272611E-2</v>
      </c>
      <c r="S265" s="1"/>
      <c r="T265" s="1">
        <f>SUM(OSRRefT22_25x_0)</f>
        <v>69700.09</v>
      </c>
      <c r="U265" s="1"/>
      <c r="V265" s="5">
        <f t="shared" ref="V265:V266" si="158">IF(T$12=0,0,T265/T$12)</f>
        <v>6.2636533819042575E-3</v>
      </c>
      <c r="W265" s="1"/>
      <c r="X265" s="1">
        <f t="shared" ref="X265:X266" si="159">+P265-T265</f>
        <v>-5236.5399999999936</v>
      </c>
      <c r="Y265" s="1"/>
      <c r="Z265" s="5">
        <f t="shared" ref="Z265:Z266" si="160">IF(T265=0,0,X265/T265)</f>
        <v>-7.5129601697788248E-2</v>
      </c>
    </row>
    <row r="266" spans="1:26" s="23" customFormat="1" hidden="1" outlineLevel="2" x14ac:dyDescent="0.25">
      <c r="A266" s="27"/>
      <c r="B266" s="10" t="str">
        <f>CONCATENATE("          ", "6274", " - ", "UTILITIES")</f>
        <v xml:space="preserve">          6274 - UTILITIES</v>
      </c>
      <c r="C266" s="10"/>
      <c r="D266" s="6">
        <v>7297.93</v>
      </c>
      <c r="E266" s="2"/>
      <c r="F266" s="7">
        <f t="shared" si="153"/>
        <v>1.6642254523992175E-2</v>
      </c>
      <c r="G266" s="2"/>
      <c r="H266" s="6">
        <v>7892.67</v>
      </c>
      <c r="I266" s="2"/>
      <c r="J266" s="7">
        <f t="shared" si="154"/>
        <v>4.7868637580871544E-2</v>
      </c>
      <c r="K266" s="2"/>
      <c r="L266" s="6">
        <f t="shared" si="155"/>
        <v>-594.73999999999978</v>
      </c>
      <c r="M266" s="2"/>
      <c r="N266" s="7">
        <f t="shared" si="156"/>
        <v>-7.5353460869388905E-2</v>
      </c>
      <c r="O266" s="10"/>
      <c r="P266" s="6">
        <v>64463.55</v>
      </c>
      <c r="Q266" s="2"/>
      <c r="R266" s="7">
        <f t="shared" si="157"/>
        <v>1.3699581542272611E-2</v>
      </c>
      <c r="S266" s="2"/>
      <c r="T266" s="6">
        <v>69700.09</v>
      </c>
      <c r="U266" s="2"/>
      <c r="V266" s="7">
        <f t="shared" si="158"/>
        <v>6.2636533819042575E-3</v>
      </c>
      <c r="W266" s="2"/>
      <c r="X266" s="6">
        <f t="shared" si="159"/>
        <v>-5236.5399999999936</v>
      </c>
      <c r="Y266" s="2"/>
      <c r="Z266" s="7">
        <f t="shared" si="160"/>
        <v>-7.5129601697788248E-2</v>
      </c>
    </row>
    <row r="267" spans="1:26" s="62" customFormat="1" x14ac:dyDescent="0.25">
      <c r="A267" s="37"/>
      <c r="B267" s="37"/>
      <c r="C267" s="37"/>
      <c r="D267" s="1"/>
      <c r="E267" s="1"/>
      <c r="F267" s="5"/>
      <c r="G267" s="1"/>
      <c r="H267" s="1"/>
      <c r="I267" s="1"/>
      <c r="J267" s="5"/>
      <c r="K267" s="1"/>
      <c r="L267" s="1"/>
      <c r="M267" s="1"/>
      <c r="N267" s="5"/>
      <c r="O267" s="37"/>
      <c r="P267" s="1"/>
      <c r="Q267" s="1"/>
      <c r="R267" s="5"/>
      <c r="S267" s="1"/>
      <c r="T267" s="1"/>
      <c r="U267" s="1"/>
      <c r="V267" s="5"/>
      <c r="W267" s="1"/>
      <c r="X267" s="1"/>
      <c r="Y267" s="1"/>
      <c r="Z267" s="5"/>
    </row>
    <row r="268" spans="1:26" s="24" customFormat="1" collapsed="1" x14ac:dyDescent="0.25">
      <c r="A268" s="11"/>
      <c r="B268" s="28" t="s">
        <v>292</v>
      </c>
      <c r="C268" s="11"/>
      <c r="D268" s="4">
        <f>SUM(OSRRefD25x_0)</f>
        <v>30690.94</v>
      </c>
      <c r="E268" s="4"/>
      <c r="F268" s="13">
        <f t="shared" ref="F268:F277" si="161">IF(D$12=0,0,D268/D$12)</f>
        <v>6.9987850672803442E-2</v>
      </c>
      <c r="G268" s="4"/>
      <c r="H268" s="4">
        <f>SUM(OSRRefH25x_0)</f>
        <v>390561.66</v>
      </c>
      <c r="I268" s="4"/>
      <c r="J268" s="13">
        <f t="shared" ref="J268:J277" si="162">IF(H$12=0,0,H268/H$12)</f>
        <v>2.3687363788836442</v>
      </c>
      <c r="K268" s="4"/>
      <c r="L268" s="4">
        <f t="shared" ref="L268:L277" si="163">+D268-H268</f>
        <v>-359870.71999999997</v>
      </c>
      <c r="M268" s="4"/>
      <c r="N268" s="13">
        <f t="shared" ref="N268:N277" si="164">IF(H268=0,0,L268/H268)</f>
        <v>-0.92141845157048952</v>
      </c>
      <c r="O268" s="11"/>
      <c r="P268" s="4">
        <f>SUM(OSRRefP25x_0)</f>
        <v>992993.17000000016</v>
      </c>
      <c r="Q268" s="4"/>
      <c r="R268" s="13">
        <f t="shared" ref="R268:R277" si="165">IF(P$12=0,0,P268/P$12)</f>
        <v>0.21102764125361961</v>
      </c>
      <c r="S268" s="4"/>
      <c r="T268" s="4">
        <f>SUM(OSRRefT25x_0)</f>
        <v>1061028.04</v>
      </c>
      <c r="U268" s="4"/>
      <c r="V268" s="13">
        <f t="shared" ref="V268:V277" si="166">IF(T$12=0,0,T268/T$12)</f>
        <v>9.5350118931571623E-2</v>
      </c>
      <c r="W268" s="4"/>
      <c r="X268" s="4">
        <f t="shared" ref="X268:X277" si="167">+P268-T268</f>
        <v>-68034.869999999879</v>
      </c>
      <c r="Y268" s="4"/>
      <c r="Z268" s="13">
        <f t="shared" ref="Z268:Z277" si="168">IF(T268=0,0,X268/T268)</f>
        <v>-6.412165129962058E-2</v>
      </c>
    </row>
    <row r="269" spans="1:26" s="23" customFormat="1" hidden="1" outlineLevel="1" x14ac:dyDescent="0.25">
      <c r="A269" s="44"/>
      <c r="B269" s="10" t="str">
        <f>CONCATENATE("          ", "4098", " - ", "TAXABLE SALES-GRAD RENTALS")</f>
        <v xml:space="preserve">          4098 - TAXABLE SALES-GRAD RENTALS</v>
      </c>
      <c r="C269" s="10"/>
      <c r="D269" s="2">
        <f>--49.95</f>
        <v>49.95</v>
      </c>
      <c r="E269" s="2"/>
      <c r="F269" s="19">
        <f t="shared" si="161"/>
        <v>1.1390635611377599E-4</v>
      </c>
      <c r="G269" s="2"/>
      <c r="H269" s="2">
        <f t="shared" ref="H269:H270" si="169">0</f>
        <v>0</v>
      </c>
      <c r="I269" s="2"/>
      <c r="J269" s="19">
        <f t="shared" si="162"/>
        <v>0</v>
      </c>
      <c r="K269" s="2"/>
      <c r="L269" s="2">
        <f t="shared" si="163"/>
        <v>49.95</v>
      </c>
      <c r="M269" s="2"/>
      <c r="N269" s="19">
        <f t="shared" si="164"/>
        <v>0</v>
      </c>
      <c r="O269" s="10"/>
      <c r="P269" s="2">
        <f>--49.95</f>
        <v>49.95</v>
      </c>
      <c r="Q269" s="2"/>
      <c r="R269" s="19">
        <f t="shared" si="165"/>
        <v>1.0615209650050562E-5</v>
      </c>
      <c r="S269" s="2"/>
      <c r="T269" s="2">
        <f>--2098.85</f>
        <v>2098.85</v>
      </c>
      <c r="U269" s="2"/>
      <c r="V269" s="19">
        <f t="shared" si="166"/>
        <v>1.8861480524070702E-4</v>
      </c>
      <c r="W269" s="2"/>
      <c r="X269" s="2">
        <f t="shared" si="167"/>
        <v>-2048.9</v>
      </c>
      <c r="Y269" s="2"/>
      <c r="Z269" s="19">
        <f t="shared" si="168"/>
        <v>-0.97620125306715588</v>
      </c>
    </row>
    <row r="270" spans="1:26" s="23" customFormat="1" hidden="1" outlineLevel="1" x14ac:dyDescent="0.25">
      <c r="A270" s="44"/>
      <c r="B270" s="10" t="str">
        <f>CONCATENATE("          ", "4197", " - ", "NON-TAXABLE SALES-RETURNED CHE")</f>
        <v xml:space="preserve">          4197 - NON-TAXABLE SALES-RETURNED CHE</v>
      </c>
      <c r="C270" s="10"/>
      <c r="D270" s="2">
        <f t="shared" ref="D270:D271" si="170">0</f>
        <v>0</v>
      </c>
      <c r="E270" s="2"/>
      <c r="F270" s="19">
        <f t="shared" si="161"/>
        <v>0</v>
      </c>
      <c r="G270" s="2"/>
      <c r="H270" s="2">
        <f t="shared" si="169"/>
        <v>0</v>
      </c>
      <c r="I270" s="2"/>
      <c r="J270" s="19">
        <f t="shared" si="162"/>
        <v>0</v>
      </c>
      <c r="K270" s="2"/>
      <c r="L270" s="2">
        <f t="shared" si="163"/>
        <v>0</v>
      </c>
      <c r="M270" s="2"/>
      <c r="N270" s="19">
        <f t="shared" si="164"/>
        <v>0</v>
      </c>
      <c r="O270" s="10"/>
      <c r="P270" s="2">
        <f t="shared" ref="P270:P271" si="171">0</f>
        <v>0</v>
      </c>
      <c r="Q270" s="2"/>
      <c r="R270" s="19">
        <f t="shared" si="165"/>
        <v>0</v>
      </c>
      <c r="S270" s="2"/>
      <c r="T270" s="2">
        <f>--30</f>
        <v>30</v>
      </c>
      <c r="U270" s="2"/>
      <c r="V270" s="19">
        <f t="shared" si="166"/>
        <v>2.6959735842109777E-6</v>
      </c>
      <c r="W270" s="2"/>
      <c r="X270" s="2">
        <f t="shared" si="167"/>
        <v>-30</v>
      </c>
      <c r="Y270" s="2"/>
      <c r="Z270" s="19">
        <f t="shared" si="168"/>
        <v>-1</v>
      </c>
    </row>
    <row r="271" spans="1:26" s="23" customFormat="1" hidden="1" outlineLevel="1" x14ac:dyDescent="0.25">
      <c r="A271" s="44"/>
      <c r="B271" s="10" t="str">
        <f>CONCATENATE("          ", "4198", " - ", "NON-TAXABLE SALES-GRAD RENTALS")</f>
        <v xml:space="preserve">          4198 - NON-TAXABLE SALES-GRAD RENTALS</v>
      </c>
      <c r="C271" s="10"/>
      <c r="D271" s="2">
        <f t="shared" si="170"/>
        <v>0</v>
      </c>
      <c r="E271" s="2"/>
      <c r="F271" s="19">
        <f t="shared" si="161"/>
        <v>0</v>
      </c>
      <c r="G271" s="2"/>
      <c r="H271" s="2">
        <f>-98.64</f>
        <v>-98.64</v>
      </c>
      <c r="I271" s="2"/>
      <c r="J271" s="19">
        <f t="shared" si="162"/>
        <v>-5.9824652633103494E-4</v>
      </c>
      <c r="K271" s="2"/>
      <c r="L271" s="2">
        <f t="shared" si="163"/>
        <v>98.64</v>
      </c>
      <c r="M271" s="2"/>
      <c r="N271" s="19">
        <f t="shared" si="164"/>
        <v>-1</v>
      </c>
      <c r="O271" s="10"/>
      <c r="P271" s="2">
        <f t="shared" si="171"/>
        <v>0</v>
      </c>
      <c r="Q271" s="2"/>
      <c r="R271" s="19">
        <f t="shared" si="165"/>
        <v>0</v>
      </c>
      <c r="S271" s="2"/>
      <c r="T271" s="2">
        <f>--3633.46</f>
        <v>3633.46</v>
      </c>
      <c r="U271" s="2"/>
      <c r="V271" s="19">
        <f t="shared" si="166"/>
        <v>3.2652373930957396E-4</v>
      </c>
      <c r="W271" s="2"/>
      <c r="X271" s="2">
        <f t="shared" si="167"/>
        <v>-3633.46</v>
      </c>
      <c r="Y271" s="2"/>
      <c r="Z271" s="19">
        <f t="shared" si="168"/>
        <v>-1</v>
      </c>
    </row>
    <row r="272" spans="1:26" s="23" customFormat="1" hidden="1" outlineLevel="1" x14ac:dyDescent="0.25">
      <c r="A272" s="44"/>
      <c r="B272" s="10" t="str">
        <f>CONCATENATE("          ", "9150", " - ", "MISC. INCOME")</f>
        <v xml:space="preserve">          9150 - MISC. INCOME</v>
      </c>
      <c r="C272" s="10"/>
      <c r="D272" s="2">
        <f>--30090.95</f>
        <v>30090.95</v>
      </c>
      <c r="E272" s="2"/>
      <c r="F272" s="19">
        <f t="shared" si="161"/>
        <v>6.8619628958995538E-2</v>
      </c>
      <c r="G272" s="2"/>
      <c r="H272" s="2">
        <f>--44617.49</f>
        <v>44617.49</v>
      </c>
      <c r="I272" s="2"/>
      <c r="J272" s="19">
        <f t="shared" si="162"/>
        <v>0.27060278189486703</v>
      </c>
      <c r="K272" s="2"/>
      <c r="L272" s="2">
        <f t="shared" si="163"/>
        <v>-14526.539999999997</v>
      </c>
      <c r="M272" s="2"/>
      <c r="N272" s="19">
        <f t="shared" si="164"/>
        <v>-0.32557949808471964</v>
      </c>
      <c r="O272" s="10"/>
      <c r="P272" s="2">
        <f>--346619.7</f>
        <v>346619.7</v>
      </c>
      <c r="Q272" s="2"/>
      <c r="R272" s="19">
        <f t="shared" si="165"/>
        <v>7.3662478164917541E-2</v>
      </c>
      <c r="S272" s="2"/>
      <c r="T272" s="2">
        <f>--427765.48</f>
        <v>427765.48</v>
      </c>
      <c r="U272" s="2"/>
      <c r="V272" s="19">
        <f t="shared" si="166"/>
        <v>3.8441481143910973E-2</v>
      </c>
      <c r="W272" s="2"/>
      <c r="X272" s="2">
        <f t="shared" si="167"/>
        <v>-81145.77999999997</v>
      </c>
      <c r="Y272" s="2"/>
      <c r="Z272" s="19">
        <f t="shared" si="168"/>
        <v>-0.18969688718220079</v>
      </c>
    </row>
    <row r="273" spans="1:26" s="23" customFormat="1" hidden="1" outlineLevel="1" x14ac:dyDescent="0.25">
      <c r="A273" s="44"/>
      <c r="B273" s="10" t="str">
        <f>CONCATENATE("          ", "9151", " - ", "MISC. INCOME")</f>
        <v xml:space="preserve">          9151 - MISC. INCOME</v>
      </c>
      <c r="C273" s="10"/>
      <c r="D273" s="2">
        <f>0</f>
        <v>0</v>
      </c>
      <c r="E273" s="2"/>
      <c r="F273" s="19">
        <f t="shared" si="161"/>
        <v>0</v>
      </c>
      <c r="G273" s="2"/>
      <c r="H273" s="2">
        <f>0</f>
        <v>0</v>
      </c>
      <c r="I273" s="2"/>
      <c r="J273" s="19">
        <f t="shared" si="162"/>
        <v>0</v>
      </c>
      <c r="K273" s="2"/>
      <c r="L273" s="2">
        <f t="shared" si="163"/>
        <v>0</v>
      </c>
      <c r="M273" s="2"/>
      <c r="N273" s="19">
        <f t="shared" si="164"/>
        <v>0</v>
      </c>
      <c r="O273" s="10"/>
      <c r="P273" s="2">
        <f>--295628.46</f>
        <v>295628.46000000002</v>
      </c>
      <c r="Q273" s="2"/>
      <c r="R273" s="19">
        <f t="shared" si="165"/>
        <v>6.2825987616047782E-2</v>
      </c>
      <c r="S273" s="2"/>
      <c r="T273" s="2">
        <f>--169392.7</f>
        <v>169392.7</v>
      </c>
      <c r="U273" s="2"/>
      <c r="V273" s="19">
        <f t="shared" si="166"/>
        <v>1.5222608151939165E-2</v>
      </c>
      <c r="W273" s="2"/>
      <c r="X273" s="2">
        <f t="shared" si="167"/>
        <v>126235.76000000001</v>
      </c>
      <c r="Y273" s="2"/>
      <c r="Z273" s="19">
        <f t="shared" si="168"/>
        <v>0.7452255026338207</v>
      </c>
    </row>
    <row r="274" spans="1:26" s="23" customFormat="1" hidden="1" outlineLevel="1" x14ac:dyDescent="0.25">
      <c r="A274" s="44"/>
      <c r="B274" s="10" t="str">
        <f>CONCATENATE("          ", "9152", " - ", "MISC. INCOME")</f>
        <v xml:space="preserve">          9152 - MISC. INCOME</v>
      </c>
      <c r="C274" s="10"/>
      <c r="D274" s="2">
        <f>--505.94</f>
        <v>505.94</v>
      </c>
      <c r="E274" s="2"/>
      <c r="F274" s="19">
        <f t="shared" si="161"/>
        <v>1.153749385629706E-3</v>
      </c>
      <c r="G274" s="2"/>
      <c r="H274" s="2">
        <f>--82.19</f>
        <v>82.19</v>
      </c>
      <c r="I274" s="2"/>
      <c r="J274" s="19">
        <f t="shared" si="162"/>
        <v>4.9847812245689131E-4</v>
      </c>
      <c r="K274" s="2"/>
      <c r="L274" s="2">
        <f t="shared" si="163"/>
        <v>423.75</v>
      </c>
      <c r="M274" s="2"/>
      <c r="N274" s="19">
        <f t="shared" si="164"/>
        <v>5.1557367076286651</v>
      </c>
      <c r="O274" s="10"/>
      <c r="P274" s="2">
        <f>--4216.5</f>
        <v>4216.5</v>
      </c>
      <c r="Q274" s="2"/>
      <c r="R274" s="19">
        <f t="shared" si="165"/>
        <v>8.960767064952592E-4</v>
      </c>
      <c r="S274" s="2"/>
      <c r="T274" s="2">
        <f>--4782.05</f>
        <v>4782.05</v>
      </c>
      <c r="U274" s="2"/>
      <c r="V274" s="19">
        <f t="shared" si="166"/>
        <v>4.2974268261253691E-4</v>
      </c>
      <c r="W274" s="2"/>
      <c r="X274" s="2">
        <f t="shared" si="167"/>
        <v>-565.55000000000018</v>
      </c>
      <c r="Y274" s="2"/>
      <c r="Z274" s="19">
        <f t="shared" si="168"/>
        <v>-0.1182651791595655</v>
      </c>
    </row>
    <row r="275" spans="1:26" s="23" customFormat="1" hidden="1" outlineLevel="1" x14ac:dyDescent="0.25">
      <c r="A275" s="44"/>
      <c r="B275" s="10" t="str">
        <f>CONCATENATE("          ", "9153", " - ", "MISC. INCOME")</f>
        <v xml:space="preserve">          9153 - MISC. INCOME</v>
      </c>
      <c r="C275" s="10"/>
      <c r="D275" s="2">
        <f t="shared" ref="D275:D276" si="172">0</f>
        <v>0</v>
      </c>
      <c r="E275" s="2"/>
      <c r="F275" s="19">
        <f t="shared" si="161"/>
        <v>0</v>
      </c>
      <c r="G275" s="2"/>
      <c r="H275" s="2">
        <f t="shared" ref="H275:H276" si="173">0</f>
        <v>0</v>
      </c>
      <c r="I275" s="2"/>
      <c r="J275" s="19">
        <f t="shared" si="162"/>
        <v>0</v>
      </c>
      <c r="K275" s="2"/>
      <c r="L275" s="2">
        <f t="shared" si="163"/>
        <v>0</v>
      </c>
      <c r="M275" s="2"/>
      <c r="N275" s="19">
        <f t="shared" si="164"/>
        <v>0</v>
      </c>
      <c r="O275" s="10"/>
      <c r="P275" s="2">
        <f t="shared" ref="P275:P276" si="174">0</f>
        <v>0</v>
      </c>
      <c r="Q275" s="2"/>
      <c r="R275" s="19">
        <f t="shared" si="165"/>
        <v>0</v>
      </c>
      <c r="S275" s="2"/>
      <c r="T275" s="2">
        <f>--450</f>
        <v>450</v>
      </c>
      <c r="U275" s="2"/>
      <c r="V275" s="19">
        <f t="shared" si="166"/>
        <v>4.0439603763164664E-5</v>
      </c>
      <c r="W275" s="2"/>
      <c r="X275" s="2">
        <f t="shared" si="167"/>
        <v>-450</v>
      </c>
      <c r="Y275" s="2"/>
      <c r="Z275" s="19">
        <f t="shared" si="168"/>
        <v>-1</v>
      </c>
    </row>
    <row r="276" spans="1:26" s="23" customFormat="1" hidden="1" outlineLevel="1" x14ac:dyDescent="0.25">
      <c r="A276" s="44"/>
      <c r="B276" s="10" t="str">
        <f>CONCATENATE("          ", "9160", " - ", "MISC. INCOME")</f>
        <v xml:space="preserve">          9160 - MISC. INCOME</v>
      </c>
      <c r="C276" s="10"/>
      <c r="D276" s="2">
        <f t="shared" si="172"/>
        <v>0</v>
      </c>
      <c r="E276" s="2"/>
      <c r="F276" s="19">
        <f t="shared" si="161"/>
        <v>0</v>
      </c>
      <c r="G276" s="2"/>
      <c r="H276" s="2">
        <f t="shared" si="173"/>
        <v>0</v>
      </c>
      <c r="I276" s="2"/>
      <c r="J276" s="19">
        <f t="shared" si="162"/>
        <v>0</v>
      </c>
      <c r="K276" s="2"/>
      <c r="L276" s="2">
        <f t="shared" si="163"/>
        <v>0</v>
      </c>
      <c r="M276" s="2"/>
      <c r="N276" s="19">
        <f t="shared" si="164"/>
        <v>0</v>
      </c>
      <c r="O276" s="10"/>
      <c r="P276" s="2">
        <f t="shared" si="174"/>
        <v>0</v>
      </c>
      <c r="Q276" s="2"/>
      <c r="R276" s="19">
        <f t="shared" si="165"/>
        <v>0</v>
      </c>
      <c r="S276" s="2"/>
      <c r="T276" s="2">
        <f>--22475</f>
        <v>22475</v>
      </c>
      <c r="U276" s="2"/>
      <c r="V276" s="19">
        <f t="shared" si="166"/>
        <v>2.019733543504724E-3</v>
      </c>
      <c r="W276" s="2"/>
      <c r="X276" s="2">
        <f t="shared" si="167"/>
        <v>-22475</v>
      </c>
      <c r="Y276" s="2"/>
      <c r="Z276" s="19">
        <f t="shared" si="168"/>
        <v>-1</v>
      </c>
    </row>
    <row r="277" spans="1:26" s="23" customFormat="1" hidden="1" outlineLevel="1" x14ac:dyDescent="0.25">
      <c r="A277" s="44"/>
      <c r="B277" s="10" t="str">
        <f>CONCATENATE("          ", "9163", " - ", "MISC. INCOME")</f>
        <v xml:space="preserve">          9163 - MISC. INCOME</v>
      </c>
      <c r="C277" s="10"/>
      <c r="D277" s="2">
        <f>--44.1</f>
        <v>44.1</v>
      </c>
      <c r="E277" s="2"/>
      <c r="F277" s="19">
        <f t="shared" si="161"/>
        <v>1.0056597206441484E-4</v>
      </c>
      <c r="G277" s="2"/>
      <c r="H277" s="2">
        <f>--345960.62</f>
        <v>345960.62</v>
      </c>
      <c r="I277" s="2"/>
      <c r="J277" s="19">
        <f t="shared" si="162"/>
        <v>2.0982333653926517</v>
      </c>
      <c r="K277" s="2"/>
      <c r="L277" s="2">
        <f t="shared" si="163"/>
        <v>-345916.52</v>
      </c>
      <c r="M277" s="2"/>
      <c r="N277" s="19">
        <f t="shared" si="164"/>
        <v>-0.99987252884446798</v>
      </c>
      <c r="O277" s="10"/>
      <c r="P277" s="2">
        <f>--346478.56</f>
        <v>346478.56</v>
      </c>
      <c r="Q277" s="2"/>
      <c r="R277" s="19">
        <f t="shared" si="165"/>
        <v>7.3632483556508962E-2</v>
      </c>
      <c r="S277" s="2"/>
      <c r="T277" s="2">
        <f>--430400.5</f>
        <v>430400.5</v>
      </c>
      <c r="U277" s="2"/>
      <c r="V277" s="19">
        <f t="shared" si="166"/>
        <v>3.8678279287706563E-2</v>
      </c>
      <c r="W277" s="2"/>
      <c r="X277" s="2">
        <f t="shared" si="167"/>
        <v>-83921.94</v>
      </c>
      <c r="Y277" s="2"/>
      <c r="Z277" s="19">
        <f t="shared" si="168"/>
        <v>-0.19498569355751214</v>
      </c>
    </row>
    <row r="278" spans="1:26" x14ac:dyDescent="0.25">
      <c r="A278" s="9"/>
      <c r="B278" s="11"/>
      <c r="C278" s="11"/>
      <c r="D278" s="3"/>
      <c r="E278" s="3"/>
      <c r="F278" s="8"/>
      <c r="G278" s="3"/>
      <c r="H278" s="3"/>
      <c r="I278" s="3"/>
      <c r="J278" s="8"/>
      <c r="K278" s="3"/>
      <c r="L278" s="3"/>
      <c r="M278" s="3"/>
      <c r="N278" s="8"/>
      <c r="O278" s="11"/>
      <c r="P278" s="3"/>
      <c r="Q278" s="3"/>
      <c r="R278" s="8"/>
      <c r="S278" s="3"/>
      <c r="T278" s="3"/>
      <c r="U278" s="3"/>
      <c r="V278" s="8"/>
      <c r="W278" s="3"/>
      <c r="X278" s="3"/>
      <c r="Y278" s="3"/>
      <c r="Z278" s="8"/>
    </row>
    <row r="279" spans="1:26" s="24" customFormat="1" x14ac:dyDescent="0.25">
      <c r="A279" s="11"/>
      <c r="B279" s="29" t="s">
        <v>276</v>
      </c>
      <c r="C279" s="29"/>
      <c r="D279" s="20">
        <f>+D169-D171+D268</f>
        <v>-25324.229999999839</v>
      </c>
      <c r="E279" s="14"/>
      <c r="F279" s="22">
        <f>IF(D$12=0,0,D279/D$12)</f>
        <v>-5.7749564778521535E-2</v>
      </c>
      <c r="G279" s="14"/>
      <c r="H279" s="20">
        <f>+H169-H171+H268</f>
        <v>83681.170000000042</v>
      </c>
      <c r="I279" s="14"/>
      <c r="J279" s="22">
        <f>IF(H$12=0,0,H279/H$12)</f>
        <v>0.50752199180673996</v>
      </c>
      <c r="K279" s="16"/>
      <c r="L279" s="20">
        <f>+D279-H279</f>
        <v>-109005.39999999988</v>
      </c>
      <c r="M279" s="16"/>
      <c r="N279" s="22">
        <f>IF(H279=0,0,L279/H279)</f>
        <v>-1.3026275803744118</v>
      </c>
      <c r="O279" s="28"/>
      <c r="P279" s="20">
        <f>+P169-P171+P268</f>
        <v>-145508.8300000017</v>
      </c>
      <c r="Q279" s="14"/>
      <c r="R279" s="22">
        <f>IF(P$12=0,0,P279/P$12)</f>
        <v>-3.0923057785457155E-2</v>
      </c>
      <c r="S279" s="14"/>
      <c r="T279" s="20">
        <f>+T169-T171+T268</f>
        <v>1217403.3999999976</v>
      </c>
      <c r="U279" s="14"/>
      <c r="V279" s="22">
        <f>IF(T$12=0,0,T279/T$12)</f>
        <v>0.10940291359095414</v>
      </c>
      <c r="W279" s="16"/>
      <c r="X279" s="20">
        <f>+P279-T279</f>
        <v>-1362912.2299999993</v>
      </c>
      <c r="Y279" s="16"/>
      <c r="Z279" s="22">
        <f>IF(T279=0,0,X279/T279)</f>
        <v>-1.1195239228015972</v>
      </c>
    </row>
    <row r="280" spans="1:26" x14ac:dyDescent="0.25">
      <c r="A280" s="9"/>
      <c r="B280" s="11"/>
      <c r="C280" s="9"/>
      <c r="D280" s="3"/>
      <c r="E280" s="3"/>
      <c r="F280" s="8"/>
      <c r="G280" s="3"/>
      <c r="H280" s="3"/>
      <c r="I280" s="3"/>
      <c r="J280" s="8"/>
      <c r="K280" s="3"/>
      <c r="L280" s="3"/>
      <c r="M280" s="3"/>
      <c r="N280" s="8"/>
      <c r="P280" s="3"/>
      <c r="Q280" s="3"/>
      <c r="R280" s="8"/>
      <c r="S280" s="3"/>
      <c r="T280" s="3"/>
      <c r="U280" s="3"/>
      <c r="V280" s="8"/>
      <c r="W280" s="3"/>
      <c r="X280" s="3"/>
      <c r="Y280" s="3"/>
      <c r="Z280" s="8"/>
    </row>
    <row r="281" spans="1:26" s="24" customFormat="1" x14ac:dyDescent="0.25">
      <c r="A281" s="51"/>
      <c r="B281" s="11" t="s">
        <v>127</v>
      </c>
      <c r="C281" s="11"/>
      <c r="D281" s="4">
        <v>105021</v>
      </c>
      <c r="E281" s="4"/>
      <c r="F281" s="13">
        <f>IF(D$12=0,0,D281/D$12)</f>
        <v>0.23949067918768502</v>
      </c>
      <c r="G281" s="4"/>
      <c r="H281" s="4">
        <v>88778.19</v>
      </c>
      <c r="I281" s="4"/>
      <c r="J281" s="13">
        <f>IF(H$12=0,0,H281/H$12)</f>
        <v>0.53843515593528612</v>
      </c>
      <c r="K281" s="4"/>
      <c r="L281" s="4">
        <f>+D281-H281</f>
        <v>16242.809999999998</v>
      </c>
      <c r="M281" s="4"/>
      <c r="N281" s="13">
        <f>IF(H281=0,0,L281/H281)</f>
        <v>0.18295946335468202</v>
      </c>
      <c r="O281" s="11"/>
      <c r="P281" s="4">
        <v>984412.28</v>
      </c>
      <c r="Q281" s="4"/>
      <c r="R281" s="13">
        <f>IF(P$12=0,0,P281/P$12)</f>
        <v>0.20920405874442996</v>
      </c>
      <c r="S281" s="4"/>
      <c r="T281" s="4">
        <v>1263471.31</v>
      </c>
      <c r="U281" s="4"/>
      <c r="V281" s="13">
        <f>IF(T$12=0,0,T281/T$12)</f>
        <v>0.11354284253894799</v>
      </c>
      <c r="W281" s="4"/>
      <c r="X281" s="4">
        <f>+P281-T281</f>
        <v>-279059.03000000003</v>
      </c>
      <c r="Y281" s="4"/>
      <c r="Z281" s="13">
        <f>IF(T281=0,0,X281/T281)</f>
        <v>-0.22086693048851264</v>
      </c>
    </row>
    <row r="282" spans="1:26" x14ac:dyDescent="0.25">
      <c r="A282" s="9"/>
      <c r="B282" s="11"/>
      <c r="C282" s="11"/>
      <c r="D282" s="3"/>
      <c r="E282" s="3"/>
      <c r="F282" s="8"/>
      <c r="G282" s="3"/>
      <c r="H282" s="3"/>
      <c r="I282" s="3"/>
      <c r="J282" s="8"/>
      <c r="K282" s="3"/>
      <c r="L282" s="3"/>
      <c r="M282" s="3"/>
      <c r="N282" s="8"/>
      <c r="O282" s="11"/>
      <c r="P282" s="3"/>
      <c r="Q282" s="3"/>
      <c r="R282" s="8"/>
      <c r="S282" s="3"/>
      <c r="T282" s="3"/>
      <c r="U282" s="3"/>
      <c r="V282" s="8"/>
      <c r="W282" s="3"/>
      <c r="X282" s="3"/>
      <c r="Y282" s="3"/>
      <c r="Z282" s="8"/>
    </row>
    <row r="283" spans="1:26" s="24" customFormat="1" ht="15.75" thickBot="1" x14ac:dyDescent="0.3">
      <c r="A283" s="11"/>
      <c r="B283" s="29" t="s">
        <v>125</v>
      </c>
      <c r="C283" s="29"/>
      <c r="D283" s="30">
        <f>+D279-D281</f>
        <v>-130345.22999999984</v>
      </c>
      <c r="E283" s="14"/>
      <c r="F283" s="34">
        <f>IF(D$12=0,0,D283/D$12)</f>
        <v>-0.29724024396620657</v>
      </c>
      <c r="G283" s="14"/>
      <c r="H283" s="30">
        <f>+H279-H281</f>
        <v>-5097.0199999999604</v>
      </c>
      <c r="I283" s="14"/>
      <c r="J283" s="34">
        <f>IF(H$12=0,0,H283/H$12)</f>
        <v>-3.0913164128546104E-2</v>
      </c>
      <c r="K283" s="16"/>
      <c r="L283" s="30">
        <f>D283-H283</f>
        <v>-125248.20999999988</v>
      </c>
      <c r="M283" s="16"/>
      <c r="N283" s="34">
        <f>IF(H283=0,0,L283/H283)</f>
        <v>24.572830791325295</v>
      </c>
      <c r="O283" s="28"/>
      <c r="P283" s="30">
        <f>+P279-P281</f>
        <v>-1129921.1100000017</v>
      </c>
      <c r="Q283" s="14"/>
      <c r="R283" s="34">
        <f>IF(P$12=0,0,P283/P$12)</f>
        <v>-0.24012711652988711</v>
      </c>
      <c r="S283" s="14"/>
      <c r="T283" s="30">
        <f>+T279-T281</f>
        <v>-46067.910000002477</v>
      </c>
      <c r="U283" s="14"/>
      <c r="V283" s="34">
        <f>IF(T$12=0,0,T283/T$12)</f>
        <v>-4.1399289479938477E-3</v>
      </c>
      <c r="W283" s="16"/>
      <c r="X283" s="30">
        <f>P283-T283</f>
        <v>-1083853.1999999993</v>
      </c>
      <c r="Y283" s="16"/>
      <c r="Z283" s="34">
        <f>IF(T283=0,0,X283/T283)</f>
        <v>23.527292642534487</v>
      </c>
    </row>
    <row r="284" spans="1:26" ht="15.75" thickTop="1" x14ac:dyDescent="0.25">
      <c r="A284" s="9"/>
      <c r="B284" s="9"/>
      <c r="C284" s="9"/>
      <c r="D284" s="3"/>
      <c r="E284" s="3"/>
      <c r="F284" s="8"/>
      <c r="G284" s="3"/>
      <c r="H284" s="3"/>
      <c r="I284" s="3"/>
      <c r="J284" s="8"/>
      <c r="K284" s="3"/>
      <c r="L284" s="3"/>
      <c r="M284" s="3"/>
      <c r="N284" s="8"/>
      <c r="P284" s="3"/>
      <c r="Q284" s="3"/>
      <c r="R284" s="8"/>
      <c r="S284" s="3"/>
      <c r="T284" s="3"/>
      <c r="U284" s="3"/>
      <c r="V284" s="8"/>
      <c r="W284" s="3"/>
      <c r="X284" s="3"/>
      <c r="Y284" s="3"/>
      <c r="Z284" s="8"/>
    </row>
    <row r="285" spans="1:26" x14ac:dyDescent="0.25">
      <c r="A285" s="9"/>
      <c r="B285" s="9"/>
      <c r="C285" s="9"/>
      <c r="D285" s="3"/>
      <c r="E285" s="3"/>
      <c r="F285" s="8"/>
      <c r="G285" s="3"/>
      <c r="H285" s="3"/>
      <c r="I285" s="3"/>
      <c r="J285" s="8"/>
      <c r="K285" s="3"/>
      <c r="L285" s="3"/>
      <c r="M285" s="3"/>
      <c r="N285" s="8"/>
      <c r="P285" s="3"/>
      <c r="Q285" s="3"/>
      <c r="R285" s="8"/>
      <c r="S285" s="3"/>
      <c r="T285" s="3"/>
      <c r="U285" s="3"/>
      <c r="V285" s="8"/>
      <c r="W285" s="3"/>
      <c r="X285" s="3"/>
      <c r="Y285" s="3"/>
      <c r="Z285" s="8"/>
    </row>
    <row r="286" spans="1:26" s="24" customFormat="1" ht="15.75" thickBot="1" x14ac:dyDescent="0.3">
      <c r="A286" s="11"/>
      <c r="B286" s="29" t="s">
        <v>293</v>
      </c>
      <c r="C286" s="29"/>
      <c r="D286" s="32">
        <f>SUM(D283:D285)</f>
        <v>-130345.22999999984</v>
      </c>
      <c r="E286" s="14"/>
      <c r="F286" s="35">
        <f>IF(D$12=0,0,D286/D$12)</f>
        <v>-0.29724024396620657</v>
      </c>
      <c r="G286" s="14"/>
      <c r="H286" s="32">
        <f>SUM(H283:H285)</f>
        <v>-5097.0199999999604</v>
      </c>
      <c r="I286" s="14"/>
      <c r="J286" s="35">
        <f>IF(H$12=0,0,H286/H$12)</f>
        <v>-3.0913164128546104E-2</v>
      </c>
      <c r="K286" s="16"/>
      <c r="L286" s="32">
        <f>+D286-H286</f>
        <v>-125248.20999999988</v>
      </c>
      <c r="M286" s="16"/>
      <c r="N286" s="35">
        <f>IF(H286=0,0,L286/H286)</f>
        <v>24.572830791325295</v>
      </c>
      <c r="O286" s="28"/>
      <c r="P286" s="32">
        <f>SUM(P283:P285)</f>
        <v>-1129921.1100000017</v>
      </c>
      <c r="Q286" s="14"/>
      <c r="R286" s="35">
        <f>IF(P$12=0,0,P286/P$12)</f>
        <v>-0.24012711652988711</v>
      </c>
      <c r="S286" s="14"/>
      <c r="T286" s="32">
        <f>SUM(T283:T285)</f>
        <v>-46067.910000002477</v>
      </c>
      <c r="U286" s="14"/>
      <c r="V286" s="35">
        <f>IF(T$12=0,0,T286/T$12)</f>
        <v>-4.1399289479938477E-3</v>
      </c>
      <c r="W286" s="16"/>
      <c r="X286" s="32">
        <f>+P286-T286</f>
        <v>-1083853.1999999993</v>
      </c>
      <c r="Y286" s="16"/>
      <c r="Z286" s="35">
        <f>IF(T286=0,0,X286/T286)</f>
        <v>23.527292642534487</v>
      </c>
    </row>
    <row r="287" spans="1:26" ht="15.75" thickTop="1" x14ac:dyDescent="0.25">
      <c r="A287" s="9"/>
      <c r="C287" s="9"/>
      <c r="D287" s="17"/>
      <c r="E287" s="17"/>
      <c r="G287" s="17"/>
      <c r="H287" s="17"/>
      <c r="I287" s="17"/>
      <c r="J287" s="42"/>
      <c r="K287" s="17"/>
      <c r="L287" s="17"/>
      <c r="M287" s="17"/>
      <c r="P287" s="17"/>
      <c r="Q287" s="17"/>
      <c r="R287" s="42"/>
      <c r="S287" s="17"/>
      <c r="T287" s="17"/>
      <c r="U287" s="17"/>
      <c r="V287" s="42"/>
      <c r="W287" s="17"/>
      <c r="X287" s="17"/>
    </row>
    <row r="288" spans="1:26" x14ac:dyDescent="0.25">
      <c r="A288" s="9"/>
      <c r="B288" s="59">
        <v>44330.008844791664</v>
      </c>
      <c r="D288" s="17"/>
      <c r="E288" s="17"/>
      <c r="G288" s="17"/>
      <c r="H288" s="17"/>
      <c r="I288" s="17"/>
      <c r="J288" s="42"/>
      <c r="K288" s="17"/>
      <c r="L288" s="17"/>
      <c r="M288" s="17"/>
      <c r="P288" s="17"/>
      <c r="Q288" s="17"/>
      <c r="R288" s="42"/>
      <c r="S288" s="17"/>
      <c r="T288" s="17"/>
      <c r="U288" s="17"/>
      <c r="V288" s="42"/>
      <c r="W288" s="17"/>
      <c r="X288" s="17"/>
    </row>
    <row r="289" spans="1:24" x14ac:dyDescent="0.25">
      <c r="A289" s="9"/>
      <c r="B289" s="52" t="s">
        <v>56</v>
      </c>
      <c r="D289" s="17"/>
      <c r="E289" s="17"/>
      <c r="G289" s="17"/>
      <c r="H289" s="17"/>
      <c r="I289" s="17"/>
      <c r="J289" s="42"/>
      <c r="K289" s="17"/>
      <c r="L289" s="17"/>
      <c r="M289" s="17"/>
      <c r="P289" s="17"/>
      <c r="Q289" s="17"/>
      <c r="R289" s="42"/>
      <c r="S289" s="17"/>
      <c r="T289" s="17"/>
      <c r="U289" s="17"/>
      <c r="V289" s="42"/>
      <c r="W289" s="17"/>
      <c r="X289" s="17"/>
    </row>
    <row r="290" spans="1:24" x14ac:dyDescent="0.25">
      <c r="A290" s="9"/>
      <c r="B290" s="55"/>
      <c r="D290" s="17"/>
      <c r="E290" s="17"/>
      <c r="G290" s="17"/>
      <c r="H290" s="17"/>
      <c r="I290" s="17"/>
      <c r="J290" s="42"/>
      <c r="K290" s="17"/>
      <c r="L290" s="17"/>
      <c r="M290" s="17"/>
      <c r="P290" s="17"/>
      <c r="Q290" s="17"/>
      <c r="R290" s="42"/>
      <c r="S290" s="17"/>
      <c r="T290" s="17"/>
      <c r="U290" s="17"/>
      <c r="V290" s="42"/>
      <c r="W290" s="17"/>
      <c r="X290" s="17"/>
    </row>
    <row r="291" spans="1:24" x14ac:dyDescent="0.25">
      <c r="D291" s="17"/>
      <c r="E291" s="17"/>
      <c r="G291" s="17"/>
      <c r="H291" s="17"/>
      <c r="I291" s="17"/>
      <c r="J291" s="42"/>
      <c r="K291" s="17"/>
      <c r="L291" s="17"/>
      <c r="M291" s="17"/>
      <c r="P291" s="17"/>
      <c r="Q291" s="17"/>
      <c r="R291" s="42"/>
      <c r="S291" s="17"/>
      <c r="T291" s="17"/>
      <c r="U291" s="17"/>
      <c r="V291" s="42"/>
      <c r="W291" s="17"/>
      <c r="X291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8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255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438466.21000000008</v>
      </c>
      <c r="E12" s="4"/>
      <c r="F12" s="13"/>
      <c r="G12" s="4"/>
      <c r="H12" s="4">
        <f>SUM(OSRRefH13x_0)</f>
        <v>164836.55000000002</v>
      </c>
      <c r="I12" s="4"/>
      <c r="J12" s="13"/>
      <c r="K12" s="4"/>
      <c r="L12" s="4">
        <f t="shared" ref="L12:L109" si="0">+D12-H12</f>
        <v>273629.66000000003</v>
      </c>
      <c r="M12" s="4"/>
      <c r="N12" s="13">
        <f t="shared" ref="N12:N109" si="1">IF(H12=0,0,L12/H12)</f>
        <v>1.6600059877496829</v>
      </c>
      <c r="O12" s="11"/>
      <c r="P12" s="4">
        <f>SUM(OSRRefP13x_0)</f>
        <v>4702639.42</v>
      </c>
      <c r="Q12" s="4"/>
      <c r="R12" s="13"/>
      <c r="S12" s="4"/>
      <c r="T12" s="4">
        <f>SUM(OSRRefT13x_0)</f>
        <v>8763124.5800000001</v>
      </c>
      <c r="U12" s="4"/>
      <c r="V12" s="13"/>
      <c r="W12" s="4"/>
      <c r="X12" s="4">
        <f t="shared" ref="X12:X109" si="2">+P12-T12</f>
        <v>-4060485.16</v>
      </c>
      <c r="Y12" s="4"/>
      <c r="Z12" s="13">
        <f t="shared" ref="Z12:Z109" si="3">IF(T12=0,0,X12/T12)</f>
        <v>-0.46336042845575981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-13171.93</f>
        <v>-13171.93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-13171.93</v>
      </c>
      <c r="M13" s="2"/>
      <c r="N13" s="19">
        <f t="shared" si="1"/>
        <v>0</v>
      </c>
      <c r="O13" s="10"/>
      <c r="P13" s="2">
        <f>-133095.19</f>
        <v>-133095.19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-133095.19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--31347.12</f>
        <v>31347.119999999999</v>
      </c>
      <c r="E14" s="2"/>
      <c r="F14" s="19"/>
      <c r="G14" s="2"/>
      <c r="H14" s="2">
        <f>--1084.45</f>
        <v>1084.45</v>
      </c>
      <c r="I14" s="2"/>
      <c r="J14" s="19"/>
      <c r="K14" s="2"/>
      <c r="L14" s="2">
        <f t="shared" si="0"/>
        <v>30262.67</v>
      </c>
      <c r="M14" s="2"/>
      <c r="N14" s="19">
        <f t="shared" si="1"/>
        <v>27.906007653649311</v>
      </c>
      <c r="O14" s="10"/>
      <c r="P14" s="2">
        <f>--1263810.36</f>
        <v>1263810.3600000001</v>
      </c>
      <c r="Q14" s="2"/>
      <c r="R14" s="19"/>
      <c r="S14" s="2"/>
      <c r="T14" s="2">
        <f>--2397977.73</f>
        <v>2397977.73</v>
      </c>
      <c r="U14" s="2"/>
      <c r="V14" s="19"/>
      <c r="W14" s="2"/>
      <c r="X14" s="2">
        <f t="shared" si="2"/>
        <v>-1134167.3699999999</v>
      </c>
      <c r="Y14" s="2"/>
      <c r="Z14" s="19">
        <f t="shared" si="3"/>
        <v>-0.47296826647343382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--1971.3</f>
        <v>1971.3</v>
      </c>
      <c r="E15" s="2"/>
      <c r="F15" s="19"/>
      <c r="G15" s="2"/>
      <c r="H15" s="2">
        <f>--602.5</f>
        <v>602.5</v>
      </c>
      <c r="I15" s="2"/>
      <c r="J15" s="19"/>
      <c r="K15" s="2"/>
      <c r="L15" s="2">
        <f t="shared" si="0"/>
        <v>1368.8</v>
      </c>
      <c r="M15" s="2"/>
      <c r="N15" s="19">
        <f t="shared" si="1"/>
        <v>2.2718672199170125</v>
      </c>
      <c r="O15" s="10"/>
      <c r="P15" s="2">
        <f>--578768.63</f>
        <v>578768.63</v>
      </c>
      <c r="Q15" s="2"/>
      <c r="R15" s="19"/>
      <c r="S15" s="2"/>
      <c r="T15" s="2">
        <f>--1244917.19</f>
        <v>1244917.19</v>
      </c>
      <c r="U15" s="2"/>
      <c r="V15" s="19"/>
      <c r="W15" s="2"/>
      <c r="X15" s="2">
        <f t="shared" si="2"/>
        <v>-666148.55999999994</v>
      </c>
      <c r="Y15" s="2"/>
      <c r="Z15" s="19">
        <f t="shared" si="3"/>
        <v>-0.53509467565469149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--20</f>
        <v>20</v>
      </c>
      <c r="E16" s="2"/>
      <c r="F16" s="19"/>
      <c r="G16" s="2"/>
      <c r="H16" s="2">
        <f t="shared" ref="H16:H18" si="4">0</f>
        <v>0</v>
      </c>
      <c r="I16" s="2"/>
      <c r="J16" s="19"/>
      <c r="K16" s="2"/>
      <c r="L16" s="2">
        <f t="shared" si="0"/>
        <v>20</v>
      </c>
      <c r="M16" s="2"/>
      <c r="N16" s="19">
        <f t="shared" si="1"/>
        <v>0</v>
      </c>
      <c r="O16" s="10"/>
      <c r="P16" s="2">
        <f>--17997.88</f>
        <v>17997.88</v>
      </c>
      <c r="Q16" s="2"/>
      <c r="R16" s="19"/>
      <c r="S16" s="2"/>
      <c r="T16" s="2">
        <f>--33694.89</f>
        <v>33694.89</v>
      </c>
      <c r="U16" s="2"/>
      <c r="V16" s="19"/>
      <c r="W16" s="2"/>
      <c r="X16" s="2">
        <f t="shared" si="2"/>
        <v>-15697.009999999998</v>
      </c>
      <c r="Y16" s="2"/>
      <c r="Z16" s="19">
        <f t="shared" si="3"/>
        <v>-0.46585728577834795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5"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5"/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--61.81</f>
        <v>61.81</v>
      </c>
      <c r="E19" s="2"/>
      <c r="F19" s="19"/>
      <c r="G19" s="2"/>
      <c r="H19" s="2">
        <f>--18.36</f>
        <v>18.36</v>
      </c>
      <c r="I19" s="2"/>
      <c r="J19" s="19"/>
      <c r="K19" s="2"/>
      <c r="L19" s="2">
        <f t="shared" si="0"/>
        <v>43.45</v>
      </c>
      <c r="M19" s="2"/>
      <c r="N19" s="19">
        <f t="shared" si="1"/>
        <v>2.3665577342047932</v>
      </c>
      <c r="O19" s="10"/>
      <c r="P19" s="2">
        <f>--1263.83</f>
        <v>1263.83</v>
      </c>
      <c r="Q19" s="2"/>
      <c r="R19" s="19"/>
      <c r="S19" s="2"/>
      <c r="T19" s="2">
        <f>--2713.36</f>
        <v>2713.36</v>
      </c>
      <c r="U19" s="2"/>
      <c r="V19" s="19"/>
      <c r="W19" s="2"/>
      <c r="X19" s="2">
        <f t="shared" si="2"/>
        <v>-1449.5300000000002</v>
      </c>
      <c r="Y19" s="2"/>
      <c r="Z19" s="19">
        <f t="shared" si="3"/>
        <v>-0.53421956540967663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--36.85</f>
        <v>36.85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36.85</v>
      </c>
      <c r="M20" s="2"/>
      <c r="N20" s="19">
        <f t="shared" si="1"/>
        <v>0</v>
      </c>
      <c r="O20" s="10"/>
      <c r="P20" s="2">
        <f>--484.55</f>
        <v>484.55</v>
      </c>
      <c r="Q20" s="2"/>
      <c r="R20" s="19"/>
      <c r="S20" s="2"/>
      <c r="T20" s="2">
        <f>--1219.18</f>
        <v>1219.18</v>
      </c>
      <c r="U20" s="2"/>
      <c r="V20" s="19"/>
      <c r="W20" s="2"/>
      <c r="X20" s="2">
        <f t="shared" si="2"/>
        <v>-734.63000000000011</v>
      </c>
      <c r="Y20" s="2"/>
      <c r="Z20" s="19">
        <f t="shared" si="3"/>
        <v>-0.60256073754490724</v>
      </c>
    </row>
    <row r="21" spans="1:26" s="23" customFormat="1" hidden="1" outlineLevel="1" x14ac:dyDescent="0.25">
      <c r="A21" s="44"/>
      <c r="B21" s="10" t="str">
        <f>CONCATENATE("          ", "4017", " - ", "TAXABLE SALES-DORM/HOUSEWARES")</f>
        <v xml:space="preserve">          4017 - TAXABLE SALES-DORM/HOUSEWARES</v>
      </c>
      <c r="C21" s="10"/>
      <c r="D21" s="2">
        <f>0</f>
        <v>0</v>
      </c>
      <c r="E21" s="2"/>
      <c r="F21" s="19"/>
      <c r="G21" s="2"/>
      <c r="H21" s="2">
        <f>--64.95</f>
        <v>64.95</v>
      </c>
      <c r="I21" s="2"/>
      <c r="J21" s="19"/>
      <c r="K21" s="2"/>
      <c r="L21" s="2">
        <f t="shared" si="0"/>
        <v>-64.95</v>
      </c>
      <c r="M21" s="2"/>
      <c r="N21" s="19">
        <f t="shared" si="1"/>
        <v>-1</v>
      </c>
      <c r="O21" s="10"/>
      <c r="P21" s="2">
        <f>0</f>
        <v>0</v>
      </c>
      <c r="Q21" s="2"/>
      <c r="R21" s="19"/>
      <c r="S21" s="2"/>
      <c r="T21" s="2">
        <f>--347.52</f>
        <v>347.52</v>
      </c>
      <c r="U21" s="2"/>
      <c r="V21" s="19"/>
      <c r="W21" s="2"/>
      <c r="X21" s="2">
        <f t="shared" si="2"/>
        <v>-347.52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"4018", " - ", "TAXABLE SALES-STUDY GUIDES")</f>
        <v xml:space="preserve">          4018 - TAXABLE SALES-STUDY GUIDES</v>
      </c>
      <c r="C22" s="10"/>
      <c r="D22" s="2">
        <f>--72.96</f>
        <v>72.959999999999994</v>
      </c>
      <c r="E22" s="2"/>
      <c r="F22" s="19"/>
      <c r="G22" s="2"/>
      <c r="H22" s="2">
        <f t="shared" ref="H22:H24" si="6">0</f>
        <v>0</v>
      </c>
      <c r="I22" s="2"/>
      <c r="J22" s="19"/>
      <c r="K22" s="2"/>
      <c r="L22" s="2">
        <f t="shared" si="0"/>
        <v>72.959999999999994</v>
      </c>
      <c r="M22" s="2"/>
      <c r="N22" s="19">
        <f t="shared" si="1"/>
        <v>0</v>
      </c>
      <c r="O22" s="10"/>
      <c r="P22" s="2">
        <f>--473.1</f>
        <v>473.1</v>
      </c>
      <c r="Q22" s="2"/>
      <c r="R22" s="19"/>
      <c r="S22" s="2"/>
      <c r="T22" s="2">
        <f>--4154.31</f>
        <v>4154.3100000000004</v>
      </c>
      <c r="U22" s="2"/>
      <c r="V22" s="19"/>
      <c r="W22" s="2"/>
      <c r="X22" s="2">
        <f t="shared" si="2"/>
        <v>-3681.2100000000005</v>
      </c>
      <c r="Y22" s="2"/>
      <c r="Z22" s="19">
        <f t="shared" si="3"/>
        <v>-0.88611827234847662</v>
      </c>
    </row>
    <row r="23" spans="1:26" s="23" customFormat="1" hidden="1" outlineLevel="1" x14ac:dyDescent="0.25">
      <c r="A23" s="44"/>
      <c r="B23" s="10" t="str">
        <f>CONCATENATE("          ", "4019", " - ", "TAXABLE SALES-BOOK RELATED")</f>
        <v xml:space="preserve">          4019 - TAXABLE SALES-BOOK RELATED</v>
      </c>
      <c r="C23" s="10"/>
      <c r="D23" s="2">
        <f t="shared" ref="D23:D24" si="7">0</f>
        <v>0</v>
      </c>
      <c r="E23" s="2"/>
      <c r="F23" s="19"/>
      <c r="G23" s="2"/>
      <c r="H23" s="2">
        <f t="shared" si="6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ref="P23:P24" si="8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"4025", " - ", "TAXABLE SALES-TEST FORMS")</f>
        <v xml:space="preserve">          4025 - TAXABLE SALES-TEST FORMS</v>
      </c>
      <c r="C24" s="10"/>
      <c r="D24" s="2">
        <f t="shared" si="7"/>
        <v>0</v>
      </c>
      <c r="E24" s="2"/>
      <c r="F24" s="19"/>
      <c r="G24" s="2"/>
      <c r="H24" s="2">
        <f t="shared" si="6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 t="shared" si="8"/>
        <v>0</v>
      </c>
      <c r="Q24" s="2"/>
      <c r="R24" s="19"/>
      <c r="S24" s="2"/>
      <c r="T24" s="2">
        <f>--54702.86</f>
        <v>54702.86</v>
      </c>
      <c r="U24" s="2"/>
      <c r="V24" s="19"/>
      <c r="W24" s="2"/>
      <c r="X24" s="2">
        <f t="shared" si="2"/>
        <v>-54702.86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"4026", " - ", "TAXABLE SALES-WRITING INSTRUME")</f>
        <v xml:space="preserve">          4026 - TAXABLE SALES-WRITING INSTRUME</v>
      </c>
      <c r="C25" s="10"/>
      <c r="D25" s="2">
        <f>--21.42</f>
        <v>21.42</v>
      </c>
      <c r="E25" s="2"/>
      <c r="F25" s="19"/>
      <c r="G25" s="2"/>
      <c r="H25" s="2">
        <f>--81.65</f>
        <v>81.650000000000006</v>
      </c>
      <c r="I25" s="2"/>
      <c r="J25" s="19"/>
      <c r="K25" s="2"/>
      <c r="L25" s="2">
        <f t="shared" si="0"/>
        <v>-60.230000000000004</v>
      </c>
      <c r="M25" s="2"/>
      <c r="N25" s="19">
        <f t="shared" si="1"/>
        <v>-0.73766074709124307</v>
      </c>
      <c r="O25" s="10"/>
      <c r="P25" s="2">
        <f>--486.17</f>
        <v>486.17</v>
      </c>
      <c r="Q25" s="2"/>
      <c r="R25" s="19"/>
      <c r="S25" s="2"/>
      <c r="T25" s="2">
        <f>--79949.71</f>
        <v>79949.710000000006</v>
      </c>
      <c r="U25" s="2"/>
      <c r="V25" s="19"/>
      <c r="W25" s="2"/>
      <c r="X25" s="2">
        <f t="shared" si="2"/>
        <v>-79463.540000000008</v>
      </c>
      <c r="Y25" s="2"/>
      <c r="Z25" s="19">
        <f t="shared" si="3"/>
        <v>-0.99391905236429257</v>
      </c>
    </row>
    <row r="26" spans="1:26" s="23" customFormat="1" hidden="1" outlineLevel="1" x14ac:dyDescent="0.25">
      <c r="A26" s="44"/>
      <c r="B26" s="10" t="str">
        <f>CONCATENATE("          ", "4027", " - ", "TAXABLE SALES-SCHOOL SUPPLIES")</f>
        <v xml:space="preserve">          4027 - TAXABLE SALES-SCHOOL SUPPLIES</v>
      </c>
      <c r="C26" s="10"/>
      <c r="D26" s="2">
        <f>--6558.65</f>
        <v>6558.65</v>
      </c>
      <c r="E26" s="2"/>
      <c r="F26" s="19"/>
      <c r="G26" s="2"/>
      <c r="H26" s="2">
        <f>--1399.98</f>
        <v>1399.98</v>
      </c>
      <c r="I26" s="2"/>
      <c r="J26" s="19"/>
      <c r="K26" s="2"/>
      <c r="L26" s="2">
        <f t="shared" si="0"/>
        <v>5158.67</v>
      </c>
      <c r="M26" s="2"/>
      <c r="N26" s="19">
        <f t="shared" si="1"/>
        <v>3.6848169259560852</v>
      </c>
      <c r="O26" s="10"/>
      <c r="P26" s="2">
        <f>--64070.97</f>
        <v>64070.97</v>
      </c>
      <c r="Q26" s="2"/>
      <c r="R26" s="19"/>
      <c r="S26" s="2"/>
      <c r="T26" s="2">
        <f>--271246.56</f>
        <v>271246.56</v>
      </c>
      <c r="U26" s="2"/>
      <c r="V26" s="19"/>
      <c r="W26" s="2"/>
      <c r="X26" s="2">
        <f t="shared" si="2"/>
        <v>-207175.59</v>
      </c>
      <c r="Y26" s="2"/>
      <c r="Z26" s="19">
        <f t="shared" si="3"/>
        <v>-0.76379066337283685</v>
      </c>
    </row>
    <row r="27" spans="1:26" s="23" customFormat="1" hidden="1" outlineLevel="1" x14ac:dyDescent="0.25">
      <c r="A27" s="44"/>
      <c r="B27" s="10" t="str">
        <f>CONCATENATE("          ", "4028", " - ", "TAXABLE SALES-ART/TECH")</f>
        <v xml:space="preserve">          4028 - TAXABLE SALES-ART/TECH</v>
      </c>
      <c r="C27" s="10"/>
      <c r="D27" s="2">
        <f>--2650.79</f>
        <v>2650.79</v>
      </c>
      <c r="E27" s="2"/>
      <c r="F27" s="19"/>
      <c r="G27" s="2"/>
      <c r="H27" s="2">
        <f>--168.82</f>
        <v>168.82</v>
      </c>
      <c r="I27" s="2"/>
      <c r="J27" s="19"/>
      <c r="K27" s="2"/>
      <c r="L27" s="2">
        <f t="shared" si="0"/>
        <v>2481.9699999999998</v>
      </c>
      <c r="M27" s="2"/>
      <c r="N27" s="19">
        <f t="shared" si="1"/>
        <v>14.701871816135528</v>
      </c>
      <c r="O27" s="10"/>
      <c r="P27" s="2">
        <f>--46900.17</f>
        <v>46900.17</v>
      </c>
      <c r="Q27" s="2"/>
      <c r="R27" s="19"/>
      <c r="S27" s="2"/>
      <c r="T27" s="2">
        <f>--292765.87</f>
        <v>292765.87</v>
      </c>
      <c r="U27" s="2"/>
      <c r="V27" s="19"/>
      <c r="W27" s="2"/>
      <c r="X27" s="2">
        <f t="shared" si="2"/>
        <v>-245865.7</v>
      </c>
      <c r="Y27" s="2"/>
      <c r="Z27" s="19">
        <f t="shared" si="3"/>
        <v>-0.83980315055166788</v>
      </c>
    </row>
    <row r="28" spans="1:26" s="23" customFormat="1" hidden="1" outlineLevel="1" x14ac:dyDescent="0.25">
      <c r="A28" s="44"/>
      <c r="B28" s="10" t="str">
        <f>CONCATENATE("          ", "4031", " - ", "TAXABLE SALES-FOOD")</f>
        <v xml:space="preserve">          4031 - TAXABLE SALES-FOOD</v>
      </c>
      <c r="C28" s="10"/>
      <c r="D28" s="2">
        <f>--595.72</f>
        <v>595.72</v>
      </c>
      <c r="E28" s="2"/>
      <c r="F28" s="19"/>
      <c r="G28" s="2"/>
      <c r="H28" s="2">
        <f t="shared" ref="H28:H33" si="9">0</f>
        <v>0</v>
      </c>
      <c r="I28" s="2"/>
      <c r="J28" s="19"/>
      <c r="K28" s="2"/>
      <c r="L28" s="2">
        <f t="shared" si="0"/>
        <v>595.72</v>
      </c>
      <c r="M28" s="2"/>
      <c r="N28" s="19">
        <f t="shared" si="1"/>
        <v>0</v>
      </c>
      <c r="O28" s="10"/>
      <c r="P28" s="2">
        <f>--4210.59</f>
        <v>4210.59</v>
      </c>
      <c r="Q28" s="2"/>
      <c r="R28" s="19"/>
      <c r="S28" s="2"/>
      <c r="T28" s="2">
        <f>--486.34</f>
        <v>486.34</v>
      </c>
      <c r="U28" s="2"/>
      <c r="V28" s="19"/>
      <c r="W28" s="2"/>
      <c r="X28" s="2">
        <f t="shared" si="2"/>
        <v>3724.25</v>
      </c>
      <c r="Y28" s="2"/>
      <c r="Z28" s="19">
        <f t="shared" si="3"/>
        <v>7.6577085989225653</v>
      </c>
    </row>
    <row r="29" spans="1:26" s="23" customFormat="1" hidden="1" outlineLevel="1" x14ac:dyDescent="0.25">
      <c r="A29" s="44"/>
      <c r="B29" s="10" t="str">
        <f>CONCATENATE("          ", "4032", " - ", "TAXABLE SALES-JUICE")</f>
        <v xml:space="preserve">          4032 - TAXABLE SALES-JUICE</v>
      </c>
      <c r="C29" s="10"/>
      <c r="D29" s="2">
        <f t="shared" ref="D29:D33" si="10">0</f>
        <v>0</v>
      </c>
      <c r="E29" s="2"/>
      <c r="F29" s="19"/>
      <c r="G29" s="2"/>
      <c r="H29" s="2">
        <f t="shared" si="9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 t="shared" ref="P29:P30" si="11">0</f>
        <v>0</v>
      </c>
      <c r="Q29" s="2"/>
      <c r="R29" s="19"/>
      <c r="S29" s="2"/>
      <c r="T29" s="2">
        <f>--1905.06</f>
        <v>1905.06</v>
      </c>
      <c r="U29" s="2"/>
      <c r="V29" s="19"/>
      <c r="W29" s="2"/>
      <c r="X29" s="2">
        <f t="shared" si="2"/>
        <v>-1905.06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"4033", " - ", "TAXABLE SALES-CANDY")</f>
        <v xml:space="preserve">          4033 - TAXABLE SALES-CANDY</v>
      </c>
      <c r="C30" s="10"/>
      <c r="D30" s="2">
        <f t="shared" si="10"/>
        <v>0</v>
      </c>
      <c r="E30" s="2"/>
      <c r="F30" s="19"/>
      <c r="G30" s="2"/>
      <c r="H30" s="2">
        <f t="shared" si="9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 t="shared" si="11"/>
        <v>0</v>
      </c>
      <c r="Q30" s="2"/>
      <c r="R30" s="19"/>
      <c r="S30" s="2"/>
      <c r="T30" s="2">
        <f>--205.53</f>
        <v>205.53</v>
      </c>
      <c r="U30" s="2"/>
      <c r="V30" s="19"/>
      <c r="W30" s="2"/>
      <c r="X30" s="2">
        <f t="shared" si="2"/>
        <v>-205.53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"4034", " - ", "TAXABLE SALES-SODA")</f>
        <v xml:space="preserve">          4034 - TAXABLE SALES-SODA</v>
      </c>
      <c r="C31" s="10"/>
      <c r="D31" s="2">
        <f t="shared" si="10"/>
        <v>0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--6.78</f>
        <v>6.78</v>
      </c>
      <c r="Q31" s="2"/>
      <c r="R31" s="19"/>
      <c r="S31" s="2"/>
      <c r="T31" s="2">
        <f>--7803.51</f>
        <v>7803.51</v>
      </c>
      <c r="U31" s="2"/>
      <c r="V31" s="19"/>
      <c r="W31" s="2"/>
      <c r="X31" s="2">
        <f t="shared" si="2"/>
        <v>-7796.7300000000005</v>
      </c>
      <c r="Y31" s="2"/>
      <c r="Z31" s="19">
        <f t="shared" si="3"/>
        <v>-0.99913116020867532</v>
      </c>
    </row>
    <row r="32" spans="1:26" s="23" customFormat="1" hidden="1" outlineLevel="1" x14ac:dyDescent="0.25">
      <c r="A32" s="44"/>
      <c r="B32" s="10" t="str">
        <f>CONCATENATE("          ", "4035", " - ", "TAXABLE SALES-HEALTH &amp; BEAUTY")</f>
        <v xml:space="preserve">          4035 - TAXABLE SALES-HEALTH &amp; BEAUTY</v>
      </c>
      <c r="C32" s="10"/>
      <c r="D32" s="2">
        <f t="shared" si="10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ref="P32:P33" si="12">0</f>
        <v>0</v>
      </c>
      <c r="Q32" s="2"/>
      <c r="R32" s="19"/>
      <c r="S32" s="2"/>
      <c r="T32" s="2">
        <f>--1981.84</f>
        <v>1981.84</v>
      </c>
      <c r="U32" s="2"/>
      <c r="V32" s="19"/>
      <c r="W32" s="2"/>
      <c r="X32" s="2">
        <f t="shared" si="2"/>
        <v>-1981.84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"4037", " - ", "TAXABLE SALES-WATER")</f>
        <v xml:space="preserve">          4037 - TAXABLE SALES-WATER</v>
      </c>
      <c r="C33" s="10"/>
      <c r="D33" s="2">
        <f t="shared" si="10"/>
        <v>0</v>
      </c>
      <c r="E33" s="2"/>
      <c r="F33" s="19"/>
      <c r="G33" s="2"/>
      <c r="H33" s="2">
        <f t="shared" si="9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12"/>
        <v>0</v>
      </c>
      <c r="Q33" s="2"/>
      <c r="R33" s="19"/>
      <c r="S33" s="2"/>
      <c r="T33" s="2">
        <f>--513.51</f>
        <v>513.51</v>
      </c>
      <c r="U33" s="2"/>
      <c r="V33" s="19"/>
      <c r="W33" s="2"/>
      <c r="X33" s="2">
        <f t="shared" si="2"/>
        <v>-513.51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"4040", " - ", "TAXABLE SALES-LOGO CLOTHING")</f>
        <v xml:space="preserve">          4040 - TAXABLE SALES-LOGO CLOTHING</v>
      </c>
      <c r="C34" s="10"/>
      <c r="D34" s="2">
        <f>--159179.58</f>
        <v>159179.57999999999</v>
      </c>
      <c r="E34" s="2"/>
      <c r="F34" s="19"/>
      <c r="G34" s="2"/>
      <c r="H34" s="2">
        <f>--67974.91</f>
        <v>67974.91</v>
      </c>
      <c r="I34" s="2"/>
      <c r="J34" s="19"/>
      <c r="K34" s="2"/>
      <c r="L34" s="2">
        <f t="shared" si="0"/>
        <v>91204.669999999984</v>
      </c>
      <c r="M34" s="2"/>
      <c r="N34" s="19">
        <f t="shared" si="1"/>
        <v>1.3417402097332674</v>
      </c>
      <c r="O34" s="10"/>
      <c r="P34" s="2">
        <f>--913180.73</f>
        <v>913180.73</v>
      </c>
      <c r="Q34" s="2"/>
      <c r="R34" s="19"/>
      <c r="S34" s="2"/>
      <c r="T34" s="2">
        <f>--1844103.4</f>
        <v>1844103.4</v>
      </c>
      <c r="U34" s="2"/>
      <c r="V34" s="19"/>
      <c r="W34" s="2"/>
      <c r="X34" s="2">
        <f t="shared" si="2"/>
        <v>-930922.66999999993</v>
      </c>
      <c r="Y34" s="2"/>
      <c r="Z34" s="19">
        <f t="shared" si="3"/>
        <v>-0.50481045151806558</v>
      </c>
    </row>
    <row r="35" spans="1:26" s="23" customFormat="1" hidden="1" outlineLevel="1" x14ac:dyDescent="0.25">
      <c r="A35" s="44"/>
      <c r="B35" s="10" t="str">
        <f>CONCATENATE("          ", "4041", " - ", "TAXABLE SALES-LOGO GIFTS")</f>
        <v xml:space="preserve">          4041 - TAXABLE SALES-LOGO GIFTS</v>
      </c>
      <c r="C35" s="10"/>
      <c r="D35" s="2">
        <f>--116440.2</f>
        <v>116440.2</v>
      </c>
      <c r="E35" s="2"/>
      <c r="F35" s="19"/>
      <c r="G35" s="2"/>
      <c r="H35" s="2">
        <f>--14115.57</f>
        <v>14115.57</v>
      </c>
      <c r="I35" s="2"/>
      <c r="J35" s="19"/>
      <c r="K35" s="2"/>
      <c r="L35" s="2">
        <f t="shared" si="0"/>
        <v>102324.63</v>
      </c>
      <c r="M35" s="2"/>
      <c r="N35" s="19">
        <f t="shared" si="1"/>
        <v>7.2490611431206817</v>
      </c>
      <c r="O35" s="10"/>
      <c r="P35" s="2">
        <f>--440456.98</f>
        <v>440456.98</v>
      </c>
      <c r="Q35" s="2"/>
      <c r="R35" s="19"/>
      <c r="S35" s="2"/>
      <c r="T35" s="2">
        <f>--481133.29</f>
        <v>481133.29</v>
      </c>
      <c r="U35" s="2"/>
      <c r="V35" s="19"/>
      <c r="W35" s="2"/>
      <c r="X35" s="2">
        <f t="shared" si="2"/>
        <v>-40676.31</v>
      </c>
      <c r="Y35" s="2"/>
      <c r="Z35" s="19">
        <f t="shared" si="3"/>
        <v>-8.454270541121775E-2</v>
      </c>
    </row>
    <row r="36" spans="1:26" s="23" customFormat="1" hidden="1" outlineLevel="1" x14ac:dyDescent="0.25">
      <c r="A36" s="44"/>
      <c r="B36" s="10" t="str">
        <f>CONCATENATE("          ", "4042", " - ", "TAXABLE SALES-EVERYDAY GIFTS")</f>
        <v xml:space="preserve">          4042 - TAXABLE SALES-EVERYDAY GIFTS</v>
      </c>
      <c r="C36" s="10"/>
      <c r="D36" s="2">
        <f>--10630.32</f>
        <v>10630.32</v>
      </c>
      <c r="E36" s="2"/>
      <c r="F36" s="19"/>
      <c r="G36" s="2"/>
      <c r="H36" s="2">
        <f>--1721.77</f>
        <v>1721.77</v>
      </c>
      <c r="I36" s="2"/>
      <c r="J36" s="19"/>
      <c r="K36" s="2"/>
      <c r="L36" s="2">
        <f t="shared" si="0"/>
        <v>8908.5499999999993</v>
      </c>
      <c r="M36" s="2"/>
      <c r="N36" s="19">
        <f t="shared" si="1"/>
        <v>5.1740650609547147</v>
      </c>
      <c r="O36" s="10"/>
      <c r="P36" s="2">
        <f>--100678.52</f>
        <v>100678.52</v>
      </c>
      <c r="Q36" s="2"/>
      <c r="R36" s="19"/>
      <c r="S36" s="2"/>
      <c r="T36" s="2">
        <f>--279302.18</f>
        <v>279302.18</v>
      </c>
      <c r="U36" s="2"/>
      <c r="V36" s="19"/>
      <c r="W36" s="2"/>
      <c r="X36" s="2">
        <f t="shared" si="2"/>
        <v>-178623.65999999997</v>
      </c>
      <c r="Y36" s="2"/>
      <c r="Z36" s="19">
        <f t="shared" si="3"/>
        <v>-0.63953550237237666</v>
      </c>
    </row>
    <row r="37" spans="1:26" s="23" customFormat="1" hidden="1" outlineLevel="1" x14ac:dyDescent="0.25">
      <c r="A37" s="44"/>
      <c r="B37" s="10" t="str">
        <f>CONCATENATE("          ", "4043", " - ", "TAXABLE SALES-CARDS")</f>
        <v xml:space="preserve">          4043 - TAXABLE SALES-CARDS</v>
      </c>
      <c r="C37" s="10"/>
      <c r="D37" s="2">
        <f>--4423.21</f>
        <v>4423.21</v>
      </c>
      <c r="E37" s="2"/>
      <c r="F37" s="19"/>
      <c r="G37" s="2"/>
      <c r="H37" s="2">
        <f>--651</f>
        <v>651</v>
      </c>
      <c r="I37" s="2"/>
      <c r="J37" s="19"/>
      <c r="K37" s="2"/>
      <c r="L37" s="2">
        <f t="shared" si="0"/>
        <v>3772.21</v>
      </c>
      <c r="M37" s="2"/>
      <c r="N37" s="19">
        <f t="shared" si="1"/>
        <v>5.7944854070660519</v>
      </c>
      <c r="O37" s="10"/>
      <c r="P37" s="2">
        <f>--136859.38</f>
        <v>136859.38</v>
      </c>
      <c r="Q37" s="2"/>
      <c r="R37" s="19"/>
      <c r="S37" s="2"/>
      <c r="T37" s="2">
        <f>--77219.23</f>
        <v>77219.23</v>
      </c>
      <c r="U37" s="2"/>
      <c r="V37" s="19"/>
      <c r="W37" s="2"/>
      <c r="X37" s="2">
        <f t="shared" si="2"/>
        <v>59640.150000000009</v>
      </c>
      <c r="Y37" s="2"/>
      <c r="Z37" s="19">
        <f t="shared" si="3"/>
        <v>0.77234841632064977</v>
      </c>
    </row>
    <row r="38" spans="1:26" s="23" customFormat="1" hidden="1" outlineLevel="1" x14ac:dyDescent="0.25">
      <c r="A38" s="44"/>
      <c r="B38" s="10" t="str">
        <f>CONCATENATE("          ", "4044", " - ", "TAXABLE SALES-ACCESSORIES")</f>
        <v xml:space="preserve">          4044 - TAXABLE SALES-ACCESSORIES</v>
      </c>
      <c r="C38" s="10"/>
      <c r="D38" s="2">
        <f>--4745.38</f>
        <v>4745.38</v>
      </c>
      <c r="E38" s="2"/>
      <c r="F38" s="19"/>
      <c r="G38" s="2"/>
      <c r="H38" s="2">
        <f>--673.79</f>
        <v>673.79</v>
      </c>
      <c r="I38" s="2"/>
      <c r="J38" s="19"/>
      <c r="K38" s="2"/>
      <c r="L38" s="2">
        <f t="shared" si="0"/>
        <v>4071.59</v>
      </c>
      <c r="M38" s="2"/>
      <c r="N38" s="19">
        <f t="shared" si="1"/>
        <v>6.0428174950652283</v>
      </c>
      <c r="O38" s="10"/>
      <c r="P38" s="2">
        <f>--36092.23</f>
        <v>36092.230000000003</v>
      </c>
      <c r="Q38" s="2"/>
      <c r="R38" s="19"/>
      <c r="S38" s="2"/>
      <c r="T38" s="2">
        <f>--67340.52</f>
        <v>67340.52</v>
      </c>
      <c r="U38" s="2"/>
      <c r="V38" s="19"/>
      <c r="W38" s="2"/>
      <c r="X38" s="2">
        <f t="shared" si="2"/>
        <v>-31248.29</v>
      </c>
      <c r="Y38" s="2"/>
      <c r="Z38" s="19">
        <f t="shared" si="3"/>
        <v>-0.46403398726353762</v>
      </c>
    </row>
    <row r="39" spans="1:26" s="23" customFormat="1" hidden="1" outlineLevel="1" x14ac:dyDescent="0.25">
      <c r="A39" s="44"/>
      <c r="B39" s="10" t="str">
        <f>CONCATENATE("          ", "4045", " - ", "TAXABLE SALES-SPECIAL ORDERS")</f>
        <v xml:space="preserve">          4045 - TAXABLE SALES-SPECIAL ORDERS</v>
      </c>
      <c r="C39" s="10"/>
      <c r="D39" s="2">
        <f>--63044.9</f>
        <v>63044.9</v>
      </c>
      <c r="E39" s="2"/>
      <c r="F39" s="19"/>
      <c r="G39" s="2"/>
      <c r="H39" s="2">
        <f>--8913.15</f>
        <v>8913.15</v>
      </c>
      <c r="I39" s="2"/>
      <c r="J39" s="19"/>
      <c r="K39" s="2"/>
      <c r="L39" s="2">
        <f t="shared" si="0"/>
        <v>54131.75</v>
      </c>
      <c r="M39" s="2"/>
      <c r="N39" s="19">
        <f t="shared" si="1"/>
        <v>6.0732457099902959</v>
      </c>
      <c r="O39" s="10"/>
      <c r="P39" s="2">
        <f>--207242.34</f>
        <v>207242.34</v>
      </c>
      <c r="Q39" s="2"/>
      <c r="R39" s="19"/>
      <c r="S39" s="2"/>
      <c r="T39" s="2">
        <f>--83313.97</f>
        <v>83313.97</v>
      </c>
      <c r="U39" s="2"/>
      <c r="V39" s="19"/>
      <c r="W39" s="2"/>
      <c r="X39" s="2">
        <f t="shared" si="2"/>
        <v>123928.37</v>
      </c>
      <c r="Y39" s="2"/>
      <c r="Z39" s="19">
        <f t="shared" si="3"/>
        <v>1.4874860722637511</v>
      </c>
    </row>
    <row r="40" spans="1:26" s="23" customFormat="1" hidden="1" outlineLevel="1" x14ac:dyDescent="0.25">
      <c r="A40" s="44"/>
      <c r="B40" s="10" t="str">
        <f>CONCATENATE("          ", "4047", " - ", "TAXABLE SALES-MISC")</f>
        <v xml:space="preserve">          4047 - TAXABLE SALES-MISC</v>
      </c>
      <c r="C40" s="10"/>
      <c r="D40" s="2">
        <f t="shared" ref="D40:D45" si="13">0</f>
        <v>0</v>
      </c>
      <c r="E40" s="2"/>
      <c r="F40" s="19"/>
      <c r="G40" s="2"/>
      <c r="H40" s="2">
        <f t="shared" ref="H40:H44" si="14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>0</f>
        <v>0</v>
      </c>
      <c r="Q40" s="2"/>
      <c r="R40" s="19"/>
      <c r="S40" s="2"/>
      <c r="T40" s="2">
        <f>--2676.14</f>
        <v>2676.14</v>
      </c>
      <c r="U40" s="2"/>
      <c r="V40" s="19"/>
      <c r="W40" s="2"/>
      <c r="X40" s="2">
        <f t="shared" si="2"/>
        <v>-2676.14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"4081", " - ", "TAXABLE SALES-ELECTRONICS")</f>
        <v xml:space="preserve">          4081 - TAXABLE SALES-ELECTRONICS</v>
      </c>
      <c r="C41" s="10"/>
      <c r="D41" s="2">
        <f t="shared" si="13"/>
        <v>0</v>
      </c>
      <c r="E41" s="2"/>
      <c r="F41" s="19"/>
      <c r="G41" s="2"/>
      <c r="H41" s="2">
        <f t="shared" si="14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0"/>
      <c r="P41" s="2">
        <f>--71.95</f>
        <v>71.95</v>
      </c>
      <c r="Q41" s="2"/>
      <c r="R41" s="19"/>
      <c r="S41" s="2"/>
      <c r="T41" s="2">
        <f>--3174.93</f>
        <v>3174.93</v>
      </c>
      <c r="U41" s="2"/>
      <c r="V41" s="19"/>
      <c r="W41" s="2"/>
      <c r="X41" s="2">
        <f t="shared" si="2"/>
        <v>-3102.98</v>
      </c>
      <c r="Y41" s="2"/>
      <c r="Z41" s="19">
        <f t="shared" si="3"/>
        <v>-0.97733808304435066</v>
      </c>
    </row>
    <row r="42" spans="1:26" s="23" customFormat="1" hidden="1" outlineLevel="1" x14ac:dyDescent="0.25">
      <c r="A42" s="44"/>
      <c r="B42" s="10" t="str">
        <f>CONCATENATE("          ", "4082", " - ", "TAXABLE SALES-COMPUTER HARDWAR")</f>
        <v xml:space="preserve">          4082 - TAXABLE SALES-COMPUTER HARDWAR</v>
      </c>
      <c r="C42" s="10"/>
      <c r="D42" s="2">
        <f t="shared" si="13"/>
        <v>0</v>
      </c>
      <c r="E42" s="2"/>
      <c r="F42" s="19"/>
      <c r="G42" s="2"/>
      <c r="H42" s="2">
        <f t="shared" si="14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>0</f>
        <v>0</v>
      </c>
      <c r="Q42" s="2"/>
      <c r="R42" s="19"/>
      <c r="S42" s="2"/>
      <c r="T42" s="2">
        <f>--363.94</f>
        <v>363.94</v>
      </c>
      <c r="U42" s="2"/>
      <c r="V42" s="19"/>
      <c r="W42" s="2"/>
      <c r="X42" s="2">
        <f t="shared" si="2"/>
        <v>-363.94</v>
      </c>
      <c r="Y42" s="2"/>
      <c r="Z42" s="19">
        <f t="shared" si="3"/>
        <v>-1</v>
      </c>
    </row>
    <row r="43" spans="1:26" s="23" customFormat="1" hidden="1" outlineLevel="1" x14ac:dyDescent="0.25">
      <c r="A43" s="44"/>
      <c r="B43" s="10" t="str">
        <f>CONCATENATE("          ", "4083", " - ", "TAXABLE SALES-COMPUTER EQUIPME")</f>
        <v xml:space="preserve">          4083 - TAXABLE SALES-COMPUTER EQUIPME</v>
      </c>
      <c r="C43" s="10"/>
      <c r="D43" s="2">
        <f t="shared" si="13"/>
        <v>0</v>
      </c>
      <c r="E43" s="2"/>
      <c r="F43" s="19"/>
      <c r="G43" s="2"/>
      <c r="H43" s="2">
        <f t="shared" si="14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0"/>
      <c r="P43" s="2">
        <f>--9.99</f>
        <v>9.99</v>
      </c>
      <c r="Q43" s="2"/>
      <c r="R43" s="19"/>
      <c r="S43" s="2"/>
      <c r="T43" s="2">
        <f>--914.33</f>
        <v>914.33</v>
      </c>
      <c r="U43" s="2"/>
      <c r="V43" s="19"/>
      <c r="W43" s="2"/>
      <c r="X43" s="2">
        <f t="shared" si="2"/>
        <v>-904.34</v>
      </c>
      <c r="Y43" s="2"/>
      <c r="Z43" s="19">
        <f t="shared" si="3"/>
        <v>-0.98907396672973646</v>
      </c>
    </row>
    <row r="44" spans="1:26" s="23" customFormat="1" hidden="1" outlineLevel="1" x14ac:dyDescent="0.25">
      <c r="A44" s="44"/>
      <c r="B44" s="10" t="str">
        <f>CONCATENATE("          ", "4086", " - ", "TAXABLE SALES-COMPUTER SUPPLIE")</f>
        <v xml:space="preserve">          4086 - TAXABLE SALES-COMPUTER SUPPLIE</v>
      </c>
      <c r="C44" s="10"/>
      <c r="D44" s="2">
        <f t="shared" si="13"/>
        <v>0</v>
      </c>
      <c r="E44" s="2"/>
      <c r="F44" s="19"/>
      <c r="G44" s="2"/>
      <c r="H44" s="2">
        <f t="shared" si="14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 t="shared" ref="P44:P45" si="15">0</f>
        <v>0</v>
      </c>
      <c r="Q44" s="2"/>
      <c r="R44" s="19"/>
      <c r="S44" s="2"/>
      <c r="T44" s="2">
        <f>--813.74</f>
        <v>813.74</v>
      </c>
      <c r="U44" s="2"/>
      <c r="V44" s="19"/>
      <c r="W44" s="2"/>
      <c r="X44" s="2">
        <f t="shared" si="2"/>
        <v>-813.74</v>
      </c>
      <c r="Y44" s="2"/>
      <c r="Z44" s="19">
        <f t="shared" si="3"/>
        <v>-1</v>
      </c>
    </row>
    <row r="45" spans="1:26" s="23" customFormat="1" hidden="1" outlineLevel="1" x14ac:dyDescent="0.25">
      <c r="A45" s="44"/>
      <c r="B45" s="10" t="str">
        <f>CONCATENATE("          ", "4092", " - ", "TAXABLE SALES-GRAD MERCH")</f>
        <v xml:space="preserve">          4092 - TAXABLE SALES-GRAD MERCH</v>
      </c>
      <c r="C45" s="10"/>
      <c r="D45" s="2">
        <f t="shared" si="13"/>
        <v>0</v>
      </c>
      <c r="E45" s="2"/>
      <c r="F45" s="19"/>
      <c r="G45" s="2"/>
      <c r="H45" s="2">
        <f>--3214.15</f>
        <v>3214.15</v>
      </c>
      <c r="I45" s="2"/>
      <c r="J45" s="19"/>
      <c r="K45" s="2"/>
      <c r="L45" s="2">
        <f t="shared" si="0"/>
        <v>-3214.15</v>
      </c>
      <c r="M45" s="2"/>
      <c r="N45" s="19">
        <f t="shared" si="1"/>
        <v>-1</v>
      </c>
      <c r="O45" s="10"/>
      <c r="P45" s="2">
        <f t="shared" si="15"/>
        <v>0</v>
      </c>
      <c r="Q45" s="2"/>
      <c r="R45" s="19"/>
      <c r="S45" s="2"/>
      <c r="T45" s="2">
        <f>--21826.42</f>
        <v>21826.42</v>
      </c>
      <c r="U45" s="2"/>
      <c r="V45" s="19"/>
      <c r="W45" s="2"/>
      <c r="X45" s="2">
        <f t="shared" si="2"/>
        <v>-21826.42</v>
      </c>
      <c r="Y45" s="2"/>
      <c r="Z45" s="19">
        <f t="shared" si="3"/>
        <v>-1</v>
      </c>
    </row>
    <row r="46" spans="1:26" s="23" customFormat="1" hidden="1" outlineLevel="1" x14ac:dyDescent="0.25">
      <c r="A46" s="44"/>
      <c r="B46" s="10" t="str">
        <f>CONCATENATE("          ", "4095", " - ", "TAXABLE SALES-CUSTOMER SERVICE")</f>
        <v xml:space="preserve">          4095 - TAXABLE SALES-CUSTOMER SERVICE</v>
      </c>
      <c r="C46" s="10"/>
      <c r="D46" s="2">
        <f>--2119.46</f>
        <v>2119.46</v>
      </c>
      <c r="E46" s="2"/>
      <c r="F46" s="19"/>
      <c r="G46" s="2"/>
      <c r="H46" s="2">
        <f>0</f>
        <v>0</v>
      </c>
      <c r="I46" s="2"/>
      <c r="J46" s="19"/>
      <c r="K46" s="2"/>
      <c r="L46" s="2">
        <f t="shared" si="0"/>
        <v>2119.46</v>
      </c>
      <c r="M46" s="2"/>
      <c r="N46" s="19">
        <f t="shared" si="1"/>
        <v>0</v>
      </c>
      <c r="O46" s="10"/>
      <c r="P46" s="2">
        <f>--3034.59</f>
        <v>3034.59</v>
      </c>
      <c r="Q46" s="2"/>
      <c r="R46" s="19"/>
      <c r="S46" s="2"/>
      <c r="T46" s="2">
        <f>--309.26</f>
        <v>309.26</v>
      </c>
      <c r="U46" s="2"/>
      <c r="V46" s="19"/>
      <c r="W46" s="2"/>
      <c r="X46" s="2">
        <f t="shared" si="2"/>
        <v>2725.33</v>
      </c>
      <c r="Y46" s="2"/>
      <c r="Z46" s="19">
        <f t="shared" si="3"/>
        <v>8.812423203776758</v>
      </c>
    </row>
    <row r="47" spans="1:26" s="23" customFormat="1" hidden="1" outlineLevel="1" x14ac:dyDescent="0.25">
      <c r="A47" s="44"/>
      <c r="B47" s="10" t="str">
        <f>CONCATENATE("          ", "4100", " - ", "NON-TAXABLE SALES")</f>
        <v xml:space="preserve">          4100 - NON-TAXABLE SALES</v>
      </c>
      <c r="C47" s="10"/>
      <c r="D47" s="2">
        <f>-12385.33</f>
        <v>-12385.33</v>
      </c>
      <c r="E47" s="2"/>
      <c r="F47" s="19"/>
      <c r="G47" s="2"/>
      <c r="H47" s="2">
        <f>--27923.82</f>
        <v>27923.82</v>
      </c>
      <c r="I47" s="2"/>
      <c r="J47" s="19"/>
      <c r="K47" s="2"/>
      <c r="L47" s="2">
        <f t="shared" si="0"/>
        <v>-40309.15</v>
      </c>
      <c r="M47" s="2"/>
      <c r="N47" s="19">
        <f t="shared" si="1"/>
        <v>-1.4435399597906018</v>
      </c>
      <c r="O47" s="10"/>
      <c r="P47" s="2">
        <f>--273838.77</f>
        <v>273838.77</v>
      </c>
      <c r="Q47" s="2"/>
      <c r="R47" s="19"/>
      <c r="S47" s="2"/>
      <c r="T47" s="2">
        <f>--602236.47</f>
        <v>602236.47</v>
      </c>
      <c r="U47" s="2"/>
      <c r="V47" s="19"/>
      <c r="W47" s="2"/>
      <c r="X47" s="2">
        <f t="shared" si="2"/>
        <v>-328397.69999999995</v>
      </c>
      <c r="Y47" s="2"/>
      <c r="Z47" s="19">
        <f t="shared" si="3"/>
        <v>-0.54529693294728554</v>
      </c>
    </row>
    <row r="48" spans="1:26" s="23" customFormat="1" hidden="1" outlineLevel="1" x14ac:dyDescent="0.25">
      <c r="A48" s="44"/>
      <c r="B48" s="10" t="str">
        <f>CONCATENATE("          ", "4101", " - ", "NON-TAXABLE SALES-NEW TEXT")</f>
        <v xml:space="preserve">          4101 - NON-TAXABLE SALES-NEW TEXT</v>
      </c>
      <c r="C48" s="10"/>
      <c r="D48" s="2">
        <f>--741.03</f>
        <v>741.03</v>
      </c>
      <c r="E48" s="2"/>
      <c r="F48" s="19"/>
      <c r="G48" s="2"/>
      <c r="H48" s="2">
        <f>--1972.02</f>
        <v>1972.02</v>
      </c>
      <c r="I48" s="2"/>
      <c r="J48" s="19"/>
      <c r="K48" s="2"/>
      <c r="L48" s="2">
        <f t="shared" si="0"/>
        <v>-1230.99</v>
      </c>
      <c r="M48" s="2"/>
      <c r="N48" s="19">
        <f t="shared" si="1"/>
        <v>-0.62422794900660239</v>
      </c>
      <c r="O48" s="10"/>
      <c r="P48" s="2">
        <f>--112796.74</f>
        <v>112796.74</v>
      </c>
      <c r="Q48" s="2"/>
      <c r="R48" s="19"/>
      <c r="S48" s="2"/>
      <c r="T48" s="2">
        <f>--144163.44</f>
        <v>144163.44</v>
      </c>
      <c r="U48" s="2"/>
      <c r="V48" s="19"/>
      <c r="W48" s="2"/>
      <c r="X48" s="2">
        <f t="shared" si="2"/>
        <v>-31366.699999999997</v>
      </c>
      <c r="Y48" s="2"/>
      <c r="Z48" s="19">
        <f t="shared" si="3"/>
        <v>-0.21757735525733846</v>
      </c>
    </row>
    <row r="49" spans="1:26" s="23" customFormat="1" hidden="1" outlineLevel="1" x14ac:dyDescent="0.25">
      <c r="A49" s="44"/>
      <c r="B49" s="10" t="str">
        <f>CONCATENATE("          ", "4102", " - ", "NON-TAXABLE SALES-USED TEXT")</f>
        <v xml:space="preserve">          4102 - NON-TAXABLE SALES-USED TEXT</v>
      </c>
      <c r="C49" s="10"/>
      <c r="D49" s="2">
        <f>--743.99</f>
        <v>743.99</v>
      </c>
      <c r="E49" s="2"/>
      <c r="F49" s="19"/>
      <c r="G49" s="2"/>
      <c r="H49" s="2">
        <f>--804.2</f>
        <v>804.2</v>
      </c>
      <c r="I49" s="2"/>
      <c r="J49" s="19"/>
      <c r="K49" s="2"/>
      <c r="L49" s="2">
        <f t="shared" si="0"/>
        <v>-60.210000000000036</v>
      </c>
      <c r="M49" s="2"/>
      <c r="N49" s="19">
        <f t="shared" si="1"/>
        <v>-7.4869435463815012E-2</v>
      </c>
      <c r="O49" s="10"/>
      <c r="P49" s="2">
        <f>--48703.42</f>
        <v>48703.42</v>
      </c>
      <c r="Q49" s="2"/>
      <c r="R49" s="19"/>
      <c r="S49" s="2"/>
      <c r="T49" s="2">
        <f>--69659.9</f>
        <v>69659.899999999994</v>
      </c>
      <c r="U49" s="2"/>
      <c r="V49" s="19"/>
      <c r="W49" s="2"/>
      <c r="X49" s="2">
        <f t="shared" si="2"/>
        <v>-20956.479999999996</v>
      </c>
      <c r="Y49" s="2"/>
      <c r="Z49" s="19">
        <f t="shared" si="3"/>
        <v>-0.3008399380418289</v>
      </c>
    </row>
    <row r="50" spans="1:26" s="23" customFormat="1" hidden="1" outlineLevel="1" x14ac:dyDescent="0.25">
      <c r="A50" s="44"/>
      <c r="B50" s="10" t="str">
        <f>CONCATENATE("          ", "4103", " - ", "NON-TAXABLE SALES-RENTAL TEXT")</f>
        <v xml:space="preserve">          4103 - NON-TAXABLE SALES-RENTAL TEXT</v>
      </c>
      <c r="C50" s="10"/>
      <c r="D50" s="2">
        <f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0"/>
      <c r="P50" s="2">
        <f>--1138.95</f>
        <v>1138.95</v>
      </c>
      <c r="Q50" s="2"/>
      <c r="R50" s="19"/>
      <c r="S50" s="2"/>
      <c r="T50" s="2">
        <f>--664.97</f>
        <v>664.97</v>
      </c>
      <c r="U50" s="2"/>
      <c r="V50" s="19"/>
      <c r="W50" s="2"/>
      <c r="X50" s="2">
        <f t="shared" si="2"/>
        <v>473.98</v>
      </c>
      <c r="Y50" s="2"/>
      <c r="Z50" s="19">
        <f t="shared" si="3"/>
        <v>0.71278403537001667</v>
      </c>
    </row>
    <row r="51" spans="1:26" s="23" customFormat="1" hidden="1" outlineLevel="1" x14ac:dyDescent="0.25">
      <c r="A51" s="44"/>
      <c r="B51" s="10" t="str">
        <f>CONCATENATE("          ", "4104", " - ", "NON-TAXABLE SALES-DIGITAL TEXT")</f>
        <v xml:space="preserve">          4104 - NON-TAXABLE SALES-DIGITAL TEXT</v>
      </c>
      <c r="C51" s="10"/>
      <c r="D51" s="2">
        <f>--3431.99</f>
        <v>3431.99</v>
      </c>
      <c r="E51" s="2"/>
      <c r="F51" s="19"/>
      <c r="G51" s="2"/>
      <c r="H51" s="2">
        <f>--2502.44</f>
        <v>2502.44</v>
      </c>
      <c r="I51" s="2"/>
      <c r="J51" s="19"/>
      <c r="K51" s="2"/>
      <c r="L51" s="2">
        <f t="shared" si="0"/>
        <v>929.54999999999973</v>
      </c>
      <c r="M51" s="2"/>
      <c r="N51" s="19">
        <f t="shared" si="1"/>
        <v>0.37145745752145892</v>
      </c>
      <c r="O51" s="10"/>
      <c r="P51" s="2">
        <f>--480403.17</f>
        <v>480403.17</v>
      </c>
      <c r="Q51" s="2"/>
      <c r="R51" s="19"/>
      <c r="S51" s="2"/>
      <c r="T51" s="2">
        <f>--526854.09</f>
        <v>526854.09</v>
      </c>
      <c r="U51" s="2"/>
      <c r="V51" s="19"/>
      <c r="W51" s="2"/>
      <c r="X51" s="2">
        <f t="shared" si="2"/>
        <v>-46450.919999999984</v>
      </c>
      <c r="Y51" s="2"/>
      <c r="Z51" s="19">
        <f t="shared" si="3"/>
        <v>-8.8166573785163155E-2</v>
      </c>
    </row>
    <row r="52" spans="1:26" s="23" customFormat="1" hidden="1" outlineLevel="1" x14ac:dyDescent="0.25">
      <c r="A52" s="44"/>
      <c r="B52" s="10" t="str">
        <f>CONCATENATE("          ", "4111", " - ", "NON-TAXABLE SALES-NO VALUE TEX")</f>
        <v xml:space="preserve">          4111 - NON-TAXABLE SALES-NO VALUE TEX</v>
      </c>
      <c r="C52" s="10"/>
      <c r="D52" s="2">
        <f>0</f>
        <v>0</v>
      </c>
      <c r="E52" s="2"/>
      <c r="F52" s="19"/>
      <c r="G52" s="2"/>
      <c r="H52" s="2">
        <f>--593.67</f>
        <v>593.66999999999996</v>
      </c>
      <c r="I52" s="2"/>
      <c r="J52" s="19"/>
      <c r="K52" s="2"/>
      <c r="L52" s="2">
        <f t="shared" si="0"/>
        <v>-593.66999999999996</v>
      </c>
      <c r="M52" s="2"/>
      <c r="N52" s="19">
        <f t="shared" si="1"/>
        <v>-1</v>
      </c>
      <c r="O52" s="10"/>
      <c r="P52" s="2">
        <f>0</f>
        <v>0</v>
      </c>
      <c r="Q52" s="2"/>
      <c r="R52" s="19"/>
      <c r="S52" s="2"/>
      <c r="T52" s="2">
        <f>--15323</f>
        <v>15323</v>
      </c>
      <c r="U52" s="2"/>
      <c r="V52" s="19"/>
      <c r="W52" s="2"/>
      <c r="X52" s="2">
        <f t="shared" si="2"/>
        <v>-15323</v>
      </c>
      <c r="Y52" s="2"/>
      <c r="Z52" s="19">
        <f t="shared" si="3"/>
        <v>-1</v>
      </c>
    </row>
    <row r="53" spans="1:26" s="23" customFormat="1" hidden="1" outlineLevel="1" x14ac:dyDescent="0.25">
      <c r="A53" s="44"/>
      <c r="B53" s="10" t="str">
        <f>CONCATENATE("          ", "4113", " - ", "NON-TAXABLE SALES-TRADE BOOKS")</f>
        <v xml:space="preserve">          4113 - NON-TAXABLE SALES-TRADE BOOKS</v>
      </c>
      <c r="C53" s="10"/>
      <c r="D53" s="2">
        <f>--738</f>
        <v>738</v>
      </c>
      <c r="E53" s="2"/>
      <c r="F53" s="19"/>
      <c r="G53" s="2"/>
      <c r="H53" s="2">
        <f>--2440</f>
        <v>2440</v>
      </c>
      <c r="I53" s="2"/>
      <c r="J53" s="19"/>
      <c r="K53" s="2"/>
      <c r="L53" s="2">
        <f t="shared" si="0"/>
        <v>-1702</v>
      </c>
      <c r="M53" s="2"/>
      <c r="N53" s="19">
        <f t="shared" si="1"/>
        <v>-0.69754098360655736</v>
      </c>
      <c r="O53" s="10"/>
      <c r="P53" s="2">
        <f>--12127.25</f>
        <v>12127.25</v>
      </c>
      <c r="Q53" s="2"/>
      <c r="R53" s="19"/>
      <c r="S53" s="2"/>
      <c r="T53" s="2">
        <f>--8241.92</f>
        <v>8241.92</v>
      </c>
      <c r="U53" s="2"/>
      <c r="V53" s="19"/>
      <c r="W53" s="2"/>
      <c r="X53" s="2">
        <f t="shared" si="2"/>
        <v>3885.33</v>
      </c>
      <c r="Y53" s="2"/>
      <c r="Z53" s="19">
        <f t="shared" si="3"/>
        <v>0.4714107877776052</v>
      </c>
    </row>
    <row r="54" spans="1:26" s="23" customFormat="1" hidden="1" outlineLevel="1" x14ac:dyDescent="0.25">
      <c r="A54" s="44"/>
      <c r="B54" s="10" t="str">
        <f>CONCATENATE("          ", "4118", " - ", "NON-TAXABLE SALES-STUDY GUIDES")</f>
        <v xml:space="preserve">          4118 - NON-TAXABLE SALES-STUDY GUIDES</v>
      </c>
      <c r="C54" s="10"/>
      <c r="D54" s="2">
        <f t="shared" ref="D54:D56" si="16">0</f>
        <v>0</v>
      </c>
      <c r="E54" s="2"/>
      <c r="F54" s="19"/>
      <c r="G54" s="2"/>
      <c r="H54" s="2">
        <f>--7.02</f>
        <v>7.02</v>
      </c>
      <c r="I54" s="2"/>
      <c r="J54" s="19"/>
      <c r="K54" s="2"/>
      <c r="L54" s="2">
        <f t="shared" si="0"/>
        <v>-7.02</v>
      </c>
      <c r="M54" s="2"/>
      <c r="N54" s="19">
        <f t="shared" si="1"/>
        <v>-1</v>
      </c>
      <c r="O54" s="10"/>
      <c r="P54" s="2">
        <f>--771.73</f>
        <v>771.73</v>
      </c>
      <c r="Q54" s="2"/>
      <c r="R54" s="19"/>
      <c r="S54" s="2"/>
      <c r="T54" s="2">
        <f>--75.94</f>
        <v>75.94</v>
      </c>
      <c r="U54" s="2"/>
      <c r="V54" s="19"/>
      <c r="W54" s="2"/>
      <c r="X54" s="2">
        <f t="shared" si="2"/>
        <v>695.79</v>
      </c>
      <c r="Y54" s="2"/>
      <c r="Z54" s="19">
        <f t="shared" si="3"/>
        <v>9.1623650250197528</v>
      </c>
    </row>
    <row r="55" spans="1:26" s="23" customFormat="1" hidden="1" outlineLevel="1" x14ac:dyDescent="0.25">
      <c r="A55" s="44"/>
      <c r="B55" s="10" t="str">
        <f>CONCATENATE("          ", "4125", " - ", "NON-TAXABLE SALES-TEST FORMS")</f>
        <v xml:space="preserve">          4125 - NON-TAXABLE SALES-TEST FORMS</v>
      </c>
      <c r="C55" s="10"/>
      <c r="D55" s="2">
        <f t="shared" si="16"/>
        <v>0</v>
      </c>
      <c r="E55" s="2"/>
      <c r="F55" s="19"/>
      <c r="G55" s="2"/>
      <c r="H55" s="2">
        <f>0</f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0"/>
      <c r="P55" s="2">
        <f>0</f>
        <v>0</v>
      </c>
      <c r="Q55" s="2"/>
      <c r="R55" s="19"/>
      <c r="S55" s="2"/>
      <c r="T55" s="2">
        <f>--267.61</f>
        <v>267.61</v>
      </c>
      <c r="U55" s="2"/>
      <c r="V55" s="19"/>
      <c r="W55" s="2"/>
      <c r="X55" s="2">
        <f t="shared" si="2"/>
        <v>-267.61</v>
      </c>
      <c r="Y55" s="2"/>
      <c r="Z55" s="19">
        <f t="shared" si="3"/>
        <v>-1</v>
      </c>
    </row>
    <row r="56" spans="1:26" s="23" customFormat="1" hidden="1" outlineLevel="1" x14ac:dyDescent="0.25">
      <c r="A56" s="44"/>
      <c r="B56" s="10" t="str">
        <f>CONCATENATE("          ", "4126", " - ", "NON-TAXABLE SALES-WRITING INST")</f>
        <v xml:space="preserve">          4126 - NON-TAXABLE SALES-WRITING INST</v>
      </c>
      <c r="C56" s="10"/>
      <c r="D56" s="2">
        <f t="shared" si="16"/>
        <v>0</v>
      </c>
      <c r="E56" s="2"/>
      <c r="F56" s="19"/>
      <c r="G56" s="2"/>
      <c r="H56" s="2">
        <f>--5.57</f>
        <v>5.57</v>
      </c>
      <c r="I56" s="2"/>
      <c r="J56" s="19"/>
      <c r="K56" s="2"/>
      <c r="L56" s="2">
        <f t="shared" si="0"/>
        <v>-5.57</v>
      </c>
      <c r="M56" s="2"/>
      <c r="N56" s="19">
        <f t="shared" si="1"/>
        <v>-1</v>
      </c>
      <c r="O56" s="10"/>
      <c r="P56" s="2">
        <f>--52.68</f>
        <v>52.68</v>
      </c>
      <c r="Q56" s="2"/>
      <c r="R56" s="19"/>
      <c r="S56" s="2"/>
      <c r="T56" s="2">
        <f>--3022.86</f>
        <v>3022.86</v>
      </c>
      <c r="U56" s="2"/>
      <c r="V56" s="19"/>
      <c r="W56" s="2"/>
      <c r="X56" s="2">
        <f t="shared" si="2"/>
        <v>-2970.1800000000003</v>
      </c>
      <c r="Y56" s="2"/>
      <c r="Z56" s="19">
        <f t="shared" si="3"/>
        <v>-0.98257279529981545</v>
      </c>
    </row>
    <row r="57" spans="1:26" s="23" customFormat="1" hidden="1" outlineLevel="1" x14ac:dyDescent="0.25">
      <c r="A57" s="44"/>
      <c r="B57" s="10" t="str">
        <f>CONCATENATE("          ", "4127", " - ", "NON-TAXABLE SALES-SCHOOL SUPPL")</f>
        <v xml:space="preserve">          4127 - NON-TAXABLE SALES-SCHOOL SUPPL</v>
      </c>
      <c r="C57" s="10"/>
      <c r="D57" s="2">
        <f>--493.37</f>
        <v>493.37</v>
      </c>
      <c r="E57" s="2"/>
      <c r="F57" s="19"/>
      <c r="G57" s="2"/>
      <c r="H57" s="2">
        <f>--1430.65</f>
        <v>1430.65</v>
      </c>
      <c r="I57" s="2"/>
      <c r="J57" s="19"/>
      <c r="K57" s="2"/>
      <c r="L57" s="2">
        <f t="shared" si="0"/>
        <v>-937.28000000000009</v>
      </c>
      <c r="M57" s="2"/>
      <c r="N57" s="19">
        <f t="shared" si="1"/>
        <v>-0.65514276727361687</v>
      </c>
      <c r="O57" s="10"/>
      <c r="P57" s="2">
        <f>--7100.68</f>
        <v>7100.68</v>
      </c>
      <c r="Q57" s="2"/>
      <c r="R57" s="19"/>
      <c r="S57" s="2"/>
      <c r="T57" s="2">
        <f>--6146.87</f>
        <v>6146.87</v>
      </c>
      <c r="U57" s="2"/>
      <c r="V57" s="19"/>
      <c r="W57" s="2"/>
      <c r="X57" s="2">
        <f t="shared" si="2"/>
        <v>953.8100000000004</v>
      </c>
      <c r="Y57" s="2"/>
      <c r="Z57" s="19">
        <f t="shared" si="3"/>
        <v>0.15517002962483353</v>
      </c>
    </row>
    <row r="58" spans="1:26" s="23" customFormat="1" hidden="1" outlineLevel="1" x14ac:dyDescent="0.25">
      <c r="A58" s="44"/>
      <c r="B58" s="10" t="str">
        <f>CONCATENATE("          ", "4128", " - ", "NON-TAXABLE SALES-ART/TECH")</f>
        <v xml:space="preserve">          4128 - NON-TAXABLE SALES-ART/TECH</v>
      </c>
      <c r="C58" s="10"/>
      <c r="D58" s="2">
        <f>--31.37</f>
        <v>31.37</v>
      </c>
      <c r="E58" s="2"/>
      <c r="F58" s="19"/>
      <c r="G58" s="2"/>
      <c r="H58" s="2">
        <f>0</f>
        <v>0</v>
      </c>
      <c r="I58" s="2"/>
      <c r="J58" s="19"/>
      <c r="K58" s="2"/>
      <c r="L58" s="2">
        <f t="shared" si="0"/>
        <v>31.37</v>
      </c>
      <c r="M58" s="2"/>
      <c r="N58" s="19">
        <f t="shared" si="1"/>
        <v>0</v>
      </c>
      <c r="O58" s="10"/>
      <c r="P58" s="2">
        <f>--69.95</f>
        <v>69.95</v>
      </c>
      <c r="Q58" s="2"/>
      <c r="R58" s="19"/>
      <c r="S58" s="2"/>
      <c r="T58" s="2">
        <f>--730.62</f>
        <v>730.62</v>
      </c>
      <c r="U58" s="2"/>
      <c r="V58" s="19"/>
      <c r="W58" s="2"/>
      <c r="X58" s="2">
        <f t="shared" si="2"/>
        <v>-660.67</v>
      </c>
      <c r="Y58" s="2"/>
      <c r="Z58" s="19">
        <f t="shared" si="3"/>
        <v>-0.90425939612931472</v>
      </c>
    </row>
    <row r="59" spans="1:26" s="23" customFormat="1" hidden="1" outlineLevel="1" x14ac:dyDescent="0.25">
      <c r="A59" s="44"/>
      <c r="B59" s="10" t="str">
        <f>CONCATENATE("          ", "4131", " - ", "NON-TAXABLE SALES-FOOD")</f>
        <v xml:space="preserve">          4131 - NON-TAXABLE SALES-FOOD</v>
      </c>
      <c r="C59" s="10"/>
      <c r="D59" s="2">
        <f>--975.93</f>
        <v>975.93</v>
      </c>
      <c r="E59" s="2"/>
      <c r="F59" s="19"/>
      <c r="G59" s="2"/>
      <c r="H59" s="2">
        <f>--3.97</f>
        <v>3.97</v>
      </c>
      <c r="I59" s="2"/>
      <c r="J59" s="19"/>
      <c r="K59" s="2"/>
      <c r="L59" s="2">
        <f t="shared" si="0"/>
        <v>971.95999999999992</v>
      </c>
      <c r="M59" s="2"/>
      <c r="N59" s="19">
        <f t="shared" si="1"/>
        <v>244.82619647355162</v>
      </c>
      <c r="O59" s="10"/>
      <c r="P59" s="2">
        <f>--11380.36</f>
        <v>11380.36</v>
      </c>
      <c r="Q59" s="2"/>
      <c r="R59" s="19"/>
      <c r="S59" s="2"/>
      <c r="T59" s="2">
        <f>--57887.54</f>
        <v>57887.54</v>
      </c>
      <c r="U59" s="2"/>
      <c r="V59" s="19"/>
      <c r="W59" s="2"/>
      <c r="X59" s="2">
        <f t="shared" si="2"/>
        <v>-46507.18</v>
      </c>
      <c r="Y59" s="2"/>
      <c r="Z59" s="19">
        <f t="shared" si="3"/>
        <v>-0.80340570699670433</v>
      </c>
    </row>
    <row r="60" spans="1:26" s="23" customFormat="1" hidden="1" outlineLevel="1" x14ac:dyDescent="0.25">
      <c r="A60" s="44"/>
      <c r="B60" s="10" t="str">
        <f>CONCATENATE("          ", "4132", " - ", "NON-TAXABLE SALES-JUICE")</f>
        <v xml:space="preserve">          4132 - NON-TAXABLE SALES-JUICE</v>
      </c>
      <c r="C60" s="10"/>
      <c r="D60" s="2">
        <f t="shared" ref="D60:D64" si="17">0</f>
        <v>0</v>
      </c>
      <c r="E60" s="2"/>
      <c r="F60" s="19"/>
      <c r="G60" s="2"/>
      <c r="H60" s="2">
        <f>0</f>
        <v>0</v>
      </c>
      <c r="I60" s="2"/>
      <c r="J60" s="19"/>
      <c r="K60" s="2"/>
      <c r="L60" s="2">
        <f t="shared" si="0"/>
        <v>0</v>
      </c>
      <c r="M60" s="2"/>
      <c r="N60" s="19">
        <f t="shared" si="1"/>
        <v>0</v>
      </c>
      <c r="O60" s="10"/>
      <c r="P60" s="2">
        <f>--22.49</f>
        <v>22.49</v>
      </c>
      <c r="Q60" s="2"/>
      <c r="R60" s="19"/>
      <c r="S60" s="2"/>
      <c r="T60" s="2">
        <f>--16199.63</f>
        <v>16199.63</v>
      </c>
      <c r="U60" s="2"/>
      <c r="V60" s="19"/>
      <c r="W60" s="2"/>
      <c r="X60" s="2">
        <f t="shared" si="2"/>
        <v>-16177.14</v>
      </c>
      <c r="Y60" s="2"/>
      <c r="Z60" s="19">
        <f t="shared" si="3"/>
        <v>-0.99861169668689964</v>
      </c>
    </row>
    <row r="61" spans="1:26" s="23" customFormat="1" hidden="1" outlineLevel="1" x14ac:dyDescent="0.25">
      <c r="A61" s="44"/>
      <c r="B61" s="10" t="str">
        <f>CONCATENATE("          ", "4133", " - ", "NON-TAXABLE SALES-CANDY")</f>
        <v xml:space="preserve">          4133 - NON-TAXABLE SALES-CANDY</v>
      </c>
      <c r="C61" s="10"/>
      <c r="D61" s="2">
        <f t="shared" si="17"/>
        <v>0</v>
      </c>
      <c r="E61" s="2"/>
      <c r="F61" s="19"/>
      <c r="G61" s="2"/>
      <c r="H61" s="2">
        <f>--4.17</f>
        <v>4.17</v>
      </c>
      <c r="I61" s="2"/>
      <c r="J61" s="19"/>
      <c r="K61" s="2"/>
      <c r="L61" s="2">
        <f t="shared" si="0"/>
        <v>-4.17</v>
      </c>
      <c r="M61" s="2"/>
      <c r="N61" s="19">
        <f t="shared" si="1"/>
        <v>-1</v>
      </c>
      <c r="O61" s="10"/>
      <c r="P61" s="2">
        <f>--80.71</f>
        <v>80.709999999999994</v>
      </c>
      <c r="Q61" s="2"/>
      <c r="R61" s="19"/>
      <c r="S61" s="2"/>
      <c r="T61" s="2">
        <f>--18088.46</f>
        <v>18088.46</v>
      </c>
      <c r="U61" s="2"/>
      <c r="V61" s="19"/>
      <c r="W61" s="2"/>
      <c r="X61" s="2">
        <f t="shared" si="2"/>
        <v>-18007.75</v>
      </c>
      <c r="Y61" s="2"/>
      <c r="Z61" s="19">
        <f t="shared" si="3"/>
        <v>-0.99553803916972483</v>
      </c>
    </row>
    <row r="62" spans="1:26" s="23" customFormat="1" hidden="1" outlineLevel="1" x14ac:dyDescent="0.25">
      <c r="A62" s="44"/>
      <c r="B62" s="10" t="str">
        <f>CONCATENATE("          ", "4134", " - ", "NON-TAXABLE SALES-SODA")</f>
        <v xml:space="preserve">          4134 - NON-TAXABLE SALES-SODA</v>
      </c>
      <c r="C62" s="10"/>
      <c r="D62" s="2">
        <f t="shared" si="17"/>
        <v>0</v>
      </c>
      <c r="E62" s="2"/>
      <c r="F62" s="19"/>
      <c r="G62" s="2"/>
      <c r="H62" s="2">
        <f t="shared" ref="H62:H64" si="18">0</f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0"/>
      <c r="P62" s="2">
        <f>--45.53</f>
        <v>45.53</v>
      </c>
      <c r="Q62" s="2"/>
      <c r="R62" s="19"/>
      <c r="S62" s="2"/>
      <c r="T62" s="2">
        <f>--1.89</f>
        <v>1.89</v>
      </c>
      <c r="U62" s="2"/>
      <c r="V62" s="19"/>
      <c r="W62" s="2"/>
      <c r="X62" s="2">
        <f t="shared" si="2"/>
        <v>43.64</v>
      </c>
      <c r="Y62" s="2"/>
      <c r="Z62" s="19">
        <f t="shared" si="3"/>
        <v>23.089947089947092</v>
      </c>
    </row>
    <row r="63" spans="1:26" s="23" customFormat="1" hidden="1" outlineLevel="1" x14ac:dyDescent="0.25">
      <c r="A63" s="44"/>
      <c r="B63" s="10" t="str">
        <f>CONCATENATE("          ", "4135", " - ", "NON-TAXABLE SALES")</f>
        <v xml:space="preserve">          4135 - NON-TAXABLE SALES</v>
      </c>
      <c r="C63" s="10"/>
      <c r="D63" s="2">
        <f t="shared" si="17"/>
        <v>0</v>
      </c>
      <c r="E63" s="2"/>
      <c r="F63" s="19"/>
      <c r="G63" s="2"/>
      <c r="H63" s="2">
        <f t="shared" si="18"/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0"/>
      <c r="P63" s="2">
        <f>0</f>
        <v>0</v>
      </c>
      <c r="Q63" s="2"/>
      <c r="R63" s="19"/>
      <c r="S63" s="2"/>
      <c r="T63" s="2">
        <f>--161.4</f>
        <v>161.4</v>
      </c>
      <c r="U63" s="2"/>
      <c r="V63" s="19"/>
      <c r="W63" s="2"/>
      <c r="X63" s="2">
        <f t="shared" si="2"/>
        <v>-161.4</v>
      </c>
      <c r="Y63" s="2"/>
      <c r="Z63" s="19">
        <f t="shared" si="3"/>
        <v>-1</v>
      </c>
    </row>
    <row r="64" spans="1:26" s="23" customFormat="1" hidden="1" outlineLevel="1" x14ac:dyDescent="0.25">
      <c r="A64" s="44"/>
      <c r="B64" s="10" t="str">
        <f>CONCATENATE("          ", "4137", " - ", "NON-TAXABLE SALES-WATER")</f>
        <v xml:space="preserve">          4137 - NON-TAXABLE SALES-WATER</v>
      </c>
      <c r="C64" s="10"/>
      <c r="D64" s="2">
        <f t="shared" si="17"/>
        <v>0</v>
      </c>
      <c r="E64" s="2"/>
      <c r="F64" s="19"/>
      <c r="G64" s="2"/>
      <c r="H64" s="2">
        <f t="shared" si="18"/>
        <v>0</v>
      </c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0"/>
      <c r="P64" s="2">
        <f>--68.25</f>
        <v>68.25</v>
      </c>
      <c r="Q64" s="2"/>
      <c r="R64" s="19"/>
      <c r="S64" s="2"/>
      <c r="T64" s="2">
        <f>--8519.06</f>
        <v>8519.06</v>
      </c>
      <c r="U64" s="2"/>
      <c r="V64" s="19"/>
      <c r="W64" s="2"/>
      <c r="X64" s="2">
        <f t="shared" si="2"/>
        <v>-8450.81</v>
      </c>
      <c r="Y64" s="2"/>
      <c r="Z64" s="19">
        <f t="shared" si="3"/>
        <v>-0.99198855272764841</v>
      </c>
    </row>
    <row r="65" spans="1:26" s="23" customFormat="1" hidden="1" outlineLevel="1" x14ac:dyDescent="0.25">
      <c r="A65" s="44"/>
      <c r="B65" s="10" t="str">
        <f>CONCATENATE("          ", "4140", " - ", "NON-TAXABLE SALES-LOGO CLOTHIN")</f>
        <v xml:space="preserve">          4140 - NON-TAXABLE SALES-LOGO CLOTHIN</v>
      </c>
      <c r="C65" s="10"/>
      <c r="D65" s="2">
        <f>--23040.7</f>
        <v>23040.7</v>
      </c>
      <c r="E65" s="2"/>
      <c r="F65" s="19"/>
      <c r="G65" s="2"/>
      <c r="H65" s="2">
        <f>--30875.73</f>
        <v>30875.73</v>
      </c>
      <c r="I65" s="2"/>
      <c r="J65" s="19"/>
      <c r="K65" s="2"/>
      <c r="L65" s="2">
        <f t="shared" si="0"/>
        <v>-7835.0299999999988</v>
      </c>
      <c r="M65" s="2"/>
      <c r="N65" s="19">
        <f t="shared" si="1"/>
        <v>-0.25376015401093349</v>
      </c>
      <c r="O65" s="10"/>
      <c r="P65" s="2">
        <f>--154792.39</f>
        <v>154792.39000000001</v>
      </c>
      <c r="Q65" s="2"/>
      <c r="R65" s="19"/>
      <c r="S65" s="2"/>
      <c r="T65" s="2">
        <f>--78924.71</f>
        <v>78924.710000000006</v>
      </c>
      <c r="U65" s="2"/>
      <c r="V65" s="19"/>
      <c r="W65" s="2"/>
      <c r="X65" s="2">
        <f t="shared" si="2"/>
        <v>75867.680000000008</v>
      </c>
      <c r="Y65" s="2"/>
      <c r="Z65" s="19">
        <f t="shared" si="3"/>
        <v>0.96126650322820317</v>
      </c>
    </row>
    <row r="66" spans="1:26" s="23" customFormat="1" hidden="1" outlineLevel="1" x14ac:dyDescent="0.25">
      <c r="A66" s="44"/>
      <c r="B66" s="10" t="str">
        <f>CONCATENATE("          ", "4141", " - ", "NON-TAXABLE SALES-LOGO GIFTS")</f>
        <v xml:space="preserve">          4141 - NON-TAXABLE SALES-LOGO GIFTS</v>
      </c>
      <c r="C66" s="10"/>
      <c r="D66" s="2">
        <f>--27228.57</f>
        <v>27228.57</v>
      </c>
      <c r="E66" s="2"/>
      <c r="F66" s="19"/>
      <c r="G66" s="2"/>
      <c r="H66" s="2">
        <f>--1860.77</f>
        <v>1860.77</v>
      </c>
      <c r="I66" s="2"/>
      <c r="J66" s="19"/>
      <c r="K66" s="2"/>
      <c r="L66" s="2">
        <f t="shared" si="0"/>
        <v>25367.8</v>
      </c>
      <c r="M66" s="2"/>
      <c r="N66" s="19">
        <f t="shared" si="1"/>
        <v>13.632958398942373</v>
      </c>
      <c r="O66" s="10"/>
      <c r="P66" s="2">
        <f>--36796.81</f>
        <v>36796.81</v>
      </c>
      <c r="Q66" s="2"/>
      <c r="R66" s="19"/>
      <c r="S66" s="2"/>
      <c r="T66" s="2">
        <f>--12775.33</f>
        <v>12775.33</v>
      </c>
      <c r="U66" s="2"/>
      <c r="V66" s="19"/>
      <c r="W66" s="2"/>
      <c r="X66" s="2">
        <f t="shared" si="2"/>
        <v>24021.479999999996</v>
      </c>
      <c r="Y66" s="2"/>
      <c r="Z66" s="19">
        <f t="shared" si="3"/>
        <v>1.8803021135266169</v>
      </c>
    </row>
    <row r="67" spans="1:26" s="23" customFormat="1" hidden="1" outlineLevel="1" x14ac:dyDescent="0.25">
      <c r="A67" s="44"/>
      <c r="B67" s="10" t="str">
        <f>CONCATENATE("          ", "4142", " - ", "NON-TAXABLE SALES-EVERYDAY GIF")</f>
        <v xml:space="preserve">          4142 - NON-TAXABLE SALES-EVERYDAY GIF</v>
      </c>
      <c r="C67" s="10"/>
      <c r="D67" s="2">
        <f>--306.73</f>
        <v>306.73</v>
      </c>
      <c r="E67" s="2"/>
      <c r="F67" s="19"/>
      <c r="G67" s="2"/>
      <c r="H67" s="2">
        <f>--386.65</f>
        <v>386.65</v>
      </c>
      <c r="I67" s="2"/>
      <c r="J67" s="19"/>
      <c r="K67" s="2"/>
      <c r="L67" s="2">
        <f t="shared" si="0"/>
        <v>-79.919999999999959</v>
      </c>
      <c r="M67" s="2"/>
      <c r="N67" s="19">
        <f t="shared" si="1"/>
        <v>-0.20669856459330135</v>
      </c>
      <c r="O67" s="10"/>
      <c r="P67" s="2">
        <f>--2588.1</f>
        <v>2588.1</v>
      </c>
      <c r="Q67" s="2"/>
      <c r="R67" s="19"/>
      <c r="S67" s="2"/>
      <c r="T67" s="2">
        <f>--14128.08</f>
        <v>14128.08</v>
      </c>
      <c r="U67" s="2"/>
      <c r="V67" s="19"/>
      <c r="W67" s="2"/>
      <c r="X67" s="2">
        <f t="shared" si="2"/>
        <v>-11539.98</v>
      </c>
      <c r="Y67" s="2"/>
      <c r="Z67" s="19">
        <f t="shared" si="3"/>
        <v>-0.81681162620823211</v>
      </c>
    </row>
    <row r="68" spans="1:26" s="23" customFormat="1" hidden="1" outlineLevel="1" x14ac:dyDescent="0.25">
      <c r="A68" s="44"/>
      <c r="B68" s="10" t="str">
        <f>CONCATENATE("          ", "4143", " - ", "NON-TAXABLE SALES-CARDS")</f>
        <v xml:space="preserve">          4143 - NON-TAXABLE SALES-CARDS</v>
      </c>
      <c r="C68" s="10"/>
      <c r="D68" s="2">
        <f>--49.97</f>
        <v>49.97</v>
      </c>
      <c r="E68" s="2"/>
      <c r="F68" s="19"/>
      <c r="G68" s="2"/>
      <c r="H68" s="2">
        <f>-9.99</f>
        <v>-9.99</v>
      </c>
      <c r="I68" s="2"/>
      <c r="J68" s="19"/>
      <c r="K68" s="2"/>
      <c r="L68" s="2">
        <f t="shared" si="0"/>
        <v>59.96</v>
      </c>
      <c r="M68" s="2"/>
      <c r="N68" s="19">
        <f t="shared" si="1"/>
        <v>-6.0020020020020022</v>
      </c>
      <c r="O68" s="10"/>
      <c r="P68" s="2">
        <f>--2431.45</f>
        <v>2431.4499999999998</v>
      </c>
      <c r="Q68" s="2"/>
      <c r="R68" s="19"/>
      <c r="S68" s="2"/>
      <c r="T68" s="2">
        <f>0</f>
        <v>0</v>
      </c>
      <c r="U68" s="2"/>
      <c r="V68" s="19"/>
      <c r="W68" s="2"/>
      <c r="X68" s="2">
        <f t="shared" si="2"/>
        <v>2431.4499999999998</v>
      </c>
      <c r="Y68" s="2"/>
      <c r="Z68" s="19">
        <f t="shared" si="3"/>
        <v>0</v>
      </c>
    </row>
    <row r="69" spans="1:26" s="23" customFormat="1" hidden="1" outlineLevel="1" x14ac:dyDescent="0.25">
      <c r="A69" s="44"/>
      <c r="B69" s="10" t="str">
        <f>CONCATENATE("          ", "4144", " - ", "NON-TAXABLE SALES-ACCESSORIES")</f>
        <v xml:space="preserve">          4144 - NON-TAXABLE SALES-ACCESSORIES</v>
      </c>
      <c r="C69" s="10"/>
      <c r="D69" s="2">
        <f>--29.85</f>
        <v>29.85</v>
      </c>
      <c r="E69" s="2"/>
      <c r="F69" s="19"/>
      <c r="G69" s="2"/>
      <c r="H69" s="2">
        <f>--299.4</f>
        <v>299.39999999999998</v>
      </c>
      <c r="I69" s="2"/>
      <c r="J69" s="19"/>
      <c r="K69" s="2"/>
      <c r="L69" s="2">
        <f t="shared" si="0"/>
        <v>-269.54999999999995</v>
      </c>
      <c r="M69" s="2"/>
      <c r="N69" s="19">
        <f t="shared" si="1"/>
        <v>-0.90030060120240474</v>
      </c>
      <c r="O69" s="10"/>
      <c r="P69" s="2">
        <f>--709.1</f>
        <v>709.1</v>
      </c>
      <c r="Q69" s="2"/>
      <c r="R69" s="19"/>
      <c r="S69" s="2"/>
      <c r="T69" s="2">
        <f>--2339.67</f>
        <v>2339.67</v>
      </c>
      <c r="U69" s="2"/>
      <c r="V69" s="19"/>
      <c r="W69" s="2"/>
      <c r="X69" s="2">
        <f t="shared" si="2"/>
        <v>-1630.5700000000002</v>
      </c>
      <c r="Y69" s="2"/>
      <c r="Z69" s="19">
        <f t="shared" si="3"/>
        <v>-0.69692307034752765</v>
      </c>
    </row>
    <row r="70" spans="1:26" s="23" customFormat="1" hidden="1" outlineLevel="1" x14ac:dyDescent="0.25">
      <c r="A70" s="44"/>
      <c r="B70" s="10" t="str">
        <f>CONCATENATE("          ", "4145", " - ", "NON-TAXABLE SALES-SPECIAL ORDE")</f>
        <v xml:space="preserve">          4145 - NON-TAXABLE SALES-SPECIAL ORDE</v>
      </c>
      <c r="C70" s="10"/>
      <c r="D70" s="2">
        <f>--20350.8</f>
        <v>20350.8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20350.8</v>
      </c>
      <c r="M70" s="2"/>
      <c r="N70" s="19">
        <f t="shared" si="1"/>
        <v>0</v>
      </c>
      <c r="O70" s="10"/>
      <c r="P70" s="2">
        <f>--74066.89</f>
        <v>74066.89</v>
      </c>
      <c r="Q70" s="2"/>
      <c r="R70" s="19"/>
      <c r="S70" s="2"/>
      <c r="T70" s="2">
        <f>--140</f>
        <v>140</v>
      </c>
      <c r="U70" s="2"/>
      <c r="V70" s="19"/>
      <c r="W70" s="2"/>
      <c r="X70" s="2">
        <f t="shared" si="2"/>
        <v>73926.89</v>
      </c>
      <c r="Y70" s="2"/>
      <c r="Z70" s="19">
        <f t="shared" si="3"/>
        <v>528.04921428571424</v>
      </c>
    </row>
    <row r="71" spans="1:26" s="23" customFormat="1" hidden="1" outlineLevel="1" x14ac:dyDescent="0.25">
      <c r="A71" s="44"/>
      <c r="B71" s="10" t="str">
        <f>CONCATENATE("          ", "4146", " - ", "NON-TAXABLE SALES-COIN OP MACH")</f>
        <v xml:space="preserve">          4146 - NON-TAXABLE SALES-COIN OP MACH</v>
      </c>
      <c r="C71" s="10"/>
      <c r="D71" s="2">
        <f>--30.2</f>
        <v>30.2</v>
      </c>
      <c r="E71" s="2"/>
      <c r="F71" s="19"/>
      <c r="G71" s="2"/>
      <c r="H71" s="2">
        <f>--121.7</f>
        <v>121.7</v>
      </c>
      <c r="I71" s="2"/>
      <c r="J71" s="19"/>
      <c r="K71" s="2"/>
      <c r="L71" s="2">
        <f t="shared" si="0"/>
        <v>-91.5</v>
      </c>
      <c r="M71" s="2"/>
      <c r="N71" s="19">
        <f t="shared" si="1"/>
        <v>-0.75184880854560387</v>
      </c>
      <c r="O71" s="10"/>
      <c r="P71" s="2">
        <f>--329.3</f>
        <v>329.3</v>
      </c>
      <c r="Q71" s="2"/>
      <c r="R71" s="19"/>
      <c r="S71" s="2"/>
      <c r="T71" s="2">
        <f>--205908.65</f>
        <v>205908.65</v>
      </c>
      <c r="U71" s="2"/>
      <c r="V71" s="19"/>
      <c r="W71" s="2"/>
      <c r="X71" s="2">
        <f t="shared" si="2"/>
        <v>-205579.35</v>
      </c>
      <c r="Y71" s="2"/>
      <c r="Z71" s="19">
        <f t="shared" si="3"/>
        <v>-0.99840074712742766</v>
      </c>
    </row>
    <row r="72" spans="1:26" s="23" customFormat="1" hidden="1" outlineLevel="1" x14ac:dyDescent="0.25">
      <c r="A72" s="44"/>
      <c r="B72" s="10" t="str">
        <f>CONCATENATE("          ", "4147", " - ", "NON-TAXABLE SALES-MISC")</f>
        <v xml:space="preserve">          4147 - NON-TAXABLE SALES-MISC</v>
      </c>
      <c r="C72" s="10"/>
      <c r="D72" s="2">
        <f>--11</f>
        <v>11</v>
      </c>
      <c r="E72" s="2"/>
      <c r="F72" s="19"/>
      <c r="G72" s="2"/>
      <c r="H72" s="2">
        <f t="shared" ref="H72:H73" si="19">0</f>
        <v>0</v>
      </c>
      <c r="I72" s="2"/>
      <c r="J72" s="19"/>
      <c r="K72" s="2"/>
      <c r="L72" s="2">
        <f t="shared" si="0"/>
        <v>11</v>
      </c>
      <c r="M72" s="2"/>
      <c r="N72" s="19">
        <f t="shared" si="1"/>
        <v>0</v>
      </c>
      <c r="O72" s="10"/>
      <c r="P72" s="2">
        <f>--154.5</f>
        <v>154.5</v>
      </c>
      <c r="Q72" s="2"/>
      <c r="R72" s="19"/>
      <c r="S72" s="2"/>
      <c r="T72" s="2">
        <f>--3436.37</f>
        <v>3436.37</v>
      </c>
      <c r="U72" s="2"/>
      <c r="V72" s="19"/>
      <c r="W72" s="2"/>
      <c r="X72" s="2">
        <f t="shared" si="2"/>
        <v>-3281.87</v>
      </c>
      <c r="Y72" s="2"/>
      <c r="Z72" s="19">
        <f t="shared" si="3"/>
        <v>-0.95503976579937555</v>
      </c>
    </row>
    <row r="73" spans="1:26" s="23" customFormat="1" hidden="1" outlineLevel="1" x14ac:dyDescent="0.25">
      <c r="A73" s="44"/>
      <c r="B73" s="10" t="str">
        <f>CONCATENATE("          ", "4186", " - ", "NON-TAXABLE SALES-COMPUTER SUP")</f>
        <v xml:space="preserve">          4186 - NON-TAXABLE SALES-COMPUTER SUP</v>
      </c>
      <c r="C73" s="10"/>
      <c r="D73" s="2">
        <f>0</f>
        <v>0</v>
      </c>
      <c r="E73" s="2"/>
      <c r="F73" s="19"/>
      <c r="G73" s="2"/>
      <c r="H73" s="2">
        <f t="shared" si="19"/>
        <v>0</v>
      </c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0"/>
      <c r="P73" s="2">
        <f>0</f>
        <v>0</v>
      </c>
      <c r="Q73" s="2"/>
      <c r="R73" s="19"/>
      <c r="S73" s="2"/>
      <c r="T73" s="2">
        <f>-30.97</f>
        <v>-30.97</v>
      </c>
      <c r="U73" s="2"/>
      <c r="V73" s="19"/>
      <c r="W73" s="2"/>
      <c r="X73" s="2">
        <f t="shared" si="2"/>
        <v>30.97</v>
      </c>
      <c r="Y73" s="2"/>
      <c r="Z73" s="19">
        <f t="shared" si="3"/>
        <v>-1</v>
      </c>
    </row>
    <row r="74" spans="1:26" s="23" customFormat="1" hidden="1" outlineLevel="1" x14ac:dyDescent="0.25">
      <c r="A74" s="44"/>
      <c r="B74" s="10" t="str">
        <f>CONCATENATE("          ", "4201", " - ", "SALES RETURN TAXABLE-NEW TEXT")</f>
        <v xml:space="preserve">          4201 - SALES RETURN TAXABLE-NEW TEXT</v>
      </c>
      <c r="C74" s="10"/>
      <c r="D74" s="2">
        <f>-376.85</f>
        <v>-376.85</v>
      </c>
      <c r="E74" s="2"/>
      <c r="F74" s="19"/>
      <c r="G74" s="2"/>
      <c r="H74" s="2">
        <f>-62.3</f>
        <v>-62.3</v>
      </c>
      <c r="I74" s="2"/>
      <c r="J74" s="19"/>
      <c r="K74" s="2"/>
      <c r="L74" s="2">
        <f t="shared" si="0"/>
        <v>-314.55</v>
      </c>
      <c r="M74" s="2"/>
      <c r="N74" s="19">
        <f t="shared" si="1"/>
        <v>5.048956661316212</v>
      </c>
      <c r="O74" s="10"/>
      <c r="P74" s="2">
        <f>-51638.02</f>
        <v>-51638.02</v>
      </c>
      <c r="Q74" s="2"/>
      <c r="R74" s="19"/>
      <c r="S74" s="2"/>
      <c r="T74" s="2">
        <f>-121223.01</f>
        <v>-121223.01</v>
      </c>
      <c r="U74" s="2"/>
      <c r="V74" s="19"/>
      <c r="W74" s="2"/>
      <c r="X74" s="2">
        <f t="shared" si="2"/>
        <v>69584.989999999991</v>
      </c>
      <c r="Y74" s="2"/>
      <c r="Z74" s="19">
        <f t="shared" si="3"/>
        <v>-0.57402460143499157</v>
      </c>
    </row>
    <row r="75" spans="1:26" s="23" customFormat="1" hidden="1" outlineLevel="1" x14ac:dyDescent="0.25">
      <c r="A75" s="44"/>
      <c r="B75" s="10" t="str">
        <f>CONCATENATE("          ", "4202", " - ", "SALES RETURN TAXABLE-USED TEXT")</f>
        <v xml:space="preserve">          4202 - SALES RETURN TAXABLE-USED TEXT</v>
      </c>
      <c r="C75" s="10"/>
      <c r="D75" s="2">
        <f>-206.95</f>
        <v>-206.95</v>
      </c>
      <c r="E75" s="2"/>
      <c r="F75" s="19"/>
      <c r="G75" s="2"/>
      <c r="H75" s="2">
        <f>-31.95</f>
        <v>-31.95</v>
      </c>
      <c r="I75" s="2"/>
      <c r="J75" s="19"/>
      <c r="K75" s="2"/>
      <c r="L75" s="2">
        <f t="shared" si="0"/>
        <v>-175</v>
      </c>
      <c r="M75" s="2"/>
      <c r="N75" s="19">
        <f t="shared" si="1"/>
        <v>5.4773082942097027</v>
      </c>
      <c r="O75" s="10"/>
      <c r="P75" s="2">
        <f>-20096.26</f>
        <v>-20096.259999999998</v>
      </c>
      <c r="Q75" s="2"/>
      <c r="R75" s="19"/>
      <c r="S75" s="2"/>
      <c r="T75" s="2">
        <f>-45552.71</f>
        <v>-45552.71</v>
      </c>
      <c r="U75" s="2"/>
      <c r="V75" s="19"/>
      <c r="W75" s="2"/>
      <c r="X75" s="2">
        <f t="shared" si="2"/>
        <v>25456.45</v>
      </c>
      <c r="Y75" s="2"/>
      <c r="Z75" s="19">
        <f t="shared" si="3"/>
        <v>-0.55883502869532897</v>
      </c>
    </row>
    <row r="76" spans="1:26" s="23" customFormat="1" hidden="1" outlineLevel="1" x14ac:dyDescent="0.25">
      <c r="A76" s="44"/>
      <c r="B76" s="10" t="str">
        <f>CONCATENATE("          ", "4203", " - ", "SALES RETURN TAXABLE-RENTAL TE")</f>
        <v xml:space="preserve">          4203 - SALES RETURN TAXABLE-RENTAL TE</v>
      </c>
      <c r="C76" s="10"/>
      <c r="D76" s="2">
        <f t="shared" ref="D76:D83" si="20">0</f>
        <v>0</v>
      </c>
      <c r="E76" s="2"/>
      <c r="F76" s="19"/>
      <c r="G76" s="2"/>
      <c r="H76" s="2">
        <f t="shared" ref="H76:H77" si="21"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0"/>
      <c r="P76" s="2">
        <f>0</f>
        <v>0</v>
      </c>
      <c r="Q76" s="2"/>
      <c r="R76" s="19"/>
      <c r="S76" s="2"/>
      <c r="T76" s="2">
        <f>-144.99</f>
        <v>-144.99</v>
      </c>
      <c r="U76" s="2"/>
      <c r="V76" s="19"/>
      <c r="W76" s="2"/>
      <c r="X76" s="2">
        <f t="shared" si="2"/>
        <v>144.99</v>
      </c>
      <c r="Y76" s="2"/>
      <c r="Z76" s="19">
        <f t="shared" si="3"/>
        <v>-1</v>
      </c>
    </row>
    <row r="77" spans="1:26" s="23" customFormat="1" hidden="1" outlineLevel="1" x14ac:dyDescent="0.25">
      <c r="A77" s="44"/>
      <c r="B77" s="10" t="str">
        <f>CONCATENATE("          ", "4204", " - ", "SALES RETURN TAXABLE-DIGITAL T")</f>
        <v xml:space="preserve">          4204 - SALES RETURN TAXABLE-DIGITAL T</v>
      </c>
      <c r="C77" s="10"/>
      <c r="D77" s="2">
        <f t="shared" si="20"/>
        <v>0</v>
      </c>
      <c r="E77" s="2"/>
      <c r="F77" s="19"/>
      <c r="G77" s="2"/>
      <c r="H77" s="2">
        <f t="shared" si="21"/>
        <v>0</v>
      </c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0"/>
      <c r="P77" s="2">
        <f>-1763.1</f>
        <v>-1763.1</v>
      </c>
      <c r="Q77" s="2"/>
      <c r="R77" s="19"/>
      <c r="S77" s="2"/>
      <c r="T77" s="2">
        <f>-17255.33</f>
        <v>-17255.330000000002</v>
      </c>
      <c r="U77" s="2"/>
      <c r="V77" s="19"/>
      <c r="W77" s="2"/>
      <c r="X77" s="2">
        <f t="shared" si="2"/>
        <v>15492.230000000001</v>
      </c>
      <c r="Y77" s="2"/>
      <c r="Z77" s="19">
        <f t="shared" si="3"/>
        <v>-0.89782287559843832</v>
      </c>
    </row>
    <row r="78" spans="1:26" s="23" customFormat="1" hidden="1" outlineLevel="1" x14ac:dyDescent="0.25">
      <c r="A78" s="44"/>
      <c r="B78" s="10" t="str">
        <f>CONCATENATE("          ", "4213", " - ", "NON-TAXABLE SALES-TRADE BOOKS")</f>
        <v xml:space="preserve">          4213 - NON-TAXABLE SALES-TRADE BOOKS</v>
      </c>
      <c r="C78" s="10"/>
      <c r="D78" s="2">
        <f t="shared" si="20"/>
        <v>0</v>
      </c>
      <c r="E78" s="2"/>
      <c r="F78" s="19"/>
      <c r="G78" s="2"/>
      <c r="H78" s="2">
        <f>-2173.76</f>
        <v>-2173.7600000000002</v>
      </c>
      <c r="I78" s="2"/>
      <c r="J78" s="19"/>
      <c r="K78" s="2"/>
      <c r="L78" s="2">
        <f t="shared" si="0"/>
        <v>2173.7600000000002</v>
      </c>
      <c r="M78" s="2"/>
      <c r="N78" s="19">
        <f t="shared" si="1"/>
        <v>-1</v>
      </c>
      <c r="O78" s="10"/>
      <c r="P78" s="2">
        <f>-69.93</f>
        <v>-69.930000000000007</v>
      </c>
      <c r="Q78" s="2"/>
      <c r="R78" s="19"/>
      <c r="S78" s="2"/>
      <c r="T78" s="2">
        <f>-2768.67</f>
        <v>-2768.67</v>
      </c>
      <c r="U78" s="2"/>
      <c r="V78" s="19"/>
      <c r="W78" s="2"/>
      <c r="X78" s="2">
        <f t="shared" si="2"/>
        <v>2698.7400000000002</v>
      </c>
      <c r="Y78" s="2"/>
      <c r="Z78" s="19">
        <f t="shared" si="3"/>
        <v>-0.97474238533303004</v>
      </c>
    </row>
    <row r="79" spans="1:26" s="23" customFormat="1" hidden="1" outlineLevel="1" x14ac:dyDescent="0.25">
      <c r="A79" s="44"/>
      <c r="B79" s="10" t="str">
        <f>CONCATENATE("          ", "4214", " - ", "SALES RETURN TAXABLE-REMAINDER")</f>
        <v xml:space="preserve">          4214 - SALES RETURN TAXABLE-REMAINDER</v>
      </c>
      <c r="C79" s="10"/>
      <c r="D79" s="2">
        <f t="shared" si="20"/>
        <v>0</v>
      </c>
      <c r="E79" s="2"/>
      <c r="F79" s="19"/>
      <c r="G79" s="2"/>
      <c r="H79" s="2">
        <f t="shared" ref="H79:H86" si="22"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0"/>
      <c r="P79" s="2">
        <f t="shared" ref="P79:P80" si="23">0</f>
        <v>0</v>
      </c>
      <c r="Q79" s="2"/>
      <c r="R79" s="19"/>
      <c r="S79" s="2"/>
      <c r="T79" s="2">
        <f>-11.94</f>
        <v>-11.94</v>
      </c>
      <c r="U79" s="2"/>
      <c r="V79" s="19"/>
      <c r="W79" s="2"/>
      <c r="X79" s="2">
        <f t="shared" si="2"/>
        <v>11.94</v>
      </c>
      <c r="Y79" s="2"/>
      <c r="Z79" s="19">
        <f t="shared" si="3"/>
        <v>-1</v>
      </c>
    </row>
    <row r="80" spans="1:26" s="23" customFormat="1" hidden="1" outlineLevel="1" x14ac:dyDescent="0.25">
      <c r="A80" s="44"/>
      <c r="B80" s="10" t="str">
        <f>CONCATENATE("          ", "4217", " - ", "NON-TAXABLE SALES-DORM/HOUSEWA")</f>
        <v xml:space="preserve">          4217 - NON-TAXABLE SALES-DORM/HOUSEWA</v>
      </c>
      <c r="C80" s="10"/>
      <c r="D80" s="2">
        <f t="shared" si="20"/>
        <v>0</v>
      </c>
      <c r="E80" s="2"/>
      <c r="F80" s="19"/>
      <c r="G80" s="2"/>
      <c r="H80" s="2">
        <f t="shared" si="22"/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0"/>
      <c r="P80" s="2">
        <f t="shared" si="23"/>
        <v>0</v>
      </c>
      <c r="Q80" s="2"/>
      <c r="R80" s="19"/>
      <c r="S80" s="2"/>
      <c r="T80" s="2">
        <f>-2.98</f>
        <v>-2.98</v>
      </c>
      <c r="U80" s="2"/>
      <c r="V80" s="19"/>
      <c r="W80" s="2"/>
      <c r="X80" s="2">
        <f t="shared" si="2"/>
        <v>2.98</v>
      </c>
      <c r="Y80" s="2"/>
      <c r="Z80" s="19">
        <f t="shared" si="3"/>
        <v>-1</v>
      </c>
    </row>
    <row r="81" spans="1:26" s="23" customFormat="1" hidden="1" outlineLevel="1" x14ac:dyDescent="0.25">
      <c r="A81" s="44"/>
      <c r="B81" s="10" t="str">
        <f>CONCATENATE("          ", "4218", " - ", "SALES RETURN TAXABLE-STUDY GUI")</f>
        <v xml:space="preserve">          4218 - SALES RETURN TAXABLE-STUDY GUI</v>
      </c>
      <c r="C81" s="10"/>
      <c r="D81" s="2">
        <f t="shared" si="20"/>
        <v>0</v>
      </c>
      <c r="E81" s="2"/>
      <c r="F81" s="19"/>
      <c r="G81" s="2"/>
      <c r="H81" s="2">
        <f t="shared" si="22"/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0"/>
      <c r="P81" s="2">
        <f>-5.21</f>
        <v>-5.21</v>
      </c>
      <c r="Q81" s="2"/>
      <c r="R81" s="19"/>
      <c r="S81" s="2"/>
      <c r="T81" s="2">
        <f>-39.25</f>
        <v>-39.25</v>
      </c>
      <c r="U81" s="2"/>
      <c r="V81" s="19"/>
      <c r="W81" s="2"/>
      <c r="X81" s="2">
        <f t="shared" si="2"/>
        <v>34.04</v>
      </c>
      <c r="Y81" s="2"/>
      <c r="Z81" s="19">
        <f t="shared" si="3"/>
        <v>-0.86726114649681529</v>
      </c>
    </row>
    <row r="82" spans="1:26" s="23" customFormat="1" hidden="1" outlineLevel="1" x14ac:dyDescent="0.25">
      <c r="A82" s="44"/>
      <c r="B82" s="10" t="str">
        <f>CONCATENATE("          ", "4225", " - ", "SALES RETURN TAXABLE-TEST FORM")</f>
        <v xml:space="preserve">          4225 - SALES RETURN TAXABLE-TEST FORM</v>
      </c>
      <c r="C82" s="10"/>
      <c r="D82" s="2">
        <f t="shared" si="20"/>
        <v>0</v>
      </c>
      <c r="E82" s="2"/>
      <c r="F82" s="19"/>
      <c r="G82" s="2"/>
      <c r="H82" s="2">
        <f t="shared" si="22"/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0"/>
      <c r="P82" s="2">
        <f>0</f>
        <v>0</v>
      </c>
      <c r="Q82" s="2"/>
      <c r="R82" s="19"/>
      <c r="S82" s="2"/>
      <c r="T82" s="2">
        <f>-176.41</f>
        <v>-176.41</v>
      </c>
      <c r="U82" s="2"/>
      <c r="V82" s="19"/>
      <c r="W82" s="2"/>
      <c r="X82" s="2">
        <f t="shared" si="2"/>
        <v>176.41</v>
      </c>
      <c r="Y82" s="2"/>
      <c r="Z82" s="19">
        <f t="shared" si="3"/>
        <v>-1</v>
      </c>
    </row>
    <row r="83" spans="1:26" s="23" customFormat="1" hidden="1" outlineLevel="1" x14ac:dyDescent="0.25">
      <c r="A83" s="44"/>
      <c r="B83" s="10" t="str">
        <f>CONCATENATE("          ", "4226", " - ", "SALES RETURN TAXABLE-WRITING I")</f>
        <v xml:space="preserve">          4226 - SALES RETURN TAXABLE-WRITING I</v>
      </c>
      <c r="C83" s="10"/>
      <c r="D83" s="2">
        <f t="shared" si="20"/>
        <v>0</v>
      </c>
      <c r="E83" s="2"/>
      <c r="F83" s="19"/>
      <c r="G83" s="2"/>
      <c r="H83" s="2">
        <f t="shared" si="22"/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0"/>
      <c r="P83" s="2">
        <f>-34.23</f>
        <v>-34.229999999999997</v>
      </c>
      <c r="Q83" s="2"/>
      <c r="R83" s="19"/>
      <c r="S83" s="2"/>
      <c r="T83" s="2">
        <f>-765.04</f>
        <v>-765.04</v>
      </c>
      <c r="U83" s="2"/>
      <c r="V83" s="19"/>
      <c r="W83" s="2"/>
      <c r="X83" s="2">
        <f t="shared" si="2"/>
        <v>730.81</v>
      </c>
      <c r="Y83" s="2"/>
      <c r="Z83" s="19">
        <f t="shared" si="3"/>
        <v>-0.95525724145142732</v>
      </c>
    </row>
    <row r="84" spans="1:26" s="23" customFormat="1" hidden="1" outlineLevel="1" x14ac:dyDescent="0.25">
      <c r="A84" s="44"/>
      <c r="B84" s="10" t="str">
        <f>CONCATENATE("          ", "4227", " - ", "SALES RETURN TAXABLE-SCHOOL SU")</f>
        <v xml:space="preserve">          4227 - SALES RETURN TAXABLE-SCHOOL SU</v>
      </c>
      <c r="C84" s="10"/>
      <c r="D84" s="2">
        <f>-500.54</f>
        <v>-500.54</v>
      </c>
      <c r="E84" s="2"/>
      <c r="F84" s="19"/>
      <c r="G84" s="2"/>
      <c r="H84" s="2">
        <f t="shared" si="22"/>
        <v>0</v>
      </c>
      <c r="I84" s="2"/>
      <c r="J84" s="19"/>
      <c r="K84" s="2"/>
      <c r="L84" s="2">
        <f t="shared" si="0"/>
        <v>-500.54</v>
      </c>
      <c r="M84" s="2"/>
      <c r="N84" s="19">
        <f t="shared" si="1"/>
        <v>0</v>
      </c>
      <c r="O84" s="10"/>
      <c r="P84" s="2">
        <f>-1346.66</f>
        <v>-1346.66</v>
      </c>
      <c r="Q84" s="2"/>
      <c r="R84" s="19"/>
      <c r="S84" s="2"/>
      <c r="T84" s="2">
        <f>-8593.61</f>
        <v>-8593.61</v>
      </c>
      <c r="U84" s="2"/>
      <c r="V84" s="19"/>
      <c r="W84" s="2"/>
      <c r="X84" s="2">
        <f t="shared" si="2"/>
        <v>7246.9500000000007</v>
      </c>
      <c r="Y84" s="2"/>
      <c r="Z84" s="19">
        <f t="shared" si="3"/>
        <v>-0.8432951925907739</v>
      </c>
    </row>
    <row r="85" spans="1:26" s="23" customFormat="1" hidden="1" outlineLevel="1" x14ac:dyDescent="0.25">
      <c r="A85" s="44"/>
      <c r="B85" s="10" t="str">
        <f>CONCATENATE("          ", "4228", " - ", "SALES RETURN TAXABLE-ART/TECH")</f>
        <v xml:space="preserve">          4228 - SALES RETURN TAXABLE-ART/TECH</v>
      </c>
      <c r="C85" s="10"/>
      <c r="D85" s="2">
        <f>-136.11</f>
        <v>-136.11000000000001</v>
      </c>
      <c r="E85" s="2"/>
      <c r="F85" s="19"/>
      <c r="G85" s="2"/>
      <c r="H85" s="2">
        <f t="shared" si="22"/>
        <v>0</v>
      </c>
      <c r="I85" s="2"/>
      <c r="J85" s="19"/>
      <c r="K85" s="2"/>
      <c r="L85" s="2">
        <f t="shared" si="0"/>
        <v>-136.11000000000001</v>
      </c>
      <c r="M85" s="2"/>
      <c r="N85" s="19">
        <f t="shared" si="1"/>
        <v>0</v>
      </c>
      <c r="O85" s="10"/>
      <c r="P85" s="2">
        <f>-12973.73</f>
        <v>-12973.73</v>
      </c>
      <c r="Q85" s="2"/>
      <c r="R85" s="19"/>
      <c r="S85" s="2"/>
      <c r="T85" s="2">
        <f>-4739.1</f>
        <v>-4739.1000000000004</v>
      </c>
      <c r="U85" s="2"/>
      <c r="V85" s="19"/>
      <c r="W85" s="2"/>
      <c r="X85" s="2">
        <f t="shared" si="2"/>
        <v>-8234.6299999999992</v>
      </c>
      <c r="Y85" s="2"/>
      <c r="Z85" s="19">
        <f t="shared" si="3"/>
        <v>1.7375936359224322</v>
      </c>
    </row>
    <row r="86" spans="1:26" s="23" customFormat="1" hidden="1" outlineLevel="1" x14ac:dyDescent="0.25">
      <c r="A86" s="44"/>
      <c r="B86" s="10" t="str">
        <f>CONCATENATE("          ", "4233", " - ", "SALES RETURN TAXABLE-CANDY")</f>
        <v xml:space="preserve">          4233 - SALES RETURN TAXABLE-CANDY</v>
      </c>
      <c r="C86" s="10"/>
      <c r="D86" s="2">
        <f>0</f>
        <v>0</v>
      </c>
      <c r="E86" s="2"/>
      <c r="F86" s="19"/>
      <c r="G86" s="2"/>
      <c r="H86" s="2">
        <f t="shared" si="22"/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0"/>
      <c r="P86" s="2">
        <f>0</f>
        <v>0</v>
      </c>
      <c r="Q86" s="2"/>
      <c r="R86" s="19"/>
      <c r="S86" s="2"/>
      <c r="T86" s="2">
        <f>-8.25</f>
        <v>-8.25</v>
      </c>
      <c r="U86" s="2"/>
      <c r="V86" s="19"/>
      <c r="W86" s="2"/>
      <c r="X86" s="2">
        <f t="shared" si="2"/>
        <v>8.25</v>
      </c>
      <c r="Y86" s="2"/>
      <c r="Z86" s="19">
        <f t="shared" si="3"/>
        <v>-1</v>
      </c>
    </row>
    <row r="87" spans="1:26" s="23" customFormat="1" hidden="1" outlineLevel="1" x14ac:dyDescent="0.25">
      <c r="A87" s="44"/>
      <c r="B87" s="10" t="str">
        <f>CONCATENATE("          ", "4240", " - ", "SALES RETURN TAXABLE-LOGO CLOT")</f>
        <v xml:space="preserve">          4240 - SALES RETURN TAXABLE-LOGO CLOT</v>
      </c>
      <c r="C87" s="10"/>
      <c r="D87" s="2">
        <f>-5611.92</f>
        <v>-5611.92</v>
      </c>
      <c r="E87" s="2"/>
      <c r="F87" s="19"/>
      <c r="G87" s="2"/>
      <c r="H87" s="2">
        <f>-1642.96</f>
        <v>-1642.96</v>
      </c>
      <c r="I87" s="2"/>
      <c r="J87" s="19"/>
      <c r="K87" s="2"/>
      <c r="L87" s="2">
        <f t="shared" si="0"/>
        <v>-3968.96</v>
      </c>
      <c r="M87" s="2"/>
      <c r="N87" s="19">
        <f t="shared" si="1"/>
        <v>2.4157374494814237</v>
      </c>
      <c r="O87" s="10"/>
      <c r="P87" s="2">
        <f>-40666.27</f>
        <v>-40666.269999999997</v>
      </c>
      <c r="Q87" s="2"/>
      <c r="R87" s="19"/>
      <c r="S87" s="2"/>
      <c r="T87" s="2">
        <f>-74455.19</f>
        <v>-74455.19</v>
      </c>
      <c r="U87" s="2"/>
      <c r="V87" s="19"/>
      <c r="W87" s="2"/>
      <c r="X87" s="2">
        <f t="shared" si="2"/>
        <v>33788.920000000006</v>
      </c>
      <c r="Y87" s="2"/>
      <c r="Z87" s="19">
        <f t="shared" si="3"/>
        <v>-0.45381550970456197</v>
      </c>
    </row>
    <row r="88" spans="1:26" s="23" customFormat="1" hidden="1" outlineLevel="1" x14ac:dyDescent="0.25">
      <c r="A88" s="44"/>
      <c r="B88" s="10" t="str">
        <f>CONCATENATE("          ", "4241", " - ", "SALES RETURN TAXABLE-LOGO GIFT")</f>
        <v xml:space="preserve">          4241 - SALES RETURN TAXABLE-LOGO GIFT</v>
      </c>
      <c r="C88" s="10"/>
      <c r="D88" s="2">
        <f>-5656.91</f>
        <v>-5656.91</v>
      </c>
      <c r="E88" s="2"/>
      <c r="F88" s="19"/>
      <c r="G88" s="2"/>
      <c r="H88" s="2">
        <f>-190.5</f>
        <v>-190.5</v>
      </c>
      <c r="I88" s="2"/>
      <c r="J88" s="19"/>
      <c r="K88" s="2"/>
      <c r="L88" s="2">
        <f t="shared" si="0"/>
        <v>-5466.41</v>
      </c>
      <c r="M88" s="2"/>
      <c r="N88" s="19">
        <f t="shared" si="1"/>
        <v>28.695065616797901</v>
      </c>
      <c r="O88" s="10"/>
      <c r="P88" s="2">
        <f>-12175.25</f>
        <v>-12175.25</v>
      </c>
      <c r="Q88" s="2"/>
      <c r="R88" s="19"/>
      <c r="S88" s="2"/>
      <c r="T88" s="2">
        <f>-6331.88</f>
        <v>-6331.88</v>
      </c>
      <c r="U88" s="2"/>
      <c r="V88" s="19"/>
      <c r="W88" s="2"/>
      <c r="X88" s="2">
        <f t="shared" si="2"/>
        <v>-5843.37</v>
      </c>
      <c r="Y88" s="2"/>
      <c r="Z88" s="19">
        <f t="shared" si="3"/>
        <v>0.92284913801272284</v>
      </c>
    </row>
    <row r="89" spans="1:26" s="23" customFormat="1" hidden="1" outlineLevel="1" x14ac:dyDescent="0.25">
      <c r="A89" s="44"/>
      <c r="B89" s="10" t="str">
        <f>CONCATENATE("          ", "4242", " - ", "SALES RETURN TAXABLE-EVERYDAY")</f>
        <v xml:space="preserve">          4242 - SALES RETURN TAXABLE-EVERYDAY</v>
      </c>
      <c r="C89" s="10"/>
      <c r="D89" s="2">
        <f>-332.27</f>
        <v>-332.27</v>
      </c>
      <c r="E89" s="2"/>
      <c r="F89" s="19"/>
      <c r="G89" s="2"/>
      <c r="H89" s="2">
        <f>-3</f>
        <v>-3</v>
      </c>
      <c r="I89" s="2"/>
      <c r="J89" s="19"/>
      <c r="K89" s="2"/>
      <c r="L89" s="2">
        <f t="shared" si="0"/>
        <v>-329.27</v>
      </c>
      <c r="M89" s="2"/>
      <c r="N89" s="19">
        <f t="shared" si="1"/>
        <v>109.75666666666666</v>
      </c>
      <c r="O89" s="10"/>
      <c r="P89" s="2">
        <f>-2636.09</f>
        <v>-2636.09</v>
      </c>
      <c r="Q89" s="2"/>
      <c r="R89" s="19"/>
      <c r="S89" s="2"/>
      <c r="T89" s="2">
        <f>-4181.41</f>
        <v>-4181.41</v>
      </c>
      <c r="U89" s="2"/>
      <c r="V89" s="19"/>
      <c r="W89" s="2"/>
      <c r="X89" s="2">
        <f t="shared" si="2"/>
        <v>1545.3199999999997</v>
      </c>
      <c r="Y89" s="2"/>
      <c r="Z89" s="19">
        <f t="shared" si="3"/>
        <v>-0.36956911663768915</v>
      </c>
    </row>
    <row r="90" spans="1:26" s="23" customFormat="1" hidden="1" outlineLevel="1" x14ac:dyDescent="0.25">
      <c r="A90" s="44"/>
      <c r="B90" s="10" t="str">
        <f>CONCATENATE("          ", "4243", " - ", "SALES RETURN TAXABLE-CARDS")</f>
        <v xml:space="preserve">          4243 - SALES RETURN TAXABLE-CARDS</v>
      </c>
      <c r="C90" s="10"/>
      <c r="D90" s="2">
        <f>-199.86</f>
        <v>-199.86</v>
      </c>
      <c r="E90" s="2"/>
      <c r="F90" s="19"/>
      <c r="G90" s="2"/>
      <c r="H90" s="2">
        <f>-13</f>
        <v>-13</v>
      </c>
      <c r="I90" s="2"/>
      <c r="J90" s="19"/>
      <c r="K90" s="2"/>
      <c r="L90" s="2">
        <f t="shared" si="0"/>
        <v>-186.86</v>
      </c>
      <c r="M90" s="2"/>
      <c r="N90" s="19">
        <f t="shared" si="1"/>
        <v>14.373846153846156</v>
      </c>
      <c r="O90" s="10"/>
      <c r="P90" s="2">
        <f>-6142.09</f>
        <v>-6142.09</v>
      </c>
      <c r="Q90" s="2"/>
      <c r="R90" s="19"/>
      <c r="S90" s="2"/>
      <c r="T90" s="2">
        <f>-3006.31</f>
        <v>-3006.31</v>
      </c>
      <c r="U90" s="2"/>
      <c r="V90" s="19"/>
      <c r="W90" s="2"/>
      <c r="X90" s="2">
        <f t="shared" si="2"/>
        <v>-3135.78</v>
      </c>
      <c r="Y90" s="2"/>
      <c r="Z90" s="19">
        <f t="shared" si="3"/>
        <v>1.0430660843359467</v>
      </c>
    </row>
    <row r="91" spans="1:26" s="23" customFormat="1" hidden="1" outlineLevel="1" x14ac:dyDescent="0.25">
      <c r="A91" s="44"/>
      <c r="B91" s="10" t="str">
        <f>CONCATENATE("          ", "4244", " - ", "SALES RETURN TAXABLE-ACCESSORI")</f>
        <v xml:space="preserve">          4244 - SALES RETURN TAXABLE-ACCESSORI</v>
      </c>
      <c r="C91" s="10"/>
      <c r="D91" s="2">
        <f>-8.24</f>
        <v>-8.24</v>
      </c>
      <c r="E91" s="2"/>
      <c r="F91" s="19"/>
      <c r="G91" s="2"/>
      <c r="H91" s="2">
        <f t="shared" ref="H91:H95" si="24">0</f>
        <v>0</v>
      </c>
      <c r="I91" s="2"/>
      <c r="J91" s="19"/>
      <c r="K91" s="2"/>
      <c r="L91" s="2">
        <f t="shared" si="0"/>
        <v>-8.24</v>
      </c>
      <c r="M91" s="2"/>
      <c r="N91" s="19">
        <f t="shared" si="1"/>
        <v>0</v>
      </c>
      <c r="O91" s="10"/>
      <c r="P91" s="2">
        <f>-1243.5</f>
        <v>-1243.5</v>
      </c>
      <c r="Q91" s="2"/>
      <c r="R91" s="19"/>
      <c r="S91" s="2"/>
      <c r="T91" s="2">
        <f>-2470.7</f>
        <v>-2470.6999999999998</v>
      </c>
      <c r="U91" s="2"/>
      <c r="V91" s="19"/>
      <c r="W91" s="2"/>
      <c r="X91" s="2">
        <f t="shared" si="2"/>
        <v>1227.1999999999998</v>
      </c>
      <c r="Y91" s="2"/>
      <c r="Z91" s="19">
        <f t="shared" si="3"/>
        <v>-0.4967013397012992</v>
      </c>
    </row>
    <row r="92" spans="1:26" s="23" customFormat="1" hidden="1" outlineLevel="1" x14ac:dyDescent="0.25">
      <c r="A92" s="44"/>
      <c r="B92" s="10" t="str">
        <f>CONCATENATE("          ", "4245", " - ", "SALES RETURN TAXABLE-SPECIAL O")</f>
        <v xml:space="preserve">          4245 - SALES RETURN TAXABLE-SPECIAL O</v>
      </c>
      <c r="C92" s="10"/>
      <c r="D92" s="2">
        <f>-4071.14</f>
        <v>-4071.14</v>
      </c>
      <c r="E92" s="2"/>
      <c r="F92" s="19"/>
      <c r="G92" s="2"/>
      <c r="H92" s="2">
        <f t="shared" si="24"/>
        <v>0</v>
      </c>
      <c r="I92" s="2"/>
      <c r="J92" s="19"/>
      <c r="K92" s="2"/>
      <c r="L92" s="2">
        <f t="shared" si="0"/>
        <v>-4071.14</v>
      </c>
      <c r="M92" s="2"/>
      <c r="N92" s="19">
        <f t="shared" si="1"/>
        <v>0</v>
      </c>
      <c r="O92" s="10"/>
      <c r="P92" s="2">
        <f>-15424.73</f>
        <v>-15424.73</v>
      </c>
      <c r="Q92" s="2"/>
      <c r="R92" s="19"/>
      <c r="S92" s="2"/>
      <c r="T92" s="2">
        <f>-1735.03</f>
        <v>-1735.03</v>
      </c>
      <c r="U92" s="2"/>
      <c r="V92" s="19"/>
      <c r="W92" s="2"/>
      <c r="X92" s="2">
        <f t="shared" si="2"/>
        <v>-13689.699999999999</v>
      </c>
      <c r="Y92" s="2"/>
      <c r="Z92" s="19">
        <f t="shared" si="3"/>
        <v>7.890180573246572</v>
      </c>
    </row>
    <row r="93" spans="1:26" s="23" customFormat="1" hidden="1" outlineLevel="1" x14ac:dyDescent="0.25">
      <c r="A93" s="44"/>
      <c r="B93" s="10" t="str">
        <f>CONCATENATE("          ", "4281", " - ", "SALES RETURN TAXABLE-ELECTRONI")</f>
        <v xml:space="preserve">          4281 - SALES RETURN TAXABLE-ELECTRONI</v>
      </c>
      <c r="C93" s="10"/>
      <c r="D93" s="2">
        <f t="shared" ref="D93:D95" si="25">0</f>
        <v>0</v>
      </c>
      <c r="E93" s="2"/>
      <c r="F93" s="19"/>
      <c r="G93" s="2"/>
      <c r="H93" s="2">
        <f t="shared" si="24"/>
        <v>0</v>
      </c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0"/>
      <c r="P93" s="2">
        <f t="shared" ref="P93:P95" si="26">0</f>
        <v>0</v>
      </c>
      <c r="Q93" s="2"/>
      <c r="R93" s="19"/>
      <c r="S93" s="2"/>
      <c r="T93" s="2">
        <f>-54.97</f>
        <v>-54.97</v>
      </c>
      <c r="U93" s="2"/>
      <c r="V93" s="19"/>
      <c r="W93" s="2"/>
      <c r="X93" s="2">
        <f t="shared" si="2"/>
        <v>54.97</v>
      </c>
      <c r="Y93" s="2"/>
      <c r="Z93" s="19">
        <f t="shared" si="3"/>
        <v>-1</v>
      </c>
    </row>
    <row r="94" spans="1:26" s="23" customFormat="1" hidden="1" outlineLevel="1" x14ac:dyDescent="0.25">
      <c r="A94" s="44"/>
      <c r="B94" s="10" t="str">
        <f>CONCATENATE("          ", "4292", " - ", "SALES RETURN TAXABLE-GRAD MERC")</f>
        <v xml:space="preserve">          4292 - SALES RETURN TAXABLE-GRAD MERC</v>
      </c>
      <c r="C94" s="10"/>
      <c r="D94" s="2">
        <f t="shared" si="25"/>
        <v>0</v>
      </c>
      <c r="E94" s="2"/>
      <c r="F94" s="19"/>
      <c r="G94" s="2"/>
      <c r="H94" s="2">
        <f t="shared" si="24"/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0"/>
      <c r="P94" s="2">
        <f t="shared" si="26"/>
        <v>0</v>
      </c>
      <c r="Q94" s="2"/>
      <c r="R94" s="19"/>
      <c r="S94" s="2"/>
      <c r="T94" s="2">
        <f>-513.95</f>
        <v>-513.95000000000005</v>
      </c>
      <c r="U94" s="2"/>
      <c r="V94" s="19"/>
      <c r="W94" s="2"/>
      <c r="X94" s="2">
        <f t="shared" si="2"/>
        <v>513.95000000000005</v>
      </c>
      <c r="Y94" s="2"/>
      <c r="Z94" s="19">
        <f t="shared" si="3"/>
        <v>-1</v>
      </c>
    </row>
    <row r="95" spans="1:26" s="23" customFormat="1" hidden="1" outlineLevel="1" x14ac:dyDescent="0.25">
      <c r="A95" s="44"/>
      <c r="B95" s="10" t="str">
        <f>CONCATENATE("          ", "4295", " - ", "SALES RETURN TAXABLE-CUSTOMER")</f>
        <v xml:space="preserve">          4295 - SALES RETURN TAXABLE-CUSTOMER</v>
      </c>
      <c r="C95" s="10"/>
      <c r="D95" s="2">
        <f t="shared" si="25"/>
        <v>0</v>
      </c>
      <c r="E95" s="2"/>
      <c r="F95" s="19"/>
      <c r="G95" s="2"/>
      <c r="H95" s="2">
        <f t="shared" si="24"/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0"/>
      <c r="P95" s="2">
        <f t="shared" si="26"/>
        <v>0</v>
      </c>
      <c r="Q95" s="2"/>
      <c r="R95" s="19"/>
      <c r="S95" s="2"/>
      <c r="T95" s="2">
        <f>--0.99</f>
        <v>0.99</v>
      </c>
      <c r="U95" s="2"/>
      <c r="V95" s="19"/>
      <c r="W95" s="2"/>
      <c r="X95" s="2">
        <f t="shared" si="2"/>
        <v>-0.99</v>
      </c>
      <c r="Y95" s="2"/>
      <c r="Z95" s="19">
        <f t="shared" si="3"/>
        <v>-1</v>
      </c>
    </row>
    <row r="96" spans="1:26" s="23" customFormat="1" hidden="1" outlineLevel="1" x14ac:dyDescent="0.25">
      <c r="A96" s="44"/>
      <c r="B96" s="10" t="str">
        <f>CONCATENATE("          ", "4301", " - ", "SALES RETURN NON TAXABLE-NEW T")</f>
        <v xml:space="preserve">          4301 - SALES RETURN NON TAXABLE-NEW T</v>
      </c>
      <c r="C96" s="10"/>
      <c r="D96" s="2">
        <f>-225.91</f>
        <v>-225.91</v>
      </c>
      <c r="E96" s="2"/>
      <c r="F96" s="19"/>
      <c r="G96" s="2"/>
      <c r="H96" s="2">
        <f>-357.81</f>
        <v>-357.81</v>
      </c>
      <c r="I96" s="2"/>
      <c r="J96" s="19"/>
      <c r="K96" s="2"/>
      <c r="L96" s="2">
        <f t="shared" si="0"/>
        <v>131.9</v>
      </c>
      <c r="M96" s="2"/>
      <c r="N96" s="19">
        <f t="shared" si="1"/>
        <v>-0.36863139655124227</v>
      </c>
      <c r="O96" s="10"/>
      <c r="P96" s="2">
        <f>-3463.2</f>
        <v>-3463.2</v>
      </c>
      <c r="Q96" s="2"/>
      <c r="R96" s="19"/>
      <c r="S96" s="2"/>
      <c r="T96" s="2">
        <f>-15579.43</f>
        <v>-15579.43</v>
      </c>
      <c r="U96" s="2"/>
      <c r="V96" s="19"/>
      <c r="W96" s="2"/>
      <c r="X96" s="2">
        <f t="shared" si="2"/>
        <v>12116.23</v>
      </c>
      <c r="Y96" s="2"/>
      <c r="Z96" s="19">
        <f t="shared" si="3"/>
        <v>-0.77770688658057452</v>
      </c>
    </row>
    <row r="97" spans="1:26" s="23" customFormat="1" hidden="1" outlineLevel="1" x14ac:dyDescent="0.25">
      <c r="A97" s="44"/>
      <c r="B97" s="10" t="str">
        <f>CONCATENATE("          ", "4302", " - ", "SALES RETURN NON TAXABLE-TEXT")</f>
        <v xml:space="preserve">          4302 - SALES RETURN NON TAXABLE-TEXT</v>
      </c>
      <c r="C97" s="10"/>
      <c r="D97" s="2">
        <f>-98.97</f>
        <v>-98.97</v>
      </c>
      <c r="E97" s="2"/>
      <c r="F97" s="19"/>
      <c r="G97" s="2"/>
      <c r="H97" s="2">
        <f t="shared" ref="H97:H99" si="27">0</f>
        <v>0</v>
      </c>
      <c r="I97" s="2"/>
      <c r="J97" s="19"/>
      <c r="K97" s="2"/>
      <c r="L97" s="2">
        <f t="shared" si="0"/>
        <v>-98.97</v>
      </c>
      <c r="M97" s="2"/>
      <c r="N97" s="19">
        <f t="shared" si="1"/>
        <v>0</v>
      </c>
      <c r="O97" s="10"/>
      <c r="P97" s="2">
        <f>-2443.32</f>
        <v>-2443.3200000000002</v>
      </c>
      <c r="Q97" s="2"/>
      <c r="R97" s="19"/>
      <c r="S97" s="2"/>
      <c r="T97" s="2">
        <f>-1312.37</f>
        <v>-1312.37</v>
      </c>
      <c r="U97" s="2"/>
      <c r="V97" s="19"/>
      <c r="W97" s="2"/>
      <c r="X97" s="2">
        <f t="shared" si="2"/>
        <v>-1130.9500000000003</v>
      </c>
      <c r="Y97" s="2"/>
      <c r="Z97" s="19">
        <f t="shared" si="3"/>
        <v>0.86176154590549947</v>
      </c>
    </row>
    <row r="98" spans="1:26" s="23" customFormat="1" hidden="1" outlineLevel="1" x14ac:dyDescent="0.25">
      <c r="A98" s="44"/>
      <c r="B98" s="10" t="str">
        <f>CONCATENATE("          ", "4303", " - ", "SALES RETURN NON-TAXABLE-RENTA")</f>
        <v xml:space="preserve">          4303 - SALES RETURN NON-TAXABLE-RENTA</v>
      </c>
      <c r="C98" s="10"/>
      <c r="D98" s="2">
        <f t="shared" ref="D98:D104" si="28">0</f>
        <v>0</v>
      </c>
      <c r="E98" s="2"/>
      <c r="F98" s="19"/>
      <c r="G98" s="2"/>
      <c r="H98" s="2">
        <f t="shared" si="27"/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0"/>
      <c r="P98" s="2">
        <f>0</f>
        <v>0</v>
      </c>
      <c r="Q98" s="2"/>
      <c r="R98" s="19"/>
      <c r="S98" s="2"/>
      <c r="T98" s="2">
        <f>-184.99</f>
        <v>-184.99</v>
      </c>
      <c r="U98" s="2"/>
      <c r="V98" s="19"/>
      <c r="W98" s="2"/>
      <c r="X98" s="2">
        <f t="shared" si="2"/>
        <v>184.99</v>
      </c>
      <c r="Y98" s="2"/>
      <c r="Z98" s="19">
        <f t="shared" si="3"/>
        <v>-1</v>
      </c>
    </row>
    <row r="99" spans="1:26" s="23" customFormat="1" hidden="1" outlineLevel="1" x14ac:dyDescent="0.25">
      <c r="A99" s="44"/>
      <c r="B99" s="10" t="str">
        <f>CONCATENATE("          ", "4304", " - ", "SALES RETURN NON TAXABLE-DIGIT")</f>
        <v xml:space="preserve">          4304 - SALES RETURN NON TAXABLE-DIGIT</v>
      </c>
      <c r="C99" s="10"/>
      <c r="D99" s="2">
        <f t="shared" si="28"/>
        <v>0</v>
      </c>
      <c r="E99" s="2"/>
      <c r="F99" s="19"/>
      <c r="G99" s="2"/>
      <c r="H99" s="2">
        <f t="shared" si="27"/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0"/>
      <c r="P99" s="2">
        <f>-27543.76</f>
        <v>-27543.759999999998</v>
      </c>
      <c r="Q99" s="2"/>
      <c r="R99" s="19"/>
      <c r="S99" s="2"/>
      <c r="T99" s="2">
        <f>-19036.13</f>
        <v>-19036.13</v>
      </c>
      <c r="U99" s="2"/>
      <c r="V99" s="19"/>
      <c r="W99" s="2"/>
      <c r="X99" s="2">
        <f t="shared" si="2"/>
        <v>-8507.6299999999974</v>
      </c>
      <c r="Y99" s="2"/>
      <c r="Z99" s="19">
        <f t="shared" si="3"/>
        <v>0.44692014605909902</v>
      </c>
    </row>
    <row r="100" spans="1:26" s="23" customFormat="1" hidden="1" outlineLevel="1" x14ac:dyDescent="0.25">
      <c r="A100" s="44"/>
      <c r="B100" s="10" t="str">
        <f>CONCATENATE("          ", "4311", " - ", "SALES RETURN NON TAXABLE-NO VA")</f>
        <v xml:space="preserve">          4311 - SALES RETURN NON TAXABLE-NO VA</v>
      </c>
      <c r="C100" s="10"/>
      <c r="D100" s="2">
        <f t="shared" si="28"/>
        <v>0</v>
      </c>
      <c r="E100" s="2"/>
      <c r="F100" s="19"/>
      <c r="G100" s="2"/>
      <c r="H100" s="2">
        <f>-88.62</f>
        <v>-88.62</v>
      </c>
      <c r="I100" s="2"/>
      <c r="J100" s="19"/>
      <c r="K100" s="2"/>
      <c r="L100" s="2">
        <f t="shared" si="0"/>
        <v>88.62</v>
      </c>
      <c r="M100" s="2"/>
      <c r="N100" s="19">
        <f t="shared" si="1"/>
        <v>-1</v>
      </c>
      <c r="O100" s="10"/>
      <c r="P100" s="2">
        <f t="shared" ref="P100:P104" si="29">0</f>
        <v>0</v>
      </c>
      <c r="Q100" s="2"/>
      <c r="R100" s="19"/>
      <c r="S100" s="2"/>
      <c r="T100" s="2">
        <f>-941.28</f>
        <v>-941.28</v>
      </c>
      <c r="U100" s="2"/>
      <c r="V100" s="19"/>
      <c r="W100" s="2"/>
      <c r="X100" s="2">
        <f t="shared" si="2"/>
        <v>941.28</v>
      </c>
      <c r="Y100" s="2"/>
      <c r="Z100" s="19">
        <f t="shared" si="3"/>
        <v>-1</v>
      </c>
    </row>
    <row r="101" spans="1:26" s="23" customFormat="1" hidden="1" outlineLevel="1" x14ac:dyDescent="0.25">
      <c r="A101" s="44"/>
      <c r="B101" s="10" t="str">
        <f>CONCATENATE("          ", "4313", " - ", "SALES RETURN NON TAXABLE-TRADE")</f>
        <v xml:space="preserve">          4313 - SALES RETURN NON TAXABLE-TRADE</v>
      </c>
      <c r="C101" s="10"/>
      <c r="D101" s="2">
        <f t="shared" si="28"/>
        <v>0</v>
      </c>
      <c r="E101" s="2"/>
      <c r="F101" s="19"/>
      <c r="G101" s="2"/>
      <c r="H101" s="2">
        <f>-2481.44</f>
        <v>-2481.44</v>
      </c>
      <c r="I101" s="2"/>
      <c r="J101" s="19"/>
      <c r="K101" s="2"/>
      <c r="L101" s="2">
        <f t="shared" si="0"/>
        <v>2481.44</v>
      </c>
      <c r="M101" s="2"/>
      <c r="N101" s="19">
        <f t="shared" si="1"/>
        <v>-1</v>
      </c>
      <c r="O101" s="10"/>
      <c r="P101" s="2">
        <f t="shared" si="29"/>
        <v>0</v>
      </c>
      <c r="Q101" s="2"/>
      <c r="R101" s="19"/>
      <c r="S101" s="2"/>
      <c r="T101" s="2">
        <f>-2481.44</f>
        <v>-2481.44</v>
      </c>
      <c r="U101" s="2"/>
      <c r="V101" s="19"/>
      <c r="W101" s="2"/>
      <c r="X101" s="2">
        <f t="shared" si="2"/>
        <v>2481.44</v>
      </c>
      <c r="Y101" s="2"/>
      <c r="Z101" s="19">
        <f t="shared" si="3"/>
        <v>-1</v>
      </c>
    </row>
    <row r="102" spans="1:26" s="23" customFormat="1" hidden="1" outlineLevel="1" x14ac:dyDescent="0.25">
      <c r="A102" s="44"/>
      <c r="B102" s="10" t="str">
        <f>CONCATENATE("          ", "4327", " - ", "SALES RETURN NON TAXABLE-SCHOO")</f>
        <v xml:space="preserve">          4327 - SALES RETURN NON TAXABLE-SCHOO</v>
      </c>
      <c r="C102" s="10"/>
      <c r="D102" s="2">
        <f t="shared" si="28"/>
        <v>0</v>
      </c>
      <c r="E102" s="2"/>
      <c r="F102" s="19"/>
      <c r="G102" s="2"/>
      <c r="H102" s="2">
        <f t="shared" ref="H102:H104" si="30">0</f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0"/>
      <c r="P102" s="2">
        <f t="shared" si="29"/>
        <v>0</v>
      </c>
      <c r="Q102" s="2"/>
      <c r="R102" s="19"/>
      <c r="S102" s="2"/>
      <c r="T102" s="2">
        <f>-21.87</f>
        <v>-21.87</v>
      </c>
      <c r="U102" s="2"/>
      <c r="V102" s="19"/>
      <c r="W102" s="2"/>
      <c r="X102" s="2">
        <f t="shared" si="2"/>
        <v>21.87</v>
      </c>
      <c r="Y102" s="2"/>
      <c r="Z102" s="19">
        <f t="shared" si="3"/>
        <v>-1</v>
      </c>
    </row>
    <row r="103" spans="1:26" s="23" customFormat="1" hidden="1" outlineLevel="1" x14ac:dyDescent="0.25">
      <c r="A103" s="44"/>
      <c r="B103" s="10" t="str">
        <f>CONCATENATE("          ", "4331", " - ", "SALES RETURN NON TAXABLE-FOOD")</f>
        <v xml:space="preserve">          4331 - SALES RETURN NON TAXABLE-FOOD</v>
      </c>
      <c r="C103" s="10"/>
      <c r="D103" s="2">
        <f t="shared" si="28"/>
        <v>0</v>
      </c>
      <c r="E103" s="2"/>
      <c r="F103" s="19"/>
      <c r="G103" s="2"/>
      <c r="H103" s="2">
        <f t="shared" si="30"/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0"/>
      <c r="P103" s="2">
        <f t="shared" si="29"/>
        <v>0</v>
      </c>
      <c r="Q103" s="2"/>
      <c r="R103" s="19"/>
      <c r="S103" s="2"/>
      <c r="T103" s="2">
        <f>-12.57</f>
        <v>-12.57</v>
      </c>
      <c r="U103" s="2"/>
      <c r="V103" s="19"/>
      <c r="W103" s="2"/>
      <c r="X103" s="2">
        <f t="shared" si="2"/>
        <v>12.57</v>
      </c>
      <c r="Y103" s="2"/>
      <c r="Z103" s="19">
        <f t="shared" si="3"/>
        <v>-1</v>
      </c>
    </row>
    <row r="104" spans="1:26" s="23" customFormat="1" hidden="1" outlineLevel="1" x14ac:dyDescent="0.25">
      <c r="A104" s="44"/>
      <c r="B104" s="10" t="str">
        <f>CONCATENATE("          ", "4332", " - ", "SALES RETURN NON TAXABLE-JUICE")</f>
        <v xml:space="preserve">          4332 - SALES RETURN NON TAXABLE-JUICE</v>
      </c>
      <c r="C104" s="10"/>
      <c r="D104" s="2">
        <f t="shared" si="28"/>
        <v>0</v>
      </c>
      <c r="E104" s="2"/>
      <c r="F104" s="19"/>
      <c r="G104" s="2"/>
      <c r="H104" s="2">
        <f t="shared" si="30"/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0"/>
      <c r="P104" s="2">
        <f t="shared" si="29"/>
        <v>0</v>
      </c>
      <c r="Q104" s="2"/>
      <c r="R104" s="19"/>
      <c r="S104" s="2"/>
      <c r="T104" s="2">
        <f>-2.79</f>
        <v>-2.79</v>
      </c>
      <c r="U104" s="2"/>
      <c r="V104" s="19"/>
      <c r="W104" s="2"/>
      <c r="X104" s="2">
        <f t="shared" si="2"/>
        <v>2.79</v>
      </c>
      <c r="Y104" s="2"/>
      <c r="Z104" s="19">
        <f t="shared" si="3"/>
        <v>-1</v>
      </c>
    </row>
    <row r="105" spans="1:26" s="23" customFormat="1" hidden="1" outlineLevel="1" x14ac:dyDescent="0.25">
      <c r="A105" s="44"/>
      <c r="B105" s="10" t="str">
        <f>CONCATENATE("          ", "4340", " - ", "SALES RETURN NON TAXABLE-LOGO")</f>
        <v xml:space="preserve">          4340 - SALES RETURN NON TAXABLE-LOGO</v>
      </c>
      <c r="C105" s="10"/>
      <c r="D105" s="2">
        <f>-664.13</f>
        <v>-664.13</v>
      </c>
      <c r="E105" s="2"/>
      <c r="F105" s="19"/>
      <c r="G105" s="2"/>
      <c r="H105" s="2">
        <f>-24.95</f>
        <v>-24.95</v>
      </c>
      <c r="I105" s="2"/>
      <c r="J105" s="19"/>
      <c r="K105" s="2"/>
      <c r="L105" s="2">
        <f t="shared" si="0"/>
        <v>-639.17999999999995</v>
      </c>
      <c r="M105" s="2"/>
      <c r="N105" s="19">
        <f t="shared" si="1"/>
        <v>25.618436873747495</v>
      </c>
      <c r="O105" s="10"/>
      <c r="P105" s="2">
        <f>-3307.52</f>
        <v>-3307.52</v>
      </c>
      <c r="Q105" s="2"/>
      <c r="R105" s="19"/>
      <c r="S105" s="2"/>
      <c r="T105" s="2">
        <f>-1020.4</f>
        <v>-1020.4</v>
      </c>
      <c r="U105" s="2"/>
      <c r="V105" s="19"/>
      <c r="W105" s="2"/>
      <c r="X105" s="2">
        <f t="shared" si="2"/>
        <v>-2287.12</v>
      </c>
      <c r="Y105" s="2"/>
      <c r="Z105" s="19">
        <f t="shared" si="3"/>
        <v>2.2413955311642493</v>
      </c>
    </row>
    <row r="106" spans="1:26" s="23" customFormat="1" hidden="1" outlineLevel="1" x14ac:dyDescent="0.25">
      <c r="A106" s="44"/>
      <c r="B106" s="10" t="str">
        <f>CONCATENATE("          ", "4341", " - ", "SALES RETURN NON TAXABLE-LOGO")</f>
        <v xml:space="preserve">          4341 - SALES RETURN NON TAXABLE-LOGO</v>
      </c>
      <c r="C106" s="10"/>
      <c r="D106" s="2">
        <f>-9.9</f>
        <v>-9.9</v>
      </c>
      <c r="E106" s="2"/>
      <c r="F106" s="19"/>
      <c r="G106" s="2"/>
      <c r="H106" s="2">
        <f t="shared" ref="H106:H109" si="31">0</f>
        <v>0</v>
      </c>
      <c r="I106" s="2"/>
      <c r="J106" s="19"/>
      <c r="K106" s="2"/>
      <c r="L106" s="2">
        <f t="shared" si="0"/>
        <v>-9.9</v>
      </c>
      <c r="M106" s="2"/>
      <c r="N106" s="19">
        <f t="shared" si="1"/>
        <v>0</v>
      </c>
      <c r="O106" s="10"/>
      <c r="P106" s="2">
        <f>-402.44</f>
        <v>-402.44</v>
      </c>
      <c r="Q106" s="2"/>
      <c r="R106" s="19"/>
      <c r="S106" s="2"/>
      <c r="T106" s="2">
        <f>-245.5</f>
        <v>-245.5</v>
      </c>
      <c r="U106" s="2"/>
      <c r="V106" s="19"/>
      <c r="W106" s="2"/>
      <c r="X106" s="2">
        <f t="shared" si="2"/>
        <v>-156.94</v>
      </c>
      <c r="Y106" s="2"/>
      <c r="Z106" s="19">
        <f t="shared" si="3"/>
        <v>0.63926680244399181</v>
      </c>
    </row>
    <row r="107" spans="1:26" s="23" customFormat="1" hidden="1" outlineLevel="1" x14ac:dyDescent="0.25">
      <c r="A107" s="44"/>
      <c r="B107" s="10" t="str">
        <f>CONCATENATE("          ", "4342", " - ", "SALES RETURN NON TAXABLE-EVERY")</f>
        <v xml:space="preserve">          4342 - SALES RETURN NON TAXABLE-EVERY</v>
      </c>
      <c r="C107" s="10"/>
      <c r="D107" s="2">
        <f t="shared" ref="D107:D109" si="32">0</f>
        <v>0</v>
      </c>
      <c r="E107" s="2"/>
      <c r="F107" s="19"/>
      <c r="G107" s="2"/>
      <c r="H107" s="2">
        <f t="shared" si="31"/>
        <v>0</v>
      </c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0"/>
      <c r="P107" s="2">
        <f>-118.7</f>
        <v>-118.7</v>
      </c>
      <c r="Q107" s="2"/>
      <c r="R107" s="19"/>
      <c r="S107" s="2"/>
      <c r="T107" s="2">
        <f>-149.22</f>
        <v>-149.22</v>
      </c>
      <c r="U107" s="2"/>
      <c r="V107" s="19"/>
      <c r="W107" s="2"/>
      <c r="X107" s="2">
        <f t="shared" si="2"/>
        <v>30.519999999999996</v>
      </c>
      <c r="Y107" s="2"/>
      <c r="Z107" s="19">
        <f t="shared" si="3"/>
        <v>-0.20453022383058569</v>
      </c>
    </row>
    <row r="108" spans="1:26" s="23" customFormat="1" hidden="1" outlineLevel="1" x14ac:dyDescent="0.25">
      <c r="A108" s="44"/>
      <c r="B108" s="10" t="str">
        <f>CONCATENATE("          ", "4346", " - ", "SALES RETURN NON TAXABLE-COIN-")</f>
        <v xml:space="preserve">          4346 - SALES RETURN NON TAXABLE-COIN-</v>
      </c>
      <c r="C108" s="10"/>
      <c r="D108" s="2">
        <f t="shared" si="32"/>
        <v>0</v>
      </c>
      <c r="E108" s="2"/>
      <c r="F108" s="19"/>
      <c r="G108" s="2"/>
      <c r="H108" s="2">
        <f t="shared" si="31"/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0"/>
      <c r="P108" s="2">
        <f t="shared" ref="P108:P109" si="33">0</f>
        <v>0</v>
      </c>
      <c r="Q108" s="2"/>
      <c r="R108" s="19"/>
      <c r="S108" s="2"/>
      <c r="T108" s="2">
        <f>-8.15</f>
        <v>-8.15</v>
      </c>
      <c r="U108" s="2"/>
      <c r="V108" s="19"/>
      <c r="W108" s="2"/>
      <c r="X108" s="2">
        <f t="shared" si="2"/>
        <v>8.15</v>
      </c>
      <c r="Y108" s="2"/>
      <c r="Z108" s="19">
        <f t="shared" si="3"/>
        <v>-1</v>
      </c>
    </row>
    <row r="109" spans="1:26" s="23" customFormat="1" hidden="1" outlineLevel="1" x14ac:dyDescent="0.25">
      <c r="A109" s="44"/>
      <c r="B109" s="10" t="str">
        <f>CONCATENATE("          ", "4347", " - ", "SALES RETURN NON TAXABLE-MISC")</f>
        <v xml:space="preserve">          4347 - SALES RETURN NON TAXABLE-MISC</v>
      </c>
      <c r="C109" s="10"/>
      <c r="D109" s="2">
        <f t="shared" si="32"/>
        <v>0</v>
      </c>
      <c r="E109" s="2"/>
      <c r="F109" s="19"/>
      <c r="G109" s="2"/>
      <c r="H109" s="2">
        <f t="shared" si="31"/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0"/>
      <c r="P109" s="2">
        <f t="shared" si="33"/>
        <v>0</v>
      </c>
      <c r="Q109" s="2"/>
      <c r="R109" s="19"/>
      <c r="S109" s="2"/>
      <c r="T109" s="2">
        <f>-84</f>
        <v>-84</v>
      </c>
      <c r="U109" s="2"/>
      <c r="V109" s="19"/>
      <c r="W109" s="2"/>
      <c r="X109" s="2">
        <f t="shared" si="2"/>
        <v>84</v>
      </c>
      <c r="Y109" s="2"/>
      <c r="Z109" s="19">
        <f t="shared" si="3"/>
        <v>-1</v>
      </c>
    </row>
    <row r="110" spans="1:26" x14ac:dyDescent="0.25">
      <c r="A110" s="9"/>
      <c r="B110" s="11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4" customFormat="1" collapsed="1" x14ac:dyDescent="0.25">
      <c r="A111" s="11"/>
      <c r="B111" s="28" t="s">
        <v>256</v>
      </c>
      <c r="C111" s="11"/>
      <c r="D111" s="4">
        <f>SUM(OSRRefD16x_0)</f>
        <v>223181.99</v>
      </c>
      <c r="E111" s="4"/>
      <c r="F111" s="13">
        <f t="shared" ref="F111:F162" si="34">IF(D$12=0,0,D111/D$12)</f>
        <v>0.50900613299255137</v>
      </c>
      <c r="G111" s="4"/>
      <c r="H111" s="4">
        <f>SUM(OSRRefH16x_0)</f>
        <v>80675.630000000034</v>
      </c>
      <c r="I111" s="4"/>
      <c r="J111" s="13">
        <f t="shared" ref="J111:J162" si="35">IF(H$12=0,0,H111/H$12)</f>
        <v>0.48942804250634964</v>
      </c>
      <c r="K111" s="4"/>
      <c r="L111" s="4">
        <f t="shared" ref="L111:L162" si="36">+D111-H111</f>
        <v>142506.35999999996</v>
      </c>
      <c r="M111" s="4"/>
      <c r="N111" s="13">
        <f t="shared" ref="N111:N162" si="37">IF(H111=0,0,L111/H111)</f>
        <v>1.7664114925411787</v>
      </c>
      <c r="O111" s="11"/>
      <c r="P111" s="4">
        <f>SUM(OSRRefP16x_0)</f>
        <v>2944157.7500000005</v>
      </c>
      <c r="Q111" s="4"/>
      <c r="R111" s="13">
        <f t="shared" ref="R111:R162" si="38">IF(P$12=0,0,P111/P$12)</f>
        <v>0.62606495779342586</v>
      </c>
      <c r="S111" s="4"/>
      <c r="T111" s="4">
        <f>SUM(OSRRefT16x_0)</f>
        <v>5092353.910000002</v>
      </c>
      <c r="U111" s="4"/>
      <c r="V111" s="13">
        <f t="shared" ref="V111:V162" si="39">IF(T$12=0,0,T111/T$12)</f>
        <v>0.58111166439676498</v>
      </c>
      <c r="W111" s="4"/>
      <c r="X111" s="4">
        <f t="shared" ref="X111:X162" si="40">+P111-T111</f>
        <v>-2148196.1600000015</v>
      </c>
      <c r="Y111" s="4"/>
      <c r="Z111" s="13">
        <f t="shared" ref="Z111:Z162" si="41">IF(T111=0,0,X111/T111)</f>
        <v>-0.42184738098849078</v>
      </c>
    </row>
    <row r="112" spans="1:26" s="23" customFormat="1" hidden="1" outlineLevel="1" x14ac:dyDescent="0.25">
      <c r="A112" s="44"/>
      <c r="B112" s="10" t="str">
        <f>CONCATENATE("          ", "5000", " - ", "PURCHASES @ COST")</f>
        <v xml:space="preserve">          5000 - PURCHASES @ COST</v>
      </c>
      <c r="C112" s="10"/>
      <c r="D112" s="2"/>
      <c r="E112" s="2"/>
      <c r="F112" s="19">
        <f t="shared" si="34"/>
        <v>0</v>
      </c>
      <c r="G112" s="2"/>
      <c r="H112" s="2">
        <v>0</v>
      </c>
      <c r="I112" s="2"/>
      <c r="J112" s="19">
        <f t="shared" si="35"/>
        <v>0</v>
      </c>
      <c r="K112" s="2"/>
      <c r="L112" s="2">
        <f t="shared" si="36"/>
        <v>0</v>
      </c>
      <c r="M112" s="2"/>
      <c r="N112" s="19">
        <f t="shared" si="37"/>
        <v>0</v>
      </c>
      <c r="O112" s="10"/>
      <c r="P112" s="2">
        <v>0</v>
      </c>
      <c r="Q112" s="2"/>
      <c r="R112" s="19">
        <f t="shared" si="38"/>
        <v>0</v>
      </c>
      <c r="S112" s="2"/>
      <c r="T112" s="2">
        <v>0</v>
      </c>
      <c r="U112" s="2"/>
      <c r="V112" s="19">
        <f t="shared" si="39"/>
        <v>0</v>
      </c>
      <c r="W112" s="2"/>
      <c r="X112" s="2">
        <f t="shared" si="40"/>
        <v>0</v>
      </c>
      <c r="Y112" s="2"/>
      <c r="Z112" s="19">
        <f t="shared" si="41"/>
        <v>0</v>
      </c>
    </row>
    <row r="113" spans="1:26" s="23" customFormat="1" hidden="1" outlineLevel="1" x14ac:dyDescent="0.25">
      <c r="A113" s="44"/>
      <c r="B113" s="10" t="str">
        <f>CONCATENATE("          ", "5001", " - ", "PURCHASES @ COST-NEW TEXT")</f>
        <v xml:space="preserve">          5001 - PURCHASES @ COST-NEW TEXT</v>
      </c>
      <c r="C113" s="10"/>
      <c r="D113" s="2">
        <v>-28969.93</v>
      </c>
      <c r="E113" s="2"/>
      <c r="F113" s="19">
        <f t="shared" si="34"/>
        <v>-6.6071066228797867E-2</v>
      </c>
      <c r="G113" s="2"/>
      <c r="H113" s="2">
        <v>-24912.87</v>
      </c>
      <c r="I113" s="2"/>
      <c r="J113" s="19">
        <f t="shared" si="35"/>
        <v>-0.15113680794702386</v>
      </c>
      <c r="K113" s="2"/>
      <c r="L113" s="2">
        <f t="shared" si="36"/>
        <v>-4057.0600000000013</v>
      </c>
      <c r="M113" s="2"/>
      <c r="N113" s="19">
        <f t="shared" si="37"/>
        <v>0.16284996469696192</v>
      </c>
      <c r="O113" s="10"/>
      <c r="P113" s="2">
        <v>1006546.47</v>
      </c>
      <c r="Q113" s="2"/>
      <c r="R113" s="19">
        <f t="shared" si="38"/>
        <v>0.21403862386710482</v>
      </c>
      <c r="S113" s="2"/>
      <c r="T113" s="2">
        <v>1569752.25</v>
      </c>
      <c r="U113" s="2"/>
      <c r="V113" s="19">
        <f t="shared" si="39"/>
        <v>0.17913156838858954</v>
      </c>
      <c r="W113" s="2"/>
      <c r="X113" s="2">
        <f t="shared" si="40"/>
        <v>-563205.78</v>
      </c>
      <c r="Y113" s="2"/>
      <c r="Z113" s="19">
        <f t="shared" si="41"/>
        <v>-0.35878641358851376</v>
      </c>
    </row>
    <row r="114" spans="1:26" s="23" customFormat="1" hidden="1" outlineLevel="1" x14ac:dyDescent="0.25">
      <c r="A114" s="44"/>
      <c r="B114" s="10" t="str">
        <f>CONCATENATE("          ", "5002", " - ", "PURCHASES @ COST-USED TEXT")</f>
        <v xml:space="preserve">          5002 - PURCHASES @ COST-USED TEXT</v>
      </c>
      <c r="C114" s="10"/>
      <c r="D114" s="2">
        <v>-122091.65</v>
      </c>
      <c r="E114" s="2"/>
      <c r="F114" s="19">
        <f t="shared" si="34"/>
        <v>-0.27845167361927381</v>
      </c>
      <c r="G114" s="2"/>
      <c r="H114" s="2">
        <v>-3117.33</v>
      </c>
      <c r="I114" s="2"/>
      <c r="J114" s="19">
        <f t="shared" si="35"/>
        <v>-1.8911643079159324E-2</v>
      </c>
      <c r="K114" s="2"/>
      <c r="L114" s="2">
        <f t="shared" si="36"/>
        <v>-118974.31999999999</v>
      </c>
      <c r="M114" s="2"/>
      <c r="N114" s="19">
        <f t="shared" si="37"/>
        <v>38.165455694456469</v>
      </c>
      <c r="O114" s="10"/>
      <c r="P114" s="2">
        <v>274961.02</v>
      </c>
      <c r="Q114" s="2"/>
      <c r="R114" s="19">
        <f t="shared" si="38"/>
        <v>5.8469509448376977E-2</v>
      </c>
      <c r="S114" s="2"/>
      <c r="T114" s="2">
        <v>595582.78</v>
      </c>
      <c r="U114" s="2"/>
      <c r="V114" s="19">
        <f t="shared" si="39"/>
        <v>6.7964659701323107E-2</v>
      </c>
      <c r="W114" s="2"/>
      <c r="X114" s="2">
        <f t="shared" si="40"/>
        <v>-320621.76</v>
      </c>
      <c r="Y114" s="2"/>
      <c r="Z114" s="19">
        <f t="shared" si="41"/>
        <v>-0.53833282419615958</v>
      </c>
    </row>
    <row r="115" spans="1:26" s="23" customFormat="1" hidden="1" outlineLevel="1" x14ac:dyDescent="0.25">
      <c r="A115" s="44"/>
      <c r="B115" s="10" t="str">
        <f>CONCATENATE("          ", "5003", " - ", "PURCHASES @ COST-RENTAL TEXT")</f>
        <v xml:space="preserve">          5003 - PURCHASES @ COST-RENTAL TEXT</v>
      </c>
      <c r="C115" s="10"/>
      <c r="D115" s="2"/>
      <c r="E115" s="2"/>
      <c r="F115" s="19">
        <f t="shared" si="34"/>
        <v>0</v>
      </c>
      <c r="G115" s="2"/>
      <c r="H115" s="2"/>
      <c r="I115" s="2"/>
      <c r="J115" s="19">
        <f t="shared" si="35"/>
        <v>0</v>
      </c>
      <c r="K115" s="2"/>
      <c r="L115" s="2">
        <f t="shared" si="36"/>
        <v>0</v>
      </c>
      <c r="M115" s="2"/>
      <c r="N115" s="19">
        <f t="shared" si="37"/>
        <v>0</v>
      </c>
      <c r="O115" s="10"/>
      <c r="P115" s="2">
        <v>32.520000000000003</v>
      </c>
      <c r="Q115" s="2"/>
      <c r="R115" s="19">
        <f t="shared" si="38"/>
        <v>6.9152654702154487E-6</v>
      </c>
      <c r="S115" s="2"/>
      <c r="T115" s="2">
        <v>-78.400000000000006</v>
      </c>
      <c r="U115" s="2"/>
      <c r="V115" s="19">
        <f t="shared" si="39"/>
        <v>-8.9465805585979697E-6</v>
      </c>
      <c r="W115" s="2"/>
      <c r="X115" s="2">
        <f t="shared" si="40"/>
        <v>110.92000000000002</v>
      </c>
      <c r="Y115" s="2"/>
      <c r="Z115" s="19">
        <f t="shared" si="41"/>
        <v>-1.4147959183673471</v>
      </c>
    </row>
    <row r="116" spans="1:26" s="23" customFormat="1" hidden="1" outlineLevel="1" x14ac:dyDescent="0.25">
      <c r="A116" s="44"/>
      <c r="B116" s="10" t="str">
        <f>CONCATENATE("          ", "5004", " - ", "PURCHASES @ COST-DIGITAL TEXT")</f>
        <v xml:space="preserve">          5004 - PURCHASES @ COST-DIGITAL TEXT</v>
      </c>
      <c r="C116" s="10"/>
      <c r="D116" s="2">
        <v>887.88</v>
      </c>
      <c r="E116" s="2"/>
      <c r="F116" s="19">
        <f t="shared" si="34"/>
        <v>2.0249678988946487E-3</v>
      </c>
      <c r="G116" s="2"/>
      <c r="H116" s="2">
        <v>54465.03</v>
      </c>
      <c r="I116" s="2"/>
      <c r="J116" s="19">
        <f t="shared" si="35"/>
        <v>0.33041840538400002</v>
      </c>
      <c r="K116" s="2"/>
      <c r="L116" s="2">
        <f t="shared" si="36"/>
        <v>-53577.15</v>
      </c>
      <c r="M116" s="2"/>
      <c r="N116" s="19">
        <f t="shared" si="37"/>
        <v>-0.98369816375755237</v>
      </c>
      <c r="O116" s="10"/>
      <c r="P116" s="2">
        <v>207450.38</v>
      </c>
      <c r="Q116" s="2"/>
      <c r="R116" s="19">
        <f t="shared" si="38"/>
        <v>4.4113605461164621E-2</v>
      </c>
      <c r="S116" s="2"/>
      <c r="T116" s="2">
        <v>492787.91</v>
      </c>
      <c r="U116" s="2"/>
      <c r="V116" s="19">
        <f t="shared" si="39"/>
        <v>5.6234269580588338E-2</v>
      </c>
      <c r="W116" s="2"/>
      <c r="X116" s="2">
        <f t="shared" si="40"/>
        <v>-285337.52999999997</v>
      </c>
      <c r="Y116" s="2"/>
      <c r="Z116" s="19">
        <f t="shared" si="41"/>
        <v>-0.57902705039983626</v>
      </c>
    </row>
    <row r="117" spans="1:26" s="23" customFormat="1" hidden="1" outlineLevel="1" x14ac:dyDescent="0.25">
      <c r="A117" s="44"/>
      <c r="B117" s="10" t="str">
        <f>CONCATENATE("          ", "5011", " - ", "PURCHASES @ COST-NO VALUE TEXT")</f>
        <v xml:space="preserve">          5011 - PURCHASES @ COST-NO VALUE TEXT</v>
      </c>
      <c r="C117" s="10"/>
      <c r="D117" s="2"/>
      <c r="E117" s="2"/>
      <c r="F117" s="19">
        <f t="shared" si="34"/>
        <v>0</v>
      </c>
      <c r="G117" s="2"/>
      <c r="H117" s="2">
        <v>42</v>
      </c>
      <c r="I117" s="2"/>
      <c r="J117" s="19">
        <f t="shared" si="35"/>
        <v>2.5479785884865947E-4</v>
      </c>
      <c r="K117" s="2"/>
      <c r="L117" s="2">
        <f t="shared" si="36"/>
        <v>-42</v>
      </c>
      <c r="M117" s="2"/>
      <c r="N117" s="19">
        <f t="shared" si="37"/>
        <v>-1</v>
      </c>
      <c r="O117" s="10"/>
      <c r="P117" s="2">
        <v>67.17</v>
      </c>
      <c r="Q117" s="2"/>
      <c r="R117" s="19">
        <f t="shared" si="38"/>
        <v>1.4283468069937627E-5</v>
      </c>
      <c r="S117" s="2"/>
      <c r="T117" s="2">
        <v>6363</v>
      </c>
      <c r="U117" s="2"/>
      <c r="V117" s="19">
        <f t="shared" si="39"/>
        <v>7.2611086855049593E-4</v>
      </c>
      <c r="W117" s="2"/>
      <c r="X117" s="2">
        <f t="shared" si="40"/>
        <v>-6295.83</v>
      </c>
      <c r="Y117" s="2"/>
      <c r="Z117" s="19">
        <f t="shared" si="41"/>
        <v>-0.98944365865157946</v>
      </c>
    </row>
    <row r="118" spans="1:26" s="23" customFormat="1" hidden="1" outlineLevel="1" x14ac:dyDescent="0.25">
      <c r="A118" s="44"/>
      <c r="B118" s="10" t="str">
        <f>CONCATENATE("          ", "5013", " - ", "PURCHASES @ COST-TRADE BOOKS")</f>
        <v xml:space="preserve">          5013 - PURCHASES @ COST-TRADE BOOKS</v>
      </c>
      <c r="C118" s="10"/>
      <c r="D118" s="2">
        <v>800</v>
      </c>
      <c r="E118" s="2"/>
      <c r="F118" s="19">
        <f t="shared" si="34"/>
        <v>1.8245419641344765E-3</v>
      </c>
      <c r="G118" s="2"/>
      <c r="H118" s="2">
        <v>-3150.69</v>
      </c>
      <c r="I118" s="2"/>
      <c r="J118" s="19">
        <f t="shared" si="35"/>
        <v>-1.9114025378473402E-2</v>
      </c>
      <c r="K118" s="2"/>
      <c r="L118" s="2">
        <f t="shared" si="36"/>
        <v>3950.69</v>
      </c>
      <c r="M118" s="2"/>
      <c r="N118" s="19">
        <f t="shared" si="37"/>
        <v>-1.2539126350101089</v>
      </c>
      <c r="O118" s="10"/>
      <c r="P118" s="2">
        <v>9670.02</v>
      </c>
      <c r="Q118" s="2"/>
      <c r="R118" s="19">
        <f t="shared" si="38"/>
        <v>2.0562962915834189E-3</v>
      </c>
      <c r="S118" s="2"/>
      <c r="T118" s="2">
        <v>3197.85</v>
      </c>
      <c r="U118" s="2"/>
      <c r="V118" s="19">
        <f t="shared" si="39"/>
        <v>3.6492120713408824E-4</v>
      </c>
      <c r="W118" s="2"/>
      <c r="X118" s="2">
        <f t="shared" si="40"/>
        <v>6472.17</v>
      </c>
      <c r="Y118" s="2"/>
      <c r="Z118" s="19">
        <f t="shared" si="41"/>
        <v>2.0239129415075756</v>
      </c>
    </row>
    <row r="119" spans="1:26" s="23" customFormat="1" hidden="1" outlineLevel="1" x14ac:dyDescent="0.25">
      <c r="A119" s="44"/>
      <c r="B119" s="10" t="str">
        <f>CONCATENATE("          ", "5014", " - ", "PURCHASES @ COST-REMAINDERS")</f>
        <v xml:space="preserve">          5014 - PURCHASES @ COST-REMAINDERS</v>
      </c>
      <c r="C119" s="10"/>
      <c r="D119" s="2"/>
      <c r="E119" s="2"/>
      <c r="F119" s="19">
        <f t="shared" si="34"/>
        <v>0</v>
      </c>
      <c r="G119" s="2"/>
      <c r="H119" s="2"/>
      <c r="I119" s="2"/>
      <c r="J119" s="19">
        <f t="shared" si="35"/>
        <v>0</v>
      </c>
      <c r="K119" s="2"/>
      <c r="L119" s="2">
        <f t="shared" si="36"/>
        <v>0</v>
      </c>
      <c r="M119" s="2"/>
      <c r="N119" s="19">
        <f t="shared" si="37"/>
        <v>0</v>
      </c>
      <c r="O119" s="10"/>
      <c r="P119" s="2">
        <v>111.57</v>
      </c>
      <c r="Q119" s="2"/>
      <c r="R119" s="19">
        <f t="shared" si="38"/>
        <v>2.3724974431486393E-5</v>
      </c>
      <c r="S119" s="2"/>
      <c r="T119" s="2">
        <v>615.07000000000005</v>
      </c>
      <c r="U119" s="2"/>
      <c r="V119" s="19">
        <f t="shared" si="39"/>
        <v>7.0188435002255787E-5</v>
      </c>
      <c r="W119" s="2"/>
      <c r="X119" s="2">
        <f t="shared" si="40"/>
        <v>-503.50000000000006</v>
      </c>
      <c r="Y119" s="2"/>
      <c r="Z119" s="19">
        <f t="shared" si="41"/>
        <v>-0.81860601232380059</v>
      </c>
    </row>
    <row r="120" spans="1:26" s="23" customFormat="1" hidden="1" outlineLevel="1" x14ac:dyDescent="0.25">
      <c r="A120" s="44"/>
      <c r="B120" s="10" t="str">
        <f>CONCATENATE("          ", "5017", " - ", "PURCHASES @ COST-DORM/HOUSEWAR")</f>
        <v xml:space="preserve">          5017 - PURCHASES @ COST-DORM/HOUSEWAR</v>
      </c>
      <c r="C120" s="10"/>
      <c r="D120" s="2"/>
      <c r="E120" s="2"/>
      <c r="F120" s="19">
        <f t="shared" si="34"/>
        <v>0</v>
      </c>
      <c r="G120" s="2"/>
      <c r="H120" s="2"/>
      <c r="I120" s="2"/>
      <c r="J120" s="19">
        <f t="shared" si="35"/>
        <v>0</v>
      </c>
      <c r="K120" s="2"/>
      <c r="L120" s="2">
        <f t="shared" si="36"/>
        <v>0</v>
      </c>
      <c r="M120" s="2"/>
      <c r="N120" s="19">
        <f t="shared" si="37"/>
        <v>0</v>
      </c>
      <c r="O120" s="10"/>
      <c r="P120" s="2"/>
      <c r="Q120" s="2"/>
      <c r="R120" s="19">
        <f t="shared" si="38"/>
        <v>0</v>
      </c>
      <c r="S120" s="2"/>
      <c r="T120" s="2">
        <v>14.46</v>
      </c>
      <c r="U120" s="2"/>
      <c r="V120" s="19">
        <f t="shared" si="39"/>
        <v>1.6500963632312073E-6</v>
      </c>
      <c r="W120" s="2"/>
      <c r="X120" s="2">
        <f t="shared" si="40"/>
        <v>-14.46</v>
      </c>
      <c r="Y120" s="2"/>
      <c r="Z120" s="19">
        <f t="shared" si="41"/>
        <v>-1</v>
      </c>
    </row>
    <row r="121" spans="1:26" s="23" customFormat="1" hidden="1" outlineLevel="1" x14ac:dyDescent="0.25">
      <c r="A121" s="44"/>
      <c r="B121" s="10" t="str">
        <f>CONCATENATE("          ", "5018", " - ", "PURCHASES @ COST-STUDY GUIDES")</f>
        <v xml:space="preserve">          5018 - PURCHASES @ COST-STUDY GUIDES</v>
      </c>
      <c r="C121" s="10"/>
      <c r="D121" s="2"/>
      <c r="E121" s="2"/>
      <c r="F121" s="19">
        <f t="shared" si="34"/>
        <v>0</v>
      </c>
      <c r="G121" s="2"/>
      <c r="H121" s="2">
        <v>-2582.4699999999998</v>
      </c>
      <c r="I121" s="2"/>
      <c r="J121" s="19">
        <f t="shared" si="35"/>
        <v>-1.5666853012878512E-2</v>
      </c>
      <c r="K121" s="2"/>
      <c r="L121" s="2">
        <f t="shared" si="36"/>
        <v>2582.4699999999998</v>
      </c>
      <c r="M121" s="2"/>
      <c r="N121" s="19">
        <f t="shared" si="37"/>
        <v>-1</v>
      </c>
      <c r="O121" s="10"/>
      <c r="P121" s="2">
        <v>967.21</v>
      </c>
      <c r="Q121" s="2"/>
      <c r="R121" s="19">
        <f t="shared" si="38"/>
        <v>2.0567385963859422E-4</v>
      </c>
      <c r="S121" s="2"/>
      <c r="T121" s="2">
        <v>-205.14</v>
      </c>
      <c r="U121" s="2"/>
      <c r="V121" s="19">
        <f t="shared" si="39"/>
        <v>-2.3409458364678409E-5</v>
      </c>
      <c r="W121" s="2"/>
      <c r="X121" s="2">
        <f t="shared" si="40"/>
        <v>1172.3499999999999</v>
      </c>
      <c r="Y121" s="2"/>
      <c r="Z121" s="19">
        <f t="shared" si="41"/>
        <v>-5.7148776445354388</v>
      </c>
    </row>
    <row r="122" spans="1:26" s="23" customFormat="1" hidden="1" outlineLevel="1" x14ac:dyDescent="0.25">
      <c r="A122" s="44"/>
      <c r="B122" s="10" t="str">
        <f>CONCATENATE("          ", "5025", " - ", "PURCHASES @ COST-TEST FORMS")</f>
        <v xml:space="preserve">          5025 - PURCHASES @ COST-TEST FORMS</v>
      </c>
      <c r="C122" s="10"/>
      <c r="D122" s="2"/>
      <c r="E122" s="2"/>
      <c r="F122" s="19">
        <f t="shared" si="34"/>
        <v>0</v>
      </c>
      <c r="G122" s="2"/>
      <c r="H122" s="2"/>
      <c r="I122" s="2"/>
      <c r="J122" s="19">
        <f t="shared" si="35"/>
        <v>0</v>
      </c>
      <c r="K122" s="2"/>
      <c r="L122" s="2">
        <f t="shared" si="36"/>
        <v>0</v>
      </c>
      <c r="M122" s="2"/>
      <c r="N122" s="19">
        <f t="shared" si="37"/>
        <v>0</v>
      </c>
      <c r="O122" s="10"/>
      <c r="P122" s="2">
        <v>599.29</v>
      </c>
      <c r="Q122" s="2"/>
      <c r="R122" s="19">
        <f t="shared" si="38"/>
        <v>1.2743694476154415E-4</v>
      </c>
      <c r="S122" s="2"/>
      <c r="T122" s="2">
        <v>26400.39</v>
      </c>
      <c r="U122" s="2"/>
      <c r="V122" s="19">
        <f t="shared" si="39"/>
        <v>3.0126685703240337E-3</v>
      </c>
      <c r="W122" s="2"/>
      <c r="X122" s="2">
        <f t="shared" si="40"/>
        <v>-25801.1</v>
      </c>
      <c r="Y122" s="2"/>
      <c r="Z122" s="19">
        <f t="shared" si="41"/>
        <v>-0.97729995655367208</v>
      </c>
    </row>
    <row r="123" spans="1:26" s="23" customFormat="1" hidden="1" outlineLevel="1" x14ac:dyDescent="0.25">
      <c r="A123" s="44"/>
      <c r="B123" s="10" t="str">
        <f>CONCATENATE("          ", "5026", " - ", "PURCHASES @ COST-WRITING INSTR")</f>
        <v xml:space="preserve">          5026 - PURCHASES @ COST-WRITING INSTR</v>
      </c>
      <c r="C123" s="10"/>
      <c r="D123" s="2"/>
      <c r="E123" s="2"/>
      <c r="F123" s="19">
        <f t="shared" si="34"/>
        <v>0</v>
      </c>
      <c r="G123" s="2"/>
      <c r="H123" s="2">
        <v>2463.3000000000002</v>
      </c>
      <c r="I123" s="2"/>
      <c r="J123" s="19">
        <f t="shared" si="35"/>
        <v>1.4943894421473878E-2</v>
      </c>
      <c r="K123" s="2"/>
      <c r="L123" s="2">
        <f t="shared" si="36"/>
        <v>-2463.3000000000002</v>
      </c>
      <c r="M123" s="2"/>
      <c r="N123" s="19">
        <f t="shared" si="37"/>
        <v>-1</v>
      </c>
      <c r="O123" s="10"/>
      <c r="P123" s="2">
        <v>584.54999999999995</v>
      </c>
      <c r="Q123" s="2"/>
      <c r="R123" s="19">
        <f t="shared" si="38"/>
        <v>1.2430253476674168E-4</v>
      </c>
      <c r="S123" s="2"/>
      <c r="T123" s="2">
        <v>51434.57</v>
      </c>
      <c r="U123" s="2"/>
      <c r="V123" s="19">
        <f t="shared" si="39"/>
        <v>5.869432704105183E-3</v>
      </c>
      <c r="W123" s="2"/>
      <c r="X123" s="2">
        <f t="shared" si="40"/>
        <v>-50850.02</v>
      </c>
      <c r="Y123" s="2"/>
      <c r="Z123" s="19">
        <f t="shared" si="41"/>
        <v>-0.98863507559215513</v>
      </c>
    </row>
    <row r="124" spans="1:26" s="23" customFormat="1" hidden="1" outlineLevel="1" x14ac:dyDescent="0.25">
      <c r="A124" s="44"/>
      <c r="B124" s="10" t="str">
        <f>CONCATENATE("          ", "5027", " - ", "PURCHASES @ COST-SCHOOL SUPPLI")</f>
        <v xml:space="preserve">          5027 - PURCHASES @ COST-SCHOOL SUPPLI</v>
      </c>
      <c r="C124" s="10"/>
      <c r="D124" s="2">
        <v>1838.72</v>
      </c>
      <c r="E124" s="2"/>
      <c r="F124" s="19">
        <f t="shared" si="34"/>
        <v>4.1935272503666812E-3</v>
      </c>
      <c r="G124" s="2"/>
      <c r="H124" s="2">
        <v>6003.13</v>
      </c>
      <c r="I124" s="2"/>
      <c r="J124" s="19">
        <f t="shared" si="35"/>
        <v>3.6418682628336974E-2</v>
      </c>
      <c r="K124" s="2"/>
      <c r="L124" s="2">
        <f t="shared" si="36"/>
        <v>-4164.41</v>
      </c>
      <c r="M124" s="2"/>
      <c r="N124" s="19">
        <f t="shared" si="37"/>
        <v>-0.6937064498020199</v>
      </c>
      <c r="O124" s="10"/>
      <c r="P124" s="2">
        <v>23734.6</v>
      </c>
      <c r="Q124" s="2"/>
      <c r="R124" s="19">
        <f t="shared" si="38"/>
        <v>5.0470805605589038E-3</v>
      </c>
      <c r="S124" s="2"/>
      <c r="T124" s="2">
        <v>143608.17000000001</v>
      </c>
      <c r="U124" s="2"/>
      <c r="V124" s="19">
        <f t="shared" si="39"/>
        <v>1.6387781400227452E-2</v>
      </c>
      <c r="W124" s="2"/>
      <c r="X124" s="2">
        <f t="shared" si="40"/>
        <v>-119873.57</v>
      </c>
      <c r="Y124" s="2"/>
      <c r="Z124" s="19">
        <f t="shared" si="41"/>
        <v>-0.83472667328049643</v>
      </c>
    </row>
    <row r="125" spans="1:26" s="23" customFormat="1" hidden="1" outlineLevel="1" x14ac:dyDescent="0.25">
      <c r="A125" s="44"/>
      <c r="B125" s="10" t="str">
        <f>CONCATENATE("          ", "5028", " - ", "PURCHASES @ COST-ART/TECH")</f>
        <v xml:space="preserve">          5028 - PURCHASES @ COST-ART/TECH</v>
      </c>
      <c r="C125" s="10"/>
      <c r="D125" s="2">
        <v>1371.26</v>
      </c>
      <c r="E125" s="2"/>
      <c r="F125" s="19">
        <f t="shared" si="34"/>
        <v>3.1274017671738029E-3</v>
      </c>
      <c r="G125" s="2"/>
      <c r="H125" s="2">
        <v>8617.84</v>
      </c>
      <c r="I125" s="2"/>
      <c r="J125" s="19">
        <f t="shared" si="35"/>
        <v>5.2281123330960272E-2</v>
      </c>
      <c r="K125" s="2"/>
      <c r="L125" s="2">
        <f t="shared" si="36"/>
        <v>-7246.58</v>
      </c>
      <c r="M125" s="2"/>
      <c r="N125" s="19">
        <f t="shared" si="37"/>
        <v>-0.8408812417032574</v>
      </c>
      <c r="O125" s="10"/>
      <c r="P125" s="2">
        <v>47006.62</v>
      </c>
      <c r="Q125" s="2"/>
      <c r="R125" s="19">
        <f t="shared" si="38"/>
        <v>9.9957950847951692E-3</v>
      </c>
      <c r="S125" s="2"/>
      <c r="T125" s="2">
        <v>159687.99</v>
      </c>
      <c r="U125" s="2"/>
      <c r="V125" s="19">
        <f t="shared" si="39"/>
        <v>1.8222722790504936E-2</v>
      </c>
      <c r="W125" s="2"/>
      <c r="X125" s="2">
        <f t="shared" si="40"/>
        <v>-112681.37</v>
      </c>
      <c r="Y125" s="2"/>
      <c r="Z125" s="19">
        <f t="shared" si="41"/>
        <v>-0.70563459406058027</v>
      </c>
    </row>
    <row r="126" spans="1:26" s="23" customFormat="1" hidden="1" outlineLevel="1" x14ac:dyDescent="0.25">
      <c r="A126" s="44"/>
      <c r="B126" s="10" t="str">
        <f>CONCATENATE("          ", "5031", " - ", "PURCHASES @ COST-FOOD")</f>
        <v xml:space="preserve">          5031 - PURCHASES @ COST-FOOD</v>
      </c>
      <c r="C126" s="10"/>
      <c r="D126" s="2"/>
      <c r="E126" s="2"/>
      <c r="F126" s="19">
        <f t="shared" si="34"/>
        <v>0</v>
      </c>
      <c r="G126" s="2"/>
      <c r="H126" s="2"/>
      <c r="I126" s="2"/>
      <c r="J126" s="19">
        <f t="shared" si="35"/>
        <v>0</v>
      </c>
      <c r="K126" s="2"/>
      <c r="L126" s="2">
        <f t="shared" si="36"/>
        <v>0</v>
      </c>
      <c r="M126" s="2"/>
      <c r="N126" s="19">
        <f t="shared" si="37"/>
        <v>0</v>
      </c>
      <c r="O126" s="10"/>
      <c r="P126" s="2">
        <v>7785.72</v>
      </c>
      <c r="Q126" s="2"/>
      <c r="R126" s="19">
        <f t="shared" si="38"/>
        <v>1.6556064168747177E-3</v>
      </c>
      <c r="S126" s="2"/>
      <c r="T126" s="2">
        <v>33239.879999999997</v>
      </c>
      <c r="U126" s="2"/>
      <c r="V126" s="19">
        <f t="shared" si="39"/>
        <v>3.7931538798230799E-3</v>
      </c>
      <c r="W126" s="2"/>
      <c r="X126" s="2">
        <f t="shared" si="40"/>
        <v>-25454.159999999996</v>
      </c>
      <c r="Y126" s="2"/>
      <c r="Z126" s="19">
        <f t="shared" si="41"/>
        <v>-0.76577171758742801</v>
      </c>
    </row>
    <row r="127" spans="1:26" s="23" customFormat="1" hidden="1" outlineLevel="1" x14ac:dyDescent="0.25">
      <c r="A127" s="44"/>
      <c r="B127" s="10" t="str">
        <f>CONCATENATE("          ", "5032", " - ", "PURCHASES @ COST-JUICE")</f>
        <v xml:space="preserve">          5032 - PURCHASES @ COST-JUICE</v>
      </c>
      <c r="C127" s="10"/>
      <c r="D127" s="2"/>
      <c r="E127" s="2"/>
      <c r="F127" s="19">
        <f t="shared" si="34"/>
        <v>0</v>
      </c>
      <c r="G127" s="2"/>
      <c r="H127" s="2"/>
      <c r="I127" s="2"/>
      <c r="J127" s="19">
        <f t="shared" si="35"/>
        <v>0</v>
      </c>
      <c r="K127" s="2"/>
      <c r="L127" s="2">
        <f t="shared" si="36"/>
        <v>0</v>
      </c>
      <c r="M127" s="2"/>
      <c r="N127" s="19">
        <f t="shared" si="37"/>
        <v>0</v>
      </c>
      <c r="O127" s="10"/>
      <c r="P127" s="2"/>
      <c r="Q127" s="2"/>
      <c r="R127" s="19">
        <f t="shared" si="38"/>
        <v>0</v>
      </c>
      <c r="S127" s="2"/>
      <c r="T127" s="2">
        <v>7802.45</v>
      </c>
      <c r="U127" s="2"/>
      <c r="V127" s="19">
        <f t="shared" si="39"/>
        <v>8.9037305458460113E-4</v>
      </c>
      <c r="W127" s="2"/>
      <c r="X127" s="2">
        <f t="shared" si="40"/>
        <v>-7802.45</v>
      </c>
      <c r="Y127" s="2"/>
      <c r="Z127" s="19">
        <f t="shared" si="41"/>
        <v>-1</v>
      </c>
    </row>
    <row r="128" spans="1:26" s="23" customFormat="1" hidden="1" outlineLevel="1" x14ac:dyDescent="0.25">
      <c r="A128" s="44"/>
      <c r="B128" s="10" t="str">
        <f>CONCATENATE("          ", "5033", " - ", "PURCHASES @ COST-CANDY")</f>
        <v xml:space="preserve">          5033 - PURCHASES @ COST-CANDY</v>
      </c>
      <c r="C128" s="10"/>
      <c r="D128" s="2"/>
      <c r="E128" s="2"/>
      <c r="F128" s="19">
        <f t="shared" si="34"/>
        <v>0</v>
      </c>
      <c r="G128" s="2"/>
      <c r="H128" s="2">
        <v>-25.2</v>
      </c>
      <c r="I128" s="2"/>
      <c r="J128" s="19">
        <f t="shared" si="35"/>
        <v>-1.5287871530919567E-4</v>
      </c>
      <c r="K128" s="2"/>
      <c r="L128" s="2">
        <f t="shared" si="36"/>
        <v>25.2</v>
      </c>
      <c r="M128" s="2"/>
      <c r="N128" s="19">
        <f t="shared" si="37"/>
        <v>-1</v>
      </c>
      <c r="O128" s="10"/>
      <c r="P128" s="2"/>
      <c r="Q128" s="2"/>
      <c r="R128" s="19">
        <f t="shared" si="38"/>
        <v>0</v>
      </c>
      <c r="S128" s="2"/>
      <c r="T128" s="2">
        <v>9998.41</v>
      </c>
      <c r="U128" s="2"/>
      <c r="V128" s="19">
        <f t="shared" si="39"/>
        <v>1.1409640372817796E-3</v>
      </c>
      <c r="W128" s="2"/>
      <c r="X128" s="2">
        <f t="shared" si="40"/>
        <v>-9998.41</v>
      </c>
      <c r="Y128" s="2"/>
      <c r="Z128" s="19">
        <f t="shared" si="41"/>
        <v>-1</v>
      </c>
    </row>
    <row r="129" spans="1:26" s="23" customFormat="1" hidden="1" outlineLevel="1" x14ac:dyDescent="0.25">
      <c r="A129" s="44"/>
      <c r="B129" s="10" t="str">
        <f>CONCATENATE("          ", "5034", " - ", "PURCHASES @ COST-SODA")</f>
        <v xml:space="preserve">          5034 - PURCHASES @ COST-SODA</v>
      </c>
      <c r="C129" s="10"/>
      <c r="D129" s="2"/>
      <c r="E129" s="2"/>
      <c r="F129" s="19">
        <f t="shared" si="34"/>
        <v>0</v>
      </c>
      <c r="G129" s="2"/>
      <c r="H129" s="2"/>
      <c r="I129" s="2"/>
      <c r="J129" s="19">
        <f t="shared" si="35"/>
        <v>0</v>
      </c>
      <c r="K129" s="2"/>
      <c r="L129" s="2">
        <f t="shared" si="36"/>
        <v>0</v>
      </c>
      <c r="M129" s="2"/>
      <c r="N129" s="19">
        <f t="shared" si="37"/>
        <v>0</v>
      </c>
      <c r="O129" s="10"/>
      <c r="P129" s="2"/>
      <c r="Q129" s="2"/>
      <c r="R129" s="19">
        <f t="shared" si="38"/>
        <v>0</v>
      </c>
      <c r="S129" s="2"/>
      <c r="T129" s="2">
        <v>4033.88</v>
      </c>
      <c r="U129" s="2"/>
      <c r="V129" s="19">
        <f t="shared" si="39"/>
        <v>4.6032439264945382E-4</v>
      </c>
      <c r="W129" s="2"/>
      <c r="X129" s="2">
        <f t="shared" si="40"/>
        <v>-4033.88</v>
      </c>
      <c r="Y129" s="2"/>
      <c r="Z129" s="19">
        <f t="shared" si="41"/>
        <v>-1</v>
      </c>
    </row>
    <row r="130" spans="1:26" s="23" customFormat="1" hidden="1" outlineLevel="1" x14ac:dyDescent="0.25">
      <c r="A130" s="44"/>
      <c r="B130" s="10" t="str">
        <f>CONCATENATE("          ", "5035", " - ", "PURCHASES @ COST-HEALTH &amp; BEAU")</f>
        <v xml:space="preserve">          5035 - PURCHASES @ COST-HEALTH &amp; BEAU</v>
      </c>
      <c r="C130" s="10"/>
      <c r="D130" s="2"/>
      <c r="E130" s="2"/>
      <c r="F130" s="19">
        <f t="shared" si="34"/>
        <v>0</v>
      </c>
      <c r="G130" s="2"/>
      <c r="H130" s="2"/>
      <c r="I130" s="2"/>
      <c r="J130" s="19">
        <f t="shared" si="35"/>
        <v>0</v>
      </c>
      <c r="K130" s="2"/>
      <c r="L130" s="2">
        <f t="shared" si="36"/>
        <v>0</v>
      </c>
      <c r="M130" s="2"/>
      <c r="N130" s="19">
        <f t="shared" si="37"/>
        <v>0</v>
      </c>
      <c r="O130" s="10"/>
      <c r="P130" s="2"/>
      <c r="Q130" s="2"/>
      <c r="R130" s="19">
        <f t="shared" si="38"/>
        <v>0</v>
      </c>
      <c r="S130" s="2"/>
      <c r="T130" s="2">
        <v>1117.6500000000001</v>
      </c>
      <c r="U130" s="2"/>
      <c r="V130" s="19">
        <f t="shared" si="39"/>
        <v>1.2754012450659467E-4</v>
      </c>
      <c r="W130" s="2"/>
      <c r="X130" s="2">
        <f t="shared" si="40"/>
        <v>-1117.6500000000001</v>
      </c>
      <c r="Y130" s="2"/>
      <c r="Z130" s="19">
        <f t="shared" si="41"/>
        <v>-1</v>
      </c>
    </row>
    <row r="131" spans="1:26" s="23" customFormat="1" hidden="1" outlineLevel="1" x14ac:dyDescent="0.25">
      <c r="A131" s="44"/>
      <c r="B131" s="10" t="str">
        <f>CONCATENATE("          ", "5037", " - ", "PURCHASES @ COST-WATER")</f>
        <v xml:space="preserve">          5037 - PURCHASES @ COST-WATER</v>
      </c>
      <c r="C131" s="10"/>
      <c r="D131" s="2"/>
      <c r="E131" s="2"/>
      <c r="F131" s="19">
        <f t="shared" si="34"/>
        <v>0</v>
      </c>
      <c r="G131" s="2"/>
      <c r="H131" s="2"/>
      <c r="I131" s="2"/>
      <c r="J131" s="19">
        <f t="shared" si="35"/>
        <v>0</v>
      </c>
      <c r="K131" s="2"/>
      <c r="L131" s="2">
        <f t="shared" si="36"/>
        <v>0</v>
      </c>
      <c r="M131" s="2"/>
      <c r="N131" s="19">
        <f t="shared" si="37"/>
        <v>0</v>
      </c>
      <c r="O131" s="10"/>
      <c r="P131" s="2"/>
      <c r="Q131" s="2"/>
      <c r="R131" s="19">
        <f t="shared" si="38"/>
        <v>0</v>
      </c>
      <c r="S131" s="2"/>
      <c r="T131" s="2">
        <v>5693.57</v>
      </c>
      <c r="U131" s="2"/>
      <c r="V131" s="19">
        <f t="shared" si="39"/>
        <v>6.4971916672215105E-4</v>
      </c>
      <c r="W131" s="2"/>
      <c r="X131" s="2">
        <f t="shared" si="40"/>
        <v>-5693.57</v>
      </c>
      <c r="Y131" s="2"/>
      <c r="Z131" s="19">
        <f t="shared" si="41"/>
        <v>-1</v>
      </c>
    </row>
    <row r="132" spans="1:26" s="23" customFormat="1" hidden="1" outlineLevel="1" x14ac:dyDescent="0.25">
      <c r="A132" s="44"/>
      <c r="B132" s="10" t="str">
        <f>CONCATENATE("          ", "5040", " - ", "PURCHASES @ COST-LOGO CLOTHING")</f>
        <v xml:space="preserve">          5040 - PURCHASES @ COST-LOGO CLOTHING</v>
      </c>
      <c r="C132" s="10"/>
      <c r="D132" s="2">
        <v>39218.65</v>
      </c>
      <c r="E132" s="2"/>
      <c r="F132" s="19">
        <f t="shared" si="34"/>
        <v>8.9445090877128236E-2</v>
      </c>
      <c r="G132" s="2"/>
      <c r="H132" s="2">
        <v>8012.9</v>
      </c>
      <c r="I132" s="2"/>
      <c r="J132" s="19">
        <f t="shared" si="35"/>
        <v>4.8611184837343412E-2</v>
      </c>
      <c r="K132" s="2"/>
      <c r="L132" s="2">
        <f t="shared" si="36"/>
        <v>31205.75</v>
      </c>
      <c r="M132" s="2"/>
      <c r="N132" s="19">
        <f t="shared" si="37"/>
        <v>3.894438967165446</v>
      </c>
      <c r="O132" s="10"/>
      <c r="P132" s="2">
        <v>279090.25</v>
      </c>
      <c r="Q132" s="2"/>
      <c r="R132" s="19">
        <f t="shared" si="38"/>
        <v>5.9347575919397197E-2</v>
      </c>
      <c r="S132" s="2"/>
      <c r="T132" s="2">
        <v>974911.44</v>
      </c>
      <c r="U132" s="2"/>
      <c r="V132" s="19">
        <f t="shared" si="39"/>
        <v>0.11125157825840243</v>
      </c>
      <c r="W132" s="2"/>
      <c r="X132" s="2">
        <f t="shared" si="40"/>
        <v>-695821.19</v>
      </c>
      <c r="Y132" s="2"/>
      <c r="Z132" s="19">
        <f t="shared" si="41"/>
        <v>-0.71372758740014375</v>
      </c>
    </row>
    <row r="133" spans="1:26" s="23" customFormat="1" hidden="1" outlineLevel="1" x14ac:dyDescent="0.25">
      <c r="A133" s="44"/>
      <c r="B133" s="10" t="str">
        <f>CONCATENATE("          ", "5041", " - ", "PURCHASES @ COST-LOGO GIFTS")</f>
        <v xml:space="preserve">          5041 - PURCHASES @ COST-LOGO GIFTS</v>
      </c>
      <c r="C133" s="10"/>
      <c r="D133" s="2">
        <v>15798.51</v>
      </c>
      <c r="E133" s="2"/>
      <c r="F133" s="19">
        <f t="shared" si="34"/>
        <v>3.6031305582247715E-2</v>
      </c>
      <c r="G133" s="2"/>
      <c r="H133" s="2">
        <v>-4050.7</v>
      </c>
      <c r="I133" s="2"/>
      <c r="J133" s="19">
        <f t="shared" si="35"/>
        <v>-2.4574040162815829E-2</v>
      </c>
      <c r="K133" s="2"/>
      <c r="L133" s="2">
        <f t="shared" si="36"/>
        <v>19849.21</v>
      </c>
      <c r="M133" s="2"/>
      <c r="N133" s="19">
        <f t="shared" si="37"/>
        <v>-4.9001925593107361</v>
      </c>
      <c r="O133" s="10"/>
      <c r="P133" s="2">
        <v>84261.95</v>
      </c>
      <c r="Q133" s="2"/>
      <c r="R133" s="19">
        <f t="shared" si="38"/>
        <v>1.7918012093727568E-2</v>
      </c>
      <c r="S133" s="2"/>
      <c r="T133" s="2">
        <v>145460.03</v>
      </c>
      <c r="U133" s="2"/>
      <c r="V133" s="19">
        <f t="shared" si="39"/>
        <v>1.659910556697803E-2</v>
      </c>
      <c r="W133" s="2"/>
      <c r="X133" s="2">
        <f t="shared" si="40"/>
        <v>-61198.080000000002</v>
      </c>
      <c r="Y133" s="2"/>
      <c r="Z133" s="19">
        <f t="shared" si="41"/>
        <v>-0.42072093619119977</v>
      </c>
    </row>
    <row r="134" spans="1:26" s="23" customFormat="1" hidden="1" outlineLevel="1" x14ac:dyDescent="0.25">
      <c r="A134" s="44"/>
      <c r="B134" s="10" t="str">
        <f>CONCATENATE("          ", "5042", " - ", "PURCHASES @ COST-EVERYDAY GIFT")</f>
        <v xml:space="preserve">          5042 - PURCHASES @ COST-EVERYDAY GIFT</v>
      </c>
      <c r="C134" s="10"/>
      <c r="D134" s="2"/>
      <c r="E134" s="2"/>
      <c r="F134" s="19">
        <f t="shared" si="34"/>
        <v>0</v>
      </c>
      <c r="G134" s="2"/>
      <c r="H134" s="2">
        <v>521.79999999999995</v>
      </c>
      <c r="I134" s="2"/>
      <c r="J134" s="19">
        <f t="shared" si="35"/>
        <v>3.1655600654102497E-3</v>
      </c>
      <c r="K134" s="2"/>
      <c r="L134" s="2">
        <f t="shared" si="36"/>
        <v>-521.79999999999995</v>
      </c>
      <c r="M134" s="2"/>
      <c r="N134" s="19">
        <f t="shared" si="37"/>
        <v>-1</v>
      </c>
      <c r="O134" s="10"/>
      <c r="P134" s="2">
        <v>18748.18</v>
      </c>
      <c r="Q134" s="2"/>
      <c r="R134" s="19">
        <f t="shared" si="38"/>
        <v>3.9867356021950759E-3</v>
      </c>
      <c r="S134" s="2"/>
      <c r="T134" s="2">
        <v>115885.04</v>
      </c>
      <c r="U134" s="2"/>
      <c r="V134" s="19">
        <f t="shared" si="39"/>
        <v>1.3224168952759541E-2</v>
      </c>
      <c r="W134" s="2"/>
      <c r="X134" s="2">
        <f t="shared" si="40"/>
        <v>-97136.859999999986</v>
      </c>
      <c r="Y134" s="2"/>
      <c r="Z134" s="19">
        <f t="shared" si="41"/>
        <v>-0.83821742651165321</v>
      </c>
    </row>
    <row r="135" spans="1:26" s="23" customFormat="1" hidden="1" outlineLevel="1" x14ac:dyDescent="0.25">
      <c r="A135" s="44"/>
      <c r="B135" s="10" t="str">
        <f>CONCATENATE("          ", "5043", " - ", "PURCHASES @ COST-CARDS")</f>
        <v xml:space="preserve">          5043 - PURCHASES @ COST-CARDS</v>
      </c>
      <c r="C135" s="10"/>
      <c r="D135" s="2">
        <v>41</v>
      </c>
      <c r="E135" s="2"/>
      <c r="F135" s="19">
        <f t="shared" si="34"/>
        <v>9.3507775661891919E-5</v>
      </c>
      <c r="G135" s="2"/>
      <c r="H135" s="2">
        <v>6137.75</v>
      </c>
      <c r="I135" s="2"/>
      <c r="J135" s="19">
        <f t="shared" si="35"/>
        <v>3.7235370432103801E-2</v>
      </c>
      <c r="K135" s="2"/>
      <c r="L135" s="2">
        <f t="shared" si="36"/>
        <v>-6096.75</v>
      </c>
      <c r="M135" s="2"/>
      <c r="N135" s="19">
        <f t="shared" si="37"/>
        <v>-0.9933200276974461</v>
      </c>
      <c r="O135" s="10"/>
      <c r="P135" s="2">
        <v>55405.33</v>
      </c>
      <c r="Q135" s="2"/>
      <c r="R135" s="19">
        <f t="shared" si="38"/>
        <v>1.1781751704024972E-2</v>
      </c>
      <c r="S135" s="2"/>
      <c r="T135" s="2">
        <v>30914.66</v>
      </c>
      <c r="U135" s="2"/>
      <c r="V135" s="19">
        <f t="shared" si="39"/>
        <v>3.5278124506590092E-3</v>
      </c>
      <c r="W135" s="2"/>
      <c r="X135" s="2">
        <f t="shared" si="40"/>
        <v>24490.670000000002</v>
      </c>
      <c r="Y135" s="2"/>
      <c r="Z135" s="19">
        <f t="shared" si="41"/>
        <v>0.7922024696373825</v>
      </c>
    </row>
    <row r="136" spans="1:26" s="23" customFormat="1" hidden="1" outlineLevel="1" x14ac:dyDescent="0.25">
      <c r="A136" s="44"/>
      <c r="B136" s="10" t="str">
        <f>CONCATENATE("          ", "5044", " - ", "PURCHASES @ COST-ACCESSORIES")</f>
        <v xml:space="preserve">          5044 - PURCHASES @ COST-ACCESSORIES</v>
      </c>
      <c r="C136" s="10"/>
      <c r="D136" s="2">
        <v>1490.88</v>
      </c>
      <c r="E136" s="2"/>
      <c r="F136" s="19">
        <f t="shared" si="34"/>
        <v>3.4002164043610106E-3</v>
      </c>
      <c r="G136" s="2"/>
      <c r="H136" s="2">
        <v>4380</v>
      </c>
      <c r="I136" s="2"/>
      <c r="J136" s="19">
        <f t="shared" si="35"/>
        <v>2.6571776708503057E-2</v>
      </c>
      <c r="K136" s="2"/>
      <c r="L136" s="2">
        <f t="shared" si="36"/>
        <v>-2889.12</v>
      </c>
      <c r="M136" s="2"/>
      <c r="N136" s="19">
        <f t="shared" si="37"/>
        <v>-0.65961643835616435</v>
      </c>
      <c r="O136" s="10"/>
      <c r="P136" s="2">
        <v>2555.71</v>
      </c>
      <c r="Q136" s="2"/>
      <c r="R136" s="19">
        <f t="shared" si="38"/>
        <v>5.4346288791157205E-4</v>
      </c>
      <c r="S136" s="2"/>
      <c r="T136" s="2">
        <v>36474.03</v>
      </c>
      <c r="U136" s="2"/>
      <c r="V136" s="19">
        <f t="shared" si="39"/>
        <v>4.1622174450474374E-3</v>
      </c>
      <c r="W136" s="2"/>
      <c r="X136" s="2">
        <f t="shared" si="40"/>
        <v>-33918.32</v>
      </c>
      <c r="Y136" s="2"/>
      <c r="Z136" s="19">
        <f t="shared" si="41"/>
        <v>-0.92993069315345744</v>
      </c>
    </row>
    <row r="137" spans="1:26" s="23" customFormat="1" hidden="1" outlineLevel="1" x14ac:dyDescent="0.25">
      <c r="A137" s="44"/>
      <c r="B137" s="10" t="str">
        <f>CONCATENATE("          ", "5045", " - ", "PURCHASES @ COST-SPECIAL ORDER")</f>
        <v xml:space="preserve">          5045 - PURCHASES @ COST-SPECIAL ORDER</v>
      </c>
      <c r="C137" s="10"/>
      <c r="D137" s="2">
        <v>5771.38</v>
      </c>
      <c r="E137" s="2"/>
      <c r="F137" s="19">
        <f t="shared" si="34"/>
        <v>1.3162656251208044E-2</v>
      </c>
      <c r="G137" s="2"/>
      <c r="H137" s="2">
        <v>4221.8999999999996</v>
      </c>
      <c r="I137" s="2"/>
      <c r="J137" s="19">
        <f t="shared" si="35"/>
        <v>2.5612644768408459E-2</v>
      </c>
      <c r="K137" s="2"/>
      <c r="L137" s="2">
        <f t="shared" si="36"/>
        <v>1549.4800000000005</v>
      </c>
      <c r="M137" s="2"/>
      <c r="N137" s="19">
        <f t="shared" si="37"/>
        <v>0.36701011392974742</v>
      </c>
      <c r="O137" s="10"/>
      <c r="P137" s="2">
        <v>114998.07</v>
      </c>
      <c r="Q137" s="2"/>
      <c r="R137" s="19">
        <f t="shared" si="38"/>
        <v>2.4453941654748432E-2</v>
      </c>
      <c r="S137" s="2"/>
      <c r="T137" s="2">
        <v>61923.15</v>
      </c>
      <c r="U137" s="2"/>
      <c r="V137" s="19">
        <f t="shared" si="39"/>
        <v>7.0663322693513509E-3</v>
      </c>
      <c r="W137" s="2"/>
      <c r="X137" s="2">
        <f t="shared" si="40"/>
        <v>53074.920000000006</v>
      </c>
      <c r="Y137" s="2"/>
      <c r="Z137" s="19">
        <f t="shared" si="41"/>
        <v>0.85710949782108958</v>
      </c>
    </row>
    <row r="138" spans="1:26" s="23" customFormat="1" hidden="1" outlineLevel="1" x14ac:dyDescent="0.25">
      <c r="A138" s="44"/>
      <c r="B138" s="10" t="str">
        <f>CONCATENATE("          ", "5081", " - ", "PURCHASES @ COST-ELECTRONICS")</f>
        <v xml:space="preserve">          5081 - PURCHASES @ COST-ELECTRONICS</v>
      </c>
      <c r="C138" s="10"/>
      <c r="D138" s="2"/>
      <c r="E138" s="2"/>
      <c r="F138" s="19">
        <f t="shared" si="34"/>
        <v>0</v>
      </c>
      <c r="G138" s="2"/>
      <c r="H138" s="2"/>
      <c r="I138" s="2"/>
      <c r="J138" s="19">
        <f t="shared" si="35"/>
        <v>0</v>
      </c>
      <c r="K138" s="2"/>
      <c r="L138" s="2">
        <f t="shared" si="36"/>
        <v>0</v>
      </c>
      <c r="M138" s="2"/>
      <c r="N138" s="19">
        <f t="shared" si="37"/>
        <v>0</v>
      </c>
      <c r="O138" s="10"/>
      <c r="P138" s="2"/>
      <c r="Q138" s="2"/>
      <c r="R138" s="19">
        <f t="shared" si="38"/>
        <v>0</v>
      </c>
      <c r="S138" s="2"/>
      <c r="T138" s="2">
        <v>2008.03</v>
      </c>
      <c r="U138" s="2"/>
      <c r="V138" s="19">
        <f t="shared" si="39"/>
        <v>2.291454357025699E-4</v>
      </c>
      <c r="W138" s="2"/>
      <c r="X138" s="2">
        <f t="shared" si="40"/>
        <v>-2008.03</v>
      </c>
      <c r="Y138" s="2"/>
      <c r="Z138" s="19">
        <f t="shared" si="41"/>
        <v>-1</v>
      </c>
    </row>
    <row r="139" spans="1:26" s="23" customFormat="1" hidden="1" outlineLevel="1" x14ac:dyDescent="0.25">
      <c r="A139" s="44"/>
      <c r="B139" s="10" t="str">
        <f>CONCATENATE("          ", "5082", " - ", "PURCHASES @ COST-COMPUTER HARD")</f>
        <v xml:space="preserve">          5082 - PURCHASES @ COST-COMPUTER HARD</v>
      </c>
      <c r="C139" s="10"/>
      <c r="D139" s="2"/>
      <c r="E139" s="2"/>
      <c r="F139" s="19">
        <f t="shared" si="34"/>
        <v>0</v>
      </c>
      <c r="G139" s="2"/>
      <c r="H139" s="2"/>
      <c r="I139" s="2"/>
      <c r="J139" s="19">
        <f t="shared" si="35"/>
        <v>0</v>
      </c>
      <c r="K139" s="2"/>
      <c r="L139" s="2">
        <f t="shared" si="36"/>
        <v>0</v>
      </c>
      <c r="M139" s="2"/>
      <c r="N139" s="19">
        <f t="shared" si="37"/>
        <v>0</v>
      </c>
      <c r="O139" s="10"/>
      <c r="P139" s="2"/>
      <c r="Q139" s="2"/>
      <c r="R139" s="19">
        <f t="shared" si="38"/>
        <v>0</v>
      </c>
      <c r="S139" s="2"/>
      <c r="T139" s="2">
        <v>349.6</v>
      </c>
      <c r="U139" s="2"/>
      <c r="V139" s="19">
        <f t="shared" si="39"/>
        <v>3.9894445960278703E-5</v>
      </c>
      <c r="W139" s="2"/>
      <c r="X139" s="2">
        <f t="shared" si="40"/>
        <v>-349.6</v>
      </c>
      <c r="Y139" s="2"/>
      <c r="Z139" s="19">
        <f t="shared" si="41"/>
        <v>-1</v>
      </c>
    </row>
    <row r="140" spans="1:26" s="23" customFormat="1" hidden="1" outlineLevel="1" x14ac:dyDescent="0.25">
      <c r="A140" s="44"/>
      <c r="B140" s="10" t="str">
        <f>CONCATENATE("          ", "5083", " - ", "PURCHASES @ COST-COMPUTER EQUI")</f>
        <v xml:space="preserve">          5083 - PURCHASES @ COST-COMPUTER EQUI</v>
      </c>
      <c r="C140" s="10"/>
      <c r="D140" s="2"/>
      <c r="E140" s="2"/>
      <c r="F140" s="19">
        <f t="shared" si="34"/>
        <v>0</v>
      </c>
      <c r="G140" s="2"/>
      <c r="H140" s="2"/>
      <c r="I140" s="2"/>
      <c r="J140" s="19">
        <f t="shared" si="35"/>
        <v>0</v>
      </c>
      <c r="K140" s="2"/>
      <c r="L140" s="2">
        <f t="shared" si="36"/>
        <v>0</v>
      </c>
      <c r="M140" s="2"/>
      <c r="N140" s="19">
        <f t="shared" si="37"/>
        <v>0</v>
      </c>
      <c r="O140" s="10"/>
      <c r="P140" s="2"/>
      <c r="Q140" s="2"/>
      <c r="R140" s="19">
        <f t="shared" si="38"/>
        <v>0</v>
      </c>
      <c r="S140" s="2"/>
      <c r="T140" s="2">
        <v>395.06</v>
      </c>
      <c r="U140" s="2"/>
      <c r="V140" s="19">
        <f t="shared" si="39"/>
        <v>4.5082093309690229E-5</v>
      </c>
      <c r="W140" s="2"/>
      <c r="X140" s="2">
        <f t="shared" si="40"/>
        <v>-395.06</v>
      </c>
      <c r="Y140" s="2"/>
      <c r="Z140" s="19">
        <f t="shared" si="41"/>
        <v>-1</v>
      </c>
    </row>
    <row r="141" spans="1:26" s="23" customFormat="1" hidden="1" outlineLevel="1" x14ac:dyDescent="0.25">
      <c r="A141" s="44"/>
      <c r="B141" s="10" t="str">
        <f>CONCATENATE("          ", "5086", " - ", "PURCHASES @ COST-COMPUTER SUPP")</f>
        <v xml:space="preserve">          5086 - PURCHASES @ COST-COMPUTER SUPP</v>
      </c>
      <c r="C141" s="10"/>
      <c r="D141" s="2"/>
      <c r="E141" s="2"/>
      <c r="F141" s="19">
        <f t="shared" si="34"/>
        <v>0</v>
      </c>
      <c r="G141" s="2"/>
      <c r="H141" s="2"/>
      <c r="I141" s="2"/>
      <c r="J141" s="19">
        <f t="shared" si="35"/>
        <v>0</v>
      </c>
      <c r="K141" s="2"/>
      <c r="L141" s="2">
        <f t="shared" si="36"/>
        <v>0</v>
      </c>
      <c r="M141" s="2"/>
      <c r="N141" s="19">
        <f t="shared" si="37"/>
        <v>0</v>
      </c>
      <c r="O141" s="10"/>
      <c r="P141" s="2">
        <v>13.21</v>
      </c>
      <c r="Q141" s="2"/>
      <c r="R141" s="19">
        <f t="shared" si="38"/>
        <v>2.8090607891004326E-6</v>
      </c>
      <c r="S141" s="2"/>
      <c r="T141" s="2">
        <v>426.22</v>
      </c>
      <c r="U141" s="2"/>
      <c r="V141" s="19">
        <f t="shared" si="39"/>
        <v>4.8637902623541159E-5</v>
      </c>
      <c r="W141" s="2"/>
      <c r="X141" s="2">
        <f t="shared" si="40"/>
        <v>-413.01000000000005</v>
      </c>
      <c r="Y141" s="2"/>
      <c r="Z141" s="19">
        <f t="shared" si="41"/>
        <v>-0.96900661630144058</v>
      </c>
    </row>
    <row r="142" spans="1:26" s="23" customFormat="1" hidden="1" outlineLevel="1" x14ac:dyDescent="0.25">
      <c r="A142" s="44"/>
      <c r="B142" s="10" t="str">
        <f>CONCATENATE("          ", "5092", " - ", "PURCHASES @ COST-GRAD MERCH")</f>
        <v xml:space="preserve">          5092 - PURCHASES @ COST-GRAD MERCH</v>
      </c>
      <c r="C142" s="10"/>
      <c r="D142" s="2"/>
      <c r="E142" s="2"/>
      <c r="F142" s="19">
        <f t="shared" si="34"/>
        <v>0</v>
      </c>
      <c r="G142" s="2"/>
      <c r="H142" s="2">
        <v>5539.35</v>
      </c>
      <c r="I142" s="2"/>
      <c r="J142" s="19">
        <f t="shared" si="35"/>
        <v>3.3605107605079093E-2</v>
      </c>
      <c r="K142" s="2"/>
      <c r="L142" s="2">
        <f t="shared" si="36"/>
        <v>-5539.35</v>
      </c>
      <c r="M142" s="2"/>
      <c r="N142" s="19">
        <f t="shared" si="37"/>
        <v>-1</v>
      </c>
      <c r="O142" s="10"/>
      <c r="P142" s="2">
        <v>0</v>
      </c>
      <c r="Q142" s="2"/>
      <c r="R142" s="19">
        <f t="shared" si="38"/>
        <v>0</v>
      </c>
      <c r="S142" s="2"/>
      <c r="T142" s="2">
        <v>8485.48</v>
      </c>
      <c r="U142" s="2"/>
      <c r="V142" s="19">
        <f t="shared" si="39"/>
        <v>9.6831671426494763E-4</v>
      </c>
      <c r="W142" s="2"/>
      <c r="X142" s="2">
        <f t="shared" si="40"/>
        <v>-8485.48</v>
      </c>
      <c r="Y142" s="2"/>
      <c r="Z142" s="19">
        <f t="shared" si="41"/>
        <v>-1</v>
      </c>
    </row>
    <row r="143" spans="1:26" s="23" customFormat="1" hidden="1" outlineLevel="1" x14ac:dyDescent="0.25">
      <c r="A143" s="44"/>
      <c r="B143" s="10" t="str">
        <f>CONCATENATE("          ", "5095", " - ", "PURCHASES @ COST-CUSTOMER SERV")</f>
        <v xml:space="preserve">          5095 - PURCHASES @ COST-CUSTOMER SERV</v>
      </c>
      <c r="C143" s="10"/>
      <c r="D143" s="2"/>
      <c r="E143" s="2"/>
      <c r="F143" s="19">
        <f t="shared" si="34"/>
        <v>0</v>
      </c>
      <c r="G143" s="2"/>
      <c r="H143" s="2"/>
      <c r="I143" s="2"/>
      <c r="J143" s="19">
        <f t="shared" si="35"/>
        <v>0</v>
      </c>
      <c r="K143" s="2"/>
      <c r="L143" s="2">
        <f t="shared" si="36"/>
        <v>0</v>
      </c>
      <c r="M143" s="2"/>
      <c r="N143" s="19">
        <f t="shared" si="37"/>
        <v>0</v>
      </c>
      <c r="O143" s="10"/>
      <c r="P143" s="2"/>
      <c r="Q143" s="2"/>
      <c r="R143" s="19">
        <f t="shared" si="38"/>
        <v>0</v>
      </c>
      <c r="S143" s="2"/>
      <c r="T143" s="2">
        <v>0</v>
      </c>
      <c r="U143" s="2"/>
      <c r="V143" s="19">
        <f t="shared" si="39"/>
        <v>0</v>
      </c>
      <c r="W143" s="2"/>
      <c r="X143" s="2">
        <f t="shared" si="40"/>
        <v>0</v>
      </c>
      <c r="Y143" s="2"/>
      <c r="Z143" s="19">
        <f t="shared" si="41"/>
        <v>0</v>
      </c>
    </row>
    <row r="144" spans="1:26" s="23" customFormat="1" hidden="1" outlineLevel="1" x14ac:dyDescent="0.25">
      <c r="A144" s="44"/>
      <c r="B144" s="10" t="str">
        <f>CONCATENATE("          ", "5200", " - ", "PURCHASES OFFSET")</f>
        <v xml:space="preserve">          5200 - PURCHASES OFFSET</v>
      </c>
      <c r="C144" s="10"/>
      <c r="D144" s="2">
        <v>78563.789999999994</v>
      </c>
      <c r="E144" s="2"/>
      <c r="F144" s="19">
        <f t="shared" si="34"/>
        <v>0.17917866464556068</v>
      </c>
      <c r="G144" s="2"/>
      <c r="H144" s="2">
        <v>-50558</v>
      </c>
      <c r="I144" s="2"/>
      <c r="J144" s="19">
        <f t="shared" si="35"/>
        <v>-0.30671595589691725</v>
      </c>
      <c r="K144" s="2"/>
      <c r="L144" s="2">
        <f t="shared" si="36"/>
        <v>129121.79</v>
      </c>
      <c r="M144" s="2"/>
      <c r="N144" s="19">
        <f t="shared" si="37"/>
        <v>-2.5539338977016492</v>
      </c>
      <c r="O144" s="10"/>
      <c r="P144" s="2">
        <v>-1685385.13</v>
      </c>
      <c r="Q144" s="2"/>
      <c r="R144" s="19">
        <f t="shared" si="38"/>
        <v>-0.35839131591339402</v>
      </c>
      <c r="S144" s="2"/>
      <c r="T144" s="2">
        <v>-3418171</v>
      </c>
      <c r="U144" s="2"/>
      <c r="V144" s="19">
        <f t="shared" si="39"/>
        <v>-0.39006303845106355</v>
      </c>
      <c r="W144" s="2"/>
      <c r="X144" s="2">
        <f t="shared" si="40"/>
        <v>1732785.87</v>
      </c>
      <c r="Y144" s="2"/>
      <c r="Z144" s="19">
        <f t="shared" si="41"/>
        <v>-0.50693364082721437</v>
      </c>
    </row>
    <row r="145" spans="1:26" s="23" customFormat="1" hidden="1" outlineLevel="1" x14ac:dyDescent="0.25">
      <c r="A145" s="44"/>
      <c r="B145" s="10" t="str">
        <f>CONCATENATE("          ", "5300", " - ", "COG$ OFFSET")</f>
        <v xml:space="preserve">          5300 - COG$ OFFSET</v>
      </c>
      <c r="C145" s="10"/>
      <c r="D145" s="2">
        <v>222888</v>
      </c>
      <c r="E145" s="2"/>
      <c r="F145" s="19">
        <f t="shared" si="34"/>
        <v>0.50833563662750647</v>
      </c>
      <c r="G145" s="2"/>
      <c r="H145" s="2">
        <v>64332</v>
      </c>
      <c r="I145" s="2"/>
      <c r="J145" s="19">
        <f t="shared" si="35"/>
        <v>0.39027752036790381</v>
      </c>
      <c r="K145" s="2"/>
      <c r="L145" s="2">
        <f t="shared" si="36"/>
        <v>158556</v>
      </c>
      <c r="M145" s="2"/>
      <c r="N145" s="19">
        <f t="shared" si="37"/>
        <v>2.4646521171423244</v>
      </c>
      <c r="O145" s="10"/>
      <c r="P145" s="2">
        <v>2400396</v>
      </c>
      <c r="Q145" s="2"/>
      <c r="R145" s="19">
        <f t="shared" si="38"/>
        <v>0.51043590324856336</v>
      </c>
      <c r="S145" s="2"/>
      <c r="T145" s="2">
        <v>3887601.47</v>
      </c>
      <c r="U145" s="2"/>
      <c r="V145" s="19">
        <f t="shared" si="39"/>
        <v>0.44363188432498585</v>
      </c>
      <c r="W145" s="2"/>
      <c r="X145" s="2">
        <f t="shared" si="40"/>
        <v>-1487205.4700000002</v>
      </c>
      <c r="Y145" s="2"/>
      <c r="Z145" s="19">
        <f t="shared" si="41"/>
        <v>-0.38255090741078462</v>
      </c>
    </row>
    <row r="146" spans="1:26" s="23" customFormat="1" hidden="1" outlineLevel="1" x14ac:dyDescent="0.25">
      <c r="A146" s="44"/>
      <c r="B146" s="10" t="str">
        <f>CONCATENATE("          ", "5500", " - ", "FREIGHT-IN")</f>
        <v xml:space="preserve">          5500 - FREIGHT-IN</v>
      </c>
      <c r="C146" s="10"/>
      <c r="D146" s="2"/>
      <c r="E146" s="2"/>
      <c r="F146" s="19">
        <f t="shared" si="34"/>
        <v>0</v>
      </c>
      <c r="G146" s="2"/>
      <c r="H146" s="2"/>
      <c r="I146" s="2"/>
      <c r="J146" s="19">
        <f t="shared" si="35"/>
        <v>0</v>
      </c>
      <c r="K146" s="2"/>
      <c r="L146" s="2">
        <f t="shared" si="36"/>
        <v>0</v>
      </c>
      <c r="M146" s="2"/>
      <c r="N146" s="19">
        <f t="shared" si="37"/>
        <v>0</v>
      </c>
      <c r="O146" s="10"/>
      <c r="P146" s="2">
        <v>0</v>
      </c>
      <c r="Q146" s="2"/>
      <c r="R146" s="19">
        <f t="shared" si="38"/>
        <v>0</v>
      </c>
      <c r="S146" s="2"/>
      <c r="T146" s="2">
        <v>156.47999999999999</v>
      </c>
      <c r="U146" s="2"/>
      <c r="V146" s="19">
        <f t="shared" si="39"/>
        <v>1.7856644461854721E-5</v>
      </c>
      <c r="W146" s="2"/>
      <c r="X146" s="2">
        <f t="shared" si="40"/>
        <v>-156.47999999999999</v>
      </c>
      <c r="Y146" s="2"/>
      <c r="Z146" s="19">
        <f t="shared" si="41"/>
        <v>-1</v>
      </c>
    </row>
    <row r="147" spans="1:26" s="23" customFormat="1" hidden="1" outlineLevel="1" x14ac:dyDescent="0.25">
      <c r="A147" s="44"/>
      <c r="B147" s="10" t="str">
        <f>CONCATENATE("          ", "5501", " - ", "FREIGHT-IN-NEW TEXT")</f>
        <v xml:space="preserve">          5501 - FREIGHT-IN-NEW TEXT</v>
      </c>
      <c r="C147" s="10"/>
      <c r="D147" s="2">
        <v>271.27</v>
      </c>
      <c r="E147" s="2"/>
      <c r="F147" s="19">
        <f t="shared" si="34"/>
        <v>6.1867937326344925E-4</v>
      </c>
      <c r="G147" s="2"/>
      <c r="H147" s="2">
        <v>2428.4</v>
      </c>
      <c r="I147" s="2"/>
      <c r="J147" s="19">
        <f t="shared" si="35"/>
        <v>1.4732169534002014E-2</v>
      </c>
      <c r="K147" s="2"/>
      <c r="L147" s="2">
        <f t="shared" si="36"/>
        <v>-2157.13</v>
      </c>
      <c r="M147" s="2"/>
      <c r="N147" s="19">
        <f t="shared" si="37"/>
        <v>-0.88829270301433039</v>
      </c>
      <c r="O147" s="10"/>
      <c r="P147" s="2">
        <v>50313.73</v>
      </c>
      <c r="Q147" s="2"/>
      <c r="R147" s="19">
        <f t="shared" si="38"/>
        <v>1.0699040582618176E-2</v>
      </c>
      <c r="S147" s="2"/>
      <c r="T147" s="2">
        <v>69768.95</v>
      </c>
      <c r="U147" s="2"/>
      <c r="V147" s="19">
        <f t="shared" si="39"/>
        <v>7.9616521895892068E-3</v>
      </c>
      <c r="W147" s="2"/>
      <c r="X147" s="2">
        <f t="shared" si="40"/>
        <v>-19455.219999999994</v>
      </c>
      <c r="Y147" s="2"/>
      <c r="Z147" s="19">
        <f t="shared" si="41"/>
        <v>-0.27885212547988747</v>
      </c>
    </row>
    <row r="148" spans="1:26" s="23" customFormat="1" hidden="1" outlineLevel="1" x14ac:dyDescent="0.25">
      <c r="A148" s="44"/>
      <c r="B148" s="10" t="str">
        <f>CONCATENATE("          ", "5502", " - ", "FREIGHT-IN-USED TEXT")</f>
        <v xml:space="preserve">          5502 - FREIGHT-IN-USED TEXT</v>
      </c>
      <c r="C148" s="10"/>
      <c r="D148" s="2">
        <v>58.77</v>
      </c>
      <c r="E148" s="2"/>
      <c r="F148" s="19">
        <f t="shared" si="34"/>
        <v>1.3403541404022898E-4</v>
      </c>
      <c r="G148" s="2"/>
      <c r="H148" s="2">
        <v>36.700000000000003</v>
      </c>
      <c r="I148" s="2"/>
      <c r="J148" s="19">
        <f t="shared" si="35"/>
        <v>2.2264479570823338E-4</v>
      </c>
      <c r="K148" s="2"/>
      <c r="L148" s="2">
        <f t="shared" si="36"/>
        <v>22.07</v>
      </c>
      <c r="M148" s="2"/>
      <c r="N148" s="19">
        <f t="shared" si="37"/>
        <v>0.60136239782016343</v>
      </c>
      <c r="O148" s="10"/>
      <c r="P148" s="2">
        <v>17858.900000000001</v>
      </c>
      <c r="Q148" s="2"/>
      <c r="R148" s="19">
        <f t="shared" si="38"/>
        <v>3.797633287393317E-3</v>
      </c>
      <c r="S148" s="2"/>
      <c r="T148" s="2">
        <v>15301.34</v>
      </c>
      <c r="U148" s="2"/>
      <c r="V148" s="19">
        <f t="shared" si="39"/>
        <v>1.746105496996141E-3</v>
      </c>
      <c r="W148" s="2"/>
      <c r="X148" s="2">
        <f t="shared" si="40"/>
        <v>2557.5600000000013</v>
      </c>
      <c r="Y148" s="2"/>
      <c r="Z148" s="19">
        <f t="shared" si="41"/>
        <v>0.16714614537027483</v>
      </c>
    </row>
    <row r="149" spans="1:26" s="23" customFormat="1" hidden="1" outlineLevel="1" x14ac:dyDescent="0.25">
      <c r="A149" s="44"/>
      <c r="B149" s="10" t="str">
        <f>CONCATENATE("          ", "5504", " - ", "FREIGHT-IN-DIGITAL TEXT")</f>
        <v xml:space="preserve">          5504 - FREIGHT-IN-DIGITAL TEXT</v>
      </c>
      <c r="C149" s="10"/>
      <c r="D149" s="2"/>
      <c r="E149" s="2"/>
      <c r="F149" s="19">
        <f t="shared" si="34"/>
        <v>0</v>
      </c>
      <c r="G149" s="2"/>
      <c r="H149" s="2"/>
      <c r="I149" s="2"/>
      <c r="J149" s="19">
        <f t="shared" si="35"/>
        <v>0</v>
      </c>
      <c r="K149" s="2"/>
      <c r="L149" s="2">
        <f t="shared" si="36"/>
        <v>0</v>
      </c>
      <c r="M149" s="2"/>
      <c r="N149" s="19">
        <f t="shared" si="37"/>
        <v>0</v>
      </c>
      <c r="O149" s="10"/>
      <c r="P149" s="2">
        <v>28.92</v>
      </c>
      <c r="Q149" s="2"/>
      <c r="R149" s="19">
        <f t="shared" si="38"/>
        <v>6.1497379273871701E-6</v>
      </c>
      <c r="S149" s="2"/>
      <c r="T149" s="2">
        <v>118.75</v>
      </c>
      <c r="U149" s="2"/>
      <c r="V149" s="19">
        <f t="shared" si="39"/>
        <v>1.3551102568029451E-5</v>
      </c>
      <c r="W149" s="2"/>
      <c r="X149" s="2">
        <f t="shared" si="40"/>
        <v>-89.83</v>
      </c>
      <c r="Y149" s="2"/>
      <c r="Z149" s="19">
        <f t="shared" si="41"/>
        <v>-0.75646315789473684</v>
      </c>
    </row>
    <row r="150" spans="1:26" s="23" customFormat="1" hidden="1" outlineLevel="1" x14ac:dyDescent="0.25">
      <c r="A150" s="44"/>
      <c r="B150" s="10" t="str">
        <f>CONCATENATE("          ", "5513", " - ", "FREIGHT-IN-TRADE BOOKS")</f>
        <v xml:space="preserve">          5513 - FREIGHT-IN-TRADE BOOKS</v>
      </c>
      <c r="C150" s="10"/>
      <c r="D150" s="2"/>
      <c r="E150" s="2"/>
      <c r="F150" s="19">
        <f t="shared" si="34"/>
        <v>0</v>
      </c>
      <c r="G150" s="2"/>
      <c r="H150" s="2"/>
      <c r="I150" s="2"/>
      <c r="J150" s="19">
        <f t="shared" si="35"/>
        <v>0</v>
      </c>
      <c r="K150" s="2"/>
      <c r="L150" s="2">
        <f t="shared" si="36"/>
        <v>0</v>
      </c>
      <c r="M150" s="2"/>
      <c r="N150" s="19">
        <f t="shared" si="37"/>
        <v>0</v>
      </c>
      <c r="O150" s="10"/>
      <c r="P150" s="2">
        <v>85.28</v>
      </c>
      <c r="Q150" s="2"/>
      <c r="R150" s="19">
        <f t="shared" si="38"/>
        <v>1.8134496903443217E-5</v>
      </c>
      <c r="S150" s="2"/>
      <c r="T150" s="2">
        <v>30.24</v>
      </c>
      <c r="U150" s="2"/>
      <c r="V150" s="19">
        <f t="shared" si="39"/>
        <v>3.4508239297449311E-6</v>
      </c>
      <c r="W150" s="2"/>
      <c r="X150" s="2">
        <f t="shared" si="40"/>
        <v>55.040000000000006</v>
      </c>
      <c r="Y150" s="2"/>
      <c r="Z150" s="19">
        <f t="shared" si="41"/>
        <v>1.8201058201058204</v>
      </c>
    </row>
    <row r="151" spans="1:26" s="23" customFormat="1" hidden="1" outlineLevel="1" x14ac:dyDescent="0.25">
      <c r="A151" s="44"/>
      <c r="B151" s="10" t="str">
        <f>CONCATENATE("          ", "5518", " - ", "FREIGHT-IN-STUDY GUIDES")</f>
        <v xml:space="preserve">          5518 - FREIGHT-IN-STUDY GUIDES</v>
      </c>
      <c r="C151" s="10"/>
      <c r="D151" s="2"/>
      <c r="E151" s="2"/>
      <c r="F151" s="19">
        <f t="shared" si="34"/>
        <v>0</v>
      </c>
      <c r="G151" s="2"/>
      <c r="H151" s="2"/>
      <c r="I151" s="2"/>
      <c r="J151" s="19">
        <f t="shared" si="35"/>
        <v>0</v>
      </c>
      <c r="K151" s="2"/>
      <c r="L151" s="2">
        <f t="shared" si="36"/>
        <v>0</v>
      </c>
      <c r="M151" s="2"/>
      <c r="N151" s="19">
        <f t="shared" si="37"/>
        <v>0</v>
      </c>
      <c r="O151" s="10"/>
      <c r="P151" s="2"/>
      <c r="Q151" s="2"/>
      <c r="R151" s="19">
        <f t="shared" si="38"/>
        <v>0</v>
      </c>
      <c r="S151" s="2"/>
      <c r="T151" s="2">
        <v>21.13</v>
      </c>
      <c r="U151" s="2"/>
      <c r="V151" s="19">
        <f t="shared" si="39"/>
        <v>2.4112403979996825E-6</v>
      </c>
      <c r="W151" s="2"/>
      <c r="X151" s="2">
        <f t="shared" si="40"/>
        <v>-21.13</v>
      </c>
      <c r="Y151" s="2"/>
      <c r="Z151" s="19">
        <f t="shared" si="41"/>
        <v>-1</v>
      </c>
    </row>
    <row r="152" spans="1:26" s="23" customFormat="1" hidden="1" outlineLevel="1" x14ac:dyDescent="0.25">
      <c r="A152" s="44"/>
      <c r="B152" s="10" t="str">
        <f>CONCATENATE("          ", "5525", " - ", "FREIGHT-IN-TEST FORMS")</f>
        <v xml:space="preserve">          5525 - FREIGHT-IN-TEST FORMS</v>
      </c>
      <c r="C152" s="10"/>
      <c r="D152" s="2"/>
      <c r="E152" s="2"/>
      <c r="F152" s="19">
        <f t="shared" si="34"/>
        <v>0</v>
      </c>
      <c r="G152" s="2"/>
      <c r="H152" s="2"/>
      <c r="I152" s="2"/>
      <c r="J152" s="19">
        <f t="shared" si="35"/>
        <v>0</v>
      </c>
      <c r="K152" s="2"/>
      <c r="L152" s="2">
        <f t="shared" si="36"/>
        <v>0</v>
      </c>
      <c r="M152" s="2"/>
      <c r="N152" s="19">
        <f t="shared" si="37"/>
        <v>0</v>
      </c>
      <c r="O152" s="10"/>
      <c r="P152" s="2">
        <v>48.14</v>
      </c>
      <c r="Q152" s="2"/>
      <c r="R152" s="19">
        <f t="shared" si="38"/>
        <v>1.0236804419931477E-5</v>
      </c>
      <c r="S152" s="2"/>
      <c r="T152" s="2">
        <v>1237.22</v>
      </c>
      <c r="U152" s="2"/>
      <c r="V152" s="19">
        <f t="shared" si="39"/>
        <v>1.4118480100393599E-4</v>
      </c>
      <c r="W152" s="2"/>
      <c r="X152" s="2">
        <f t="shared" si="40"/>
        <v>-1189.08</v>
      </c>
      <c r="Y152" s="2"/>
      <c r="Z152" s="19">
        <f t="shared" si="41"/>
        <v>-0.9610901860623009</v>
      </c>
    </row>
    <row r="153" spans="1:26" s="23" customFormat="1" hidden="1" outlineLevel="1" x14ac:dyDescent="0.25">
      <c r="A153" s="44"/>
      <c r="B153" s="10" t="str">
        <f>CONCATENATE("          ", "5526", " - ", "FREIGHT-IN-WRITING INSTRUMENTS")</f>
        <v xml:space="preserve">          5526 - FREIGHT-IN-WRITING INSTRUMENTS</v>
      </c>
      <c r="C153" s="10"/>
      <c r="D153" s="2"/>
      <c r="E153" s="2"/>
      <c r="F153" s="19">
        <f t="shared" si="34"/>
        <v>0</v>
      </c>
      <c r="G153" s="2"/>
      <c r="H153" s="2"/>
      <c r="I153" s="2"/>
      <c r="J153" s="19">
        <f t="shared" si="35"/>
        <v>0</v>
      </c>
      <c r="K153" s="2"/>
      <c r="L153" s="2">
        <f t="shared" si="36"/>
        <v>0</v>
      </c>
      <c r="M153" s="2"/>
      <c r="N153" s="19">
        <f t="shared" si="37"/>
        <v>0</v>
      </c>
      <c r="O153" s="10"/>
      <c r="P153" s="2">
        <v>0</v>
      </c>
      <c r="Q153" s="2"/>
      <c r="R153" s="19">
        <f t="shared" si="38"/>
        <v>0</v>
      </c>
      <c r="S153" s="2"/>
      <c r="T153" s="2">
        <v>260.35000000000002</v>
      </c>
      <c r="U153" s="2"/>
      <c r="V153" s="19">
        <f t="shared" si="39"/>
        <v>2.9709722556517622E-5</v>
      </c>
      <c r="W153" s="2"/>
      <c r="X153" s="2">
        <f t="shared" si="40"/>
        <v>-260.35000000000002</v>
      </c>
      <c r="Y153" s="2"/>
      <c r="Z153" s="19">
        <f t="shared" si="41"/>
        <v>-1</v>
      </c>
    </row>
    <row r="154" spans="1:26" s="23" customFormat="1" hidden="1" outlineLevel="1" x14ac:dyDescent="0.25">
      <c r="A154" s="44"/>
      <c r="B154" s="10" t="str">
        <f>CONCATENATE("          ", "5527", " - ", "FREIGHT-IN-SCHOOL SUPPLIES")</f>
        <v xml:space="preserve">          5527 - FREIGHT-IN-SCHOOL SUPPLIES</v>
      </c>
      <c r="C154" s="10"/>
      <c r="D154" s="2"/>
      <c r="E154" s="2"/>
      <c r="F154" s="19">
        <f t="shared" si="34"/>
        <v>0</v>
      </c>
      <c r="G154" s="2"/>
      <c r="H154" s="2"/>
      <c r="I154" s="2"/>
      <c r="J154" s="19">
        <f t="shared" si="35"/>
        <v>0</v>
      </c>
      <c r="K154" s="2"/>
      <c r="L154" s="2">
        <f t="shared" si="36"/>
        <v>0</v>
      </c>
      <c r="M154" s="2"/>
      <c r="N154" s="19">
        <f t="shared" si="37"/>
        <v>0</v>
      </c>
      <c r="O154" s="10"/>
      <c r="P154" s="2">
        <v>218.62</v>
      </c>
      <c r="Q154" s="2"/>
      <c r="R154" s="19">
        <f t="shared" si="38"/>
        <v>4.648878650364395E-5</v>
      </c>
      <c r="S154" s="2"/>
      <c r="T154" s="2">
        <v>2058.91</v>
      </c>
      <c r="U154" s="2"/>
      <c r="V154" s="19">
        <f t="shared" si="39"/>
        <v>2.3495158390182328E-4</v>
      </c>
      <c r="W154" s="2"/>
      <c r="X154" s="2">
        <f t="shared" si="40"/>
        <v>-1840.29</v>
      </c>
      <c r="Y154" s="2"/>
      <c r="Z154" s="19">
        <f t="shared" si="41"/>
        <v>-0.89381760251783715</v>
      </c>
    </row>
    <row r="155" spans="1:26" s="23" customFormat="1" hidden="1" outlineLevel="1" x14ac:dyDescent="0.25">
      <c r="A155" s="44"/>
      <c r="B155" s="10" t="str">
        <f>CONCATENATE("          ", "5528", " - ", "FREIGHT-IN-ART/TECH")</f>
        <v xml:space="preserve">          5528 - FREIGHT-IN-ART/TECH</v>
      </c>
      <c r="C155" s="10"/>
      <c r="D155" s="2">
        <v>89.22</v>
      </c>
      <c r="E155" s="2"/>
      <c r="F155" s="19">
        <f t="shared" si="34"/>
        <v>2.0348204255009748E-4</v>
      </c>
      <c r="G155" s="2"/>
      <c r="H155" s="2">
        <v>576.6</v>
      </c>
      <c r="I155" s="2"/>
      <c r="J155" s="19">
        <f t="shared" si="35"/>
        <v>3.498010605050882E-3</v>
      </c>
      <c r="K155" s="2"/>
      <c r="L155" s="2">
        <f t="shared" si="36"/>
        <v>-487.38</v>
      </c>
      <c r="M155" s="2"/>
      <c r="N155" s="19">
        <f t="shared" si="37"/>
        <v>-0.8452653485952133</v>
      </c>
      <c r="O155" s="10"/>
      <c r="P155" s="2">
        <v>544.42999999999995</v>
      </c>
      <c r="Q155" s="2"/>
      <c r="R155" s="19">
        <f t="shared" si="38"/>
        <v>1.1577115559499987E-4</v>
      </c>
      <c r="S155" s="2"/>
      <c r="T155" s="2">
        <v>2844.12</v>
      </c>
      <c r="U155" s="2"/>
      <c r="V155" s="19">
        <f t="shared" si="39"/>
        <v>3.2455546809081196E-4</v>
      </c>
      <c r="W155" s="2"/>
      <c r="X155" s="2">
        <f t="shared" si="40"/>
        <v>-2299.69</v>
      </c>
      <c r="Y155" s="2"/>
      <c r="Z155" s="19">
        <f t="shared" si="41"/>
        <v>-0.80857699393837112</v>
      </c>
    </row>
    <row r="156" spans="1:26" s="23" customFormat="1" hidden="1" outlineLevel="1" x14ac:dyDescent="0.25">
      <c r="A156" s="44"/>
      <c r="B156" s="10" t="str">
        <f>CONCATENATE("          ", "5540", " - ", "FREIGHT-IN-LOGO CLOTHING")</f>
        <v xml:space="preserve">          5540 - FREIGHT-IN-LOGO CLOTHING</v>
      </c>
      <c r="C156" s="10"/>
      <c r="D156" s="2">
        <v>2107.65</v>
      </c>
      <c r="E156" s="2"/>
      <c r="F156" s="19">
        <f t="shared" si="34"/>
        <v>4.8068698383850368E-3</v>
      </c>
      <c r="G156" s="2"/>
      <c r="H156" s="2">
        <v>1044.9100000000001</v>
      </c>
      <c r="I156" s="2"/>
      <c r="J156" s="19">
        <f t="shared" si="35"/>
        <v>6.3390673973703036E-3</v>
      </c>
      <c r="K156" s="2"/>
      <c r="L156" s="2">
        <f t="shared" si="36"/>
        <v>1062.74</v>
      </c>
      <c r="M156" s="2"/>
      <c r="N156" s="19">
        <f t="shared" si="37"/>
        <v>1.0170636705553588</v>
      </c>
      <c r="O156" s="10"/>
      <c r="P156" s="2">
        <v>9216.02</v>
      </c>
      <c r="Q156" s="2"/>
      <c r="R156" s="19">
        <f t="shared" si="38"/>
        <v>1.9597547625711861E-3</v>
      </c>
      <c r="S156" s="2"/>
      <c r="T156" s="2">
        <v>31703.3</v>
      </c>
      <c r="U156" s="2"/>
      <c r="V156" s="19">
        <f t="shared" si="39"/>
        <v>3.6178077477474362E-3</v>
      </c>
      <c r="W156" s="2"/>
      <c r="X156" s="2">
        <f t="shared" si="40"/>
        <v>-22487.279999999999</v>
      </c>
      <c r="Y156" s="2"/>
      <c r="Z156" s="19">
        <f t="shared" si="41"/>
        <v>-0.7093040787552084</v>
      </c>
    </row>
    <row r="157" spans="1:26" s="23" customFormat="1" hidden="1" outlineLevel="1" x14ac:dyDescent="0.25">
      <c r="A157" s="44"/>
      <c r="B157" s="10" t="str">
        <f>CONCATENATE("          ", "5541", " - ", "FREIGHT-IN-LOGO GIFTS")</f>
        <v xml:space="preserve">          5541 - FREIGHT-IN-LOGO GIFTS</v>
      </c>
      <c r="C157" s="10"/>
      <c r="D157" s="2">
        <v>2877.99</v>
      </c>
      <c r="E157" s="2"/>
      <c r="F157" s="19">
        <f t="shared" si="34"/>
        <v>6.5637669091992267E-3</v>
      </c>
      <c r="G157" s="2"/>
      <c r="H157" s="2">
        <v>186.99</v>
      </c>
      <c r="I157" s="2"/>
      <c r="J157" s="19">
        <f t="shared" si="35"/>
        <v>1.1343964672883532E-3</v>
      </c>
      <c r="K157" s="2"/>
      <c r="L157" s="2">
        <f t="shared" si="36"/>
        <v>2691</v>
      </c>
      <c r="M157" s="2"/>
      <c r="N157" s="19">
        <f t="shared" si="37"/>
        <v>14.391143911439114</v>
      </c>
      <c r="O157" s="10"/>
      <c r="P157" s="2">
        <v>5015.99</v>
      </c>
      <c r="Q157" s="2"/>
      <c r="R157" s="19">
        <f t="shared" si="38"/>
        <v>1.0666329165420043E-3</v>
      </c>
      <c r="S157" s="2"/>
      <c r="T157" s="2">
        <v>4882.9399999999996</v>
      </c>
      <c r="U157" s="2"/>
      <c r="V157" s="19">
        <f t="shared" si="39"/>
        <v>5.5721449072449445E-4</v>
      </c>
      <c r="W157" s="2"/>
      <c r="X157" s="2">
        <f t="shared" si="40"/>
        <v>133.05000000000018</v>
      </c>
      <c r="Y157" s="2"/>
      <c r="Z157" s="19">
        <f t="shared" si="41"/>
        <v>2.7247928502090991E-2</v>
      </c>
    </row>
    <row r="158" spans="1:26" s="23" customFormat="1" hidden="1" outlineLevel="1" x14ac:dyDescent="0.25">
      <c r="A158" s="44"/>
      <c r="B158" s="10" t="str">
        <f>CONCATENATE("          ", "5542", " - ", "FREIGHT-IN-EVERYDAY GIFTS")</f>
        <v xml:space="preserve">          5542 - FREIGHT-IN-EVERYDAY GIFTS</v>
      </c>
      <c r="C158" s="10"/>
      <c r="D158" s="2"/>
      <c r="E158" s="2"/>
      <c r="F158" s="19">
        <f t="shared" si="34"/>
        <v>0</v>
      </c>
      <c r="G158" s="2"/>
      <c r="H158" s="2">
        <v>45.1</v>
      </c>
      <c r="I158" s="2"/>
      <c r="J158" s="19">
        <f t="shared" si="35"/>
        <v>2.7360436747796526E-4</v>
      </c>
      <c r="K158" s="2"/>
      <c r="L158" s="2">
        <f t="shared" si="36"/>
        <v>-45.1</v>
      </c>
      <c r="M158" s="2"/>
      <c r="N158" s="19">
        <f t="shared" si="37"/>
        <v>-1</v>
      </c>
      <c r="O158" s="10"/>
      <c r="P158" s="2">
        <v>681.72</v>
      </c>
      <c r="Q158" s="2"/>
      <c r="R158" s="19">
        <f t="shared" si="38"/>
        <v>1.4496539902691499E-4</v>
      </c>
      <c r="S158" s="2"/>
      <c r="T158" s="2">
        <v>1839.04</v>
      </c>
      <c r="U158" s="2"/>
      <c r="V158" s="19">
        <f t="shared" si="39"/>
        <v>2.0986121824596952E-4</v>
      </c>
      <c r="W158" s="2"/>
      <c r="X158" s="2">
        <f t="shared" si="40"/>
        <v>-1157.32</v>
      </c>
      <c r="Y158" s="2"/>
      <c r="Z158" s="19">
        <f t="shared" si="41"/>
        <v>-0.62930659474508432</v>
      </c>
    </row>
    <row r="159" spans="1:26" s="23" customFormat="1" hidden="1" outlineLevel="1" x14ac:dyDescent="0.25">
      <c r="A159" s="44"/>
      <c r="B159" s="10" t="str">
        <f>CONCATENATE("          ", "5543", " - ", "FREIGHT-IN-CARDS")</f>
        <v xml:space="preserve">          5543 - FREIGHT-IN-CARDS</v>
      </c>
      <c r="C159" s="10"/>
      <c r="D159" s="2"/>
      <c r="E159" s="2"/>
      <c r="F159" s="19">
        <f t="shared" si="34"/>
        <v>0</v>
      </c>
      <c r="G159" s="2"/>
      <c r="H159" s="2"/>
      <c r="I159" s="2"/>
      <c r="J159" s="19">
        <f t="shared" si="35"/>
        <v>0</v>
      </c>
      <c r="K159" s="2"/>
      <c r="L159" s="2">
        <f t="shared" si="36"/>
        <v>0</v>
      </c>
      <c r="M159" s="2"/>
      <c r="N159" s="19">
        <f t="shared" si="37"/>
        <v>0</v>
      </c>
      <c r="O159" s="10"/>
      <c r="P159" s="2">
        <v>9110.5300000000007</v>
      </c>
      <c r="Q159" s="2"/>
      <c r="R159" s="19">
        <f t="shared" si="38"/>
        <v>1.9373226791009209E-3</v>
      </c>
      <c r="S159" s="2"/>
      <c r="T159" s="2">
        <v>2926.76</v>
      </c>
      <c r="U159" s="2"/>
      <c r="V159" s="19">
        <f t="shared" si="39"/>
        <v>3.3398589433268107E-4</v>
      </c>
      <c r="W159" s="2"/>
      <c r="X159" s="2">
        <f t="shared" si="40"/>
        <v>6183.77</v>
      </c>
      <c r="Y159" s="2"/>
      <c r="Z159" s="19">
        <f t="shared" si="41"/>
        <v>2.112838087168063</v>
      </c>
    </row>
    <row r="160" spans="1:26" s="23" customFormat="1" hidden="1" outlineLevel="1" x14ac:dyDescent="0.25">
      <c r="A160" s="44"/>
      <c r="B160" s="10" t="str">
        <f>CONCATENATE("          ", "5544", " - ", "FREIGHT-IN-ACCESSORIES")</f>
        <v xml:space="preserve">          5544 - FREIGHT-IN-ACCESSORIES</v>
      </c>
      <c r="C160" s="10"/>
      <c r="D160" s="2"/>
      <c r="E160" s="2"/>
      <c r="F160" s="19">
        <f t="shared" si="34"/>
        <v>0</v>
      </c>
      <c r="G160" s="2"/>
      <c r="H160" s="2"/>
      <c r="I160" s="2"/>
      <c r="J160" s="19">
        <f t="shared" si="35"/>
        <v>0</v>
      </c>
      <c r="K160" s="2"/>
      <c r="L160" s="2">
        <f t="shared" si="36"/>
        <v>0</v>
      </c>
      <c r="M160" s="2"/>
      <c r="N160" s="19">
        <f t="shared" si="37"/>
        <v>0</v>
      </c>
      <c r="O160" s="10"/>
      <c r="P160" s="2"/>
      <c r="Q160" s="2"/>
      <c r="R160" s="19">
        <f t="shared" si="38"/>
        <v>0</v>
      </c>
      <c r="S160" s="2"/>
      <c r="T160" s="2">
        <v>483.44</v>
      </c>
      <c r="U160" s="2"/>
      <c r="V160" s="19">
        <f t="shared" si="39"/>
        <v>5.5167537056742376E-5</v>
      </c>
      <c r="W160" s="2"/>
      <c r="X160" s="2">
        <f t="shared" si="40"/>
        <v>-483.44</v>
      </c>
      <c r="Y160" s="2"/>
      <c r="Z160" s="19">
        <f t="shared" si="41"/>
        <v>-1</v>
      </c>
    </row>
    <row r="161" spans="1:26" s="23" customFormat="1" hidden="1" outlineLevel="1" x14ac:dyDescent="0.25">
      <c r="A161" s="44"/>
      <c r="B161" s="10" t="str">
        <f>CONCATENATE("          ", "5545", " - ", "FREIGHT-IN-SPECIAL ORDERS")</f>
        <v xml:space="preserve">          5545 - FREIGHT-IN-SPECIAL ORDERS</v>
      </c>
      <c r="C161" s="10"/>
      <c r="D161" s="2">
        <v>168.6</v>
      </c>
      <c r="E161" s="2"/>
      <c r="F161" s="19">
        <f t="shared" si="34"/>
        <v>3.845222189413409E-4</v>
      </c>
      <c r="G161" s="2"/>
      <c r="H161" s="2">
        <v>17.190000000000001</v>
      </c>
      <c r="I161" s="2"/>
      <c r="J161" s="19">
        <f t="shared" si="35"/>
        <v>1.0428512365734419E-4</v>
      </c>
      <c r="K161" s="2"/>
      <c r="L161" s="2">
        <f t="shared" si="36"/>
        <v>151.41</v>
      </c>
      <c r="M161" s="2"/>
      <c r="N161" s="19">
        <f t="shared" si="37"/>
        <v>8.8080279232111689</v>
      </c>
      <c r="O161" s="10"/>
      <c r="P161" s="2">
        <v>1434.76</v>
      </c>
      <c r="Q161" s="2"/>
      <c r="R161" s="19">
        <f t="shared" si="38"/>
        <v>3.0509674926341686E-4</v>
      </c>
      <c r="S161" s="2"/>
      <c r="T161" s="2">
        <v>892.26</v>
      </c>
      <c r="U161" s="2"/>
      <c r="V161" s="19">
        <f t="shared" si="39"/>
        <v>1.018198465461049E-4</v>
      </c>
      <c r="W161" s="2"/>
      <c r="X161" s="2">
        <f t="shared" si="40"/>
        <v>542.5</v>
      </c>
      <c r="Y161" s="2"/>
      <c r="Z161" s="19">
        <f t="shared" si="41"/>
        <v>0.60800663483737927</v>
      </c>
    </row>
    <row r="162" spans="1:26" s="23" customFormat="1" hidden="1" outlineLevel="1" x14ac:dyDescent="0.25">
      <c r="A162" s="44"/>
      <c r="B162" s="10" t="str">
        <f>CONCATENATE("          ", "5592", " - ", "FREIGHT-IN-GRAD MERCH")</f>
        <v xml:space="preserve">          5592 - FREIGHT-IN-GRAD MERCH</v>
      </c>
      <c r="C162" s="10"/>
      <c r="D162" s="2"/>
      <c r="E162" s="2"/>
      <c r="F162" s="19">
        <f t="shared" si="34"/>
        <v>0</v>
      </c>
      <c r="G162" s="2"/>
      <c r="H162" s="2"/>
      <c r="I162" s="2"/>
      <c r="J162" s="19">
        <f t="shared" si="35"/>
        <v>0</v>
      </c>
      <c r="K162" s="2"/>
      <c r="L162" s="2">
        <f t="shared" si="36"/>
        <v>0</v>
      </c>
      <c r="M162" s="2"/>
      <c r="N162" s="19">
        <f t="shared" si="37"/>
        <v>0</v>
      </c>
      <c r="O162" s="10"/>
      <c r="P162" s="2">
        <v>0</v>
      </c>
      <c r="Q162" s="2"/>
      <c r="R162" s="19">
        <f t="shared" si="38"/>
        <v>0</v>
      </c>
      <c r="S162" s="2"/>
      <c r="T162" s="2">
        <v>118.73</v>
      </c>
      <c r="U162" s="2"/>
      <c r="V162" s="19">
        <f t="shared" si="39"/>
        <v>1.3548820277070624E-5</v>
      </c>
      <c r="W162" s="2"/>
      <c r="X162" s="2">
        <f t="shared" si="40"/>
        <v>-118.73</v>
      </c>
      <c r="Y162" s="2"/>
      <c r="Z162" s="19">
        <f t="shared" si="41"/>
        <v>-1</v>
      </c>
    </row>
    <row r="163" spans="1:26" x14ac:dyDescent="0.25">
      <c r="A163" s="9"/>
      <c r="B163" s="11"/>
      <c r="C163" s="11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O163" s="11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4" customFormat="1" x14ac:dyDescent="0.25">
      <c r="A164" s="11"/>
      <c r="B164" s="29" t="s">
        <v>107</v>
      </c>
      <c r="C164" s="29"/>
      <c r="D164" s="20">
        <f>D12-D111</f>
        <v>215284.22000000009</v>
      </c>
      <c r="E164" s="14"/>
      <c r="F164" s="22">
        <f>IF(D$12=0,0,D164/D$12)</f>
        <v>0.49099386700744863</v>
      </c>
      <c r="G164" s="14"/>
      <c r="H164" s="20">
        <f>H12-H111</f>
        <v>84160.919999999984</v>
      </c>
      <c r="I164" s="14"/>
      <c r="J164" s="22">
        <f>IF(H$12=0,0,H164/H$12)</f>
        <v>0.51057195749365036</v>
      </c>
      <c r="K164" s="16"/>
      <c r="L164" s="20">
        <f>+D164-H164</f>
        <v>131123.3000000001</v>
      </c>
      <c r="M164" s="16"/>
      <c r="N164" s="22">
        <f>IF(H164=0,0,L164/H164)</f>
        <v>1.558006970456123</v>
      </c>
      <c r="O164" s="28"/>
      <c r="P164" s="20">
        <f>P12-P111</f>
        <v>1758481.6699999995</v>
      </c>
      <c r="Q164" s="14"/>
      <c r="R164" s="22">
        <f>IF(P$12=0,0,P164/P$12)</f>
        <v>0.3739350422065742</v>
      </c>
      <c r="S164" s="14"/>
      <c r="T164" s="20">
        <f>T12-T111</f>
        <v>3670770.6699999981</v>
      </c>
      <c r="U164" s="14"/>
      <c r="V164" s="22">
        <f>IF(T$12=0,0,T164/T$12)</f>
        <v>0.41888833560323502</v>
      </c>
      <c r="W164" s="16"/>
      <c r="X164" s="20">
        <f>+P164-T164</f>
        <v>-1912288.9999999986</v>
      </c>
      <c r="Y164" s="16"/>
      <c r="Z164" s="22">
        <f>IF(T164=0,0,X164/T164)</f>
        <v>-0.52095027772464997</v>
      </c>
    </row>
    <row r="165" spans="1:26" x14ac:dyDescent="0.25">
      <c r="A165" s="9"/>
      <c r="B165" s="11"/>
      <c r="C165" s="9"/>
      <c r="D165" s="1"/>
      <c r="E165" s="1"/>
      <c r="F165" s="5"/>
      <c r="G165" s="1"/>
      <c r="H165" s="1"/>
      <c r="I165" s="1"/>
      <c r="J165" s="5"/>
      <c r="K165" s="1"/>
      <c r="L165" s="1"/>
      <c r="M165" s="1"/>
      <c r="N165" s="5"/>
      <c r="O165" s="37"/>
      <c r="P165" s="1"/>
      <c r="Q165" s="1"/>
      <c r="R165" s="5"/>
      <c r="S165" s="1"/>
      <c r="T165" s="1"/>
      <c r="U165" s="1"/>
      <c r="V165" s="5"/>
      <c r="W165" s="1"/>
      <c r="X165" s="1"/>
      <c r="Y165" s="1"/>
      <c r="Z165" s="5"/>
    </row>
    <row r="166" spans="1:26" s="24" customFormat="1" x14ac:dyDescent="0.25">
      <c r="A166" s="11"/>
      <c r="B166" s="28" t="s">
        <v>294</v>
      </c>
      <c r="C166" s="11"/>
      <c r="D166" s="21">
        <f>SUM(OSRRefD22x_0)</f>
        <v>255576.60999999993</v>
      </c>
      <c r="E166" s="21"/>
      <c r="F166" s="31">
        <f t="shared" ref="F166:F177" si="42">IF(D$12=0,0,D166/D$12)</f>
        <v>0.58288781249528876</v>
      </c>
      <c r="G166" s="21"/>
      <c r="H166" s="21">
        <f>SUM(OSRRefH22x_0)</f>
        <v>252699.98999999996</v>
      </c>
      <c r="I166" s="21"/>
      <c r="J166" s="31">
        <f t="shared" ref="J166:J177" si="43">IF(H$12=0,0,H166/H$12)</f>
        <v>1.5330337234066105</v>
      </c>
      <c r="K166" s="4"/>
      <c r="L166" s="21">
        <f t="shared" ref="L166:L177" si="44">+D166-H166</f>
        <v>2876.6199999999662</v>
      </c>
      <c r="M166" s="4"/>
      <c r="N166" s="31">
        <f t="shared" ref="N166:N177" si="45">IF(H166=0,0,L166/H166)</f>
        <v>1.1383538242324295E-2</v>
      </c>
      <c r="O166" s="11"/>
      <c r="P166" s="21">
        <f>SUM(OSRRefP22x_0)</f>
        <v>2638331.6500000008</v>
      </c>
      <c r="Q166" s="21"/>
      <c r="R166" s="31">
        <f t="shared" ref="R166:R177" si="46">IF(P$12=0,0,P166/P$12)</f>
        <v>0.56103209588627168</v>
      </c>
      <c r="S166" s="21"/>
      <c r="T166" s="21">
        <f>SUM(OSRRefT22x_0)</f>
        <v>3648680.1600000006</v>
      </c>
      <c r="U166" s="21"/>
      <c r="V166" s="31">
        <f t="shared" ref="V166:V177" si="47">IF(T$12=0,0,T166/T$12)</f>
        <v>0.41636748704079252</v>
      </c>
      <c r="W166" s="4"/>
      <c r="X166" s="21">
        <f t="shared" ref="X166:X177" si="48">+P166-T166</f>
        <v>-1010348.5099999998</v>
      </c>
      <c r="Y166" s="4"/>
      <c r="Z166" s="31">
        <f t="shared" ref="Z166:Z177" si="49">IF(T166=0,0,X166/T166)</f>
        <v>-0.27690794087032272</v>
      </c>
    </row>
    <row r="167" spans="1:26" s="26" customFormat="1" outlineLevel="1" collapsed="1" x14ac:dyDescent="0.25">
      <c r="A167" s="25"/>
      <c r="B167" s="12" t="str">
        <f>CONCATENATE("     ","*Benefits                                         ")</f>
        <v xml:space="preserve">     *Benefits                                         </v>
      </c>
      <c r="C167" s="12"/>
      <c r="D167" s="1">
        <f>SUM(OSRRefD22_0x_0)</f>
        <v>53608.380000000005</v>
      </c>
      <c r="E167" s="1"/>
      <c r="F167" s="5">
        <f t="shared" si="42"/>
        <v>0.12226342367408424</v>
      </c>
      <c r="G167" s="1"/>
      <c r="H167" s="1">
        <f>SUM(OSRRefH22_0x_0)</f>
        <v>24024.21</v>
      </c>
      <c r="I167" s="1"/>
      <c r="J167" s="5">
        <f t="shared" si="43"/>
        <v>0.14574564925072744</v>
      </c>
      <c r="K167" s="1"/>
      <c r="L167" s="1">
        <f t="shared" si="44"/>
        <v>29584.170000000006</v>
      </c>
      <c r="M167" s="1"/>
      <c r="N167" s="5">
        <f t="shared" si="45"/>
        <v>1.2314315434305647</v>
      </c>
      <c r="O167" s="12"/>
      <c r="P167" s="1">
        <f>SUM(OSRRefP22_0x_0)</f>
        <v>463861.88999999996</v>
      </c>
      <c r="Q167" s="1"/>
      <c r="R167" s="5">
        <f t="shared" si="46"/>
        <v>9.8638625795383642E-2</v>
      </c>
      <c r="S167" s="1"/>
      <c r="T167" s="1">
        <f>SUM(OSRRefT22_0x_0)</f>
        <v>450618.23000000004</v>
      </c>
      <c r="U167" s="1"/>
      <c r="V167" s="5">
        <f t="shared" si="47"/>
        <v>5.1422095610559042E-2</v>
      </c>
      <c r="W167" s="1"/>
      <c r="X167" s="1">
        <f t="shared" si="48"/>
        <v>13243.659999999916</v>
      </c>
      <c r="Y167" s="1"/>
      <c r="Z167" s="5">
        <f t="shared" si="49"/>
        <v>2.9389978297149486E-2</v>
      </c>
    </row>
    <row r="168" spans="1:26" s="23" customFormat="1" hidden="1" outlineLevel="2" x14ac:dyDescent="0.25">
      <c r="A168" s="27"/>
      <c r="B168" s="10" t="str">
        <f>CONCATENATE("          ", "6111", " - ", "F.I.C.A.")</f>
        <v xml:space="preserve">          6111 - F.I.C.A.</v>
      </c>
      <c r="C168" s="10"/>
      <c r="D168" s="6">
        <v>10750.32</v>
      </c>
      <c r="E168" s="2"/>
      <c r="F168" s="7">
        <f t="shared" si="42"/>
        <v>2.451801245984268E-2</v>
      </c>
      <c r="G168" s="2"/>
      <c r="H168" s="6">
        <v>8238</v>
      </c>
      <c r="I168" s="2"/>
      <c r="J168" s="7">
        <f t="shared" si="43"/>
        <v>4.9976780028458491E-2</v>
      </c>
      <c r="K168" s="2"/>
      <c r="L168" s="6">
        <f t="shared" si="44"/>
        <v>2512.3199999999997</v>
      </c>
      <c r="M168" s="2"/>
      <c r="N168" s="7">
        <f t="shared" si="45"/>
        <v>0.30496722505462487</v>
      </c>
      <c r="O168" s="10"/>
      <c r="P168" s="6">
        <v>89218.18</v>
      </c>
      <c r="Q168" s="2"/>
      <c r="R168" s="7">
        <f t="shared" si="46"/>
        <v>1.8971937253058624E-2</v>
      </c>
      <c r="S168" s="2"/>
      <c r="T168" s="6">
        <v>93795.12</v>
      </c>
      <c r="U168" s="2"/>
      <c r="V168" s="7">
        <f t="shared" si="47"/>
        <v>1.0703387717900045E-2</v>
      </c>
      <c r="W168" s="2"/>
      <c r="X168" s="6">
        <f t="shared" si="48"/>
        <v>-4576.9400000000023</v>
      </c>
      <c r="Y168" s="2"/>
      <c r="Z168" s="7">
        <f t="shared" si="49"/>
        <v>-4.8797208212964627E-2</v>
      </c>
    </row>
    <row r="169" spans="1:26" s="23" customFormat="1" hidden="1" outlineLevel="2" x14ac:dyDescent="0.25">
      <c r="A169" s="27"/>
      <c r="B169" s="10" t="str">
        <f>CONCATENATE("          ", "6112", " - ", "COMPENSATION INSURANCE")</f>
        <v xml:space="preserve">          6112 - COMPENSATION INSURANCE</v>
      </c>
      <c r="C169" s="10"/>
      <c r="D169" s="6">
        <v>1599.53</v>
      </c>
      <c r="E169" s="2"/>
      <c r="F169" s="7">
        <f t="shared" si="42"/>
        <v>3.6480120098650241E-3</v>
      </c>
      <c r="G169" s="2"/>
      <c r="H169" s="6">
        <v>1213.8699999999999</v>
      </c>
      <c r="I169" s="2"/>
      <c r="J169" s="7">
        <f t="shared" si="43"/>
        <v>7.3640827838243389E-3</v>
      </c>
      <c r="K169" s="2"/>
      <c r="L169" s="6">
        <f t="shared" si="44"/>
        <v>385.66000000000008</v>
      </c>
      <c r="M169" s="2"/>
      <c r="N169" s="7">
        <f t="shared" si="45"/>
        <v>0.31771112227833304</v>
      </c>
      <c r="O169" s="10"/>
      <c r="P169" s="6">
        <v>21578.33</v>
      </c>
      <c r="Q169" s="2"/>
      <c r="R169" s="7">
        <f t="shared" si="46"/>
        <v>4.5885572064549235E-3</v>
      </c>
      <c r="S169" s="2"/>
      <c r="T169" s="6">
        <v>24375.06</v>
      </c>
      <c r="U169" s="2"/>
      <c r="V169" s="7">
        <f t="shared" si="47"/>
        <v>2.7815489529420794E-3</v>
      </c>
      <c r="W169" s="2"/>
      <c r="X169" s="6">
        <f t="shared" si="48"/>
        <v>-2796.7299999999996</v>
      </c>
      <c r="Y169" s="2"/>
      <c r="Z169" s="7">
        <f t="shared" si="49"/>
        <v>-0.11473735859521984</v>
      </c>
    </row>
    <row r="170" spans="1:26" s="23" customFormat="1" hidden="1" outlineLevel="2" x14ac:dyDescent="0.25">
      <c r="A170" s="27"/>
      <c r="B170" s="10" t="str">
        <f>CONCATENATE("          ", "6113", " - ", "GROUP INSURANCE")</f>
        <v xml:space="preserve">          6113 - GROUP INSURANCE</v>
      </c>
      <c r="C170" s="10"/>
      <c r="D170" s="6">
        <v>18284.05</v>
      </c>
      <c r="E170" s="2"/>
      <c r="F170" s="7">
        <f t="shared" si="42"/>
        <v>4.1700020624166216E-2</v>
      </c>
      <c r="G170" s="2"/>
      <c r="H170" s="6">
        <v>13413.27</v>
      </c>
      <c r="I170" s="2"/>
      <c r="J170" s="7">
        <f t="shared" si="43"/>
        <v>8.1373154194260916E-2</v>
      </c>
      <c r="K170" s="2"/>
      <c r="L170" s="6">
        <f t="shared" si="44"/>
        <v>4870.7799999999988</v>
      </c>
      <c r="M170" s="2"/>
      <c r="N170" s="7">
        <f t="shared" si="45"/>
        <v>0.36313143625678146</v>
      </c>
      <c r="O170" s="10"/>
      <c r="P170" s="6">
        <v>164870.14000000001</v>
      </c>
      <c r="Q170" s="2"/>
      <c r="R170" s="7">
        <f t="shared" si="46"/>
        <v>3.5059064766653963E-2</v>
      </c>
      <c r="S170" s="2"/>
      <c r="T170" s="6">
        <v>176615.8</v>
      </c>
      <c r="U170" s="2"/>
      <c r="V170" s="7">
        <f t="shared" si="47"/>
        <v>2.0154432176291162E-2</v>
      </c>
      <c r="W170" s="2"/>
      <c r="X170" s="6">
        <f t="shared" si="48"/>
        <v>-11745.659999999974</v>
      </c>
      <c r="Y170" s="2"/>
      <c r="Z170" s="7">
        <f t="shared" si="49"/>
        <v>-6.6504016061982987E-2</v>
      </c>
    </row>
    <row r="171" spans="1:26" s="23" customFormat="1" hidden="1" outlineLevel="2" x14ac:dyDescent="0.25">
      <c r="A171" s="27"/>
      <c r="B171" s="10" t="str">
        <f>CONCATENATE("          ", "6114", " - ", "STATE UNEMPLOYMENT INSURANCE")</f>
        <v xml:space="preserve">          6114 - STATE UNEMPLOYMENT INSURANCE</v>
      </c>
      <c r="C171" s="10"/>
      <c r="D171" s="6">
        <v>297.08999999999997</v>
      </c>
      <c r="E171" s="2"/>
      <c r="F171" s="7">
        <f t="shared" si="42"/>
        <v>6.775664651558895E-4</v>
      </c>
      <c r="G171" s="2"/>
      <c r="H171" s="6">
        <v>223.05</v>
      </c>
      <c r="I171" s="2"/>
      <c r="J171" s="7">
        <f t="shared" si="43"/>
        <v>1.353158628956988E-3</v>
      </c>
      <c r="K171" s="2"/>
      <c r="L171" s="6">
        <f t="shared" si="44"/>
        <v>74.039999999999964</v>
      </c>
      <c r="M171" s="2"/>
      <c r="N171" s="7">
        <f t="shared" si="45"/>
        <v>0.33194351042367165</v>
      </c>
      <c r="O171" s="10"/>
      <c r="P171" s="6">
        <v>3533.43</v>
      </c>
      <c r="Q171" s="2"/>
      <c r="R171" s="7">
        <f t="shared" si="46"/>
        <v>7.513716626821454E-4</v>
      </c>
      <c r="S171" s="2"/>
      <c r="T171" s="6">
        <v>4765.53</v>
      </c>
      <c r="U171" s="2"/>
      <c r="V171" s="7">
        <f t="shared" si="47"/>
        <v>5.4381630165070639E-4</v>
      </c>
      <c r="W171" s="2"/>
      <c r="X171" s="6">
        <f t="shared" si="48"/>
        <v>-1232.0999999999999</v>
      </c>
      <c r="Y171" s="2"/>
      <c r="Z171" s="7">
        <f t="shared" si="49"/>
        <v>-0.25854417032313298</v>
      </c>
    </row>
    <row r="172" spans="1:26" s="23" customFormat="1" hidden="1" outlineLevel="2" x14ac:dyDescent="0.25">
      <c r="A172" s="27"/>
      <c r="B172" s="10" t="str">
        <f>CONCATENATE("          ", "6115", " - ", "P.E.R.S.")</f>
        <v xml:space="preserve">          6115 - P.E.R.S.</v>
      </c>
      <c r="C172" s="10"/>
      <c r="D172" s="6">
        <v>6172.91</v>
      </c>
      <c r="E172" s="2"/>
      <c r="F172" s="7">
        <f t="shared" si="42"/>
        <v>1.4078416669781688E-2</v>
      </c>
      <c r="G172" s="2"/>
      <c r="H172" s="6">
        <v>4765.76</v>
      </c>
      <c r="I172" s="2"/>
      <c r="J172" s="7">
        <f t="shared" si="43"/>
        <v>2.8912034375871126E-2</v>
      </c>
      <c r="K172" s="2"/>
      <c r="L172" s="6">
        <f t="shared" si="44"/>
        <v>1407.1499999999996</v>
      </c>
      <c r="M172" s="2"/>
      <c r="N172" s="7">
        <f t="shared" si="45"/>
        <v>0.29526245551601416</v>
      </c>
      <c r="O172" s="10"/>
      <c r="P172" s="6">
        <v>68345.05</v>
      </c>
      <c r="Q172" s="2"/>
      <c r="R172" s="7">
        <f t="shared" si="46"/>
        <v>1.4533338386382174E-2</v>
      </c>
      <c r="S172" s="2"/>
      <c r="T172" s="6">
        <v>69796.55</v>
      </c>
      <c r="U172" s="2"/>
      <c r="V172" s="7">
        <f t="shared" si="47"/>
        <v>7.9648017511123863E-3</v>
      </c>
      <c r="W172" s="2"/>
      <c r="X172" s="6">
        <f t="shared" si="48"/>
        <v>-1451.5</v>
      </c>
      <c r="Y172" s="2"/>
      <c r="Z172" s="7">
        <f t="shared" si="49"/>
        <v>-2.0796156830101199E-2</v>
      </c>
    </row>
    <row r="173" spans="1:26" s="23" customFormat="1" hidden="1" outlineLevel="2" x14ac:dyDescent="0.25">
      <c r="A173" s="27"/>
      <c r="B173" s="10" t="str">
        <f>CONCATENATE("          ", "6116", " - ", "EDUCATIONAL BENEFITS")</f>
        <v xml:space="preserve">          6116 - EDUCATIONAL BENEFITS</v>
      </c>
      <c r="C173" s="10"/>
      <c r="D173" s="6"/>
      <c r="E173" s="2"/>
      <c r="F173" s="7">
        <f t="shared" si="42"/>
        <v>0</v>
      </c>
      <c r="G173" s="2"/>
      <c r="H173" s="6"/>
      <c r="I173" s="2"/>
      <c r="J173" s="7">
        <f t="shared" si="43"/>
        <v>0</v>
      </c>
      <c r="K173" s="2"/>
      <c r="L173" s="6">
        <f t="shared" si="44"/>
        <v>0</v>
      </c>
      <c r="M173" s="2"/>
      <c r="N173" s="7">
        <f t="shared" si="45"/>
        <v>0</v>
      </c>
      <c r="O173" s="10"/>
      <c r="P173" s="6">
        <v>0</v>
      </c>
      <c r="Q173" s="2"/>
      <c r="R173" s="7">
        <f t="shared" si="46"/>
        <v>0</v>
      </c>
      <c r="S173" s="2"/>
      <c r="T173" s="6"/>
      <c r="U173" s="2"/>
      <c r="V173" s="7">
        <f t="shared" si="47"/>
        <v>0</v>
      </c>
      <c r="W173" s="2"/>
      <c r="X173" s="6">
        <f t="shared" si="48"/>
        <v>0</v>
      </c>
      <c r="Y173" s="2"/>
      <c r="Z173" s="7">
        <f t="shared" si="49"/>
        <v>0</v>
      </c>
    </row>
    <row r="174" spans="1:26" s="23" customFormat="1" hidden="1" outlineLevel="2" x14ac:dyDescent="0.25">
      <c r="A174" s="27"/>
      <c r="B174" s="10" t="str">
        <f>CONCATENATE("          ", "6117", " - ", "RETIREMENT STAFF HOURLY")</f>
        <v xml:space="preserve">          6117 - RETIREMENT STAFF HOURLY</v>
      </c>
      <c r="C174" s="10"/>
      <c r="D174" s="6">
        <v>359.71</v>
      </c>
      <c r="E174" s="2"/>
      <c r="F174" s="7">
        <f t="shared" si="42"/>
        <v>8.2038248739851568E-4</v>
      </c>
      <c r="G174" s="2"/>
      <c r="H174" s="6">
        <v>442.21</v>
      </c>
      <c r="I174" s="2"/>
      <c r="J174" s="7">
        <f t="shared" si="43"/>
        <v>2.68271812289204E-3</v>
      </c>
      <c r="K174" s="2"/>
      <c r="L174" s="6">
        <f t="shared" si="44"/>
        <v>-82.5</v>
      </c>
      <c r="M174" s="2"/>
      <c r="N174" s="7">
        <f t="shared" si="45"/>
        <v>-0.18656294520702835</v>
      </c>
      <c r="O174" s="10"/>
      <c r="P174" s="6">
        <v>3760.97</v>
      </c>
      <c r="Q174" s="2"/>
      <c r="R174" s="7">
        <f t="shared" si="46"/>
        <v>7.9975725631968608E-4</v>
      </c>
      <c r="S174" s="2"/>
      <c r="T174" s="6">
        <v>1616.32</v>
      </c>
      <c r="U174" s="2"/>
      <c r="V174" s="7">
        <f t="shared" si="47"/>
        <v>1.8444562612848303E-4</v>
      </c>
      <c r="W174" s="2"/>
      <c r="X174" s="6">
        <f t="shared" si="48"/>
        <v>2144.6499999999996</v>
      </c>
      <c r="Y174" s="2"/>
      <c r="Z174" s="7">
        <f t="shared" si="49"/>
        <v>1.326872154028905</v>
      </c>
    </row>
    <row r="175" spans="1:26" s="23" customFormat="1" hidden="1" outlineLevel="2" x14ac:dyDescent="0.25">
      <c r="A175" s="27"/>
      <c r="B175" s="10" t="str">
        <f>CONCATENATE("          ", "6118", " - ", "VACATION")</f>
        <v xml:space="preserve">          6118 - VACATION</v>
      </c>
      <c r="C175" s="10"/>
      <c r="D175" s="6">
        <v>8608.57</v>
      </c>
      <c r="E175" s="2"/>
      <c r="F175" s="7">
        <f t="shared" si="42"/>
        <v>1.9633371520236413E-2</v>
      </c>
      <c r="G175" s="2"/>
      <c r="H175" s="6">
        <v>6225.62</v>
      </c>
      <c r="I175" s="2"/>
      <c r="J175" s="7">
        <f t="shared" si="43"/>
        <v>3.7768443952509313E-2</v>
      </c>
      <c r="K175" s="2"/>
      <c r="L175" s="6">
        <f t="shared" si="44"/>
        <v>2382.9499999999998</v>
      </c>
      <c r="M175" s="2"/>
      <c r="N175" s="7">
        <f t="shared" si="45"/>
        <v>0.38276509006331899</v>
      </c>
      <c r="O175" s="10"/>
      <c r="P175" s="6">
        <v>57554.61</v>
      </c>
      <c r="Q175" s="2"/>
      <c r="R175" s="7">
        <f t="shared" si="46"/>
        <v>1.2238788658816627E-2</v>
      </c>
      <c r="S175" s="2"/>
      <c r="T175" s="6">
        <v>58219.41</v>
      </c>
      <c r="U175" s="2"/>
      <c r="V175" s="7">
        <f t="shared" si="47"/>
        <v>6.6436816535592382E-3</v>
      </c>
      <c r="W175" s="2"/>
      <c r="X175" s="6">
        <f t="shared" si="48"/>
        <v>-664.80000000000291</v>
      </c>
      <c r="Y175" s="2"/>
      <c r="Z175" s="7">
        <f t="shared" si="49"/>
        <v>-1.1418872159645776E-2</v>
      </c>
    </row>
    <row r="176" spans="1:26" s="23" customFormat="1" hidden="1" outlineLevel="2" x14ac:dyDescent="0.25">
      <c r="A176" s="27"/>
      <c r="B176" s="10" t="str">
        <f>CONCATENATE("          ", "6119", " - ", "SICK LEAVE")</f>
        <v xml:space="preserve">          6119 - SICK LEAVE</v>
      </c>
      <c r="C176" s="10"/>
      <c r="D176" s="6">
        <v>5736.04</v>
      </c>
      <c r="E176" s="2"/>
      <c r="F176" s="7">
        <f t="shared" si="42"/>
        <v>1.3082057109942404E-2</v>
      </c>
      <c r="G176" s="2"/>
      <c r="H176" s="6">
        <v>-10905.45</v>
      </c>
      <c r="I176" s="2"/>
      <c r="J176" s="7">
        <f t="shared" si="43"/>
        <v>-6.6159174042407468E-2</v>
      </c>
      <c r="K176" s="2"/>
      <c r="L176" s="6">
        <f t="shared" si="44"/>
        <v>16641.490000000002</v>
      </c>
      <c r="M176" s="2"/>
      <c r="N176" s="7">
        <f t="shared" si="45"/>
        <v>-1.5259792122287481</v>
      </c>
      <c r="O176" s="10"/>
      <c r="P176" s="6">
        <v>40704.550000000003</v>
      </c>
      <c r="Q176" s="2"/>
      <c r="R176" s="7">
        <f t="shared" si="46"/>
        <v>8.6556817065085549E-3</v>
      </c>
      <c r="S176" s="2"/>
      <c r="T176" s="6">
        <v>3185.67</v>
      </c>
      <c r="U176" s="2"/>
      <c r="V176" s="7">
        <f t="shared" si="47"/>
        <v>3.6353129194016318E-4</v>
      </c>
      <c r="W176" s="2"/>
      <c r="X176" s="6">
        <f t="shared" si="48"/>
        <v>37518.880000000005</v>
      </c>
      <c r="Y176" s="2"/>
      <c r="Z176" s="7">
        <f t="shared" si="49"/>
        <v>11.777390627403342</v>
      </c>
    </row>
    <row r="177" spans="1:26" s="23" customFormat="1" hidden="1" outlineLevel="2" x14ac:dyDescent="0.25">
      <c r="A177" s="27"/>
      <c r="B177" s="10" t="str">
        <f>CONCATENATE("          ", "6156", " - ", "EMPLOYEE MEALS")</f>
        <v xml:space="preserve">          6156 - EMPLOYEE MEALS</v>
      </c>
      <c r="C177" s="10"/>
      <c r="D177" s="6">
        <v>1800.16</v>
      </c>
      <c r="E177" s="2"/>
      <c r="F177" s="7">
        <f t="shared" si="42"/>
        <v>4.1055843276953993E-3</v>
      </c>
      <c r="G177" s="2"/>
      <c r="H177" s="6">
        <v>407.88</v>
      </c>
      <c r="I177" s="2"/>
      <c r="J177" s="7">
        <f t="shared" si="43"/>
        <v>2.4744512063616954E-3</v>
      </c>
      <c r="K177" s="2"/>
      <c r="L177" s="6">
        <f t="shared" si="44"/>
        <v>1392.2800000000002</v>
      </c>
      <c r="M177" s="2"/>
      <c r="N177" s="7">
        <f t="shared" si="45"/>
        <v>3.4134549377267831</v>
      </c>
      <c r="O177" s="10"/>
      <c r="P177" s="6">
        <v>14296.63</v>
      </c>
      <c r="Q177" s="2"/>
      <c r="R177" s="7">
        <f t="shared" si="46"/>
        <v>3.0401288985069581E-3</v>
      </c>
      <c r="S177" s="2"/>
      <c r="T177" s="6">
        <v>18248.77</v>
      </c>
      <c r="U177" s="2"/>
      <c r="V177" s="7">
        <f t="shared" si="47"/>
        <v>2.082450139034769E-3</v>
      </c>
      <c r="W177" s="2"/>
      <c r="X177" s="6">
        <f t="shared" si="48"/>
        <v>-3952.1400000000012</v>
      </c>
      <c r="Y177" s="2"/>
      <c r="Z177" s="7">
        <f t="shared" si="49"/>
        <v>-0.21657021267734763</v>
      </c>
    </row>
    <row r="178" spans="1:26" s="26" customFormat="1" outlineLevel="1" collapsed="1" x14ac:dyDescent="0.25">
      <c r="A178" s="25"/>
      <c r="B178" s="12" t="str">
        <f>CONCATENATE("     ","*Payroll                                          ")</f>
        <v xml:space="preserve">     *Payroll                                          </v>
      </c>
      <c r="C178" s="12"/>
      <c r="D178" s="1">
        <f>SUM(OSRRefD22_1x_0)</f>
        <v>125797.98</v>
      </c>
      <c r="E178" s="1"/>
      <c r="F178" s="5">
        <f t="shared" ref="F178:F185" si="50">IF(D$12=0,0,D178/D$12)</f>
        <v>0.286904616891687</v>
      </c>
      <c r="G178" s="1"/>
      <c r="H178" s="1">
        <f>SUM(OSRRefH22_1x_0)</f>
        <v>85550.97</v>
      </c>
      <c r="I178" s="1"/>
      <c r="J178" s="5">
        <f t="shared" ref="J178:J185" si="51">IF(H$12=0,0,H178/H$12)</f>
        <v>0.51900485662918805</v>
      </c>
      <c r="K178" s="1"/>
      <c r="L178" s="1">
        <f t="shared" ref="L178:L185" si="52">+D178-H178</f>
        <v>40247.009999999995</v>
      </c>
      <c r="M178" s="1"/>
      <c r="N178" s="5">
        <f t="shared" ref="N178:N185" si="53">IF(H178=0,0,L178/H178)</f>
        <v>0.47044481202258714</v>
      </c>
      <c r="O178" s="12"/>
      <c r="P178" s="1">
        <f>SUM(OSRRefP22_1x_0)</f>
        <v>1248859.78</v>
      </c>
      <c r="Q178" s="1"/>
      <c r="R178" s="5">
        <f t="shared" ref="R178:R185" si="54">IF(P$12=0,0,P178/P$12)</f>
        <v>0.26556571075568453</v>
      </c>
      <c r="S178" s="1"/>
      <c r="T178" s="1">
        <f>SUM(OSRRefT22_1x_0)</f>
        <v>1710445.22</v>
      </c>
      <c r="U178" s="1"/>
      <c r="V178" s="5">
        <f t="shared" ref="V178:V185" si="55">IF(T$12=0,0,T178/T$12)</f>
        <v>0.19518668305865852</v>
      </c>
      <c r="W178" s="1"/>
      <c r="X178" s="1">
        <f t="shared" ref="X178:X185" si="56">+P178-T178</f>
        <v>-461585.43999999994</v>
      </c>
      <c r="Y178" s="1"/>
      <c r="Z178" s="5">
        <f t="shared" ref="Z178:Z185" si="57">IF(T178=0,0,X178/T178)</f>
        <v>-0.26986274368962249</v>
      </c>
    </row>
    <row r="179" spans="1:26" s="23" customFormat="1" hidden="1" outlineLevel="2" x14ac:dyDescent="0.25">
      <c r="A179" s="27"/>
      <c r="B179" s="10" t="str">
        <f>CONCATENATE("          ", "6001", " - ", "ADMINISTRATIVE SALARIES")</f>
        <v xml:space="preserve">          6001 - ADMINISTRATIVE SALARIES</v>
      </c>
      <c r="C179" s="10"/>
      <c r="D179" s="6">
        <v>4416.46</v>
      </c>
      <c r="E179" s="2"/>
      <c r="F179" s="7">
        <f t="shared" si="50"/>
        <v>1.0072520753651688E-2</v>
      </c>
      <c r="G179" s="2"/>
      <c r="H179" s="6"/>
      <c r="I179" s="2"/>
      <c r="J179" s="7">
        <f t="shared" si="51"/>
        <v>0</v>
      </c>
      <c r="K179" s="2"/>
      <c r="L179" s="6">
        <f t="shared" si="52"/>
        <v>4416.46</v>
      </c>
      <c r="M179" s="2"/>
      <c r="N179" s="7">
        <f t="shared" si="53"/>
        <v>0</v>
      </c>
      <c r="O179" s="10"/>
      <c r="P179" s="6">
        <v>43192.79</v>
      </c>
      <c r="Q179" s="2"/>
      <c r="R179" s="7">
        <f t="shared" si="54"/>
        <v>9.1847973323882868E-3</v>
      </c>
      <c r="S179" s="2"/>
      <c r="T179" s="6">
        <v>93238.31</v>
      </c>
      <c r="U179" s="2"/>
      <c r="V179" s="7">
        <f t="shared" si="55"/>
        <v>1.063984759646085E-2</v>
      </c>
      <c r="W179" s="2"/>
      <c r="X179" s="6">
        <f t="shared" si="56"/>
        <v>-50045.52</v>
      </c>
      <c r="Y179" s="2"/>
      <c r="Z179" s="7">
        <f t="shared" si="57"/>
        <v>-0.53674846744862703</v>
      </c>
    </row>
    <row r="180" spans="1:26" s="23" customFormat="1" hidden="1" outlineLevel="2" x14ac:dyDescent="0.25">
      <c r="A180" s="27"/>
      <c r="B180" s="10" t="str">
        <f>CONCATENATE("          ", "6002", " - ", "STAFF SALARIES")</f>
        <v xml:space="preserve">          6002 - STAFF SALARIES</v>
      </c>
      <c r="C180" s="10"/>
      <c r="D180" s="6">
        <v>68299.41</v>
      </c>
      <c r="E180" s="2"/>
      <c r="F180" s="7">
        <f t="shared" si="50"/>
        <v>0.1557689245882824</v>
      </c>
      <c r="G180" s="2"/>
      <c r="H180" s="6">
        <v>43797.9</v>
      </c>
      <c r="I180" s="2"/>
      <c r="J180" s="7">
        <f t="shared" si="51"/>
        <v>0.26570502719208816</v>
      </c>
      <c r="K180" s="2"/>
      <c r="L180" s="6">
        <f t="shared" si="52"/>
        <v>24501.510000000002</v>
      </c>
      <c r="M180" s="2"/>
      <c r="N180" s="7">
        <f t="shared" si="53"/>
        <v>0.55942202708349031</v>
      </c>
      <c r="O180" s="10"/>
      <c r="P180" s="6">
        <v>603174.88</v>
      </c>
      <c r="Q180" s="2"/>
      <c r="R180" s="7">
        <f t="shared" si="54"/>
        <v>0.12826305105059491</v>
      </c>
      <c r="S180" s="2"/>
      <c r="T180" s="6">
        <v>565747.49</v>
      </c>
      <c r="U180" s="2"/>
      <c r="V180" s="7">
        <f t="shared" si="55"/>
        <v>6.4560019070275504E-2</v>
      </c>
      <c r="W180" s="2"/>
      <c r="X180" s="6">
        <f t="shared" si="56"/>
        <v>37427.390000000014</v>
      </c>
      <c r="Y180" s="2"/>
      <c r="Z180" s="7">
        <f t="shared" si="57"/>
        <v>6.6155644808958872E-2</v>
      </c>
    </row>
    <row r="181" spans="1:26" s="23" customFormat="1" hidden="1" outlineLevel="2" x14ac:dyDescent="0.25">
      <c r="A181" s="27"/>
      <c r="B181" s="10" t="str">
        <f>CONCATENATE("          ", "6004", " - ", "STAFF HOURLY")</f>
        <v xml:space="preserve">          6004 - STAFF HOURLY</v>
      </c>
      <c r="C181" s="10"/>
      <c r="D181" s="6">
        <v>17783.84</v>
      </c>
      <c r="E181" s="2"/>
      <c r="F181" s="7">
        <f t="shared" si="50"/>
        <v>4.0559202954316587E-2</v>
      </c>
      <c r="G181" s="2"/>
      <c r="H181" s="6">
        <v>13252.7</v>
      </c>
      <c r="I181" s="2"/>
      <c r="J181" s="7">
        <f t="shared" si="51"/>
        <v>8.0399037713419746E-2</v>
      </c>
      <c r="K181" s="2"/>
      <c r="L181" s="6">
        <f t="shared" si="52"/>
        <v>4531.1399999999994</v>
      </c>
      <c r="M181" s="2"/>
      <c r="N181" s="7">
        <f t="shared" si="53"/>
        <v>0.34190315935620658</v>
      </c>
      <c r="O181" s="10"/>
      <c r="P181" s="6">
        <v>155291.97</v>
      </c>
      <c r="Q181" s="2"/>
      <c r="R181" s="7">
        <f t="shared" si="54"/>
        <v>3.3022300059739641E-2</v>
      </c>
      <c r="S181" s="2"/>
      <c r="T181" s="6">
        <v>51776.33</v>
      </c>
      <c r="U181" s="2"/>
      <c r="V181" s="7">
        <f t="shared" si="55"/>
        <v>5.9084324920096023E-3</v>
      </c>
      <c r="W181" s="2"/>
      <c r="X181" s="6">
        <f t="shared" si="56"/>
        <v>103515.64</v>
      </c>
      <c r="Y181" s="2"/>
      <c r="Z181" s="7">
        <f t="shared" si="57"/>
        <v>1.9992850014668864</v>
      </c>
    </row>
    <row r="182" spans="1:26" s="23" customFormat="1" hidden="1" outlineLevel="2" x14ac:dyDescent="0.25">
      <c r="A182" s="27"/>
      <c r="B182" s="10" t="str">
        <f>CONCATENATE("          ", "6005", " - ", "TEMPORARY WAGES-HOURLY")</f>
        <v xml:space="preserve">          6005 - TEMPORARY WAGES-HOURLY</v>
      </c>
      <c r="C182" s="10"/>
      <c r="D182" s="6">
        <v>16005.07</v>
      </c>
      <c r="E182" s="2"/>
      <c r="F182" s="7">
        <f t="shared" si="50"/>
        <v>3.6502402317387231E-2</v>
      </c>
      <c r="G182" s="2"/>
      <c r="H182" s="6">
        <v>13759.87</v>
      </c>
      <c r="I182" s="2"/>
      <c r="J182" s="7">
        <f t="shared" si="51"/>
        <v>8.3475843191331042E-2</v>
      </c>
      <c r="K182" s="2"/>
      <c r="L182" s="6">
        <f t="shared" si="52"/>
        <v>2245.1999999999989</v>
      </c>
      <c r="M182" s="2"/>
      <c r="N182" s="7">
        <f t="shared" si="53"/>
        <v>0.16317014622957912</v>
      </c>
      <c r="O182" s="10"/>
      <c r="P182" s="6">
        <v>152232.04999999999</v>
      </c>
      <c r="Q182" s="2"/>
      <c r="R182" s="7">
        <f t="shared" si="54"/>
        <v>3.2371618660058776E-2</v>
      </c>
      <c r="S182" s="2"/>
      <c r="T182" s="6">
        <v>180295.9</v>
      </c>
      <c r="U182" s="2"/>
      <c r="V182" s="7">
        <f t="shared" si="55"/>
        <v>2.0574385124169946E-2</v>
      </c>
      <c r="W182" s="2"/>
      <c r="X182" s="6">
        <f t="shared" si="56"/>
        <v>-28063.850000000006</v>
      </c>
      <c r="Y182" s="2"/>
      <c r="Z182" s="7">
        <f t="shared" si="57"/>
        <v>-0.15565439924035993</v>
      </c>
    </row>
    <row r="183" spans="1:26" s="23" customFormat="1" hidden="1" outlineLevel="2" x14ac:dyDescent="0.25">
      <c r="A183" s="27"/>
      <c r="B183" s="10" t="str">
        <f>CONCATENATE("          ", "6006", " - ", "TEMPORARY PART TIME")</f>
        <v xml:space="preserve">          6006 - TEMPORARY PART TIME</v>
      </c>
      <c r="C183" s="10"/>
      <c r="D183" s="6">
        <v>2893.47</v>
      </c>
      <c r="E183" s="2"/>
      <c r="F183" s="7">
        <f t="shared" si="50"/>
        <v>6.5990717962052291E-3</v>
      </c>
      <c r="G183" s="2"/>
      <c r="H183" s="6">
        <v>3309.56</v>
      </c>
      <c r="I183" s="2"/>
      <c r="J183" s="7">
        <f t="shared" si="51"/>
        <v>2.0077828612646891E-2</v>
      </c>
      <c r="K183" s="2"/>
      <c r="L183" s="6">
        <f t="shared" si="52"/>
        <v>-416.09000000000015</v>
      </c>
      <c r="M183" s="2"/>
      <c r="N183" s="7">
        <f t="shared" si="53"/>
        <v>-0.12572366115133135</v>
      </c>
      <c r="O183" s="10"/>
      <c r="P183" s="6">
        <v>16946.759999999998</v>
      </c>
      <c r="Q183" s="2"/>
      <c r="R183" s="7">
        <f t="shared" si="54"/>
        <v>3.6036698726945979E-3</v>
      </c>
      <c r="S183" s="2"/>
      <c r="T183" s="6">
        <v>33156.26</v>
      </c>
      <c r="U183" s="2"/>
      <c r="V183" s="7">
        <f t="shared" si="55"/>
        <v>3.7836116213242287E-3</v>
      </c>
      <c r="W183" s="2"/>
      <c r="X183" s="6">
        <f t="shared" si="56"/>
        <v>-16209.500000000004</v>
      </c>
      <c r="Y183" s="2"/>
      <c r="Z183" s="7">
        <f t="shared" si="57"/>
        <v>-0.48888203916847084</v>
      </c>
    </row>
    <row r="184" spans="1:26" s="23" customFormat="1" hidden="1" outlineLevel="2" x14ac:dyDescent="0.25">
      <c r="A184" s="27"/>
      <c r="B184" s="10" t="str">
        <f>CONCATENATE("          ", "6007", " - ", "STUDENT HOURLY")</f>
        <v xml:space="preserve">          6007 - STUDENT HOURLY</v>
      </c>
      <c r="C184" s="10"/>
      <c r="D184" s="6">
        <v>14809.4</v>
      </c>
      <c r="E184" s="2"/>
      <c r="F184" s="7">
        <f t="shared" si="50"/>
        <v>3.3775464704566396E-2</v>
      </c>
      <c r="G184" s="2"/>
      <c r="H184" s="6">
        <v>11274.94</v>
      </c>
      <c r="I184" s="2"/>
      <c r="J184" s="7">
        <f t="shared" si="51"/>
        <v>6.840072787255011E-2</v>
      </c>
      <c r="K184" s="2"/>
      <c r="L184" s="6">
        <f t="shared" si="52"/>
        <v>3534.4599999999991</v>
      </c>
      <c r="M184" s="2"/>
      <c r="N184" s="7">
        <f t="shared" si="53"/>
        <v>0.31347927350389437</v>
      </c>
      <c r="O184" s="10"/>
      <c r="P184" s="6">
        <v>268019.38</v>
      </c>
      <c r="Q184" s="2"/>
      <c r="R184" s="7">
        <f t="shared" si="54"/>
        <v>5.6993393722710728E-2</v>
      </c>
      <c r="S184" s="2"/>
      <c r="T184" s="6">
        <v>770751.01</v>
      </c>
      <c r="U184" s="2"/>
      <c r="V184" s="7">
        <f t="shared" si="55"/>
        <v>8.7953903081450888E-2</v>
      </c>
      <c r="W184" s="2"/>
      <c r="X184" s="6">
        <f t="shared" si="56"/>
        <v>-502731.63</v>
      </c>
      <c r="Y184" s="2"/>
      <c r="Z184" s="7">
        <f t="shared" si="57"/>
        <v>-0.65226204504097895</v>
      </c>
    </row>
    <row r="185" spans="1:26" s="23" customFormat="1" hidden="1" outlineLevel="2" x14ac:dyDescent="0.25">
      <c r="A185" s="27"/>
      <c r="B185" s="10" t="str">
        <f>CONCATENATE("          ", "6008", " - ", "STUDENT HOURLY-FICA EXEMPT")</f>
        <v xml:space="preserve">          6008 - STUDENT HOURLY-FICA EXEMPT</v>
      </c>
      <c r="C185" s="10"/>
      <c r="D185" s="6">
        <v>1590.33</v>
      </c>
      <c r="E185" s="2"/>
      <c r="F185" s="7">
        <f t="shared" si="50"/>
        <v>3.6270297772774776E-3</v>
      </c>
      <c r="G185" s="2"/>
      <c r="H185" s="6">
        <v>156</v>
      </c>
      <c r="I185" s="2"/>
      <c r="J185" s="7">
        <f t="shared" si="51"/>
        <v>9.4639204715216369E-4</v>
      </c>
      <c r="K185" s="2"/>
      <c r="L185" s="6">
        <f t="shared" si="52"/>
        <v>1434.33</v>
      </c>
      <c r="M185" s="2"/>
      <c r="N185" s="7">
        <f t="shared" si="53"/>
        <v>9.1944230769230764</v>
      </c>
      <c r="O185" s="10"/>
      <c r="P185" s="6">
        <v>10001.950000000001</v>
      </c>
      <c r="Q185" s="2"/>
      <c r="R185" s="7">
        <f t="shared" si="54"/>
        <v>2.1268800574975829E-3</v>
      </c>
      <c r="S185" s="2"/>
      <c r="T185" s="6">
        <v>15479.92</v>
      </c>
      <c r="U185" s="2"/>
      <c r="V185" s="7">
        <f t="shared" si="55"/>
        <v>1.7664840729674986E-3</v>
      </c>
      <c r="W185" s="2"/>
      <c r="X185" s="6">
        <f t="shared" si="56"/>
        <v>-5477.9699999999993</v>
      </c>
      <c r="Y185" s="2"/>
      <c r="Z185" s="7">
        <f t="shared" si="57"/>
        <v>-0.35387585982356495</v>
      </c>
    </row>
    <row r="186" spans="1:26" s="26" customFormat="1" outlineLevel="1" collapsed="1" x14ac:dyDescent="0.25">
      <c r="A186" s="25"/>
      <c r="B186" s="12" t="str">
        <f>CONCATENATE("     ","Advertising/Promo                                 ")</f>
        <v xml:space="preserve">     Advertising/Promo                                 </v>
      </c>
      <c r="C186" s="12"/>
      <c r="D186" s="1">
        <f>SUM(OSRRefD22_2x_0)</f>
        <v>1313.83</v>
      </c>
      <c r="E186" s="1"/>
      <c r="F186" s="5">
        <f t="shared" ref="F186:F190" si="58">IF(D$12=0,0,D186/D$12)</f>
        <v>2.9964224609234989E-3</v>
      </c>
      <c r="G186" s="1"/>
      <c r="H186" s="1">
        <f>SUM(OSRRefH22_2x_0)</f>
        <v>799.5</v>
      </c>
      <c r="I186" s="1"/>
      <c r="J186" s="5">
        <f t="shared" ref="J186:J190" si="59">IF(H$12=0,0,H186/H$12)</f>
        <v>4.8502592416548385E-3</v>
      </c>
      <c r="K186" s="1"/>
      <c r="L186" s="1">
        <f t="shared" ref="L186:L190" si="60">+D186-H186</f>
        <v>514.32999999999993</v>
      </c>
      <c r="M186" s="1"/>
      <c r="N186" s="5">
        <f t="shared" ref="N186:N190" si="61">IF(H186=0,0,L186/H186)</f>
        <v>0.64331457160725447</v>
      </c>
      <c r="O186" s="12"/>
      <c r="P186" s="1">
        <f>SUM(OSRRefP22_2x_0)</f>
        <v>17536.05</v>
      </c>
      <c r="Q186" s="1"/>
      <c r="R186" s="5">
        <f t="shared" ref="R186:R190" si="62">IF(P$12=0,0,P186/P$12)</f>
        <v>3.7289803520593971E-3</v>
      </c>
      <c r="S186" s="1"/>
      <c r="T186" s="1">
        <f>SUM(OSRRefT22_2x_0)</f>
        <v>44442.49</v>
      </c>
      <c r="U186" s="1"/>
      <c r="V186" s="5">
        <f t="shared" ref="V186:V190" si="63">IF(T$12=0,0,T186/T$12)</f>
        <v>5.0715346557357738E-3</v>
      </c>
      <c r="W186" s="1"/>
      <c r="X186" s="1">
        <f t="shared" ref="X186:X190" si="64">+P186-T186</f>
        <v>-26906.44</v>
      </c>
      <c r="Y186" s="1"/>
      <c r="Z186" s="5">
        <f t="shared" ref="Z186:Z190" si="65">IF(T186=0,0,X186/T186)</f>
        <v>-0.60542152341149202</v>
      </c>
    </row>
    <row r="187" spans="1:26" s="23" customFormat="1" hidden="1" outlineLevel="2" x14ac:dyDescent="0.25">
      <c r="A187" s="27"/>
      <c r="B187" s="10" t="str">
        <f>CONCATENATE("          ", "6362", " - ", "ADVERTISING EXPENSE")</f>
        <v xml:space="preserve">          6362 - ADVERTISING EXPENSE</v>
      </c>
      <c r="C187" s="10"/>
      <c r="D187" s="6">
        <v>1313.83</v>
      </c>
      <c r="E187" s="2"/>
      <c r="F187" s="7">
        <f t="shared" si="58"/>
        <v>2.9964224609234989E-3</v>
      </c>
      <c r="G187" s="2"/>
      <c r="H187" s="6">
        <v>799.5</v>
      </c>
      <c r="I187" s="2"/>
      <c r="J187" s="7">
        <f t="shared" si="59"/>
        <v>4.8502592416548385E-3</v>
      </c>
      <c r="K187" s="2"/>
      <c r="L187" s="6">
        <f t="shared" si="60"/>
        <v>514.32999999999993</v>
      </c>
      <c r="M187" s="2"/>
      <c r="N187" s="7">
        <f t="shared" si="61"/>
        <v>0.64331457160725447</v>
      </c>
      <c r="O187" s="10"/>
      <c r="P187" s="6">
        <v>17536.05</v>
      </c>
      <c r="Q187" s="2"/>
      <c r="R187" s="7">
        <f t="shared" si="62"/>
        <v>3.7289803520593971E-3</v>
      </c>
      <c r="S187" s="2"/>
      <c r="T187" s="6">
        <v>44442.49</v>
      </c>
      <c r="U187" s="2"/>
      <c r="V187" s="7">
        <f t="shared" si="63"/>
        <v>5.0715346557357738E-3</v>
      </c>
      <c r="W187" s="2"/>
      <c r="X187" s="6">
        <f t="shared" si="64"/>
        <v>-26906.44</v>
      </c>
      <c r="Y187" s="2"/>
      <c r="Z187" s="7">
        <f t="shared" si="65"/>
        <v>-0.60542152341149202</v>
      </c>
    </row>
    <row r="188" spans="1:26" s="26" customFormat="1" outlineLevel="1" collapsed="1" x14ac:dyDescent="0.25">
      <c r="A188" s="25"/>
      <c r="B188" s="12" t="str">
        <f>CONCATENATE("     ","Bad Debts/Over/Short                              ")</f>
        <v xml:space="preserve">     Bad Debts/Over/Short                              </v>
      </c>
      <c r="C188" s="12"/>
      <c r="D188" s="1">
        <f>SUM(OSRRefD22_3x_0)</f>
        <v>-1.25</v>
      </c>
      <c r="E188" s="1"/>
      <c r="F188" s="5">
        <f t="shared" si="58"/>
        <v>-2.8508468189601196E-6</v>
      </c>
      <c r="G188" s="1"/>
      <c r="H188" s="1">
        <f>SUM(OSRRefH22_3x_0)</f>
        <v>4.6500000000000004</v>
      </c>
      <c r="I188" s="1"/>
      <c r="J188" s="5">
        <f t="shared" si="59"/>
        <v>2.8209762943958726E-5</v>
      </c>
      <c r="K188" s="1"/>
      <c r="L188" s="1">
        <f t="shared" si="60"/>
        <v>-5.9</v>
      </c>
      <c r="M188" s="1"/>
      <c r="N188" s="5">
        <f t="shared" si="61"/>
        <v>-1.2688172043010753</v>
      </c>
      <c r="O188" s="12"/>
      <c r="P188" s="1">
        <f>SUM(OSRRefP22_3x_0)</f>
        <v>5182.7</v>
      </c>
      <c r="Q188" s="1"/>
      <c r="R188" s="5">
        <f t="shared" si="62"/>
        <v>1.1020832211711439E-3</v>
      </c>
      <c r="S188" s="1"/>
      <c r="T188" s="1">
        <f>SUM(OSRRefT22_3x_0)</f>
        <v>-26.370000000000005</v>
      </c>
      <c r="U188" s="1"/>
      <c r="V188" s="5">
        <f t="shared" si="63"/>
        <v>-3.0092006292120983E-6</v>
      </c>
      <c r="W188" s="1"/>
      <c r="X188" s="1">
        <f t="shared" si="64"/>
        <v>5209.07</v>
      </c>
      <c r="Y188" s="1"/>
      <c r="Z188" s="5">
        <f t="shared" si="65"/>
        <v>-197.53773227152061</v>
      </c>
    </row>
    <row r="189" spans="1:26" s="23" customFormat="1" hidden="1" outlineLevel="2" x14ac:dyDescent="0.25">
      <c r="A189" s="27"/>
      <c r="B189" s="10" t="str">
        <f>CONCATENATE("          ", "6272", " - ", "CASH (OVER/SHORT)")</f>
        <v xml:space="preserve">          6272 - CASH (OVER/SHORT)</v>
      </c>
      <c r="C189" s="10"/>
      <c r="D189" s="6">
        <v>-1.25</v>
      </c>
      <c r="E189" s="2"/>
      <c r="F189" s="7">
        <f t="shared" si="58"/>
        <v>-2.8508468189601196E-6</v>
      </c>
      <c r="G189" s="2"/>
      <c r="H189" s="6">
        <v>4.6500000000000004</v>
      </c>
      <c r="I189" s="2"/>
      <c r="J189" s="7">
        <f t="shared" si="59"/>
        <v>2.8209762943958726E-5</v>
      </c>
      <c r="K189" s="2"/>
      <c r="L189" s="6">
        <f t="shared" si="60"/>
        <v>-5.9</v>
      </c>
      <c r="M189" s="2"/>
      <c r="N189" s="7">
        <f t="shared" si="61"/>
        <v>-1.2688172043010753</v>
      </c>
      <c r="O189" s="10"/>
      <c r="P189" s="6">
        <v>-166.72</v>
      </c>
      <c r="Q189" s="2"/>
      <c r="R189" s="7">
        <f t="shared" si="62"/>
        <v>-3.5452431094536268E-5</v>
      </c>
      <c r="S189" s="2"/>
      <c r="T189" s="6">
        <v>-71.17</v>
      </c>
      <c r="U189" s="2"/>
      <c r="V189" s="7">
        <f t="shared" si="63"/>
        <v>-8.1215323769823666E-6</v>
      </c>
      <c r="W189" s="2"/>
      <c r="X189" s="6">
        <f t="shared" si="64"/>
        <v>-95.55</v>
      </c>
      <c r="Y189" s="2"/>
      <c r="Z189" s="7">
        <f t="shared" si="65"/>
        <v>1.3425600674441478</v>
      </c>
    </row>
    <row r="190" spans="1:26" s="23" customFormat="1" hidden="1" outlineLevel="2" x14ac:dyDescent="0.25">
      <c r="A190" s="27"/>
      <c r="B190" s="10" t="str">
        <f>CONCATENATE("          ", "6342", " - ", "BAD DEBT")</f>
        <v xml:space="preserve">          6342 - BAD DEBT</v>
      </c>
      <c r="C190" s="10"/>
      <c r="D190" s="6"/>
      <c r="E190" s="2"/>
      <c r="F190" s="7">
        <f t="shared" si="58"/>
        <v>0</v>
      </c>
      <c r="G190" s="2"/>
      <c r="H190" s="6"/>
      <c r="I190" s="2"/>
      <c r="J190" s="7">
        <f t="shared" si="59"/>
        <v>0</v>
      </c>
      <c r="K190" s="2"/>
      <c r="L190" s="6">
        <f t="shared" si="60"/>
        <v>0</v>
      </c>
      <c r="M190" s="2"/>
      <c r="N190" s="7">
        <f t="shared" si="61"/>
        <v>0</v>
      </c>
      <c r="O190" s="10"/>
      <c r="P190" s="6">
        <v>5349.42</v>
      </c>
      <c r="Q190" s="2"/>
      <c r="R190" s="7">
        <f t="shared" si="62"/>
        <v>1.1375356522656803E-3</v>
      </c>
      <c r="S190" s="2"/>
      <c r="T190" s="6">
        <v>44.8</v>
      </c>
      <c r="U190" s="2"/>
      <c r="V190" s="7">
        <f t="shared" si="63"/>
        <v>5.1123317477702683E-6</v>
      </c>
      <c r="W190" s="2"/>
      <c r="X190" s="6">
        <f t="shared" si="64"/>
        <v>5304.62</v>
      </c>
      <c r="Y190" s="2"/>
      <c r="Z190" s="7">
        <f t="shared" si="65"/>
        <v>118.40669642857144</v>
      </c>
    </row>
    <row r="191" spans="1:26" s="26" customFormat="1" outlineLevel="1" collapsed="1" x14ac:dyDescent="0.25">
      <c r="A191" s="25"/>
      <c r="B191" s="12" t="str">
        <f>CONCATENATE("     ","Bank/card Fees                                    ")</f>
        <v xml:space="preserve">     Bank/card Fees                                    </v>
      </c>
      <c r="C191" s="12"/>
      <c r="D191" s="1">
        <f>SUM(OSRRefD22_4x_0)</f>
        <v>5310.85</v>
      </c>
      <c r="E191" s="1"/>
      <c r="F191" s="5">
        <f t="shared" ref="F191:F196" si="66">IF(D$12=0,0,D191/D$12)</f>
        <v>1.2112335862779482E-2</v>
      </c>
      <c r="G191" s="1"/>
      <c r="H191" s="1">
        <f>SUM(OSRRefH22_4x_0)</f>
        <v>2683.78</v>
      </c>
      <c r="I191" s="1"/>
      <c r="J191" s="5">
        <f t="shared" ref="J191:J196" si="67">IF(H$12=0,0,H191/H$12)</f>
        <v>1.6281461848115603E-2</v>
      </c>
      <c r="K191" s="1"/>
      <c r="L191" s="1">
        <f t="shared" ref="L191:L196" si="68">+D191-H191</f>
        <v>2627.07</v>
      </c>
      <c r="M191" s="1"/>
      <c r="N191" s="5">
        <f t="shared" ref="N191:N196" si="69">IF(H191=0,0,L191/H191)</f>
        <v>0.97886935590845747</v>
      </c>
      <c r="O191" s="12"/>
      <c r="P191" s="1">
        <f>SUM(OSRRefP22_4x_0)</f>
        <v>74635.86</v>
      </c>
      <c r="Q191" s="1"/>
      <c r="R191" s="5">
        <f t="shared" ref="R191:R196" si="70">IF(P$12=0,0,P191/P$12)</f>
        <v>1.5871057364632051E-2</v>
      </c>
      <c r="S191" s="1"/>
      <c r="T191" s="1">
        <f>SUM(OSRRefT22_4x_0)</f>
        <v>139831.69</v>
      </c>
      <c r="U191" s="1"/>
      <c r="V191" s="5">
        <f t="shared" ref="V191:V196" si="71">IF(T$12=0,0,T191/T$12)</f>
        <v>1.5956830092218089E-2</v>
      </c>
      <c r="W191" s="1"/>
      <c r="X191" s="1">
        <f t="shared" ref="X191:X196" si="72">+P191-T191</f>
        <v>-65195.83</v>
      </c>
      <c r="Y191" s="1"/>
      <c r="Z191" s="5">
        <f t="shared" ref="Z191:Z196" si="73">IF(T191=0,0,X191/T191)</f>
        <v>-0.46624502643141907</v>
      </c>
    </row>
    <row r="192" spans="1:26" s="23" customFormat="1" hidden="1" outlineLevel="2" x14ac:dyDescent="0.25">
      <c r="A192" s="27"/>
      <c r="B192" s="10" t="str">
        <f>CONCATENATE("          ", "6381", " - ", "BANK/CREDIT CARD FEES")</f>
        <v xml:space="preserve">          6381 - BANK/CREDIT CARD FEES</v>
      </c>
      <c r="C192" s="10"/>
      <c r="D192" s="6">
        <v>5310.85</v>
      </c>
      <c r="E192" s="2"/>
      <c r="F192" s="7">
        <f t="shared" si="66"/>
        <v>1.2112335862779482E-2</v>
      </c>
      <c r="G192" s="2"/>
      <c r="H192" s="6">
        <v>2683.78</v>
      </c>
      <c r="I192" s="2"/>
      <c r="J192" s="7">
        <f t="shared" si="67"/>
        <v>1.6281461848115603E-2</v>
      </c>
      <c r="K192" s="2"/>
      <c r="L192" s="6">
        <f t="shared" si="68"/>
        <v>2627.07</v>
      </c>
      <c r="M192" s="2"/>
      <c r="N192" s="7">
        <f t="shared" si="69"/>
        <v>0.97886935590845747</v>
      </c>
      <c r="O192" s="10"/>
      <c r="P192" s="6">
        <v>74635.86</v>
      </c>
      <c r="Q192" s="2"/>
      <c r="R192" s="7">
        <f t="shared" si="70"/>
        <v>1.5871057364632051E-2</v>
      </c>
      <c r="S192" s="2"/>
      <c r="T192" s="6">
        <v>139831.69</v>
      </c>
      <c r="U192" s="2"/>
      <c r="V192" s="7">
        <f t="shared" si="71"/>
        <v>1.5956830092218089E-2</v>
      </c>
      <c r="W192" s="2"/>
      <c r="X192" s="6">
        <f t="shared" si="72"/>
        <v>-65195.83</v>
      </c>
      <c r="Y192" s="2"/>
      <c r="Z192" s="7">
        <f t="shared" si="73"/>
        <v>-0.46624502643141907</v>
      </c>
    </row>
    <row r="193" spans="1:26" s="26" customFormat="1" outlineLevel="1" collapsed="1" x14ac:dyDescent="0.25">
      <c r="A193" s="25"/>
      <c r="B193" s="12" t="str">
        <f>CONCATENATE("     ","Depreciation                                      ")</f>
        <v xml:space="preserve">     Depreciation                                      </v>
      </c>
      <c r="C193" s="12"/>
      <c r="D193" s="1">
        <f>SUM(OSRRefD22_5x_0)</f>
        <v>30735.85</v>
      </c>
      <c r="E193" s="1"/>
      <c r="F193" s="5">
        <f t="shared" si="66"/>
        <v>7.0098560160428314E-2</v>
      </c>
      <c r="G193" s="1"/>
      <c r="H193" s="1">
        <f>SUM(OSRRefH22_5x_0)</f>
        <v>30349.48</v>
      </c>
      <c r="I193" s="1"/>
      <c r="J193" s="5">
        <f t="shared" si="67"/>
        <v>0.18411863145643365</v>
      </c>
      <c r="K193" s="1"/>
      <c r="L193" s="1">
        <f t="shared" si="68"/>
        <v>386.36999999999898</v>
      </c>
      <c r="M193" s="1"/>
      <c r="N193" s="5">
        <f t="shared" si="69"/>
        <v>1.2730695880127072E-2</v>
      </c>
      <c r="O193" s="12"/>
      <c r="P193" s="1">
        <f>SUM(OSRRefP22_5x_0)</f>
        <v>307653.99</v>
      </c>
      <c r="Q193" s="1"/>
      <c r="R193" s="5">
        <f t="shared" si="70"/>
        <v>6.5421556390559923E-2</v>
      </c>
      <c r="S193" s="1"/>
      <c r="T193" s="1">
        <f>SUM(OSRRefT22_5x_0)</f>
        <v>298682.94</v>
      </c>
      <c r="U193" s="1"/>
      <c r="V193" s="5">
        <f t="shared" si="71"/>
        <v>3.4084068675878619E-2</v>
      </c>
      <c r="W193" s="1"/>
      <c r="X193" s="1">
        <f t="shared" si="72"/>
        <v>8971.0499999999884</v>
      </c>
      <c r="Y193" s="1"/>
      <c r="Z193" s="5">
        <f t="shared" si="73"/>
        <v>3.0035361242928667E-2</v>
      </c>
    </row>
    <row r="194" spans="1:26" s="23" customFormat="1" hidden="1" outlineLevel="2" x14ac:dyDescent="0.25">
      <c r="A194" s="27"/>
      <c r="B194" s="10" t="str">
        <f>CONCATENATE("          ", "6321", " - ", "BUILDING DEPRECIATION")</f>
        <v xml:space="preserve">          6321 - BUILDING DEPRECIATION</v>
      </c>
      <c r="C194" s="10"/>
      <c r="D194" s="6">
        <v>16396.52</v>
      </c>
      <c r="E194" s="2"/>
      <c r="F194" s="7">
        <f t="shared" si="66"/>
        <v>3.7395173507212782E-2</v>
      </c>
      <c r="G194" s="2"/>
      <c r="H194" s="6">
        <v>16396.52</v>
      </c>
      <c r="I194" s="2"/>
      <c r="J194" s="7">
        <f t="shared" si="67"/>
        <v>9.9471385442124333E-2</v>
      </c>
      <c r="K194" s="2"/>
      <c r="L194" s="6">
        <f t="shared" si="68"/>
        <v>0</v>
      </c>
      <c r="M194" s="2"/>
      <c r="N194" s="7">
        <f t="shared" si="69"/>
        <v>0</v>
      </c>
      <c r="O194" s="10"/>
      <c r="P194" s="6">
        <v>163965.20000000001</v>
      </c>
      <c r="Q194" s="2"/>
      <c r="R194" s="7">
        <f t="shared" si="70"/>
        <v>3.4866632407040896E-2</v>
      </c>
      <c r="S194" s="2"/>
      <c r="T194" s="6">
        <v>163965.20000000001</v>
      </c>
      <c r="U194" s="2"/>
      <c r="V194" s="7">
        <f t="shared" si="71"/>
        <v>1.8710814676104949E-2</v>
      </c>
      <c r="W194" s="2"/>
      <c r="X194" s="6">
        <f t="shared" si="72"/>
        <v>0</v>
      </c>
      <c r="Y194" s="2"/>
      <c r="Z194" s="7">
        <f t="shared" si="73"/>
        <v>0</v>
      </c>
    </row>
    <row r="195" spans="1:26" s="23" customFormat="1" hidden="1" outlineLevel="2" x14ac:dyDescent="0.25">
      <c r="A195" s="27"/>
      <c r="B195" s="10" t="str">
        <f>CONCATENATE("          ", "6322", " - ", "EQUIPMENT DEPRECIATION EXPENSE")</f>
        <v xml:space="preserve">          6322 - EQUIPMENT DEPRECIATION EXPENSE</v>
      </c>
      <c r="C195" s="10"/>
      <c r="D195" s="6">
        <v>14339.33</v>
      </c>
      <c r="E195" s="2"/>
      <c r="F195" s="7">
        <f t="shared" si="66"/>
        <v>3.2703386653215531E-2</v>
      </c>
      <c r="G195" s="2"/>
      <c r="H195" s="6">
        <v>13952.96</v>
      </c>
      <c r="I195" s="2"/>
      <c r="J195" s="7">
        <f t="shared" si="67"/>
        <v>8.4647246014309313E-2</v>
      </c>
      <c r="K195" s="2"/>
      <c r="L195" s="6">
        <f t="shared" si="68"/>
        <v>386.3700000000008</v>
      </c>
      <c r="M195" s="2"/>
      <c r="N195" s="7">
        <f t="shared" si="69"/>
        <v>2.7690898562025609E-2</v>
      </c>
      <c r="O195" s="10"/>
      <c r="P195" s="6">
        <v>143688.79</v>
      </c>
      <c r="Q195" s="2"/>
      <c r="R195" s="7">
        <f t="shared" si="70"/>
        <v>3.0554923983519028E-2</v>
      </c>
      <c r="S195" s="2"/>
      <c r="T195" s="6">
        <v>134717.74</v>
      </c>
      <c r="U195" s="2"/>
      <c r="V195" s="7">
        <f t="shared" si="71"/>
        <v>1.5373253999773673E-2</v>
      </c>
      <c r="W195" s="2"/>
      <c r="X195" s="6">
        <f t="shared" si="72"/>
        <v>8971.0500000000175</v>
      </c>
      <c r="Y195" s="2"/>
      <c r="Z195" s="7">
        <f t="shared" si="73"/>
        <v>6.6591452617895897E-2</v>
      </c>
    </row>
    <row r="196" spans="1:26" s="23" customFormat="1" hidden="1" outlineLevel="2" x14ac:dyDescent="0.25">
      <c r="A196" s="27"/>
      <c r="B196" s="10" t="str">
        <f>CONCATENATE("          ", "6324", " - ", "FURNITURE + FIXT DEPRECIATION")</f>
        <v xml:space="preserve">          6324 - FURNITURE + FIXT DEPRECIATION</v>
      </c>
      <c r="C196" s="10"/>
      <c r="D196" s="6"/>
      <c r="E196" s="2"/>
      <c r="F196" s="7">
        <f t="shared" si="66"/>
        <v>0</v>
      </c>
      <c r="G196" s="2"/>
      <c r="H196" s="6"/>
      <c r="I196" s="2"/>
      <c r="J196" s="7">
        <f t="shared" si="67"/>
        <v>0</v>
      </c>
      <c r="K196" s="2"/>
      <c r="L196" s="6">
        <f t="shared" si="68"/>
        <v>0</v>
      </c>
      <c r="M196" s="2"/>
      <c r="N196" s="7">
        <f t="shared" si="69"/>
        <v>0</v>
      </c>
      <c r="O196" s="10"/>
      <c r="P196" s="6"/>
      <c r="Q196" s="2"/>
      <c r="R196" s="7">
        <f t="shared" si="70"/>
        <v>0</v>
      </c>
      <c r="S196" s="2"/>
      <c r="T196" s="6">
        <v>0</v>
      </c>
      <c r="U196" s="2"/>
      <c r="V196" s="7">
        <f t="shared" si="71"/>
        <v>0</v>
      </c>
      <c r="W196" s="2"/>
      <c r="X196" s="6">
        <f t="shared" si="72"/>
        <v>0</v>
      </c>
      <c r="Y196" s="2"/>
      <c r="Z196" s="7">
        <f t="shared" si="73"/>
        <v>0</v>
      </c>
    </row>
    <row r="197" spans="1:26" s="26" customFormat="1" outlineLevel="1" collapsed="1" x14ac:dyDescent="0.25">
      <c r="A197" s="25"/>
      <c r="B197" s="12" t="str">
        <f>CONCATENATE("     ","Discounts and Markdowns                           ")</f>
        <v xml:space="preserve">     Discounts and Markdowns                           </v>
      </c>
      <c r="C197" s="12"/>
      <c r="D197" s="1">
        <f>SUM(OSRRefD22_6x_0)</f>
        <v>-15.43</v>
      </c>
      <c r="E197" s="1"/>
      <c r="F197" s="5">
        <f t="shared" ref="F197:F199" si="74">IF(D$12=0,0,D197/D$12)</f>
        <v>-3.5190853133243717E-5</v>
      </c>
      <c r="G197" s="1"/>
      <c r="H197" s="1">
        <f>SUM(OSRRefH22_6x_0)</f>
        <v>31843.850000000002</v>
      </c>
      <c r="I197" s="1"/>
      <c r="J197" s="5">
        <f t="shared" ref="J197:J199" si="75">IF(H$12=0,0,H197/H$12)</f>
        <v>0.19318439994042583</v>
      </c>
      <c r="K197" s="1"/>
      <c r="L197" s="1">
        <f t="shared" ref="L197:L199" si="76">+D197-H197</f>
        <v>-31859.280000000002</v>
      </c>
      <c r="M197" s="1"/>
      <c r="N197" s="5">
        <f t="shared" ref="N197:N199" si="77">IF(H197=0,0,L197/H197)</f>
        <v>-1.0004845519621528</v>
      </c>
      <c r="O197" s="12"/>
      <c r="P197" s="1">
        <f>SUM(OSRRefP22_6x_0)</f>
        <v>-15.43</v>
      </c>
      <c r="Q197" s="1"/>
      <c r="R197" s="5">
        <f t="shared" ref="R197:R199" si="78">IF(P$12=0,0,P197/P$12)</f>
        <v>-3.2811361071778706E-6</v>
      </c>
      <c r="S197" s="1"/>
      <c r="T197" s="1">
        <f>SUM(OSRRefT22_6x_0)</f>
        <v>303894.57</v>
      </c>
      <c r="U197" s="1"/>
      <c r="V197" s="5">
        <f t="shared" ref="V197:V199" si="79">IF(T$12=0,0,T197/T$12)</f>
        <v>3.4678791477365946E-2</v>
      </c>
      <c r="W197" s="1"/>
      <c r="X197" s="1">
        <f t="shared" ref="X197:X199" si="80">+P197-T197</f>
        <v>-303910</v>
      </c>
      <c r="Y197" s="1"/>
      <c r="Z197" s="5">
        <f t="shared" ref="Z197:Z199" si="81">IF(T197=0,0,X197/T197)</f>
        <v>-1.0000507741879034</v>
      </c>
    </row>
    <row r="198" spans="1:26" s="23" customFormat="1" hidden="1" outlineLevel="2" x14ac:dyDescent="0.25">
      <c r="A198" s="27"/>
      <c r="B198" s="10" t="str">
        <f>CONCATENATE("          ", "6382", " - ", "DISCOUNTS/MARK DOWNS")</f>
        <v xml:space="preserve">          6382 - DISCOUNTS/MARK DOWNS</v>
      </c>
      <c r="C198" s="10"/>
      <c r="D198" s="6">
        <v>0</v>
      </c>
      <c r="E198" s="2"/>
      <c r="F198" s="7">
        <f t="shared" si="74"/>
        <v>0</v>
      </c>
      <c r="G198" s="2"/>
      <c r="H198" s="6">
        <v>31843.99</v>
      </c>
      <c r="I198" s="2"/>
      <c r="J198" s="7">
        <f t="shared" si="75"/>
        <v>0.19318524926662198</v>
      </c>
      <c r="K198" s="2"/>
      <c r="L198" s="6">
        <f t="shared" si="76"/>
        <v>-31843.99</v>
      </c>
      <c r="M198" s="2"/>
      <c r="N198" s="7">
        <f t="shared" si="77"/>
        <v>-1</v>
      </c>
      <c r="O198" s="10"/>
      <c r="P198" s="6">
        <v>0</v>
      </c>
      <c r="Q198" s="2"/>
      <c r="R198" s="7">
        <f t="shared" si="78"/>
        <v>0</v>
      </c>
      <c r="S198" s="2"/>
      <c r="T198" s="6">
        <v>307126.19</v>
      </c>
      <c r="U198" s="2"/>
      <c r="V198" s="7">
        <f t="shared" si="79"/>
        <v>3.5047566332784011E-2</v>
      </c>
      <c r="W198" s="2"/>
      <c r="X198" s="6">
        <f t="shared" si="80"/>
        <v>-307126.19</v>
      </c>
      <c r="Y198" s="2"/>
      <c r="Z198" s="7">
        <f t="shared" si="81"/>
        <v>-1</v>
      </c>
    </row>
    <row r="199" spans="1:26" s="23" customFormat="1" hidden="1" outlineLevel="2" x14ac:dyDescent="0.25">
      <c r="A199" s="27"/>
      <c r="B199" s="10" t="str">
        <f>CONCATENATE("          ", "9175", " - ", "EARNED DISCOUNTS")</f>
        <v xml:space="preserve">          9175 - EARNED DISCOUNTS</v>
      </c>
      <c r="C199" s="10"/>
      <c r="D199" s="6">
        <v>-15.43</v>
      </c>
      <c r="E199" s="2"/>
      <c r="F199" s="7">
        <f t="shared" si="74"/>
        <v>-3.5190853133243717E-5</v>
      </c>
      <c r="G199" s="2"/>
      <c r="H199" s="6">
        <v>-0.14000000000000001</v>
      </c>
      <c r="I199" s="2"/>
      <c r="J199" s="7">
        <f t="shared" si="75"/>
        <v>-8.4932619616219825E-7</v>
      </c>
      <c r="K199" s="2"/>
      <c r="L199" s="6">
        <f t="shared" si="76"/>
        <v>-15.29</v>
      </c>
      <c r="M199" s="2"/>
      <c r="N199" s="7">
        <f t="shared" si="77"/>
        <v>109.21428571428569</v>
      </c>
      <c r="O199" s="10"/>
      <c r="P199" s="6">
        <v>-15.43</v>
      </c>
      <c r="Q199" s="2"/>
      <c r="R199" s="7">
        <f t="shared" si="78"/>
        <v>-3.2811361071778706E-6</v>
      </c>
      <c r="S199" s="2"/>
      <c r="T199" s="6">
        <v>-3231.62</v>
      </c>
      <c r="U199" s="2"/>
      <c r="V199" s="7">
        <f t="shared" si="79"/>
        <v>-3.6877485541806596E-4</v>
      </c>
      <c r="W199" s="2"/>
      <c r="X199" s="6">
        <f t="shared" si="80"/>
        <v>3216.19</v>
      </c>
      <c r="Y199" s="2"/>
      <c r="Z199" s="7">
        <f t="shared" si="81"/>
        <v>-0.9952253049554094</v>
      </c>
    </row>
    <row r="200" spans="1:26" s="26" customFormat="1" outlineLevel="1" collapsed="1" x14ac:dyDescent="0.25">
      <c r="A200" s="25"/>
      <c r="B200" s="12" t="str">
        <f>CONCATENATE("     ","Donations                                         ")</f>
        <v xml:space="preserve">     Donations                                         </v>
      </c>
      <c r="C200" s="12"/>
      <c r="D200" s="1">
        <f>SUM(OSRRefD22_7x_0)</f>
        <v>360.9</v>
      </c>
      <c r="E200" s="1"/>
      <c r="F200" s="5">
        <f t="shared" ref="F200:F208" si="82">IF(D$12=0,0,D200/D$12)</f>
        <v>8.2309649357016569E-4</v>
      </c>
      <c r="G200" s="1"/>
      <c r="H200" s="1">
        <f>SUM(OSRRefH22_7x_0)</f>
        <v>0</v>
      </c>
      <c r="I200" s="1"/>
      <c r="J200" s="5">
        <f t="shared" ref="J200:J208" si="83">IF(H$12=0,0,H200/H$12)</f>
        <v>0</v>
      </c>
      <c r="K200" s="1"/>
      <c r="L200" s="1">
        <f t="shared" ref="L200:L208" si="84">+D200-H200</f>
        <v>360.9</v>
      </c>
      <c r="M200" s="1"/>
      <c r="N200" s="5">
        <f t="shared" ref="N200:N208" si="85">IF(H200=0,0,L200/H200)</f>
        <v>0</v>
      </c>
      <c r="O200" s="12"/>
      <c r="P200" s="1">
        <f>SUM(OSRRefP22_7x_0)</f>
        <v>360.9</v>
      </c>
      <c r="Q200" s="1"/>
      <c r="R200" s="5">
        <f t="shared" ref="R200:R208" si="86">IF(P$12=0,0,P200/P$12)</f>
        <v>7.6744136168534899E-5</v>
      </c>
      <c r="S200" s="1"/>
      <c r="T200" s="1">
        <f>SUM(OSRRefT22_7x_0)</f>
        <v>12371.45</v>
      </c>
      <c r="U200" s="1"/>
      <c r="V200" s="5">
        <f t="shared" ref="V200:V208" si="87">IF(T$12=0,0,T200/T$12)</f>
        <v>1.4117624241284038E-3</v>
      </c>
      <c r="W200" s="1"/>
      <c r="X200" s="1">
        <f t="shared" ref="X200:X208" si="88">+P200-T200</f>
        <v>-12010.550000000001</v>
      </c>
      <c r="Y200" s="1"/>
      <c r="Z200" s="5">
        <f t="shared" ref="Z200:Z208" si="89">IF(T200=0,0,X200/T200)</f>
        <v>-0.9708279951016251</v>
      </c>
    </row>
    <row r="201" spans="1:26" s="23" customFormat="1" hidden="1" outlineLevel="2" x14ac:dyDescent="0.25">
      <c r="A201" s="27"/>
      <c r="B201" s="10" t="str">
        <f>CONCATENATE("          ", "6399", " - ", "DONATION-ON CAMPUS")</f>
        <v xml:space="preserve">          6399 - DONATION-ON CAMPUS</v>
      </c>
      <c r="C201" s="10"/>
      <c r="D201" s="6">
        <v>360.9</v>
      </c>
      <c r="E201" s="2"/>
      <c r="F201" s="7">
        <f t="shared" si="82"/>
        <v>8.2309649357016569E-4</v>
      </c>
      <c r="G201" s="2"/>
      <c r="H201" s="6"/>
      <c r="I201" s="2"/>
      <c r="J201" s="7">
        <f t="shared" si="83"/>
        <v>0</v>
      </c>
      <c r="K201" s="2"/>
      <c r="L201" s="6">
        <f t="shared" si="84"/>
        <v>360.9</v>
      </c>
      <c r="M201" s="2"/>
      <c r="N201" s="7">
        <f t="shared" si="85"/>
        <v>0</v>
      </c>
      <c r="O201" s="10"/>
      <c r="P201" s="6">
        <v>360.9</v>
      </c>
      <c r="Q201" s="2"/>
      <c r="R201" s="7">
        <f t="shared" si="86"/>
        <v>7.6744136168534899E-5</v>
      </c>
      <c r="S201" s="2"/>
      <c r="T201" s="6">
        <v>12371.45</v>
      </c>
      <c r="U201" s="2"/>
      <c r="V201" s="7">
        <f t="shared" si="87"/>
        <v>1.4117624241284038E-3</v>
      </c>
      <c r="W201" s="2"/>
      <c r="X201" s="6">
        <f t="shared" si="88"/>
        <v>-12010.550000000001</v>
      </c>
      <c r="Y201" s="2"/>
      <c r="Z201" s="7">
        <f t="shared" si="89"/>
        <v>-0.9708279951016251</v>
      </c>
    </row>
    <row r="202" spans="1:26" s="26" customFormat="1" outlineLevel="1" collapsed="1" x14ac:dyDescent="0.25">
      <c r="A202" s="25"/>
      <c r="B202" s="12" t="str">
        <f>CONCATENATE("     ","Employees' Appreciation                           ")</f>
        <v xml:space="preserve">     Employees' Appreciation                           </v>
      </c>
      <c r="C202" s="12"/>
      <c r="D202" s="1">
        <f>SUM(OSRRefD22_8x_0)</f>
        <v>0</v>
      </c>
      <c r="E202" s="1"/>
      <c r="F202" s="5">
        <f t="shared" si="82"/>
        <v>0</v>
      </c>
      <c r="G202" s="1"/>
      <c r="H202" s="1">
        <f>SUM(OSRRefH22_8x_0)</f>
        <v>30.15</v>
      </c>
      <c r="I202" s="1"/>
      <c r="J202" s="5">
        <f t="shared" si="83"/>
        <v>1.8290846295921623E-4</v>
      </c>
      <c r="K202" s="1"/>
      <c r="L202" s="1">
        <f t="shared" si="84"/>
        <v>-30.15</v>
      </c>
      <c r="M202" s="1"/>
      <c r="N202" s="5">
        <f t="shared" si="85"/>
        <v>-1</v>
      </c>
      <c r="O202" s="12"/>
      <c r="P202" s="1">
        <f>SUM(OSRRefP22_8x_0)</f>
        <v>186.03</v>
      </c>
      <c r="Q202" s="1"/>
      <c r="R202" s="5">
        <f t="shared" si="86"/>
        <v>3.9558635775651285E-5</v>
      </c>
      <c r="S202" s="1"/>
      <c r="T202" s="1">
        <f>SUM(OSRRefT22_8x_0)</f>
        <v>1554.27</v>
      </c>
      <c r="U202" s="1"/>
      <c r="V202" s="5">
        <f t="shared" si="87"/>
        <v>1.7736481842872535E-4</v>
      </c>
      <c r="W202" s="1"/>
      <c r="X202" s="1">
        <f t="shared" si="88"/>
        <v>-1368.24</v>
      </c>
      <c r="Y202" s="1"/>
      <c r="Z202" s="5">
        <f t="shared" si="89"/>
        <v>-0.88031037078499874</v>
      </c>
    </row>
    <row r="203" spans="1:26" s="23" customFormat="1" hidden="1" outlineLevel="2" x14ac:dyDescent="0.25">
      <c r="A203" s="27"/>
      <c r="B203" s="10" t="str">
        <f>CONCATENATE("          ", "6277", " - ", "EMPLOYEE APPRECIATION")</f>
        <v xml:space="preserve">          6277 - EMPLOYEE APPRECIATION</v>
      </c>
      <c r="C203" s="10"/>
      <c r="D203" s="6"/>
      <c r="E203" s="2"/>
      <c r="F203" s="7">
        <f t="shared" si="82"/>
        <v>0</v>
      </c>
      <c r="G203" s="2"/>
      <c r="H203" s="6">
        <v>30.15</v>
      </c>
      <c r="I203" s="2"/>
      <c r="J203" s="7">
        <f t="shared" si="83"/>
        <v>1.8290846295921623E-4</v>
      </c>
      <c r="K203" s="2"/>
      <c r="L203" s="6">
        <f t="shared" si="84"/>
        <v>-30.15</v>
      </c>
      <c r="M203" s="2"/>
      <c r="N203" s="7">
        <f t="shared" si="85"/>
        <v>-1</v>
      </c>
      <c r="O203" s="10"/>
      <c r="P203" s="6">
        <v>186.03</v>
      </c>
      <c r="Q203" s="2"/>
      <c r="R203" s="7">
        <f t="shared" si="86"/>
        <v>3.9558635775651285E-5</v>
      </c>
      <c r="S203" s="2"/>
      <c r="T203" s="6">
        <v>1554.27</v>
      </c>
      <c r="U203" s="2"/>
      <c r="V203" s="7">
        <f t="shared" si="87"/>
        <v>1.7736481842872535E-4</v>
      </c>
      <c r="W203" s="2"/>
      <c r="X203" s="6">
        <f t="shared" si="88"/>
        <v>-1368.24</v>
      </c>
      <c r="Y203" s="2"/>
      <c r="Z203" s="7">
        <f t="shared" si="89"/>
        <v>-0.88031037078499874</v>
      </c>
    </row>
    <row r="204" spans="1:26" s="26" customFormat="1" outlineLevel="1" collapsed="1" x14ac:dyDescent="0.25">
      <c r="A204" s="25"/>
      <c r="B204" s="12" t="str">
        <f>CONCATENATE("     ","Equipment Rental                                  ")</f>
        <v xml:space="preserve">     Equipment Rental                                  </v>
      </c>
      <c r="C204" s="12"/>
      <c r="D204" s="1">
        <f>SUM(OSRRefD22_9x_0)</f>
        <v>1388.16</v>
      </c>
      <c r="E204" s="1"/>
      <c r="F204" s="5">
        <f t="shared" si="82"/>
        <v>3.1659452161661439E-3</v>
      </c>
      <c r="G204" s="1"/>
      <c r="H204" s="1">
        <f>SUM(OSRRefH22_9x_0)</f>
        <v>1509.51</v>
      </c>
      <c r="I204" s="1"/>
      <c r="J204" s="5">
        <f t="shared" si="83"/>
        <v>9.1576170454914264E-3</v>
      </c>
      <c r="K204" s="1"/>
      <c r="L204" s="1">
        <f t="shared" si="84"/>
        <v>-121.34999999999991</v>
      </c>
      <c r="M204" s="1"/>
      <c r="N204" s="5">
        <f t="shared" si="85"/>
        <v>-8.0390325337361068E-2</v>
      </c>
      <c r="O204" s="12"/>
      <c r="P204" s="1">
        <f>SUM(OSRRefP22_9x_0)</f>
        <v>14834.17</v>
      </c>
      <c r="Q204" s="1"/>
      <c r="R204" s="5">
        <f t="shared" si="86"/>
        <v>3.1544349194436005E-3</v>
      </c>
      <c r="S204" s="1"/>
      <c r="T204" s="1">
        <f>SUM(OSRRefT22_9x_0)</f>
        <v>16764.13</v>
      </c>
      <c r="U204" s="1"/>
      <c r="V204" s="5">
        <f t="shared" si="87"/>
        <v>1.9130311165791963E-3</v>
      </c>
      <c r="W204" s="1"/>
      <c r="X204" s="1">
        <f t="shared" si="88"/>
        <v>-1929.9600000000009</v>
      </c>
      <c r="Y204" s="1"/>
      <c r="Z204" s="5">
        <f t="shared" si="89"/>
        <v>-0.11512437567592239</v>
      </c>
    </row>
    <row r="205" spans="1:26" s="23" customFormat="1" hidden="1" outlineLevel="2" x14ac:dyDescent="0.25">
      <c r="A205" s="27"/>
      <c r="B205" s="10" t="str">
        <f>CONCATENATE("          ", "6351", " - ", "EQUIPMENT RENTAL")</f>
        <v xml:space="preserve">          6351 - EQUIPMENT RENTAL</v>
      </c>
      <c r="C205" s="10"/>
      <c r="D205" s="6">
        <v>1388.16</v>
      </c>
      <c r="E205" s="2"/>
      <c r="F205" s="7">
        <f t="shared" si="82"/>
        <v>3.1659452161661439E-3</v>
      </c>
      <c r="G205" s="2"/>
      <c r="H205" s="6">
        <v>1509.51</v>
      </c>
      <c r="I205" s="2"/>
      <c r="J205" s="7">
        <f t="shared" si="83"/>
        <v>9.1576170454914264E-3</v>
      </c>
      <c r="K205" s="2"/>
      <c r="L205" s="6">
        <f t="shared" si="84"/>
        <v>-121.34999999999991</v>
      </c>
      <c r="M205" s="2"/>
      <c r="N205" s="7">
        <f t="shared" si="85"/>
        <v>-8.0390325337361068E-2</v>
      </c>
      <c r="O205" s="10"/>
      <c r="P205" s="6">
        <v>14834.17</v>
      </c>
      <c r="Q205" s="2"/>
      <c r="R205" s="7">
        <f t="shared" si="86"/>
        <v>3.1544349194436005E-3</v>
      </c>
      <c r="S205" s="2"/>
      <c r="T205" s="6">
        <v>16764.13</v>
      </c>
      <c r="U205" s="2"/>
      <c r="V205" s="7">
        <f t="shared" si="87"/>
        <v>1.9130311165791963E-3</v>
      </c>
      <c r="W205" s="2"/>
      <c r="X205" s="6">
        <f t="shared" si="88"/>
        <v>-1929.9600000000009</v>
      </c>
      <c r="Y205" s="2"/>
      <c r="Z205" s="7">
        <f t="shared" si="89"/>
        <v>-0.11512437567592239</v>
      </c>
    </row>
    <row r="206" spans="1:26" s="26" customFormat="1" outlineLevel="1" collapsed="1" x14ac:dyDescent="0.25">
      <c r="A206" s="25"/>
      <c r="B206" s="12" t="str">
        <f>CONCATENATE("     ","Freight out/Postage                               ")</f>
        <v xml:space="preserve">     Freight out/Postage                               </v>
      </c>
      <c r="C206" s="12"/>
      <c r="D206" s="1">
        <f>SUM(OSRRefD22_10x_0)</f>
        <v>-12514.900000000001</v>
      </c>
      <c r="E206" s="1"/>
      <c r="F206" s="5">
        <f t="shared" si="82"/>
        <v>-2.8542450283683202E-2</v>
      </c>
      <c r="G206" s="1"/>
      <c r="H206" s="1">
        <f>SUM(OSRRefH22_10x_0)</f>
        <v>9022.869999999999</v>
      </c>
      <c r="I206" s="1"/>
      <c r="J206" s="5">
        <f t="shared" si="83"/>
        <v>5.4738284682614373E-2</v>
      </c>
      <c r="K206" s="1"/>
      <c r="L206" s="1">
        <f t="shared" si="84"/>
        <v>-21537.77</v>
      </c>
      <c r="M206" s="1"/>
      <c r="N206" s="5">
        <f t="shared" si="85"/>
        <v>-2.3870198728342538</v>
      </c>
      <c r="O206" s="12"/>
      <c r="P206" s="1">
        <f>SUM(OSRRefP22_10x_0)</f>
        <v>-47021.550000000017</v>
      </c>
      <c r="Q206" s="1"/>
      <c r="R206" s="5">
        <f t="shared" si="86"/>
        <v>-9.9989698976325134E-3</v>
      </c>
      <c r="S206" s="1"/>
      <c r="T206" s="1">
        <f>SUM(OSRRefT22_10x_0)</f>
        <v>9894.2000000000044</v>
      </c>
      <c r="U206" s="1"/>
      <c r="V206" s="5">
        <f t="shared" si="87"/>
        <v>1.1290721602408172E-3</v>
      </c>
      <c r="W206" s="1"/>
      <c r="X206" s="1">
        <f t="shared" si="88"/>
        <v>-56915.750000000022</v>
      </c>
      <c r="Y206" s="1"/>
      <c r="Z206" s="5">
        <f t="shared" si="89"/>
        <v>-5.7524357704513749</v>
      </c>
    </row>
    <row r="207" spans="1:26" s="23" customFormat="1" hidden="1" outlineLevel="2" x14ac:dyDescent="0.25">
      <c r="A207" s="27"/>
      <c r="B207" s="10" t="str">
        <f>CONCATENATE("          ", "6305", " - ", "FREIGHT OUT")</f>
        <v xml:space="preserve">          6305 - FREIGHT OUT</v>
      </c>
      <c r="C207" s="10"/>
      <c r="D207" s="6">
        <v>22667.040000000001</v>
      </c>
      <c r="E207" s="2"/>
      <c r="F207" s="7">
        <f t="shared" si="82"/>
        <v>5.1696207103393434E-2</v>
      </c>
      <c r="G207" s="2"/>
      <c r="H207" s="6">
        <v>10582.71</v>
      </c>
      <c r="I207" s="2"/>
      <c r="J207" s="7">
        <f t="shared" si="83"/>
        <v>6.4201234495626106E-2</v>
      </c>
      <c r="K207" s="2"/>
      <c r="L207" s="6">
        <f t="shared" si="84"/>
        <v>12084.330000000002</v>
      </c>
      <c r="M207" s="2"/>
      <c r="N207" s="7">
        <f t="shared" si="85"/>
        <v>1.1418937115351364</v>
      </c>
      <c r="O207" s="10"/>
      <c r="P207" s="6">
        <v>201900.83</v>
      </c>
      <c r="Q207" s="2"/>
      <c r="R207" s="7">
        <f t="shared" si="86"/>
        <v>4.2933512856913873E-2</v>
      </c>
      <c r="S207" s="2"/>
      <c r="T207" s="6">
        <v>62325.19</v>
      </c>
      <c r="U207" s="2"/>
      <c r="V207" s="7">
        <f t="shared" si="87"/>
        <v>7.1122108822056712E-3</v>
      </c>
      <c r="W207" s="2"/>
      <c r="X207" s="6">
        <f t="shared" si="88"/>
        <v>139575.63999999998</v>
      </c>
      <c r="Y207" s="2"/>
      <c r="Z207" s="7">
        <f t="shared" si="89"/>
        <v>2.2394739590846009</v>
      </c>
    </row>
    <row r="208" spans="1:26" s="23" customFormat="1" hidden="1" outlineLevel="2" x14ac:dyDescent="0.25">
      <c r="A208" s="27"/>
      <c r="B208" s="10" t="str">
        <f>CONCATENATE("          ", "6307", " - ", "POSTAGE")</f>
        <v xml:space="preserve">          6307 - POSTAGE</v>
      </c>
      <c r="C208" s="10"/>
      <c r="D208" s="6">
        <v>-35181.94</v>
      </c>
      <c r="E208" s="2"/>
      <c r="F208" s="7">
        <f t="shared" si="82"/>
        <v>-8.023865738707664E-2</v>
      </c>
      <c r="G208" s="2"/>
      <c r="H208" s="6">
        <v>-1559.84</v>
      </c>
      <c r="I208" s="2"/>
      <c r="J208" s="7">
        <f t="shared" si="83"/>
        <v>-9.4629498130117361E-3</v>
      </c>
      <c r="K208" s="2"/>
      <c r="L208" s="6">
        <f t="shared" si="84"/>
        <v>-33622.100000000006</v>
      </c>
      <c r="M208" s="2"/>
      <c r="N208" s="7">
        <f t="shared" si="85"/>
        <v>21.554838957841834</v>
      </c>
      <c r="O208" s="10"/>
      <c r="P208" s="6">
        <v>-248922.38</v>
      </c>
      <c r="Q208" s="2"/>
      <c r="R208" s="7">
        <f t="shared" si="86"/>
        <v>-5.2932482754546387E-2</v>
      </c>
      <c r="S208" s="2"/>
      <c r="T208" s="6">
        <v>-52430.99</v>
      </c>
      <c r="U208" s="2"/>
      <c r="V208" s="7">
        <f t="shared" si="87"/>
        <v>-5.983138721964854E-3</v>
      </c>
      <c r="W208" s="2"/>
      <c r="X208" s="6">
        <f t="shared" si="88"/>
        <v>-196491.39</v>
      </c>
      <c r="Y208" s="2"/>
      <c r="Z208" s="7">
        <f t="shared" si="89"/>
        <v>3.7476192991969066</v>
      </c>
    </row>
    <row r="209" spans="1:26" s="26" customFormat="1" outlineLevel="1" collapsed="1" x14ac:dyDescent="0.25">
      <c r="A209" s="25"/>
      <c r="B209" s="12" t="str">
        <f>CONCATENATE("     ","General                                           ")</f>
        <v xml:space="preserve">     General                                           </v>
      </c>
      <c r="C209" s="12"/>
      <c r="D209" s="1">
        <f>SUM(OSRRefD22_11x_0)</f>
        <v>93.84</v>
      </c>
      <c r="E209" s="1"/>
      <c r="F209" s="5">
        <f t="shared" ref="F209:F216" si="90">IF(D$12=0,0,D209/D$12)</f>
        <v>2.1401877239297411E-4</v>
      </c>
      <c r="G209" s="1"/>
      <c r="H209" s="1">
        <f>SUM(OSRRefH22_11x_0)</f>
        <v>-660.03</v>
      </c>
      <c r="I209" s="1"/>
      <c r="J209" s="5">
        <f t="shared" ref="J209:J216" si="91">IF(H$12=0,0,H209/H$12)</f>
        <v>-4.0041483518066827E-3</v>
      </c>
      <c r="K209" s="1"/>
      <c r="L209" s="1">
        <f t="shared" ref="L209:L216" si="92">+D209-H209</f>
        <v>753.87</v>
      </c>
      <c r="M209" s="1"/>
      <c r="N209" s="5">
        <f t="shared" ref="N209:N216" si="93">IF(H209=0,0,L209/H209)</f>
        <v>-1.1421753556656515</v>
      </c>
      <c r="O209" s="12"/>
      <c r="P209" s="1">
        <f>SUM(OSRRefP22_11x_0)</f>
        <v>2603.63</v>
      </c>
      <c r="Q209" s="1"/>
      <c r="R209" s="5">
        <f t="shared" ref="R209:R216" si="94">IF(P$12=0,0,P209/P$12)</f>
        <v>5.5365291009277509E-4</v>
      </c>
      <c r="S209" s="1"/>
      <c r="T209" s="1">
        <f>SUM(OSRRefT22_11x_0)</f>
        <v>-1691.62</v>
      </c>
      <c r="U209" s="1"/>
      <c r="V209" s="5">
        <f t="shared" ref="V209:V216" si="95">IF(T$12=0,0,T209/T$12)</f>
        <v>-1.9303845158846297E-4</v>
      </c>
      <c r="W209" s="1"/>
      <c r="X209" s="1">
        <f t="shared" ref="X209:X216" si="96">+P209-T209</f>
        <v>4295.25</v>
      </c>
      <c r="Y209" s="1"/>
      <c r="Z209" s="5">
        <f t="shared" ref="Z209:Z216" si="97">IF(T209=0,0,X209/T209)</f>
        <v>-2.5391340844870598</v>
      </c>
    </row>
    <row r="210" spans="1:26" s="23" customFormat="1" hidden="1" outlineLevel="2" x14ac:dyDescent="0.25">
      <c r="A210" s="27"/>
      <c r="B210" s="10" t="str">
        <f>CONCATENATE("          ", "6279", " - ", "GENERAL EXPENSE")</f>
        <v xml:space="preserve">          6279 - GENERAL EXPENSE</v>
      </c>
      <c r="C210" s="10"/>
      <c r="D210" s="6">
        <v>93.84</v>
      </c>
      <c r="E210" s="2"/>
      <c r="F210" s="7">
        <f t="shared" si="90"/>
        <v>2.1401877239297411E-4</v>
      </c>
      <c r="G210" s="2"/>
      <c r="H210" s="6">
        <v>-660.03</v>
      </c>
      <c r="I210" s="2"/>
      <c r="J210" s="7">
        <f t="shared" si="91"/>
        <v>-4.0041483518066827E-3</v>
      </c>
      <c r="K210" s="2"/>
      <c r="L210" s="6">
        <f t="shared" si="92"/>
        <v>753.87</v>
      </c>
      <c r="M210" s="2"/>
      <c r="N210" s="7">
        <f t="shared" si="93"/>
        <v>-1.1421753556656515</v>
      </c>
      <c r="O210" s="10"/>
      <c r="P210" s="6">
        <v>2603.63</v>
      </c>
      <c r="Q210" s="2"/>
      <c r="R210" s="7">
        <f t="shared" si="94"/>
        <v>5.5365291009277509E-4</v>
      </c>
      <c r="S210" s="2"/>
      <c r="T210" s="6">
        <v>-1691.62</v>
      </c>
      <c r="U210" s="2"/>
      <c r="V210" s="7">
        <f t="shared" si="95"/>
        <v>-1.9303845158846297E-4</v>
      </c>
      <c r="W210" s="2"/>
      <c r="X210" s="6">
        <f t="shared" si="96"/>
        <v>4295.25</v>
      </c>
      <c r="Y210" s="2"/>
      <c r="Z210" s="7">
        <f t="shared" si="97"/>
        <v>-2.5391340844870598</v>
      </c>
    </row>
    <row r="211" spans="1:26" s="26" customFormat="1" outlineLevel="1" collapsed="1" x14ac:dyDescent="0.25">
      <c r="A211" s="25"/>
      <c r="B211" s="12" t="str">
        <f>CONCATENATE("     ","Insurance                                         ")</f>
        <v xml:space="preserve">     Insurance                                         </v>
      </c>
      <c r="C211" s="12"/>
      <c r="D211" s="1">
        <f>SUM(OSRRefD22_12x_0)</f>
        <v>4044.74</v>
      </c>
      <c r="E211" s="1"/>
      <c r="F211" s="5">
        <f t="shared" si="90"/>
        <v>9.2247473300166027E-3</v>
      </c>
      <c r="G211" s="1"/>
      <c r="H211" s="1">
        <f>SUM(OSRRefH22_12x_0)</f>
        <v>4044.74</v>
      </c>
      <c r="I211" s="1"/>
      <c r="J211" s="5">
        <f t="shared" si="91"/>
        <v>2.4537883133322065E-2</v>
      </c>
      <c r="K211" s="1"/>
      <c r="L211" s="1">
        <f t="shared" si="92"/>
        <v>0</v>
      </c>
      <c r="M211" s="1"/>
      <c r="N211" s="5">
        <f t="shared" si="93"/>
        <v>0</v>
      </c>
      <c r="O211" s="12"/>
      <c r="P211" s="1">
        <f>SUM(OSRRefP22_12x_0)</f>
        <v>40447.4</v>
      </c>
      <c r="Q211" s="1"/>
      <c r="R211" s="5">
        <f t="shared" si="94"/>
        <v>8.6009996488312524E-3</v>
      </c>
      <c r="S211" s="1"/>
      <c r="T211" s="1">
        <f>SUM(OSRRefT22_12x_0)</f>
        <v>40447.4</v>
      </c>
      <c r="U211" s="1"/>
      <c r="V211" s="5">
        <f t="shared" si="95"/>
        <v>4.6156367664009637E-3</v>
      </c>
      <c r="W211" s="1"/>
      <c r="X211" s="1">
        <f t="shared" si="96"/>
        <v>0</v>
      </c>
      <c r="Y211" s="1"/>
      <c r="Z211" s="5">
        <f t="shared" si="97"/>
        <v>0</v>
      </c>
    </row>
    <row r="212" spans="1:26" s="23" customFormat="1" hidden="1" outlineLevel="2" x14ac:dyDescent="0.25">
      <c r="A212" s="27"/>
      <c r="B212" s="10" t="str">
        <f>CONCATENATE("          ", "6314", " - ", "LIABILITY INSURANCE")</f>
        <v xml:space="preserve">          6314 - LIABILITY INSURANCE</v>
      </c>
      <c r="C212" s="10"/>
      <c r="D212" s="6">
        <v>4044.74</v>
      </c>
      <c r="E212" s="2"/>
      <c r="F212" s="7">
        <f t="shared" si="90"/>
        <v>9.2247473300166027E-3</v>
      </c>
      <c r="G212" s="2"/>
      <c r="H212" s="6">
        <v>4044.74</v>
      </c>
      <c r="I212" s="2"/>
      <c r="J212" s="7">
        <f t="shared" si="91"/>
        <v>2.4537883133322065E-2</v>
      </c>
      <c r="K212" s="2"/>
      <c r="L212" s="6">
        <f t="shared" si="92"/>
        <v>0</v>
      </c>
      <c r="M212" s="2"/>
      <c r="N212" s="7">
        <f t="shared" si="93"/>
        <v>0</v>
      </c>
      <c r="O212" s="10"/>
      <c r="P212" s="6">
        <v>40447.4</v>
      </c>
      <c r="Q212" s="2"/>
      <c r="R212" s="7">
        <f t="shared" si="94"/>
        <v>8.6009996488312524E-3</v>
      </c>
      <c r="S212" s="2"/>
      <c r="T212" s="6">
        <v>40447.4</v>
      </c>
      <c r="U212" s="2"/>
      <c r="V212" s="7">
        <f t="shared" si="95"/>
        <v>4.6156367664009637E-3</v>
      </c>
      <c r="W212" s="2"/>
      <c r="X212" s="6">
        <f t="shared" si="96"/>
        <v>0</v>
      </c>
      <c r="Y212" s="2"/>
      <c r="Z212" s="7">
        <f t="shared" si="97"/>
        <v>0</v>
      </c>
    </row>
    <row r="213" spans="1:26" s="26" customFormat="1" outlineLevel="1" collapsed="1" x14ac:dyDescent="0.25">
      <c r="A213" s="25"/>
      <c r="B213" s="12" t="str">
        <f>CONCATENATE("     ","Inventory Adjustment                              ")</f>
        <v xml:space="preserve">     Inventory Adjustment                              </v>
      </c>
      <c r="C213" s="12"/>
      <c r="D213" s="1">
        <f>SUM(OSRRefD22_13x_0)</f>
        <v>2100</v>
      </c>
      <c r="E213" s="1"/>
      <c r="F213" s="5">
        <f t="shared" si="90"/>
        <v>4.789422655853001E-3</v>
      </c>
      <c r="G213" s="1"/>
      <c r="H213" s="1">
        <f>SUM(OSRRefH22_13x_0)</f>
        <v>4550</v>
      </c>
      <c r="I213" s="1"/>
      <c r="J213" s="5">
        <f t="shared" si="91"/>
        <v>2.760310137527144E-2</v>
      </c>
      <c r="K213" s="1"/>
      <c r="L213" s="1">
        <f t="shared" si="92"/>
        <v>-2450</v>
      </c>
      <c r="M213" s="1"/>
      <c r="N213" s="5">
        <f t="shared" si="93"/>
        <v>-0.53846153846153844</v>
      </c>
      <c r="O213" s="12"/>
      <c r="P213" s="1">
        <f>SUM(OSRRefP22_13x_0)</f>
        <v>26000</v>
      </c>
      <c r="Q213" s="1"/>
      <c r="R213" s="5">
        <f t="shared" si="94"/>
        <v>5.5288100315375663E-3</v>
      </c>
      <c r="S213" s="1"/>
      <c r="T213" s="1">
        <f>SUM(OSRRefT22_13x_0)</f>
        <v>48800</v>
      </c>
      <c r="U213" s="1"/>
      <c r="V213" s="5">
        <f t="shared" si="95"/>
        <v>5.5687899395354713E-3</v>
      </c>
      <c r="W213" s="1"/>
      <c r="X213" s="1">
        <f t="shared" si="96"/>
        <v>-22800</v>
      </c>
      <c r="Y213" s="1"/>
      <c r="Z213" s="5">
        <f t="shared" si="97"/>
        <v>-0.46721311475409838</v>
      </c>
    </row>
    <row r="214" spans="1:26" s="23" customFormat="1" hidden="1" outlineLevel="2" x14ac:dyDescent="0.25">
      <c r="A214" s="27"/>
      <c r="B214" s="10" t="str">
        <f>CONCATENATE("          ", "6408", " - ", "INVENTORY ADJUSTMENT")</f>
        <v xml:space="preserve">          6408 - INVENTORY ADJUSTMENT</v>
      </c>
      <c r="C214" s="10"/>
      <c r="D214" s="6">
        <v>2100</v>
      </c>
      <c r="E214" s="2"/>
      <c r="F214" s="7">
        <f t="shared" si="90"/>
        <v>4.789422655853001E-3</v>
      </c>
      <c r="G214" s="2"/>
      <c r="H214" s="6">
        <v>4550</v>
      </c>
      <c r="I214" s="2"/>
      <c r="J214" s="7">
        <f t="shared" si="91"/>
        <v>2.760310137527144E-2</v>
      </c>
      <c r="K214" s="2"/>
      <c r="L214" s="6">
        <f t="shared" si="92"/>
        <v>-2450</v>
      </c>
      <c r="M214" s="2"/>
      <c r="N214" s="7">
        <f t="shared" si="93"/>
        <v>-0.53846153846153844</v>
      </c>
      <c r="O214" s="10"/>
      <c r="P214" s="6">
        <v>26000</v>
      </c>
      <c r="Q214" s="2"/>
      <c r="R214" s="7">
        <f t="shared" si="94"/>
        <v>5.5288100315375663E-3</v>
      </c>
      <c r="S214" s="2"/>
      <c r="T214" s="6">
        <v>48800</v>
      </c>
      <c r="U214" s="2"/>
      <c r="V214" s="7">
        <f t="shared" si="95"/>
        <v>5.5687899395354713E-3</v>
      </c>
      <c r="W214" s="2"/>
      <c r="X214" s="6">
        <f t="shared" si="96"/>
        <v>-22800</v>
      </c>
      <c r="Y214" s="2"/>
      <c r="Z214" s="7">
        <f t="shared" si="97"/>
        <v>-0.46721311475409838</v>
      </c>
    </row>
    <row r="215" spans="1:26" s="23" customFormat="1" hidden="1" outlineLevel="2" x14ac:dyDescent="0.25">
      <c r="A215" s="27"/>
      <c r="B215" s="10" t="str">
        <f>CONCATENATE("          ", "7701", " - ", "INV. SHRINKAGE-NEW TEXT")</f>
        <v xml:space="preserve">          7701 - INV. SHRINKAGE-NEW TEXT</v>
      </c>
      <c r="C215" s="10"/>
      <c r="D215" s="6"/>
      <c r="E215" s="2"/>
      <c r="F215" s="7">
        <f t="shared" si="90"/>
        <v>0</v>
      </c>
      <c r="G215" s="2"/>
      <c r="H215" s="6"/>
      <c r="I215" s="2"/>
      <c r="J215" s="7">
        <f t="shared" si="91"/>
        <v>0</v>
      </c>
      <c r="K215" s="2"/>
      <c r="L215" s="6">
        <f t="shared" si="92"/>
        <v>0</v>
      </c>
      <c r="M215" s="2"/>
      <c r="N215" s="7">
        <f t="shared" si="93"/>
        <v>0</v>
      </c>
      <c r="O215" s="10"/>
      <c r="P215" s="6"/>
      <c r="Q215" s="2"/>
      <c r="R215" s="7">
        <f t="shared" si="94"/>
        <v>0</v>
      </c>
      <c r="S215" s="2"/>
      <c r="T215" s="6">
        <v>0</v>
      </c>
      <c r="U215" s="2"/>
      <c r="V215" s="7">
        <f t="shared" si="95"/>
        <v>0</v>
      </c>
      <c r="W215" s="2"/>
      <c r="X215" s="6">
        <f t="shared" si="96"/>
        <v>0</v>
      </c>
      <c r="Y215" s="2"/>
      <c r="Z215" s="7">
        <f t="shared" si="97"/>
        <v>0</v>
      </c>
    </row>
    <row r="216" spans="1:26" s="23" customFormat="1" hidden="1" outlineLevel="2" x14ac:dyDescent="0.25">
      <c r="A216" s="27"/>
      <c r="B216" s="10" t="str">
        <f>CONCATENATE("          ", "7741", " - ", "INV. SHRINKAGE-LOGO GIFTS")</f>
        <v xml:space="preserve">          7741 - INV. SHRINKAGE-LOGO GIFTS</v>
      </c>
      <c r="C216" s="10"/>
      <c r="D216" s="6"/>
      <c r="E216" s="2"/>
      <c r="F216" s="7">
        <f t="shared" si="90"/>
        <v>0</v>
      </c>
      <c r="G216" s="2"/>
      <c r="H216" s="6"/>
      <c r="I216" s="2"/>
      <c r="J216" s="7">
        <f t="shared" si="91"/>
        <v>0</v>
      </c>
      <c r="K216" s="2"/>
      <c r="L216" s="6">
        <f t="shared" si="92"/>
        <v>0</v>
      </c>
      <c r="M216" s="2"/>
      <c r="N216" s="7">
        <f t="shared" si="93"/>
        <v>0</v>
      </c>
      <c r="O216" s="10"/>
      <c r="P216" s="6">
        <v>0</v>
      </c>
      <c r="Q216" s="2"/>
      <c r="R216" s="7">
        <f t="shared" si="94"/>
        <v>0</v>
      </c>
      <c r="S216" s="2"/>
      <c r="T216" s="6"/>
      <c r="U216" s="2"/>
      <c r="V216" s="7">
        <f t="shared" si="95"/>
        <v>0</v>
      </c>
      <c r="W216" s="2"/>
      <c r="X216" s="6">
        <f t="shared" si="96"/>
        <v>0</v>
      </c>
      <c r="Y216" s="2"/>
      <c r="Z216" s="7">
        <f t="shared" si="97"/>
        <v>0</v>
      </c>
    </row>
    <row r="217" spans="1:26" s="26" customFormat="1" outlineLevel="1" collapsed="1" x14ac:dyDescent="0.25">
      <c r="A217" s="25"/>
      <c r="B217" s="12" t="str">
        <f>CONCATENATE("     ","Professional Services                             ")</f>
        <v xml:space="preserve">     Professional Services                             </v>
      </c>
      <c r="C217" s="12"/>
      <c r="D217" s="1">
        <f>SUM(OSRRefD22_14x_0)</f>
        <v>0</v>
      </c>
      <c r="E217" s="1"/>
      <c r="F217" s="5">
        <f t="shared" ref="F217:F225" si="98">IF(D$12=0,0,D217/D$12)</f>
        <v>0</v>
      </c>
      <c r="G217" s="1"/>
      <c r="H217" s="1">
        <f>SUM(OSRRefH22_14x_0)</f>
        <v>2930</v>
      </c>
      <c r="I217" s="1"/>
      <c r="J217" s="5">
        <f t="shared" ref="J217:J225" si="99">IF(H$12=0,0,H217/H$12)</f>
        <v>1.7775183962537432E-2</v>
      </c>
      <c r="K217" s="1"/>
      <c r="L217" s="1">
        <f t="shared" ref="L217:L225" si="100">+D217-H217</f>
        <v>-2930</v>
      </c>
      <c r="M217" s="1"/>
      <c r="N217" s="5">
        <f t="shared" ref="N217:N225" si="101">IF(H217=0,0,L217/H217)</f>
        <v>-1</v>
      </c>
      <c r="O217" s="12"/>
      <c r="P217" s="1">
        <f>SUM(OSRRefP22_14x_0)</f>
        <v>0</v>
      </c>
      <c r="Q217" s="1"/>
      <c r="R217" s="5">
        <f t="shared" ref="R217:R225" si="102">IF(P$12=0,0,P217/P$12)</f>
        <v>0</v>
      </c>
      <c r="S217" s="1"/>
      <c r="T217" s="1">
        <f>SUM(OSRRefT22_14x_0)</f>
        <v>9129.56</v>
      </c>
      <c r="U217" s="1"/>
      <c r="V217" s="5">
        <f t="shared" ref="V217:V225" si="103">IF(T$12=0,0,T217/T$12)</f>
        <v>1.0418156123029806E-3</v>
      </c>
      <c r="W217" s="1"/>
      <c r="X217" s="1">
        <f t="shared" ref="X217:X225" si="104">+P217-T217</f>
        <v>-9129.56</v>
      </c>
      <c r="Y217" s="1"/>
      <c r="Z217" s="5">
        <f t="shared" ref="Z217:Z225" si="105">IF(T217=0,0,X217/T217)</f>
        <v>-1</v>
      </c>
    </row>
    <row r="218" spans="1:26" s="23" customFormat="1" hidden="1" outlineLevel="2" x14ac:dyDescent="0.25">
      <c r="A218" s="27"/>
      <c r="B218" s="10" t="str">
        <f>CONCATENATE("          ", "6336", " - ", "PROFESSIONAL SERVICES")</f>
        <v xml:space="preserve">          6336 - PROFESSIONAL SERVICES</v>
      </c>
      <c r="C218" s="10"/>
      <c r="D218" s="6"/>
      <c r="E218" s="2"/>
      <c r="F218" s="7">
        <f t="shared" si="98"/>
        <v>0</v>
      </c>
      <c r="G218" s="2"/>
      <c r="H218" s="6">
        <v>2930</v>
      </c>
      <c r="I218" s="2"/>
      <c r="J218" s="7">
        <f t="shared" si="99"/>
        <v>1.7775183962537432E-2</v>
      </c>
      <c r="K218" s="2"/>
      <c r="L218" s="6">
        <f t="shared" si="100"/>
        <v>-2930</v>
      </c>
      <c r="M218" s="2"/>
      <c r="N218" s="7">
        <f t="shared" si="101"/>
        <v>-1</v>
      </c>
      <c r="O218" s="10"/>
      <c r="P218" s="6"/>
      <c r="Q218" s="2"/>
      <c r="R218" s="7">
        <f t="shared" si="102"/>
        <v>0</v>
      </c>
      <c r="S218" s="2"/>
      <c r="T218" s="6">
        <v>9129.56</v>
      </c>
      <c r="U218" s="2"/>
      <c r="V218" s="7">
        <f t="shared" si="103"/>
        <v>1.0418156123029806E-3</v>
      </c>
      <c r="W218" s="2"/>
      <c r="X218" s="6">
        <f t="shared" si="104"/>
        <v>-9129.56</v>
      </c>
      <c r="Y218" s="2"/>
      <c r="Z218" s="7">
        <f t="shared" si="105"/>
        <v>-1</v>
      </c>
    </row>
    <row r="219" spans="1:26" s="26" customFormat="1" outlineLevel="1" collapsed="1" x14ac:dyDescent="0.25">
      <c r="A219" s="25"/>
      <c r="B219" s="12" t="str">
        <f>CONCATENATE("     ","Rent                                              ")</f>
        <v xml:space="preserve">     Rent                                              </v>
      </c>
      <c r="C219" s="12"/>
      <c r="D219" s="1">
        <f>SUM(OSRRefD22_15x_0)</f>
        <v>6100</v>
      </c>
      <c r="E219" s="1"/>
      <c r="F219" s="5">
        <f t="shared" si="98"/>
        <v>1.3912132476525384E-2</v>
      </c>
      <c r="G219" s="1"/>
      <c r="H219" s="1">
        <f>SUM(OSRRefH22_15x_0)</f>
        <v>6100</v>
      </c>
      <c r="I219" s="1"/>
      <c r="J219" s="5">
        <f t="shared" si="99"/>
        <v>3.7006355689924351E-2</v>
      </c>
      <c r="K219" s="1"/>
      <c r="L219" s="1">
        <f t="shared" si="100"/>
        <v>0</v>
      </c>
      <c r="M219" s="1"/>
      <c r="N219" s="5">
        <f t="shared" si="101"/>
        <v>0</v>
      </c>
      <c r="O219" s="12"/>
      <c r="P219" s="1">
        <f>SUM(OSRRefP22_15x_0)</f>
        <v>61000</v>
      </c>
      <c r="Q219" s="1"/>
      <c r="R219" s="5">
        <f t="shared" si="102"/>
        <v>1.2971438920145828E-2</v>
      </c>
      <c r="S219" s="1"/>
      <c r="T219" s="1">
        <f>SUM(OSRRefT22_15x_0)</f>
        <v>62600</v>
      </c>
      <c r="U219" s="1"/>
      <c r="V219" s="5">
        <f t="shared" si="103"/>
        <v>7.14357070112542E-3</v>
      </c>
      <c r="W219" s="1"/>
      <c r="X219" s="1">
        <f t="shared" si="104"/>
        <v>-1600</v>
      </c>
      <c r="Y219" s="1"/>
      <c r="Z219" s="5">
        <f t="shared" si="105"/>
        <v>-2.5559105431309903E-2</v>
      </c>
    </row>
    <row r="220" spans="1:26" s="23" customFormat="1" hidden="1" outlineLevel="2" x14ac:dyDescent="0.25">
      <c r="A220" s="27"/>
      <c r="B220" s="10" t="str">
        <f>CONCATENATE("          ", "6273", " - ", "RENT")</f>
        <v xml:space="preserve">          6273 - RENT</v>
      </c>
      <c r="C220" s="10"/>
      <c r="D220" s="6">
        <v>6100</v>
      </c>
      <c r="E220" s="2"/>
      <c r="F220" s="7">
        <f t="shared" si="98"/>
        <v>1.3912132476525384E-2</v>
      </c>
      <c r="G220" s="2"/>
      <c r="H220" s="6">
        <v>6100</v>
      </c>
      <c r="I220" s="2"/>
      <c r="J220" s="7">
        <f t="shared" si="99"/>
        <v>3.7006355689924351E-2</v>
      </c>
      <c r="K220" s="2"/>
      <c r="L220" s="6">
        <f t="shared" si="100"/>
        <v>0</v>
      </c>
      <c r="M220" s="2"/>
      <c r="N220" s="7">
        <f t="shared" si="101"/>
        <v>0</v>
      </c>
      <c r="O220" s="10"/>
      <c r="P220" s="6">
        <v>61000</v>
      </c>
      <c r="Q220" s="2"/>
      <c r="R220" s="7">
        <f t="shared" si="102"/>
        <v>1.2971438920145828E-2</v>
      </c>
      <c r="S220" s="2"/>
      <c r="T220" s="6">
        <v>62600</v>
      </c>
      <c r="U220" s="2"/>
      <c r="V220" s="7">
        <f t="shared" si="103"/>
        <v>7.14357070112542E-3</v>
      </c>
      <c r="W220" s="2"/>
      <c r="X220" s="6">
        <f t="shared" si="104"/>
        <v>-1600</v>
      </c>
      <c r="Y220" s="2"/>
      <c r="Z220" s="7">
        <f t="shared" si="105"/>
        <v>-2.5559105431309903E-2</v>
      </c>
    </row>
    <row r="221" spans="1:26" s="26" customFormat="1" outlineLevel="1" collapsed="1" x14ac:dyDescent="0.25">
      <c r="A221" s="25"/>
      <c r="B221" s="12" t="str">
        <f>CONCATENATE("     ","Repair and Maintenance                            ")</f>
        <v xml:space="preserve">     Repair and Maintenance                            </v>
      </c>
      <c r="C221" s="12"/>
      <c r="D221" s="1">
        <f>SUM(OSRRefD22_16x_0)</f>
        <v>2485.83</v>
      </c>
      <c r="E221" s="1"/>
      <c r="F221" s="5">
        <f t="shared" si="98"/>
        <v>5.6693764383805067E-3</v>
      </c>
      <c r="G221" s="1"/>
      <c r="H221" s="1">
        <f>SUM(OSRRefH22_16x_0)</f>
        <v>7296.9100000000008</v>
      </c>
      <c r="I221" s="1"/>
      <c r="J221" s="5">
        <f t="shared" si="99"/>
        <v>4.4267548671699332E-2</v>
      </c>
      <c r="K221" s="1"/>
      <c r="L221" s="1">
        <f t="shared" si="100"/>
        <v>-4811.0800000000008</v>
      </c>
      <c r="M221" s="1"/>
      <c r="N221" s="5">
        <f t="shared" si="101"/>
        <v>-0.65933114153799355</v>
      </c>
      <c r="O221" s="12"/>
      <c r="P221" s="1">
        <f>SUM(OSRRefP22_16x_0)</f>
        <v>132915.69</v>
      </c>
      <c r="Q221" s="1"/>
      <c r="R221" s="5">
        <f t="shared" si="102"/>
        <v>2.8264061546951436E-2</v>
      </c>
      <c r="S221" s="1"/>
      <c r="T221" s="1">
        <f>SUM(OSRRefT22_16x_0)</f>
        <v>128354.02</v>
      </c>
      <c r="U221" s="1"/>
      <c r="V221" s="5">
        <f t="shared" si="103"/>
        <v>1.4647060968748661E-2</v>
      </c>
      <c r="W221" s="1"/>
      <c r="X221" s="1">
        <f t="shared" si="104"/>
        <v>4561.6699999999983</v>
      </c>
      <c r="Y221" s="1"/>
      <c r="Z221" s="5">
        <f t="shared" si="105"/>
        <v>3.5539751696129177E-2</v>
      </c>
    </row>
    <row r="222" spans="1:26" s="23" customFormat="1" hidden="1" outlineLevel="2" x14ac:dyDescent="0.25">
      <c r="A222" s="27"/>
      <c r="B222" s="10" t="str">
        <f>CONCATENATE("          ", "6371", " - ", "COMPUTER SOFTWARE MAINTENANCE")</f>
        <v xml:space="preserve">          6371 - COMPUTER SOFTWARE MAINTENANCE</v>
      </c>
      <c r="C222" s="10"/>
      <c r="D222" s="6"/>
      <c r="E222" s="2"/>
      <c r="F222" s="7">
        <f t="shared" si="98"/>
        <v>0</v>
      </c>
      <c r="G222" s="2"/>
      <c r="H222" s="6">
        <v>631.04999999999995</v>
      </c>
      <c r="I222" s="2"/>
      <c r="J222" s="7">
        <f t="shared" si="99"/>
        <v>3.8283378292011077E-3</v>
      </c>
      <c r="K222" s="2"/>
      <c r="L222" s="6">
        <f t="shared" si="100"/>
        <v>-631.04999999999995</v>
      </c>
      <c r="M222" s="2"/>
      <c r="N222" s="7">
        <f t="shared" si="101"/>
        <v>-1</v>
      </c>
      <c r="O222" s="10"/>
      <c r="P222" s="6">
        <v>59767.72</v>
      </c>
      <c r="Q222" s="2"/>
      <c r="R222" s="7">
        <f t="shared" si="102"/>
        <v>1.2709398842235708E-2</v>
      </c>
      <c r="S222" s="2"/>
      <c r="T222" s="6">
        <v>16417.5</v>
      </c>
      <c r="U222" s="2"/>
      <c r="V222" s="7">
        <f t="shared" si="103"/>
        <v>1.8734755908263031E-3</v>
      </c>
      <c r="W222" s="2"/>
      <c r="X222" s="6">
        <f t="shared" si="104"/>
        <v>43350.22</v>
      </c>
      <c r="Y222" s="2"/>
      <c r="Z222" s="7">
        <f t="shared" si="105"/>
        <v>2.6404885031216692</v>
      </c>
    </row>
    <row r="223" spans="1:26" s="23" customFormat="1" hidden="1" outlineLevel="2" x14ac:dyDescent="0.25">
      <c r="A223" s="27"/>
      <c r="B223" s="10" t="str">
        <f>CONCATENATE("          ", "6372", " - ", "COMPUTER HARDWARE MAINTENANCE")</f>
        <v xml:space="preserve">          6372 - COMPUTER HARDWARE MAINTENANCE</v>
      </c>
      <c r="C223" s="10"/>
      <c r="D223" s="6"/>
      <c r="E223" s="2"/>
      <c r="F223" s="7">
        <f t="shared" si="98"/>
        <v>0</v>
      </c>
      <c r="G223" s="2"/>
      <c r="H223" s="6"/>
      <c r="I223" s="2"/>
      <c r="J223" s="7">
        <f t="shared" si="99"/>
        <v>0</v>
      </c>
      <c r="K223" s="2"/>
      <c r="L223" s="6">
        <f t="shared" si="100"/>
        <v>0</v>
      </c>
      <c r="M223" s="2"/>
      <c r="N223" s="7">
        <f t="shared" si="101"/>
        <v>0</v>
      </c>
      <c r="O223" s="10"/>
      <c r="P223" s="6">
        <v>-1.1499999999999999</v>
      </c>
      <c r="Q223" s="2"/>
      <c r="R223" s="7">
        <f t="shared" si="102"/>
        <v>-2.4454352062570001E-7</v>
      </c>
      <c r="S223" s="2"/>
      <c r="T223" s="6">
        <v>52.32</v>
      </c>
      <c r="U223" s="2"/>
      <c r="V223" s="7">
        <f t="shared" si="103"/>
        <v>5.9704731482888495E-6</v>
      </c>
      <c r="W223" s="2"/>
      <c r="X223" s="6">
        <f t="shared" si="104"/>
        <v>-53.47</v>
      </c>
      <c r="Y223" s="2"/>
      <c r="Z223" s="7">
        <f t="shared" si="105"/>
        <v>-1.0219801223241589</v>
      </c>
    </row>
    <row r="224" spans="1:26" s="23" customFormat="1" hidden="1" outlineLevel="2" x14ac:dyDescent="0.25">
      <c r="A224" s="27"/>
      <c r="B224" s="10" t="str">
        <f>CONCATENATE("          ", "6373", " - ", "MAINTENANCE CONTRACTS")</f>
        <v xml:space="preserve">          6373 - MAINTENANCE CONTRACTS</v>
      </c>
      <c r="C224" s="10"/>
      <c r="D224" s="6">
        <v>1429</v>
      </c>
      <c r="E224" s="2"/>
      <c r="F224" s="7">
        <f t="shared" si="98"/>
        <v>3.2590880834352087E-3</v>
      </c>
      <c r="G224" s="2"/>
      <c r="H224" s="6">
        <v>5481.56</v>
      </c>
      <c r="I224" s="2"/>
      <c r="J224" s="7">
        <f t="shared" si="99"/>
        <v>3.3254517884534707E-2</v>
      </c>
      <c r="K224" s="2"/>
      <c r="L224" s="6">
        <f t="shared" si="100"/>
        <v>-4052.5600000000004</v>
      </c>
      <c r="M224" s="2"/>
      <c r="N224" s="7">
        <f t="shared" si="101"/>
        <v>-0.73930778829384336</v>
      </c>
      <c r="O224" s="10"/>
      <c r="P224" s="6">
        <v>46118.58</v>
      </c>
      <c r="Q224" s="2"/>
      <c r="R224" s="7">
        <f t="shared" si="102"/>
        <v>9.8069564517026062E-3</v>
      </c>
      <c r="S224" s="2"/>
      <c r="T224" s="6">
        <v>74930.12</v>
      </c>
      <c r="U224" s="2"/>
      <c r="V224" s="7">
        <f t="shared" si="103"/>
        <v>8.5506167709874098E-3</v>
      </c>
      <c r="W224" s="2"/>
      <c r="X224" s="6">
        <f t="shared" si="104"/>
        <v>-28811.539999999994</v>
      </c>
      <c r="Y224" s="2"/>
      <c r="Z224" s="7">
        <f t="shared" si="105"/>
        <v>-0.38451212943473195</v>
      </c>
    </row>
    <row r="225" spans="1:26" s="23" customFormat="1" hidden="1" outlineLevel="2" x14ac:dyDescent="0.25">
      <c r="A225" s="27"/>
      <c r="B225" s="10" t="str">
        <f>CONCATENATE("          ", "6375", " - ", "OUTSIDE REPAIRS &amp; MAINTENANCE")</f>
        <v xml:space="preserve">          6375 - OUTSIDE REPAIRS &amp; MAINTENANCE</v>
      </c>
      <c r="C225" s="10"/>
      <c r="D225" s="6">
        <v>1056.83</v>
      </c>
      <c r="E225" s="2"/>
      <c r="F225" s="7">
        <f t="shared" si="98"/>
        <v>2.4102883549452984E-3</v>
      </c>
      <c r="G225" s="2"/>
      <c r="H225" s="6">
        <v>1184.3</v>
      </c>
      <c r="I225" s="2"/>
      <c r="J225" s="7">
        <f t="shared" si="99"/>
        <v>7.1846929579635092E-3</v>
      </c>
      <c r="K225" s="2"/>
      <c r="L225" s="6">
        <f t="shared" si="100"/>
        <v>-127.47000000000003</v>
      </c>
      <c r="M225" s="2"/>
      <c r="N225" s="7">
        <f t="shared" si="101"/>
        <v>-0.10763320104703203</v>
      </c>
      <c r="O225" s="10"/>
      <c r="P225" s="6">
        <v>27030.54</v>
      </c>
      <c r="Q225" s="2"/>
      <c r="R225" s="7">
        <f t="shared" si="102"/>
        <v>5.7479507965337477E-3</v>
      </c>
      <c r="S225" s="2"/>
      <c r="T225" s="6">
        <v>36954.080000000002</v>
      </c>
      <c r="U225" s="2"/>
      <c r="V225" s="7">
        <f t="shared" si="103"/>
        <v>4.2169981337866593E-3</v>
      </c>
      <c r="W225" s="2"/>
      <c r="X225" s="6">
        <f t="shared" si="104"/>
        <v>-9923.5400000000009</v>
      </c>
      <c r="Y225" s="2"/>
      <c r="Z225" s="7">
        <f t="shared" si="105"/>
        <v>-0.26853706004857925</v>
      </c>
    </row>
    <row r="226" spans="1:26" s="26" customFormat="1" outlineLevel="1" collapsed="1" x14ac:dyDescent="0.25">
      <c r="A226" s="25"/>
      <c r="B226" s="12" t="str">
        <f>CONCATENATE("     ","Royalty &amp; Commissions                             ")</f>
        <v xml:space="preserve">     Royalty &amp; Commissions                             </v>
      </c>
      <c r="C226" s="12"/>
      <c r="D226" s="1">
        <f>SUM(OSRRefD22_17x_0)</f>
        <v>11531.75</v>
      </c>
      <c r="E226" s="1"/>
      <c r="F226" s="5">
        <f t="shared" ref="F226:F229" si="106">IF(D$12=0,0,D226/D$12)</f>
        <v>2.6300202243634687E-2</v>
      </c>
      <c r="G226" s="1"/>
      <c r="H226" s="1">
        <f>SUM(OSRRefH22_17x_0)</f>
        <v>20337.45</v>
      </c>
      <c r="I226" s="1"/>
      <c r="J226" s="5">
        <f t="shared" ref="J226:J229" si="107">IF(H$12=0,0,H226/H$12)</f>
        <v>0.12337949320099213</v>
      </c>
      <c r="K226" s="1"/>
      <c r="L226" s="1">
        <f t="shared" ref="L226:L229" si="108">+D226-H226</f>
        <v>-8805.7000000000007</v>
      </c>
      <c r="M226" s="1"/>
      <c r="N226" s="5">
        <f t="shared" ref="N226:N229" si="109">IF(H226=0,0,L226/H226)</f>
        <v>-0.4329795525004364</v>
      </c>
      <c r="O226" s="12"/>
      <c r="P226" s="1">
        <f>SUM(OSRRefP22_17x_0)</f>
        <v>48392.95</v>
      </c>
      <c r="Q226" s="1"/>
      <c r="R226" s="5">
        <f t="shared" ref="R226:R229" si="110">IF(P$12=0,0,P226/P$12)</f>
        <v>1.0290593362142147E-2</v>
      </c>
      <c r="S226" s="1"/>
      <c r="T226" s="1">
        <f>SUM(OSRRefT22_17x_0)</f>
        <v>123449.40000000001</v>
      </c>
      <c r="U226" s="1"/>
      <c r="V226" s="5">
        <f t="shared" ref="V226:V229" si="111">IF(T$12=0,0,T226/T$12)</f>
        <v>1.40873724746248E-2</v>
      </c>
      <c r="W226" s="1"/>
      <c r="X226" s="1">
        <f t="shared" ref="X226:X229" si="112">+P226-T226</f>
        <v>-75056.450000000012</v>
      </c>
      <c r="Y226" s="1"/>
      <c r="Z226" s="5">
        <f t="shared" ref="Z226:Z229" si="113">IF(T226=0,0,X226/T226)</f>
        <v>-0.60799363949926044</v>
      </c>
    </row>
    <row r="227" spans="1:26" s="23" customFormat="1" hidden="1" outlineLevel="2" x14ac:dyDescent="0.25">
      <c r="A227" s="27"/>
      <c r="B227" s="10" t="str">
        <f>CONCATENATE("          ", "6253", " - ", "ROYALTY DUE ATHLETICS-LRG")</f>
        <v xml:space="preserve">          6253 - ROYALTY DUE ATHLETICS-LRG</v>
      </c>
      <c r="C227" s="10"/>
      <c r="D227" s="6">
        <v>8961.48</v>
      </c>
      <c r="E227" s="2"/>
      <c r="F227" s="7">
        <f t="shared" si="106"/>
        <v>2.0438245400939786E-2</v>
      </c>
      <c r="G227" s="2"/>
      <c r="H227" s="6">
        <v>14555.51</v>
      </c>
      <c r="I227" s="2"/>
      <c r="J227" s="7">
        <f t="shared" si="107"/>
        <v>8.8302685296434549E-2</v>
      </c>
      <c r="K227" s="2"/>
      <c r="L227" s="6">
        <f t="shared" si="108"/>
        <v>-5594.0300000000007</v>
      </c>
      <c r="M227" s="2"/>
      <c r="N227" s="7">
        <f t="shared" si="109"/>
        <v>-0.38432387460143963</v>
      </c>
      <c r="O227" s="10"/>
      <c r="P227" s="6">
        <v>35159.06</v>
      </c>
      <c r="Q227" s="2"/>
      <c r="R227" s="7">
        <f t="shared" si="110"/>
        <v>7.4764524472088903E-3</v>
      </c>
      <c r="S227" s="2"/>
      <c r="T227" s="6">
        <v>32870.44</v>
      </c>
      <c r="U227" s="2"/>
      <c r="V227" s="7">
        <f t="shared" si="111"/>
        <v>3.7509954012316465E-3</v>
      </c>
      <c r="W227" s="2"/>
      <c r="X227" s="6">
        <f t="shared" si="112"/>
        <v>2288.6199999999953</v>
      </c>
      <c r="Y227" s="2"/>
      <c r="Z227" s="7">
        <f t="shared" si="113"/>
        <v>6.962547504688088E-2</v>
      </c>
    </row>
    <row r="228" spans="1:26" s="23" customFormat="1" hidden="1" outlineLevel="2" x14ac:dyDescent="0.25">
      <c r="A228" s="27"/>
      <c r="B228" s="10" t="str">
        <f>CONCATENATE("          ", "6254", " - ", "ROYALTY &amp; COMMISSIONS")</f>
        <v xml:space="preserve">          6254 - ROYALTY &amp; COMMISSIONS</v>
      </c>
      <c r="C228" s="10"/>
      <c r="D228" s="6"/>
      <c r="E228" s="2"/>
      <c r="F228" s="7">
        <f t="shared" si="106"/>
        <v>0</v>
      </c>
      <c r="G228" s="2"/>
      <c r="H228" s="6"/>
      <c r="I228" s="2"/>
      <c r="J228" s="7">
        <f t="shared" si="107"/>
        <v>0</v>
      </c>
      <c r="K228" s="2"/>
      <c r="L228" s="6">
        <f t="shared" si="108"/>
        <v>0</v>
      </c>
      <c r="M228" s="2"/>
      <c r="N228" s="7">
        <f t="shared" si="109"/>
        <v>0</v>
      </c>
      <c r="O228" s="10"/>
      <c r="P228" s="6"/>
      <c r="Q228" s="2"/>
      <c r="R228" s="7">
        <f t="shared" si="110"/>
        <v>0</v>
      </c>
      <c r="S228" s="2"/>
      <c r="T228" s="6">
        <v>7971.22</v>
      </c>
      <c r="U228" s="2"/>
      <c r="V228" s="7">
        <f t="shared" si="111"/>
        <v>9.0963216684065453E-4</v>
      </c>
      <c r="W228" s="2"/>
      <c r="X228" s="6">
        <f t="shared" si="112"/>
        <v>-7971.22</v>
      </c>
      <c r="Y228" s="2"/>
      <c r="Z228" s="7">
        <f t="shared" si="113"/>
        <v>-1</v>
      </c>
    </row>
    <row r="229" spans="1:26" s="23" customFormat="1" hidden="1" outlineLevel="2" x14ac:dyDescent="0.25">
      <c r="A229" s="27"/>
      <c r="B229" s="10" t="str">
        <f>CONCATENATE("          ", "6259", " - ", "ROYALTY &amp; COMMISSIONS")</f>
        <v xml:space="preserve">          6259 - ROYALTY &amp; COMMISSIONS</v>
      </c>
      <c r="C229" s="10"/>
      <c r="D229" s="6">
        <v>2570.27</v>
      </c>
      <c r="E229" s="2"/>
      <c r="F229" s="7">
        <f t="shared" si="106"/>
        <v>5.8619568426949015E-3</v>
      </c>
      <c r="G229" s="2"/>
      <c r="H229" s="6">
        <v>5781.94</v>
      </c>
      <c r="I229" s="2"/>
      <c r="J229" s="7">
        <f t="shared" si="107"/>
        <v>3.5076807904557569E-2</v>
      </c>
      <c r="K229" s="2"/>
      <c r="L229" s="6">
        <f t="shared" si="108"/>
        <v>-3211.6699999999996</v>
      </c>
      <c r="M229" s="2"/>
      <c r="N229" s="7">
        <f t="shared" si="109"/>
        <v>-0.55546581251275517</v>
      </c>
      <c r="O229" s="10"/>
      <c r="P229" s="6">
        <v>13233.89</v>
      </c>
      <c r="Q229" s="2"/>
      <c r="R229" s="7">
        <f t="shared" si="110"/>
        <v>2.8141409149332569E-3</v>
      </c>
      <c r="S229" s="2"/>
      <c r="T229" s="6">
        <v>82607.740000000005</v>
      </c>
      <c r="U229" s="2"/>
      <c r="V229" s="7">
        <f t="shared" si="111"/>
        <v>9.4267449065524988E-3</v>
      </c>
      <c r="W229" s="2"/>
      <c r="X229" s="6">
        <f t="shared" si="112"/>
        <v>-69373.850000000006</v>
      </c>
      <c r="Y229" s="2"/>
      <c r="Z229" s="7">
        <f t="shared" si="113"/>
        <v>-0.83979842566810325</v>
      </c>
    </row>
    <row r="230" spans="1:26" s="26" customFormat="1" outlineLevel="1" collapsed="1" x14ac:dyDescent="0.25">
      <c r="A230" s="25"/>
      <c r="B230" s="12" t="str">
        <f>CONCATENATE("     ","Services                                          ")</f>
        <v xml:space="preserve">     Services                                          </v>
      </c>
      <c r="C230" s="12"/>
      <c r="D230" s="1">
        <f>SUM(OSRRefD22_18x_0)</f>
        <v>4006.32</v>
      </c>
      <c r="E230" s="1"/>
      <c r="F230" s="5">
        <f t="shared" ref="F230:F234" si="114">IF(D$12=0,0,D230/D$12)</f>
        <v>9.1371237021890452E-3</v>
      </c>
      <c r="G230" s="1"/>
      <c r="H230" s="1">
        <f>SUM(OSRRefH22_18x_0)</f>
        <v>4655.95</v>
      </c>
      <c r="I230" s="1"/>
      <c r="J230" s="5">
        <f t="shared" ref="J230:J234" si="115">IF(H$12=0,0,H230/H$12)</f>
        <v>2.8245859307295618E-2</v>
      </c>
      <c r="K230" s="1"/>
      <c r="L230" s="1">
        <f t="shared" ref="L230:L234" si="116">+D230-H230</f>
        <v>-649.62999999999965</v>
      </c>
      <c r="M230" s="1"/>
      <c r="N230" s="5">
        <f t="shared" ref="N230:N234" si="117">IF(H230=0,0,L230/H230)</f>
        <v>-0.13952684199787363</v>
      </c>
      <c r="O230" s="12"/>
      <c r="P230" s="1">
        <f>SUM(OSRRefP22_18x_0)</f>
        <v>40143.980000000003</v>
      </c>
      <c r="Q230" s="1"/>
      <c r="R230" s="5">
        <f t="shared" ref="R230:R234" si="118">IF(P$12=0,0,P230/P$12)</f>
        <v>8.5364784357632086E-3</v>
      </c>
      <c r="S230" s="1"/>
      <c r="T230" s="1">
        <f>SUM(OSRRefT22_18x_0)</f>
        <v>46256.869999999995</v>
      </c>
      <c r="U230" s="1"/>
      <c r="V230" s="5">
        <f t="shared" ref="V230:V234" si="119">IF(T$12=0,0,T230/T$12)</f>
        <v>5.2785818092295107E-3</v>
      </c>
      <c r="W230" s="1"/>
      <c r="X230" s="1">
        <f t="shared" ref="X230:X234" si="120">+P230-T230</f>
        <v>-6112.8899999999921</v>
      </c>
      <c r="Y230" s="1"/>
      <c r="Z230" s="5">
        <f t="shared" ref="Z230:Z234" si="121">IF(T230=0,0,X230/T230)</f>
        <v>-0.13215096481884731</v>
      </c>
    </row>
    <row r="231" spans="1:26" s="23" customFormat="1" hidden="1" outlineLevel="2" x14ac:dyDescent="0.25">
      <c r="A231" s="27"/>
      <c r="B231" s="10" t="str">
        <f>CONCATENATE("          ", "6282", " - ", "JANITORIAL/EXTERMINATOR EXPENS")</f>
        <v xml:space="preserve">          6282 - JANITORIAL/EXTERMINATOR EXPENS</v>
      </c>
      <c r="C231" s="10"/>
      <c r="D231" s="6"/>
      <c r="E231" s="2"/>
      <c r="F231" s="7">
        <f t="shared" si="114"/>
        <v>0</v>
      </c>
      <c r="G231" s="2"/>
      <c r="H231" s="6">
        <v>310.5</v>
      </c>
      <c r="I231" s="2"/>
      <c r="J231" s="7">
        <f t="shared" si="115"/>
        <v>1.883684170774018E-3</v>
      </c>
      <c r="K231" s="2"/>
      <c r="L231" s="6">
        <f t="shared" si="116"/>
        <v>-310.5</v>
      </c>
      <c r="M231" s="2"/>
      <c r="N231" s="7">
        <f t="shared" si="117"/>
        <v>-1</v>
      </c>
      <c r="O231" s="10"/>
      <c r="P231" s="6">
        <v>7406.12</v>
      </c>
      <c r="Q231" s="2"/>
      <c r="R231" s="7">
        <f t="shared" si="118"/>
        <v>1.574885790414269E-3</v>
      </c>
      <c r="S231" s="2"/>
      <c r="T231" s="6">
        <v>2686.02</v>
      </c>
      <c r="U231" s="2"/>
      <c r="V231" s="7">
        <f t="shared" si="119"/>
        <v>3.0651395806129231E-4</v>
      </c>
      <c r="W231" s="2"/>
      <c r="X231" s="6">
        <f t="shared" si="120"/>
        <v>4720.1000000000004</v>
      </c>
      <c r="Y231" s="2"/>
      <c r="Z231" s="7">
        <f t="shared" si="121"/>
        <v>1.757284011288077</v>
      </c>
    </row>
    <row r="232" spans="1:26" s="23" customFormat="1" hidden="1" outlineLevel="2" x14ac:dyDescent="0.25">
      <c r="A232" s="27"/>
      <c r="B232" s="10" t="str">
        <f>CONCATENATE("          ", "6283", " - ", "PLANT SERVICE")</f>
        <v xml:space="preserve">          6283 - PLANT SERVICE</v>
      </c>
      <c r="C232" s="10"/>
      <c r="D232" s="6"/>
      <c r="E232" s="2"/>
      <c r="F232" s="7">
        <f t="shared" si="114"/>
        <v>0</v>
      </c>
      <c r="G232" s="2"/>
      <c r="H232" s="6"/>
      <c r="I232" s="2"/>
      <c r="J232" s="7">
        <f t="shared" si="115"/>
        <v>0</v>
      </c>
      <c r="K232" s="2"/>
      <c r="L232" s="6">
        <f t="shared" si="116"/>
        <v>0</v>
      </c>
      <c r="M232" s="2"/>
      <c r="N232" s="7">
        <f t="shared" si="117"/>
        <v>0</v>
      </c>
      <c r="O232" s="10"/>
      <c r="P232" s="6">
        <v>171.31</v>
      </c>
      <c r="Q232" s="2"/>
      <c r="R232" s="7">
        <f t="shared" si="118"/>
        <v>3.6428478711642325E-5</v>
      </c>
      <c r="S232" s="2"/>
      <c r="T232" s="6">
        <v>541.98</v>
      </c>
      <c r="U232" s="2"/>
      <c r="V232" s="7">
        <f t="shared" si="119"/>
        <v>6.1847802693226116E-5</v>
      </c>
      <c r="W232" s="2"/>
      <c r="X232" s="6">
        <f t="shared" si="120"/>
        <v>-370.67</v>
      </c>
      <c r="Y232" s="2"/>
      <c r="Z232" s="7">
        <f t="shared" si="121"/>
        <v>-0.68391822576478833</v>
      </c>
    </row>
    <row r="233" spans="1:26" s="23" customFormat="1" hidden="1" outlineLevel="2" x14ac:dyDescent="0.25">
      <c r="A233" s="27"/>
      <c r="B233" s="10" t="str">
        <f>CONCATENATE("          ", "6284", " - ", "TRASH REMOVAL EXPENSE")</f>
        <v xml:space="preserve">          6284 - TRASH REMOVAL EXPENSE</v>
      </c>
      <c r="C233" s="10"/>
      <c r="D233" s="6">
        <v>142.57</v>
      </c>
      <c r="E233" s="2"/>
      <c r="F233" s="7">
        <f t="shared" si="114"/>
        <v>3.2515618478331539E-4</v>
      </c>
      <c r="G233" s="2"/>
      <c r="H233" s="6">
        <v>134.82</v>
      </c>
      <c r="I233" s="2"/>
      <c r="J233" s="7">
        <f t="shared" si="115"/>
        <v>8.1790112690419679E-4</v>
      </c>
      <c r="K233" s="2"/>
      <c r="L233" s="6">
        <f t="shared" si="116"/>
        <v>7.75</v>
      </c>
      <c r="M233" s="2"/>
      <c r="N233" s="7">
        <f t="shared" si="117"/>
        <v>5.7484052811155616E-2</v>
      </c>
      <c r="O233" s="10"/>
      <c r="P233" s="6">
        <v>1440.72</v>
      </c>
      <c r="Q233" s="2"/>
      <c r="R233" s="7">
        <f t="shared" si="118"/>
        <v>3.0636412263987698E-4</v>
      </c>
      <c r="S233" s="2"/>
      <c r="T233" s="6">
        <v>1348.2</v>
      </c>
      <c r="U233" s="2"/>
      <c r="V233" s="7">
        <f t="shared" si="119"/>
        <v>1.5384923353446153E-4</v>
      </c>
      <c r="W233" s="2"/>
      <c r="X233" s="6">
        <f t="shared" si="120"/>
        <v>92.519999999999982</v>
      </c>
      <c r="Y233" s="2"/>
      <c r="Z233" s="7">
        <f t="shared" si="121"/>
        <v>6.8624833110814409E-2</v>
      </c>
    </row>
    <row r="234" spans="1:26" s="23" customFormat="1" hidden="1" outlineLevel="2" x14ac:dyDescent="0.25">
      <c r="A234" s="27"/>
      <c r="B234" s="10" t="str">
        <f>CONCATENATE("          ", "6285", " - ", "JANITORIAL SERVICES")</f>
        <v xml:space="preserve">          6285 - JANITORIAL SERVICES</v>
      </c>
      <c r="C234" s="10"/>
      <c r="D234" s="6">
        <v>3863.75</v>
      </c>
      <c r="E234" s="2"/>
      <c r="F234" s="7">
        <f t="shared" si="114"/>
        <v>8.8119675174057298E-3</v>
      </c>
      <c r="G234" s="2"/>
      <c r="H234" s="6">
        <v>4210.63</v>
      </c>
      <c r="I234" s="2"/>
      <c r="J234" s="7">
        <f t="shared" si="115"/>
        <v>2.5544274009617403E-2</v>
      </c>
      <c r="K234" s="2"/>
      <c r="L234" s="6">
        <f t="shared" si="116"/>
        <v>-346.88000000000011</v>
      </c>
      <c r="M234" s="2"/>
      <c r="N234" s="7">
        <f t="shared" si="117"/>
        <v>-8.2381971343955682E-2</v>
      </c>
      <c r="O234" s="10"/>
      <c r="P234" s="6">
        <v>31125.83</v>
      </c>
      <c r="Q234" s="2"/>
      <c r="R234" s="7">
        <f t="shared" si="118"/>
        <v>6.6188000439974205E-3</v>
      </c>
      <c r="S234" s="2"/>
      <c r="T234" s="6">
        <v>41680.67</v>
      </c>
      <c r="U234" s="2"/>
      <c r="V234" s="7">
        <f t="shared" si="119"/>
        <v>4.7563708149405311E-3</v>
      </c>
      <c r="W234" s="2"/>
      <c r="X234" s="6">
        <f t="shared" si="120"/>
        <v>-10554.839999999997</v>
      </c>
      <c r="Y234" s="2"/>
      <c r="Z234" s="7">
        <f t="shared" si="121"/>
        <v>-0.25323105410733554</v>
      </c>
    </row>
    <row r="235" spans="1:26" s="26" customFormat="1" outlineLevel="1" collapsed="1" x14ac:dyDescent="0.25">
      <c r="A235" s="25"/>
      <c r="B235" s="12" t="str">
        <f>CONCATENATE("     ","Subscriptions &amp; Dues                              ")</f>
        <v xml:space="preserve">     Subscriptions &amp; Dues                              </v>
      </c>
      <c r="C235" s="12"/>
      <c r="D235" s="1">
        <f>SUM(OSRRefD22_19x_0)</f>
        <v>2343.58</v>
      </c>
      <c r="E235" s="1"/>
      <c r="F235" s="5">
        <f t="shared" ref="F235:F237" si="122">IF(D$12=0,0,D235/D$12)</f>
        <v>5.3449500703828456E-3</v>
      </c>
      <c r="G235" s="1"/>
      <c r="H235" s="1">
        <f>SUM(OSRRefH22_19x_0)</f>
        <v>2177.08</v>
      </c>
      <c r="I235" s="1"/>
      <c r="J235" s="5">
        <f t="shared" ref="J235:J237" si="123">IF(H$12=0,0,H235/H$12)</f>
        <v>1.3207507679577131E-2</v>
      </c>
      <c r="K235" s="1"/>
      <c r="L235" s="1">
        <f t="shared" ref="L235:L237" si="124">+D235-H235</f>
        <v>166.5</v>
      </c>
      <c r="M235" s="1"/>
      <c r="N235" s="5">
        <f t="shared" ref="N235:N237" si="125">IF(H235=0,0,L235/H235)</f>
        <v>7.6478585995921139E-2</v>
      </c>
      <c r="O235" s="12"/>
      <c r="P235" s="1">
        <f>SUM(OSRRefP22_19x_0)</f>
        <v>6677.91</v>
      </c>
      <c r="Q235" s="1"/>
      <c r="R235" s="5">
        <f t="shared" ref="R235:R237" si="126">IF(P$12=0,0,P235/P$12)</f>
        <v>1.4200344537578856E-3</v>
      </c>
      <c r="S235" s="1"/>
      <c r="T235" s="1">
        <f>SUM(OSRRefT22_19x_0)</f>
        <v>7098.85</v>
      </c>
      <c r="U235" s="1"/>
      <c r="V235" s="5">
        <f t="shared" ref="V235:V237" si="127">IF(T$12=0,0,T235/T$12)</f>
        <v>8.1008205865310207E-4</v>
      </c>
      <c r="W235" s="1"/>
      <c r="X235" s="1">
        <f t="shared" ref="X235:X237" si="128">+P235-T235</f>
        <v>-420.94000000000051</v>
      </c>
      <c r="Y235" s="1"/>
      <c r="Z235" s="5">
        <f t="shared" ref="Z235:Z237" si="129">IF(T235=0,0,X235/T235)</f>
        <v>-5.9296928375722896E-2</v>
      </c>
    </row>
    <row r="236" spans="1:26" s="23" customFormat="1" hidden="1" outlineLevel="2" x14ac:dyDescent="0.25">
      <c r="A236" s="27"/>
      <c r="B236" s="10" t="str">
        <f>CONCATENATE("          ", "6258", " - ", "MEMBERSHIP DUES")</f>
        <v xml:space="preserve">          6258 - MEMBERSHIP DUES</v>
      </c>
      <c r="C236" s="10"/>
      <c r="D236" s="6">
        <v>328.71</v>
      </c>
      <c r="E236" s="2"/>
      <c r="F236" s="7">
        <f t="shared" si="122"/>
        <v>7.4968148628830463E-4</v>
      </c>
      <c r="G236" s="2"/>
      <c r="H236" s="6">
        <v>250</v>
      </c>
      <c r="I236" s="2"/>
      <c r="J236" s="7">
        <f t="shared" si="123"/>
        <v>1.5166539217182111E-3</v>
      </c>
      <c r="K236" s="2"/>
      <c r="L236" s="6">
        <f t="shared" si="124"/>
        <v>78.70999999999998</v>
      </c>
      <c r="M236" s="2"/>
      <c r="N236" s="7">
        <f t="shared" si="125"/>
        <v>0.3148399999999999</v>
      </c>
      <c r="O236" s="10"/>
      <c r="P236" s="6">
        <v>2435.23</v>
      </c>
      <c r="Q236" s="2"/>
      <c r="R236" s="7">
        <f t="shared" si="126"/>
        <v>5.1784323281158569E-4</v>
      </c>
      <c r="S236" s="2"/>
      <c r="T236" s="6">
        <v>4306.41</v>
      </c>
      <c r="U236" s="2"/>
      <c r="V236" s="7">
        <f t="shared" si="127"/>
        <v>4.9142403039989643E-4</v>
      </c>
      <c r="W236" s="2"/>
      <c r="X236" s="6">
        <f t="shared" si="128"/>
        <v>-1871.1799999999998</v>
      </c>
      <c r="Y236" s="2"/>
      <c r="Z236" s="7">
        <f t="shared" si="129"/>
        <v>-0.43451041586843797</v>
      </c>
    </row>
    <row r="237" spans="1:26" s="23" customFormat="1" hidden="1" outlineLevel="2" x14ac:dyDescent="0.25">
      <c r="A237" s="27"/>
      <c r="B237" s="10" t="str">
        <f>CONCATENATE("          ", "6275", " - ", "SUBSCRIPTIONS")</f>
        <v xml:space="preserve">          6275 - SUBSCRIPTIONS</v>
      </c>
      <c r="C237" s="10"/>
      <c r="D237" s="6">
        <v>2014.87</v>
      </c>
      <c r="E237" s="2"/>
      <c r="F237" s="7">
        <f t="shared" si="122"/>
        <v>4.5952685840945405E-3</v>
      </c>
      <c r="G237" s="2"/>
      <c r="H237" s="6">
        <v>1927.08</v>
      </c>
      <c r="I237" s="2"/>
      <c r="J237" s="7">
        <f t="shared" si="123"/>
        <v>1.1690853757858919E-2</v>
      </c>
      <c r="K237" s="2"/>
      <c r="L237" s="6">
        <f t="shared" si="124"/>
        <v>87.789999999999964</v>
      </c>
      <c r="M237" s="2"/>
      <c r="N237" s="7">
        <f t="shared" si="125"/>
        <v>4.5555970691408744E-2</v>
      </c>
      <c r="O237" s="10"/>
      <c r="P237" s="6">
        <v>4242.68</v>
      </c>
      <c r="Q237" s="2"/>
      <c r="R237" s="7">
        <f t="shared" si="126"/>
        <v>9.021912209463001E-4</v>
      </c>
      <c r="S237" s="2"/>
      <c r="T237" s="6">
        <v>2792.44</v>
      </c>
      <c r="U237" s="2"/>
      <c r="V237" s="7">
        <f t="shared" si="127"/>
        <v>3.1865802825320553E-4</v>
      </c>
      <c r="W237" s="2"/>
      <c r="X237" s="6">
        <f t="shared" si="128"/>
        <v>1450.2400000000002</v>
      </c>
      <c r="Y237" s="2"/>
      <c r="Z237" s="7">
        <f t="shared" si="129"/>
        <v>0.51934508888284092</v>
      </c>
    </row>
    <row r="238" spans="1:26" s="26" customFormat="1" outlineLevel="1" collapsed="1" x14ac:dyDescent="0.25">
      <c r="A238" s="25"/>
      <c r="B238" s="12" t="str">
        <f>CONCATENATE("     ","Supplies                                          ")</f>
        <v xml:space="preserve">     Supplies                                          </v>
      </c>
      <c r="C238" s="12"/>
      <c r="D238" s="1">
        <f>SUM(OSRRefD22_20x_0)</f>
        <v>8692.42</v>
      </c>
      <c r="E238" s="1"/>
      <c r="F238" s="5">
        <f t="shared" ref="F238:F246" si="130">IF(D$12=0,0,D238/D$12)</f>
        <v>1.9824606324852258E-2</v>
      </c>
      <c r="G238" s="1"/>
      <c r="H238" s="1">
        <f>SUM(OSRRefH22_20x_0)</f>
        <v>5258.59</v>
      </c>
      <c r="I238" s="1"/>
      <c r="J238" s="5">
        <f t="shared" ref="J238:J246" si="131">IF(H$12=0,0,H238/H$12)</f>
        <v>3.1901844584832667E-2</v>
      </c>
      <c r="K238" s="1"/>
      <c r="L238" s="1">
        <f t="shared" ref="L238:L246" si="132">+D238-H238</f>
        <v>3433.83</v>
      </c>
      <c r="M238" s="1"/>
      <c r="N238" s="5">
        <f t="shared" ref="N238:N246" si="133">IF(H238=0,0,L238/H238)</f>
        <v>0.65299443386915501</v>
      </c>
      <c r="O238" s="12"/>
      <c r="P238" s="1">
        <f>SUM(OSRRefP22_20x_0)</f>
        <v>111696.69</v>
      </c>
      <c r="Q238" s="1"/>
      <c r="R238" s="5">
        <f t="shared" ref="R238:R246" si="134">IF(P$12=0,0,P238/P$12)</f>
        <v>2.3751914621597758E-2</v>
      </c>
      <c r="S238" s="1"/>
      <c r="T238" s="1">
        <f>SUM(OSRRefT22_20x_0)</f>
        <v>88404.950000000012</v>
      </c>
      <c r="U238" s="1"/>
      <c r="V238" s="5">
        <f t="shared" ref="V238:V246" si="135">IF(T$12=0,0,T238/T$12)</f>
        <v>1.0088290905023287E-2</v>
      </c>
      <c r="W238" s="1"/>
      <c r="X238" s="1">
        <f t="shared" ref="X238:X246" si="136">+P238-T238</f>
        <v>23291.739999999991</v>
      </c>
      <c r="Y238" s="1"/>
      <c r="Z238" s="5">
        <f t="shared" ref="Z238:Z246" si="137">IF(T238=0,0,X238/T238)</f>
        <v>0.26346646878936064</v>
      </c>
    </row>
    <row r="239" spans="1:26" s="23" customFormat="1" hidden="1" outlineLevel="2" x14ac:dyDescent="0.25">
      <c r="A239" s="27"/>
      <c r="B239" s="10" t="str">
        <f>CONCATENATE("          ", "6234", " - ", "EXPENDABLE SUPPLIES &amp; EQUIPMEN")</f>
        <v xml:space="preserve">          6234 - EXPENDABLE SUPPLIES &amp; EQUIPMEN</v>
      </c>
      <c r="C239" s="10"/>
      <c r="D239" s="6">
        <v>53</v>
      </c>
      <c r="E239" s="2"/>
      <c r="F239" s="7">
        <f t="shared" si="130"/>
        <v>1.2087590512390907E-4</v>
      </c>
      <c r="G239" s="2"/>
      <c r="H239" s="6">
        <v>140.1</v>
      </c>
      <c r="I239" s="2"/>
      <c r="J239" s="7">
        <f t="shared" si="131"/>
        <v>8.4993285773088542E-4</v>
      </c>
      <c r="K239" s="2"/>
      <c r="L239" s="6">
        <f t="shared" si="132"/>
        <v>-87.1</v>
      </c>
      <c r="M239" s="2"/>
      <c r="N239" s="7">
        <f t="shared" si="133"/>
        <v>-0.62169878658101352</v>
      </c>
      <c r="O239" s="10"/>
      <c r="P239" s="6">
        <v>0.16</v>
      </c>
      <c r="Q239" s="2"/>
      <c r="R239" s="7">
        <f t="shared" si="134"/>
        <v>3.4023446347923484E-8</v>
      </c>
      <c r="S239" s="2"/>
      <c r="T239" s="6">
        <v>3441.8</v>
      </c>
      <c r="U239" s="2"/>
      <c r="V239" s="7">
        <f t="shared" si="135"/>
        <v>3.9275945110436855E-4</v>
      </c>
      <c r="W239" s="2"/>
      <c r="X239" s="6">
        <f t="shared" si="136"/>
        <v>-3441.6400000000003</v>
      </c>
      <c r="Y239" s="2"/>
      <c r="Z239" s="7">
        <f t="shared" si="137"/>
        <v>-0.99995351269684474</v>
      </c>
    </row>
    <row r="240" spans="1:26" s="23" customFormat="1" hidden="1" outlineLevel="2" x14ac:dyDescent="0.25">
      <c r="A240" s="27"/>
      <c r="B240" s="10" t="str">
        <f>CONCATENATE("          ", "6235", " - ", "COVID-19 EXPENSES")</f>
        <v xml:space="preserve">          6235 - COVID-19 EXPENSES</v>
      </c>
      <c r="C240" s="10"/>
      <c r="D240" s="6">
        <v>3407.79</v>
      </c>
      <c r="E240" s="2"/>
      <c r="F240" s="7">
        <f t="shared" si="130"/>
        <v>7.7720698249472845E-3</v>
      </c>
      <c r="G240" s="2"/>
      <c r="H240" s="6"/>
      <c r="I240" s="2"/>
      <c r="J240" s="7">
        <f t="shared" si="131"/>
        <v>0</v>
      </c>
      <c r="K240" s="2"/>
      <c r="L240" s="6">
        <f t="shared" si="132"/>
        <v>3407.79</v>
      </c>
      <c r="M240" s="2"/>
      <c r="N240" s="7">
        <f t="shared" si="133"/>
        <v>0</v>
      </c>
      <c r="O240" s="10"/>
      <c r="P240" s="6">
        <v>41069.79</v>
      </c>
      <c r="Q240" s="2"/>
      <c r="R240" s="7">
        <f t="shared" si="134"/>
        <v>8.7333487286592772E-3</v>
      </c>
      <c r="S240" s="2"/>
      <c r="T240" s="6"/>
      <c r="U240" s="2"/>
      <c r="V240" s="7">
        <f t="shared" si="135"/>
        <v>0</v>
      </c>
      <c r="W240" s="2"/>
      <c r="X240" s="6">
        <f t="shared" si="136"/>
        <v>41069.79</v>
      </c>
      <c r="Y240" s="2"/>
      <c r="Z240" s="7">
        <f t="shared" si="137"/>
        <v>0</v>
      </c>
    </row>
    <row r="241" spans="1:26" s="23" customFormat="1" hidden="1" outlineLevel="2" x14ac:dyDescent="0.25">
      <c r="A241" s="27"/>
      <c r="B241" s="10" t="str">
        <f>CONCATENATE("          ", "6237", " - ", "JANITORIAL SUPPLIES")</f>
        <v xml:space="preserve">          6237 - JANITORIAL SUPPLIES</v>
      </c>
      <c r="C241" s="10"/>
      <c r="D241" s="6">
        <v>588.30999999999995</v>
      </c>
      <c r="E241" s="2"/>
      <c r="F241" s="7">
        <f t="shared" si="130"/>
        <v>1.3417453536499423E-3</v>
      </c>
      <c r="G241" s="2"/>
      <c r="H241" s="6">
        <v>482.39</v>
      </c>
      <c r="I241" s="2"/>
      <c r="J241" s="7">
        <f t="shared" si="131"/>
        <v>2.9264747411905912E-3</v>
      </c>
      <c r="K241" s="2"/>
      <c r="L241" s="6">
        <f t="shared" si="132"/>
        <v>105.91999999999996</v>
      </c>
      <c r="M241" s="2"/>
      <c r="N241" s="7">
        <f t="shared" si="133"/>
        <v>0.21957337424075948</v>
      </c>
      <c r="O241" s="10"/>
      <c r="P241" s="6">
        <v>3489.55</v>
      </c>
      <c r="Q241" s="2"/>
      <c r="R241" s="7">
        <f t="shared" si="134"/>
        <v>7.420407325212275E-4</v>
      </c>
      <c r="S241" s="2"/>
      <c r="T241" s="6">
        <v>5305.04</v>
      </c>
      <c r="U241" s="2"/>
      <c r="V241" s="7">
        <f t="shared" si="135"/>
        <v>6.0538224141051757E-4</v>
      </c>
      <c r="W241" s="2"/>
      <c r="X241" s="6">
        <f t="shared" si="136"/>
        <v>-1815.4899999999998</v>
      </c>
      <c r="Y241" s="2"/>
      <c r="Z241" s="7">
        <f t="shared" si="137"/>
        <v>-0.34221985131120591</v>
      </c>
    </row>
    <row r="242" spans="1:26" s="23" customFormat="1" hidden="1" outlineLevel="2" x14ac:dyDescent="0.25">
      <c r="A242" s="27"/>
      <c r="B242" s="10" t="str">
        <f>CONCATENATE("          ", "6241", " - ", "OFFICE EXPENSE")</f>
        <v xml:space="preserve">          6241 - OFFICE EXPENSE</v>
      </c>
      <c r="C242" s="10"/>
      <c r="D242" s="6">
        <v>514.54999999999995</v>
      </c>
      <c r="E242" s="2"/>
      <c r="F242" s="7">
        <f t="shared" si="130"/>
        <v>1.1735225845567435E-3</v>
      </c>
      <c r="G242" s="2"/>
      <c r="H242" s="6">
        <v>674.84</v>
      </c>
      <c r="I242" s="2"/>
      <c r="J242" s="7">
        <f t="shared" si="131"/>
        <v>4.0939949301292706E-3</v>
      </c>
      <c r="K242" s="2"/>
      <c r="L242" s="6">
        <f t="shared" si="132"/>
        <v>-160.29000000000008</v>
      </c>
      <c r="M242" s="2"/>
      <c r="N242" s="7">
        <f t="shared" si="133"/>
        <v>-0.23752296840732628</v>
      </c>
      <c r="O242" s="10"/>
      <c r="P242" s="6">
        <v>10867.71</v>
      </c>
      <c r="Q242" s="2"/>
      <c r="R242" s="7">
        <f t="shared" si="134"/>
        <v>2.3109809256861968E-3</v>
      </c>
      <c r="S242" s="2"/>
      <c r="T242" s="6">
        <v>23080.68</v>
      </c>
      <c r="U242" s="2"/>
      <c r="V242" s="7">
        <f t="shared" si="135"/>
        <v>2.6338413643778188E-3</v>
      </c>
      <c r="W242" s="2"/>
      <c r="X242" s="6">
        <f t="shared" si="136"/>
        <v>-12212.970000000001</v>
      </c>
      <c r="Y242" s="2"/>
      <c r="Z242" s="7">
        <f t="shared" si="137"/>
        <v>-0.52914255559194967</v>
      </c>
    </row>
    <row r="243" spans="1:26" s="23" customFormat="1" hidden="1" outlineLevel="2" x14ac:dyDescent="0.25">
      <c r="A243" s="27"/>
      <c r="B243" s="10" t="str">
        <f>CONCATENATE("          ", "6243", " - ", "PAPER SUPPLIES")</f>
        <v xml:space="preserve">          6243 - PAPER SUPPLIES</v>
      </c>
      <c r="C243" s="10"/>
      <c r="D243" s="6">
        <v>199.93</v>
      </c>
      <c r="E243" s="2"/>
      <c r="F243" s="7">
        <f t="shared" si="130"/>
        <v>4.5597584361175739E-4</v>
      </c>
      <c r="G243" s="2"/>
      <c r="H243" s="6">
        <v>791.44</v>
      </c>
      <c r="I243" s="2"/>
      <c r="J243" s="7">
        <f t="shared" si="131"/>
        <v>4.8013623192186437E-3</v>
      </c>
      <c r="K243" s="2"/>
      <c r="L243" s="6">
        <f t="shared" si="132"/>
        <v>-591.51</v>
      </c>
      <c r="M243" s="2"/>
      <c r="N243" s="7">
        <f t="shared" si="133"/>
        <v>-0.74738451430304254</v>
      </c>
      <c r="O243" s="10"/>
      <c r="P243" s="6">
        <v>6682.58</v>
      </c>
      <c r="Q243" s="2"/>
      <c r="R243" s="7">
        <f t="shared" si="134"/>
        <v>1.4210275130981656E-3</v>
      </c>
      <c r="S243" s="2"/>
      <c r="T243" s="6">
        <v>17888.36</v>
      </c>
      <c r="U243" s="2"/>
      <c r="V243" s="7">
        <f t="shared" si="135"/>
        <v>2.0413221148112446E-3</v>
      </c>
      <c r="W243" s="2"/>
      <c r="X243" s="6">
        <f t="shared" si="136"/>
        <v>-11205.78</v>
      </c>
      <c r="Y243" s="2"/>
      <c r="Z243" s="7">
        <f t="shared" si="137"/>
        <v>-0.62642858260902623</v>
      </c>
    </row>
    <row r="244" spans="1:26" s="23" customFormat="1" hidden="1" outlineLevel="2" x14ac:dyDescent="0.25">
      <c r="A244" s="27"/>
      <c r="B244" s="10" t="str">
        <f>CONCATENATE("          ", "6245", " - ", "PRINTING")</f>
        <v xml:space="preserve">          6245 - PRINTING</v>
      </c>
      <c r="C244" s="10"/>
      <c r="D244" s="6">
        <v>1766.38</v>
      </c>
      <c r="E244" s="2"/>
      <c r="F244" s="7">
        <f t="shared" si="130"/>
        <v>4.028543043259821E-3</v>
      </c>
      <c r="G244" s="2"/>
      <c r="H244" s="6">
        <v>485.1</v>
      </c>
      <c r="I244" s="2"/>
      <c r="J244" s="7">
        <f t="shared" si="131"/>
        <v>2.9429152697020167E-3</v>
      </c>
      <c r="K244" s="2"/>
      <c r="L244" s="6">
        <f t="shared" si="132"/>
        <v>1281.2800000000002</v>
      </c>
      <c r="M244" s="2"/>
      <c r="N244" s="7">
        <f t="shared" si="133"/>
        <v>2.6412698412698417</v>
      </c>
      <c r="O244" s="10"/>
      <c r="P244" s="6">
        <v>3120.59</v>
      </c>
      <c r="Q244" s="2"/>
      <c r="R244" s="7">
        <f t="shared" si="134"/>
        <v>6.6358266524291589E-4</v>
      </c>
      <c r="S244" s="2"/>
      <c r="T244" s="6">
        <v>10561.45</v>
      </c>
      <c r="U244" s="2"/>
      <c r="V244" s="7">
        <f t="shared" si="135"/>
        <v>1.2052150923546497E-3</v>
      </c>
      <c r="W244" s="2"/>
      <c r="X244" s="6">
        <f t="shared" si="136"/>
        <v>-7440.8600000000006</v>
      </c>
      <c r="Y244" s="2"/>
      <c r="Z244" s="7">
        <f t="shared" si="137"/>
        <v>-0.70453015447689471</v>
      </c>
    </row>
    <row r="245" spans="1:26" s="23" customFormat="1" hidden="1" outlineLevel="2" x14ac:dyDescent="0.25">
      <c r="A245" s="27"/>
      <c r="B245" s="10" t="str">
        <f>CONCATENATE("          ", "6247", " - ", "STORE SUPPLIES")</f>
        <v xml:space="preserve">          6247 - STORE SUPPLIES</v>
      </c>
      <c r="C245" s="10"/>
      <c r="D245" s="6">
        <v>2162.46</v>
      </c>
      <c r="E245" s="2"/>
      <c r="F245" s="7">
        <f t="shared" si="130"/>
        <v>4.9318737697028004E-3</v>
      </c>
      <c r="G245" s="2"/>
      <c r="H245" s="6">
        <v>2640.81</v>
      </c>
      <c r="I245" s="2"/>
      <c r="J245" s="7">
        <f t="shared" si="131"/>
        <v>1.6020779372050674E-2</v>
      </c>
      <c r="K245" s="2"/>
      <c r="L245" s="6">
        <f t="shared" si="132"/>
        <v>-478.34999999999991</v>
      </c>
      <c r="M245" s="2"/>
      <c r="N245" s="7">
        <f t="shared" si="133"/>
        <v>-0.1811376055074011</v>
      </c>
      <c r="O245" s="10"/>
      <c r="P245" s="6">
        <v>46466.31</v>
      </c>
      <c r="Q245" s="2"/>
      <c r="R245" s="7">
        <f t="shared" si="134"/>
        <v>9.8809000329436267E-3</v>
      </c>
      <c r="S245" s="2"/>
      <c r="T245" s="6">
        <v>28083.71</v>
      </c>
      <c r="U245" s="2"/>
      <c r="V245" s="7">
        <f t="shared" si="135"/>
        <v>3.2047598711645838E-3</v>
      </c>
      <c r="W245" s="2"/>
      <c r="X245" s="6">
        <f t="shared" si="136"/>
        <v>18382.599999999999</v>
      </c>
      <c r="Y245" s="2"/>
      <c r="Z245" s="7">
        <f t="shared" si="137"/>
        <v>0.65456451444627506</v>
      </c>
    </row>
    <row r="246" spans="1:26" s="23" customFormat="1" hidden="1" outlineLevel="2" x14ac:dyDescent="0.25">
      <c r="A246" s="27"/>
      <c r="B246" s="10" t="str">
        <f>CONCATENATE("          ", "6248", " - ", "UNIFORMS")</f>
        <v xml:space="preserve">          6248 - UNIFORMS</v>
      </c>
      <c r="C246" s="10"/>
      <c r="D246" s="6"/>
      <c r="E246" s="2"/>
      <c r="F246" s="7">
        <f t="shared" si="130"/>
        <v>0</v>
      </c>
      <c r="G246" s="2"/>
      <c r="H246" s="6">
        <v>43.91</v>
      </c>
      <c r="I246" s="2"/>
      <c r="J246" s="7">
        <f t="shared" si="131"/>
        <v>2.6638509481058658E-4</v>
      </c>
      <c r="K246" s="2"/>
      <c r="L246" s="6">
        <f t="shared" si="132"/>
        <v>-43.91</v>
      </c>
      <c r="M246" s="2"/>
      <c r="N246" s="7">
        <f t="shared" si="133"/>
        <v>-1</v>
      </c>
      <c r="O246" s="10"/>
      <c r="P246" s="6"/>
      <c r="Q246" s="2"/>
      <c r="R246" s="7">
        <f t="shared" si="134"/>
        <v>0</v>
      </c>
      <c r="S246" s="2"/>
      <c r="T246" s="6">
        <v>43.91</v>
      </c>
      <c r="U246" s="2"/>
      <c r="V246" s="7">
        <f t="shared" si="135"/>
        <v>5.0107698001025106E-6</v>
      </c>
      <c r="W246" s="2"/>
      <c r="X246" s="6">
        <f t="shared" si="136"/>
        <v>-43.91</v>
      </c>
      <c r="Y246" s="2"/>
      <c r="Z246" s="7">
        <f t="shared" si="137"/>
        <v>-1</v>
      </c>
    </row>
    <row r="247" spans="1:26" s="26" customFormat="1" outlineLevel="1" collapsed="1" x14ac:dyDescent="0.25">
      <c r="A247" s="25"/>
      <c r="B247" s="12" t="str">
        <f>CONCATENATE("     ","Telephone/Data Lines                              ")</f>
        <v xml:space="preserve">     Telephone/Data Lines                              </v>
      </c>
      <c r="C247" s="12"/>
      <c r="D247" s="1">
        <f>SUM(OSRRefD22_21x_0)</f>
        <v>1962.76</v>
      </c>
      <c r="E247" s="1"/>
      <c r="F247" s="5">
        <f t="shared" ref="F247:F249" si="138">IF(D$12=0,0,D247/D$12)</f>
        <v>4.4764224819057313E-3</v>
      </c>
      <c r="G247" s="1"/>
      <c r="H247" s="1">
        <f>SUM(OSRRefH22_21x_0)</f>
        <v>2553.83</v>
      </c>
      <c r="I247" s="1"/>
      <c r="J247" s="5">
        <f t="shared" ref="J247:J249" si="139">IF(H$12=0,0,H247/H$12)</f>
        <v>1.5493105139606474E-2</v>
      </c>
      <c r="K247" s="1"/>
      <c r="L247" s="1">
        <f t="shared" ref="L247:L249" si="140">+D247-H247</f>
        <v>-591.06999999999994</v>
      </c>
      <c r="M247" s="1"/>
      <c r="N247" s="5">
        <f t="shared" ref="N247:N249" si="141">IF(H247=0,0,L247/H247)</f>
        <v>-0.23144453624556058</v>
      </c>
      <c r="O247" s="12"/>
      <c r="P247" s="1">
        <f>SUM(OSRRefP22_21x_0)</f>
        <v>21831.43</v>
      </c>
      <c r="Q247" s="1"/>
      <c r="R247" s="5">
        <f t="shared" ref="R247:R249" si="142">IF(P$12=0,0,P247/P$12)</f>
        <v>4.6423780456465447E-3</v>
      </c>
      <c r="S247" s="1"/>
      <c r="T247" s="1">
        <f>SUM(OSRRefT22_21x_0)</f>
        <v>25117.89</v>
      </c>
      <c r="U247" s="1"/>
      <c r="V247" s="5">
        <f t="shared" ref="V247:V249" si="143">IF(T$12=0,0,T247/T$12)</f>
        <v>2.8663166625893157E-3</v>
      </c>
      <c r="W247" s="1"/>
      <c r="X247" s="1">
        <f t="shared" ref="X247:X249" si="144">+P247-T247</f>
        <v>-3286.4599999999991</v>
      </c>
      <c r="Y247" s="1"/>
      <c r="Z247" s="5">
        <f t="shared" ref="Z247:Z249" si="145">IF(T247=0,0,X247/T247)</f>
        <v>-0.13084140427400548</v>
      </c>
    </row>
    <row r="248" spans="1:26" s="23" customFormat="1" hidden="1" outlineLevel="2" x14ac:dyDescent="0.25">
      <c r="A248" s="27"/>
      <c r="B248" s="10" t="str">
        <f>CONCATENATE("          ", "6303", " - ", "DATA PHONE LINES")</f>
        <v xml:space="preserve">          6303 - DATA PHONE LINES</v>
      </c>
      <c r="C248" s="10"/>
      <c r="D248" s="6">
        <v>590</v>
      </c>
      <c r="E248" s="2"/>
      <c r="F248" s="7">
        <f t="shared" si="138"/>
        <v>1.3455996985491765E-3</v>
      </c>
      <c r="G248" s="2"/>
      <c r="H248" s="6"/>
      <c r="I248" s="2"/>
      <c r="J248" s="7">
        <f t="shared" si="139"/>
        <v>0</v>
      </c>
      <c r="K248" s="2"/>
      <c r="L248" s="6">
        <f t="shared" si="140"/>
        <v>590</v>
      </c>
      <c r="M248" s="2"/>
      <c r="N248" s="7">
        <f t="shared" si="141"/>
        <v>0</v>
      </c>
      <c r="O248" s="10"/>
      <c r="P248" s="6">
        <v>3540</v>
      </c>
      <c r="Q248" s="2"/>
      <c r="R248" s="7">
        <f t="shared" si="142"/>
        <v>7.5276875044780699E-4</v>
      </c>
      <c r="S248" s="2"/>
      <c r="T248" s="6">
        <v>2360</v>
      </c>
      <c r="U248" s="2"/>
      <c r="V248" s="7">
        <f t="shared" si="143"/>
        <v>2.6931033314146952E-4</v>
      </c>
      <c r="W248" s="2"/>
      <c r="X248" s="6">
        <f t="shared" si="144"/>
        <v>1180</v>
      </c>
      <c r="Y248" s="2"/>
      <c r="Z248" s="7">
        <f t="shared" si="145"/>
        <v>0.5</v>
      </c>
    </row>
    <row r="249" spans="1:26" s="23" customFormat="1" hidden="1" outlineLevel="2" x14ac:dyDescent="0.25">
      <c r="A249" s="27"/>
      <c r="B249" s="10" t="str">
        <f>CONCATENATE("          ", "6309", " - ", "TELEPHONE")</f>
        <v xml:space="preserve">          6309 - TELEPHONE</v>
      </c>
      <c r="C249" s="10"/>
      <c r="D249" s="6">
        <v>1372.76</v>
      </c>
      <c r="E249" s="2"/>
      <c r="F249" s="7">
        <f t="shared" si="138"/>
        <v>3.1308227833565551E-3</v>
      </c>
      <c r="G249" s="2"/>
      <c r="H249" s="6">
        <v>2553.83</v>
      </c>
      <c r="I249" s="2"/>
      <c r="J249" s="7">
        <f t="shared" si="139"/>
        <v>1.5493105139606474E-2</v>
      </c>
      <c r="K249" s="2"/>
      <c r="L249" s="6">
        <f t="shared" si="140"/>
        <v>-1181.07</v>
      </c>
      <c r="M249" s="2"/>
      <c r="N249" s="7">
        <f t="shared" si="141"/>
        <v>-0.46247009393734118</v>
      </c>
      <c r="O249" s="10"/>
      <c r="P249" s="6">
        <v>18291.43</v>
      </c>
      <c r="Q249" s="2"/>
      <c r="R249" s="7">
        <f t="shared" si="142"/>
        <v>3.8896092951987379E-3</v>
      </c>
      <c r="S249" s="2"/>
      <c r="T249" s="6">
        <v>22757.89</v>
      </c>
      <c r="U249" s="2"/>
      <c r="V249" s="7">
        <f t="shared" si="143"/>
        <v>2.5970063294478464E-3</v>
      </c>
      <c r="W249" s="2"/>
      <c r="X249" s="6">
        <f t="shared" si="144"/>
        <v>-4466.4599999999991</v>
      </c>
      <c r="Y249" s="2"/>
      <c r="Z249" s="7">
        <f t="shared" si="145"/>
        <v>-0.19625984658507442</v>
      </c>
    </row>
    <row r="250" spans="1:26" s="26" customFormat="1" outlineLevel="1" collapsed="1" x14ac:dyDescent="0.25">
      <c r="A250" s="25"/>
      <c r="B250" s="12" t="str">
        <f>CONCATENATE("     ","Training                                          ")</f>
        <v xml:space="preserve">     Training                                          </v>
      </c>
      <c r="C250" s="12"/>
      <c r="D250" s="1">
        <f>SUM(OSRRefD22_22x_0)</f>
        <v>0</v>
      </c>
      <c r="E250" s="1"/>
      <c r="F250" s="5">
        <f t="shared" ref="F250:F255" si="146">IF(D$12=0,0,D250/D$12)</f>
        <v>0</v>
      </c>
      <c r="G250" s="1"/>
      <c r="H250" s="1">
        <f>SUM(OSRRefH22_22x_0)</f>
        <v>1350</v>
      </c>
      <c r="I250" s="1"/>
      <c r="J250" s="5">
        <f t="shared" ref="J250:J255" si="147">IF(H$12=0,0,H250/H$12)</f>
        <v>8.1899311772783388E-3</v>
      </c>
      <c r="K250" s="1"/>
      <c r="L250" s="1">
        <f t="shared" ref="L250:L255" si="148">+D250-H250</f>
        <v>-1350</v>
      </c>
      <c r="M250" s="1"/>
      <c r="N250" s="5">
        <f t="shared" ref="N250:N255" si="149">IF(H250=0,0,L250/H250)</f>
        <v>-1</v>
      </c>
      <c r="O250" s="12"/>
      <c r="P250" s="1">
        <f>SUM(OSRRefP22_22x_0)</f>
        <v>895.63</v>
      </c>
      <c r="Q250" s="1"/>
      <c r="R250" s="5">
        <f t="shared" ref="R250:R255" si="150">IF(P$12=0,0,P250/P$12)</f>
        <v>1.9045262032869192E-4</v>
      </c>
      <c r="S250" s="1"/>
      <c r="T250" s="1">
        <f>SUM(OSRRefT22_22x_0)</f>
        <v>21716.880000000001</v>
      </c>
      <c r="U250" s="1"/>
      <c r="V250" s="5">
        <f t="shared" ref="V250:V255" si="151">IF(T$12=0,0,T250/T$12)</f>
        <v>2.4782119438954732E-3</v>
      </c>
      <c r="W250" s="1"/>
      <c r="X250" s="1">
        <f t="shared" ref="X250:X255" si="152">+P250-T250</f>
        <v>-20821.25</v>
      </c>
      <c r="Y250" s="1"/>
      <c r="Z250" s="5">
        <f t="shared" ref="Z250:Z255" si="153">IF(T250=0,0,X250/T250)</f>
        <v>-0.95875880881599929</v>
      </c>
    </row>
    <row r="251" spans="1:26" s="23" customFormat="1" hidden="1" outlineLevel="2" x14ac:dyDescent="0.25">
      <c r="A251" s="27"/>
      <c r="B251" s="10" t="str">
        <f>CONCATENATE("          ", "6376", " - ", "TRAINING")</f>
        <v xml:space="preserve">          6376 - TRAINING</v>
      </c>
      <c r="C251" s="10"/>
      <c r="D251" s="6"/>
      <c r="E251" s="2"/>
      <c r="F251" s="7">
        <f t="shared" si="146"/>
        <v>0</v>
      </c>
      <c r="G251" s="2"/>
      <c r="H251" s="6">
        <v>1350</v>
      </c>
      <c r="I251" s="2"/>
      <c r="J251" s="7">
        <f t="shared" si="147"/>
        <v>8.1899311772783388E-3</v>
      </c>
      <c r="K251" s="2"/>
      <c r="L251" s="6">
        <f t="shared" si="148"/>
        <v>-1350</v>
      </c>
      <c r="M251" s="2"/>
      <c r="N251" s="7">
        <f t="shared" si="149"/>
        <v>-1</v>
      </c>
      <c r="O251" s="10"/>
      <c r="P251" s="6">
        <v>895.63</v>
      </c>
      <c r="Q251" s="2"/>
      <c r="R251" s="7">
        <f t="shared" si="150"/>
        <v>1.9045262032869192E-4</v>
      </c>
      <c r="S251" s="2"/>
      <c r="T251" s="6">
        <v>21716.880000000001</v>
      </c>
      <c r="U251" s="2"/>
      <c r="V251" s="7">
        <f t="shared" si="151"/>
        <v>2.4782119438954732E-3</v>
      </c>
      <c r="W251" s="2"/>
      <c r="X251" s="6">
        <f t="shared" si="152"/>
        <v>-20821.25</v>
      </c>
      <c r="Y251" s="2"/>
      <c r="Z251" s="7">
        <f t="shared" si="153"/>
        <v>-0.95875880881599929</v>
      </c>
    </row>
    <row r="252" spans="1:26" s="26" customFormat="1" outlineLevel="1" collapsed="1" x14ac:dyDescent="0.25">
      <c r="A252" s="25"/>
      <c r="B252" s="12" t="str">
        <f>CONCATENATE("     ","Travel                                            ")</f>
        <v xml:space="preserve">     Travel                                            </v>
      </c>
      <c r="C252" s="12"/>
      <c r="D252" s="1">
        <f>SUM(OSRRefD22_23x_0)</f>
        <v>69.069999999999993</v>
      </c>
      <c r="E252" s="1"/>
      <c r="F252" s="5">
        <f t="shared" si="146"/>
        <v>1.5752639182846034E-4</v>
      </c>
      <c r="G252" s="1"/>
      <c r="H252" s="1">
        <f>SUM(OSRRefH22_23x_0)</f>
        <v>85.45</v>
      </c>
      <c r="I252" s="1"/>
      <c r="J252" s="5">
        <f t="shared" si="147"/>
        <v>5.1839231044328458E-4</v>
      </c>
      <c r="K252" s="1"/>
      <c r="L252" s="1">
        <f t="shared" si="148"/>
        <v>-16.38000000000001</v>
      </c>
      <c r="M252" s="1"/>
      <c r="N252" s="5">
        <f t="shared" si="149"/>
        <v>-0.19169104739613821</v>
      </c>
      <c r="O252" s="12"/>
      <c r="P252" s="1">
        <f>SUM(OSRRefP22_23x_0)</f>
        <v>972.4</v>
      </c>
      <c r="Q252" s="1"/>
      <c r="R252" s="5">
        <f t="shared" si="150"/>
        <v>2.0677749517950496E-4</v>
      </c>
      <c r="S252" s="1"/>
      <c r="T252" s="1">
        <f>SUM(OSRRefT22_23x_0)</f>
        <v>1317.79</v>
      </c>
      <c r="U252" s="1"/>
      <c r="V252" s="5">
        <f t="shared" si="151"/>
        <v>1.5037901013156656E-4</v>
      </c>
      <c r="W252" s="1"/>
      <c r="X252" s="1">
        <f t="shared" si="152"/>
        <v>-345.39</v>
      </c>
      <c r="Y252" s="1"/>
      <c r="Z252" s="5">
        <f t="shared" si="153"/>
        <v>-0.2620979063431958</v>
      </c>
    </row>
    <row r="253" spans="1:26" s="23" customFormat="1" hidden="1" outlineLevel="2" x14ac:dyDescent="0.25">
      <c r="A253" s="27"/>
      <c r="B253" s="10" t="str">
        <f>CONCATENATE("          ", "6292", " - ", "TRAVEL/CONFERENCE")</f>
        <v xml:space="preserve">          6292 - TRAVEL/CONFERENCE</v>
      </c>
      <c r="C253" s="10"/>
      <c r="D253" s="6"/>
      <c r="E253" s="2"/>
      <c r="F253" s="7">
        <f t="shared" si="146"/>
        <v>0</v>
      </c>
      <c r="G253" s="2"/>
      <c r="H253" s="6"/>
      <c r="I253" s="2"/>
      <c r="J253" s="7">
        <f t="shared" si="147"/>
        <v>0</v>
      </c>
      <c r="K253" s="2"/>
      <c r="L253" s="6">
        <f t="shared" si="148"/>
        <v>0</v>
      </c>
      <c r="M253" s="2"/>
      <c r="N253" s="7">
        <f t="shared" si="149"/>
        <v>0</v>
      </c>
      <c r="O253" s="10"/>
      <c r="P253" s="6">
        <v>299.16000000000003</v>
      </c>
      <c r="Q253" s="2"/>
      <c r="R253" s="7">
        <f t="shared" si="150"/>
        <v>6.3615338809029938E-5</v>
      </c>
      <c r="S253" s="2"/>
      <c r="T253" s="6">
        <v>504.66</v>
      </c>
      <c r="U253" s="2"/>
      <c r="V253" s="7">
        <f t="shared" si="151"/>
        <v>5.7589047764056782E-5</v>
      </c>
      <c r="W253" s="2"/>
      <c r="X253" s="6">
        <f t="shared" si="152"/>
        <v>-205.5</v>
      </c>
      <c r="Y253" s="2"/>
      <c r="Z253" s="7">
        <f t="shared" si="153"/>
        <v>-0.40720485079063129</v>
      </c>
    </row>
    <row r="254" spans="1:26" s="23" customFormat="1" hidden="1" outlineLevel="2" x14ac:dyDescent="0.25">
      <c r="A254" s="27"/>
      <c r="B254" s="10" t="str">
        <f>CONCATENATE("          ", "6294", " - ", "TRAVEL OPERATIONAL")</f>
        <v xml:space="preserve">          6294 - TRAVEL OPERATIONAL</v>
      </c>
      <c r="C254" s="10"/>
      <c r="D254" s="6">
        <v>69.069999999999993</v>
      </c>
      <c r="E254" s="2"/>
      <c r="F254" s="7">
        <f t="shared" si="146"/>
        <v>1.5752639182846034E-4</v>
      </c>
      <c r="G254" s="2"/>
      <c r="H254" s="6"/>
      <c r="I254" s="2"/>
      <c r="J254" s="7">
        <f t="shared" si="147"/>
        <v>0</v>
      </c>
      <c r="K254" s="2"/>
      <c r="L254" s="6">
        <f t="shared" si="148"/>
        <v>69.069999999999993</v>
      </c>
      <c r="M254" s="2"/>
      <c r="N254" s="7">
        <f t="shared" si="149"/>
        <v>0</v>
      </c>
      <c r="O254" s="10"/>
      <c r="P254" s="6">
        <v>613.35</v>
      </c>
      <c r="Q254" s="2"/>
      <c r="R254" s="7">
        <f t="shared" si="150"/>
        <v>1.3042675510936794E-4</v>
      </c>
      <c r="S254" s="2"/>
      <c r="T254" s="6">
        <v>361.61</v>
      </c>
      <c r="U254" s="2"/>
      <c r="V254" s="7">
        <f t="shared" si="151"/>
        <v>4.1264961681053723E-5</v>
      </c>
      <c r="W254" s="2"/>
      <c r="X254" s="6">
        <f t="shared" si="152"/>
        <v>251.74</v>
      </c>
      <c r="Y254" s="2"/>
      <c r="Z254" s="7">
        <f t="shared" si="153"/>
        <v>0.69616437598517744</v>
      </c>
    </row>
    <row r="255" spans="1:26" s="23" customFormat="1" hidden="1" outlineLevel="2" x14ac:dyDescent="0.25">
      <c r="A255" s="27"/>
      <c r="B255" s="10" t="str">
        <f>CONCATENATE("          ", "6298", " - ", "VEHICLE MILEAGE")</f>
        <v xml:space="preserve">          6298 - VEHICLE MILEAGE</v>
      </c>
      <c r="C255" s="10"/>
      <c r="D255" s="6"/>
      <c r="E255" s="2"/>
      <c r="F255" s="7">
        <f t="shared" si="146"/>
        <v>0</v>
      </c>
      <c r="G255" s="2"/>
      <c r="H255" s="6">
        <v>85.45</v>
      </c>
      <c r="I255" s="2"/>
      <c r="J255" s="7">
        <f t="shared" si="147"/>
        <v>5.1839231044328458E-4</v>
      </c>
      <c r="K255" s="2"/>
      <c r="L255" s="6">
        <f t="shared" si="148"/>
        <v>-85.45</v>
      </c>
      <c r="M255" s="2"/>
      <c r="N255" s="7">
        <f t="shared" si="149"/>
        <v>-1</v>
      </c>
      <c r="O255" s="10"/>
      <c r="P255" s="6">
        <v>59.89</v>
      </c>
      <c r="Q255" s="2"/>
      <c r="R255" s="7">
        <f t="shared" si="150"/>
        <v>1.2735401261107109E-5</v>
      </c>
      <c r="S255" s="2"/>
      <c r="T255" s="6">
        <v>451.52</v>
      </c>
      <c r="U255" s="2"/>
      <c r="V255" s="7">
        <f t="shared" si="151"/>
        <v>5.1525000686456058E-5</v>
      </c>
      <c r="W255" s="2"/>
      <c r="X255" s="6">
        <f t="shared" si="152"/>
        <v>-391.63</v>
      </c>
      <c r="Y255" s="2"/>
      <c r="Z255" s="7">
        <f t="shared" si="153"/>
        <v>-0.86735914245216161</v>
      </c>
    </row>
    <row r="256" spans="1:26" s="26" customFormat="1" outlineLevel="1" collapsed="1" x14ac:dyDescent="0.25">
      <c r="A256" s="25"/>
      <c r="B256" s="12" t="str">
        <f>CONCATENATE("     ","Utilities                                         ")</f>
        <v xml:space="preserve">     Utilities                                         </v>
      </c>
      <c r="C256" s="12"/>
      <c r="D256" s="1">
        <f>SUM(OSRRefD22_24x_0)</f>
        <v>6161.93</v>
      </c>
      <c r="E256" s="1"/>
      <c r="F256" s="5">
        <f t="shared" ref="F256:F257" si="154">IF(D$12=0,0,D256/D$12)</f>
        <v>1.4053374831323944E-2</v>
      </c>
      <c r="G256" s="1"/>
      <c r="H256" s="1">
        <f>SUM(OSRRefH22_24x_0)</f>
        <v>6201.05</v>
      </c>
      <c r="I256" s="1"/>
      <c r="J256" s="5">
        <f t="shared" ref="J256:J257" si="155">IF(H$12=0,0,H256/H$12)</f>
        <v>3.7619387205082851E-2</v>
      </c>
      <c r="K256" s="1"/>
      <c r="L256" s="1">
        <f t="shared" ref="L256:L257" si="156">+D256-H256</f>
        <v>-39.119999999999891</v>
      </c>
      <c r="M256" s="1"/>
      <c r="N256" s="5">
        <f t="shared" ref="N256:N257" si="157">IF(H256=0,0,L256/H256)</f>
        <v>-6.3086090258907589E-3</v>
      </c>
      <c r="O256" s="12"/>
      <c r="P256" s="1">
        <f>SUM(OSRRefP22_24x_0)</f>
        <v>58679.55</v>
      </c>
      <c r="Q256" s="1"/>
      <c r="R256" s="5">
        <f t="shared" ref="R256:R257" si="158">IF(P$12=0,0,P256/P$12)</f>
        <v>1.2478003257158084E-2</v>
      </c>
      <c r="S256" s="1"/>
      <c r="T256" s="1">
        <f>SUM(OSRRefT22_24x_0)</f>
        <v>59205.35</v>
      </c>
      <c r="U256" s="1"/>
      <c r="V256" s="5">
        <f t="shared" ref="V256:V257" si="159">IF(T$12=0,0,T256/T$12)</f>
        <v>6.7561917509564836E-3</v>
      </c>
      <c r="W256" s="1"/>
      <c r="X256" s="1">
        <f t="shared" ref="X256:X257" si="160">+P256-T256</f>
        <v>-525.79999999999563</v>
      </c>
      <c r="Y256" s="1"/>
      <c r="Z256" s="5">
        <f t="shared" ref="Z256:Z257" si="161">IF(T256=0,0,X256/T256)</f>
        <v>-8.8809541705267454E-3</v>
      </c>
    </row>
    <row r="257" spans="1:26" s="23" customFormat="1" hidden="1" outlineLevel="2" x14ac:dyDescent="0.25">
      <c r="A257" s="27"/>
      <c r="B257" s="10" t="str">
        <f>CONCATENATE("          ", "6274", " - ", "UTILITIES")</f>
        <v xml:space="preserve">          6274 - UTILITIES</v>
      </c>
      <c r="C257" s="10"/>
      <c r="D257" s="6">
        <v>6161.93</v>
      </c>
      <c r="E257" s="2"/>
      <c r="F257" s="7">
        <f t="shared" si="154"/>
        <v>1.4053374831323944E-2</v>
      </c>
      <c r="G257" s="2"/>
      <c r="H257" s="6">
        <v>6201.05</v>
      </c>
      <c r="I257" s="2"/>
      <c r="J257" s="7">
        <f t="shared" si="155"/>
        <v>3.7619387205082851E-2</v>
      </c>
      <c r="K257" s="2"/>
      <c r="L257" s="6">
        <f t="shared" si="156"/>
        <v>-39.119999999999891</v>
      </c>
      <c r="M257" s="2"/>
      <c r="N257" s="7">
        <f t="shared" si="157"/>
        <v>-6.3086090258907589E-3</v>
      </c>
      <c r="O257" s="10"/>
      <c r="P257" s="6">
        <v>58679.55</v>
      </c>
      <c r="Q257" s="2"/>
      <c r="R257" s="7">
        <f t="shared" si="158"/>
        <v>1.2478003257158084E-2</v>
      </c>
      <c r="S257" s="2"/>
      <c r="T257" s="6">
        <v>59205.35</v>
      </c>
      <c r="U257" s="2"/>
      <c r="V257" s="7">
        <f t="shared" si="159"/>
        <v>6.7561917509564836E-3</v>
      </c>
      <c r="W257" s="2"/>
      <c r="X257" s="6">
        <f t="shared" si="160"/>
        <v>-525.79999999999563</v>
      </c>
      <c r="Y257" s="2"/>
      <c r="Z257" s="7">
        <f t="shared" si="161"/>
        <v>-8.8809541705267454E-3</v>
      </c>
    </row>
    <row r="258" spans="1:26" s="62" customFormat="1" x14ac:dyDescent="0.25">
      <c r="A258" s="37"/>
      <c r="B258" s="37"/>
      <c r="C258" s="37"/>
      <c r="D258" s="1"/>
      <c r="E258" s="1"/>
      <c r="F258" s="5"/>
      <c r="G258" s="1"/>
      <c r="H258" s="1"/>
      <c r="I258" s="1"/>
      <c r="J258" s="5"/>
      <c r="K258" s="1"/>
      <c r="L258" s="1"/>
      <c r="M258" s="1"/>
      <c r="N258" s="5"/>
      <c r="O258" s="37"/>
      <c r="P258" s="1"/>
      <c r="Q258" s="1"/>
      <c r="R258" s="5"/>
      <c r="S258" s="1"/>
      <c r="T258" s="1"/>
      <c r="U258" s="1"/>
      <c r="V258" s="5"/>
      <c r="W258" s="1"/>
      <c r="X258" s="1"/>
      <c r="Y258" s="1"/>
      <c r="Z258" s="5"/>
    </row>
    <row r="259" spans="1:26" s="24" customFormat="1" collapsed="1" x14ac:dyDescent="0.25">
      <c r="A259" s="11"/>
      <c r="B259" s="28" t="s">
        <v>292</v>
      </c>
      <c r="C259" s="11"/>
      <c r="D259" s="4">
        <f>SUM(OSRRefD25x_0)</f>
        <v>30690.94</v>
      </c>
      <c r="E259" s="4"/>
      <c r="F259" s="13">
        <f t="shared" ref="F259:F268" si="162">IF(D$12=0,0,D259/D$12)</f>
        <v>6.9996134935916707E-2</v>
      </c>
      <c r="G259" s="4"/>
      <c r="H259" s="4">
        <f>SUM(OSRRefH25x_0)</f>
        <v>390561.66</v>
      </c>
      <c r="I259" s="4"/>
      <c r="J259" s="13">
        <f t="shared" ref="J259:J268" si="163">IF(H$12=0,0,H259/H$12)</f>
        <v>2.369387493247098</v>
      </c>
      <c r="K259" s="4"/>
      <c r="L259" s="4">
        <f t="shared" ref="L259:L268" si="164">+D259-H259</f>
        <v>-359870.71999999997</v>
      </c>
      <c r="M259" s="4"/>
      <c r="N259" s="13">
        <f t="shared" ref="N259:N268" si="165">IF(H259=0,0,L259/H259)</f>
        <v>-0.92141845157048952</v>
      </c>
      <c r="O259" s="11"/>
      <c r="P259" s="4">
        <f>SUM(OSRRefP25x_0)</f>
        <v>992993.17000000016</v>
      </c>
      <c r="Q259" s="4"/>
      <c r="R259" s="13">
        <f t="shared" ref="R259:R268" si="166">IF(P$12=0,0,P259/P$12)</f>
        <v>0.21115656152093418</v>
      </c>
      <c r="S259" s="4"/>
      <c r="T259" s="4">
        <f>SUM(OSRRefT25x_0)</f>
        <v>1061028.04</v>
      </c>
      <c r="U259" s="4"/>
      <c r="V259" s="13">
        <f t="shared" ref="V259:V268" si="167">IF(T$12=0,0,T259/T$12)</f>
        <v>0.12107873513764425</v>
      </c>
      <c r="W259" s="4"/>
      <c r="X259" s="4">
        <f t="shared" ref="X259:X268" si="168">+P259-T259</f>
        <v>-68034.869999999879</v>
      </c>
      <c r="Y259" s="4"/>
      <c r="Z259" s="13">
        <f t="shared" ref="Z259:Z268" si="169">IF(T259=0,0,X259/T259)</f>
        <v>-6.412165129962058E-2</v>
      </c>
    </row>
    <row r="260" spans="1:26" s="23" customFormat="1" hidden="1" outlineLevel="1" x14ac:dyDescent="0.25">
      <c r="A260" s="44"/>
      <c r="B260" s="10" t="str">
        <f>CONCATENATE("          ", "4098", " - ", "TAXABLE SALES-GRAD RENTALS")</f>
        <v xml:space="preserve">          4098 - TAXABLE SALES-GRAD RENTALS</v>
      </c>
      <c r="C260" s="10"/>
      <c r="D260" s="2">
        <f>--49.95</f>
        <v>49.95</v>
      </c>
      <c r="E260" s="2"/>
      <c r="F260" s="19">
        <f t="shared" si="162"/>
        <v>1.1391983888564639E-4</v>
      </c>
      <c r="G260" s="2"/>
      <c r="H260" s="2">
        <f t="shared" ref="H260:H261" si="170">0</f>
        <v>0</v>
      </c>
      <c r="I260" s="2"/>
      <c r="J260" s="19">
        <f t="shared" si="163"/>
        <v>0</v>
      </c>
      <c r="K260" s="2"/>
      <c r="L260" s="2">
        <f t="shared" si="164"/>
        <v>49.95</v>
      </c>
      <c r="M260" s="2"/>
      <c r="N260" s="19">
        <f t="shared" si="165"/>
        <v>0</v>
      </c>
      <c r="O260" s="10"/>
      <c r="P260" s="2">
        <f>--49.95</f>
        <v>49.95</v>
      </c>
      <c r="Q260" s="2"/>
      <c r="R260" s="19">
        <f t="shared" si="166"/>
        <v>1.0621694656742363E-5</v>
      </c>
      <c r="S260" s="2"/>
      <c r="T260" s="2">
        <f>--2098.85</f>
        <v>2098.85</v>
      </c>
      <c r="U260" s="2"/>
      <c r="V260" s="19">
        <f t="shared" si="167"/>
        <v>2.3950931894659881E-4</v>
      </c>
      <c r="W260" s="2"/>
      <c r="X260" s="2">
        <f t="shared" si="168"/>
        <v>-2048.9</v>
      </c>
      <c r="Y260" s="2"/>
      <c r="Z260" s="19">
        <f t="shared" si="169"/>
        <v>-0.97620125306715588</v>
      </c>
    </row>
    <row r="261" spans="1:26" s="23" customFormat="1" hidden="1" outlineLevel="1" x14ac:dyDescent="0.25">
      <c r="A261" s="44"/>
      <c r="B261" s="10" t="str">
        <f>CONCATENATE("          ", "4197", " - ", "NON-TAXABLE SALES-RETURNED CHE")</f>
        <v xml:space="preserve">          4197 - NON-TAXABLE SALES-RETURNED CHE</v>
      </c>
      <c r="C261" s="10"/>
      <c r="D261" s="2">
        <f t="shared" ref="D261:D262" si="171">0</f>
        <v>0</v>
      </c>
      <c r="E261" s="2"/>
      <c r="F261" s="19">
        <f t="shared" si="162"/>
        <v>0</v>
      </c>
      <c r="G261" s="2"/>
      <c r="H261" s="2">
        <f t="shared" si="170"/>
        <v>0</v>
      </c>
      <c r="I261" s="2"/>
      <c r="J261" s="19">
        <f t="shared" si="163"/>
        <v>0</v>
      </c>
      <c r="K261" s="2"/>
      <c r="L261" s="2">
        <f t="shared" si="164"/>
        <v>0</v>
      </c>
      <c r="M261" s="2"/>
      <c r="N261" s="19">
        <f t="shared" si="165"/>
        <v>0</v>
      </c>
      <c r="O261" s="10"/>
      <c r="P261" s="2">
        <f t="shared" ref="P261:P262" si="172">0</f>
        <v>0</v>
      </c>
      <c r="Q261" s="2"/>
      <c r="R261" s="19">
        <f t="shared" si="166"/>
        <v>0</v>
      </c>
      <c r="S261" s="2"/>
      <c r="T261" s="2">
        <f>--30</f>
        <v>30</v>
      </c>
      <c r="U261" s="2"/>
      <c r="V261" s="19">
        <f t="shared" si="167"/>
        <v>3.4234364382390191E-6</v>
      </c>
      <c r="W261" s="2"/>
      <c r="X261" s="2">
        <f t="shared" si="168"/>
        <v>-30</v>
      </c>
      <c r="Y261" s="2"/>
      <c r="Z261" s="19">
        <f t="shared" si="169"/>
        <v>-1</v>
      </c>
    </row>
    <row r="262" spans="1:26" s="23" customFormat="1" hidden="1" outlineLevel="1" x14ac:dyDescent="0.25">
      <c r="A262" s="44"/>
      <c r="B262" s="10" t="str">
        <f>CONCATENATE("          ", "4198", " - ", "NON-TAXABLE SALES-GRAD RENTALS")</f>
        <v xml:space="preserve">          4198 - NON-TAXABLE SALES-GRAD RENTALS</v>
      </c>
      <c r="C262" s="10"/>
      <c r="D262" s="2">
        <f t="shared" si="171"/>
        <v>0</v>
      </c>
      <c r="E262" s="2"/>
      <c r="F262" s="19">
        <f t="shared" si="162"/>
        <v>0</v>
      </c>
      <c r="G262" s="2"/>
      <c r="H262" s="2">
        <f>-98.64</f>
        <v>-98.64</v>
      </c>
      <c r="I262" s="2"/>
      <c r="J262" s="19">
        <f t="shared" si="163"/>
        <v>-5.9841097135313731E-4</v>
      </c>
      <c r="K262" s="2"/>
      <c r="L262" s="2">
        <f t="shared" si="164"/>
        <v>98.64</v>
      </c>
      <c r="M262" s="2"/>
      <c r="N262" s="19">
        <f t="shared" si="165"/>
        <v>-1</v>
      </c>
      <c r="O262" s="10"/>
      <c r="P262" s="2">
        <f t="shared" si="172"/>
        <v>0</v>
      </c>
      <c r="Q262" s="2"/>
      <c r="R262" s="19">
        <f t="shared" si="166"/>
        <v>0</v>
      </c>
      <c r="S262" s="2"/>
      <c r="T262" s="2">
        <f>--3633.46</f>
        <v>3633.46</v>
      </c>
      <c r="U262" s="2"/>
      <c r="V262" s="19">
        <f t="shared" si="167"/>
        <v>4.1463064536279823E-4</v>
      </c>
      <c r="W262" s="2"/>
      <c r="X262" s="2">
        <f t="shared" si="168"/>
        <v>-3633.46</v>
      </c>
      <c r="Y262" s="2"/>
      <c r="Z262" s="19">
        <f t="shared" si="169"/>
        <v>-1</v>
      </c>
    </row>
    <row r="263" spans="1:26" s="23" customFormat="1" hidden="1" outlineLevel="1" x14ac:dyDescent="0.25">
      <c r="A263" s="44"/>
      <c r="B263" s="10" t="str">
        <f>CONCATENATE("          ", "9150", " - ", "MISC. INCOME")</f>
        <v xml:space="preserve">          9150 - MISC. INCOME</v>
      </c>
      <c r="C263" s="10"/>
      <c r="D263" s="2">
        <f>--30090.95</f>
        <v>30090.95</v>
      </c>
      <c r="E263" s="2"/>
      <c r="F263" s="19">
        <f t="shared" si="162"/>
        <v>6.8627751269590406E-2</v>
      </c>
      <c r="G263" s="2"/>
      <c r="H263" s="2">
        <f>--44617.49</f>
        <v>44617.49</v>
      </c>
      <c r="I263" s="2"/>
      <c r="J263" s="19">
        <f t="shared" si="163"/>
        <v>0.27067716474289222</v>
      </c>
      <c r="K263" s="2"/>
      <c r="L263" s="2">
        <f t="shared" si="164"/>
        <v>-14526.539999999997</v>
      </c>
      <c r="M263" s="2"/>
      <c r="N263" s="19">
        <f t="shared" si="165"/>
        <v>-0.32557949808471964</v>
      </c>
      <c r="O263" s="10"/>
      <c r="P263" s="2">
        <f>--346619.7</f>
        <v>346619.7</v>
      </c>
      <c r="Q263" s="2"/>
      <c r="R263" s="19">
        <f t="shared" si="166"/>
        <v>7.3707479788020835E-2</v>
      </c>
      <c r="S263" s="2"/>
      <c r="T263" s="2">
        <f>--427765.48</f>
        <v>427765.48</v>
      </c>
      <c r="U263" s="2"/>
      <c r="V263" s="19">
        <f t="shared" si="167"/>
        <v>4.8814264375093473E-2</v>
      </c>
      <c r="W263" s="2"/>
      <c r="X263" s="2">
        <f t="shared" si="168"/>
        <v>-81145.77999999997</v>
      </c>
      <c r="Y263" s="2"/>
      <c r="Z263" s="19">
        <f t="shared" si="169"/>
        <v>-0.18969688718220079</v>
      </c>
    </row>
    <row r="264" spans="1:26" s="23" customFormat="1" hidden="1" outlineLevel="1" x14ac:dyDescent="0.25">
      <c r="A264" s="44"/>
      <c r="B264" s="10" t="str">
        <f>CONCATENATE("          ", "9151", " - ", "MISC. INCOME")</f>
        <v xml:space="preserve">          9151 - MISC. INCOME</v>
      </c>
      <c r="C264" s="10"/>
      <c r="D264" s="2">
        <f>0</f>
        <v>0</v>
      </c>
      <c r="E264" s="2"/>
      <c r="F264" s="19">
        <f t="shared" si="162"/>
        <v>0</v>
      </c>
      <c r="G264" s="2"/>
      <c r="H264" s="2">
        <f>0</f>
        <v>0</v>
      </c>
      <c r="I264" s="2"/>
      <c r="J264" s="19">
        <f t="shared" si="163"/>
        <v>0</v>
      </c>
      <c r="K264" s="2"/>
      <c r="L264" s="2">
        <f t="shared" si="164"/>
        <v>0</v>
      </c>
      <c r="M264" s="2"/>
      <c r="N264" s="19">
        <f t="shared" si="165"/>
        <v>0</v>
      </c>
      <c r="O264" s="10"/>
      <c r="P264" s="2">
        <f>--295628.46</f>
        <v>295628.46000000002</v>
      </c>
      <c r="Q264" s="2"/>
      <c r="R264" s="19">
        <f t="shared" si="166"/>
        <v>6.2864369048307778E-2</v>
      </c>
      <c r="S264" s="2"/>
      <c r="T264" s="2">
        <f>--169392.7</f>
        <v>169392.7</v>
      </c>
      <c r="U264" s="2"/>
      <c r="V264" s="19">
        <f t="shared" si="167"/>
        <v>1.9330171385056358E-2</v>
      </c>
      <c r="W264" s="2"/>
      <c r="X264" s="2">
        <f t="shared" si="168"/>
        <v>126235.76000000001</v>
      </c>
      <c r="Y264" s="2"/>
      <c r="Z264" s="19">
        <f t="shared" si="169"/>
        <v>0.7452255026338207</v>
      </c>
    </row>
    <row r="265" spans="1:26" s="23" customFormat="1" hidden="1" outlineLevel="1" x14ac:dyDescent="0.25">
      <c r="A265" s="44"/>
      <c r="B265" s="10" t="str">
        <f>CONCATENATE("          ", "9152", " - ", "MISC. INCOME")</f>
        <v xml:space="preserve">          9152 - MISC. INCOME</v>
      </c>
      <c r="C265" s="10"/>
      <c r="D265" s="2">
        <f>--505.94</f>
        <v>505.94</v>
      </c>
      <c r="E265" s="2"/>
      <c r="F265" s="19">
        <f t="shared" si="162"/>
        <v>1.1538859516677462E-3</v>
      </c>
      <c r="G265" s="2"/>
      <c r="H265" s="2">
        <f>--82.19</f>
        <v>82.19</v>
      </c>
      <c r="I265" s="2"/>
      <c r="J265" s="19">
        <f t="shared" si="163"/>
        <v>4.9861514330407899E-4</v>
      </c>
      <c r="K265" s="2"/>
      <c r="L265" s="2">
        <f t="shared" si="164"/>
        <v>423.75</v>
      </c>
      <c r="M265" s="2"/>
      <c r="N265" s="19">
        <f t="shared" si="165"/>
        <v>5.1557367076286651</v>
      </c>
      <c r="O265" s="10"/>
      <c r="P265" s="2">
        <f>--4216.5</f>
        <v>4216.5</v>
      </c>
      <c r="Q265" s="2"/>
      <c r="R265" s="19">
        <f t="shared" si="166"/>
        <v>8.9662413453762101E-4</v>
      </c>
      <c r="S265" s="2"/>
      <c r="T265" s="2">
        <f>--4782.05</f>
        <v>4782.05</v>
      </c>
      <c r="U265" s="2"/>
      <c r="V265" s="19">
        <f t="shared" si="167"/>
        <v>5.4570147398269673E-4</v>
      </c>
      <c r="W265" s="2"/>
      <c r="X265" s="2">
        <f t="shared" si="168"/>
        <v>-565.55000000000018</v>
      </c>
      <c r="Y265" s="2"/>
      <c r="Z265" s="19">
        <f t="shared" si="169"/>
        <v>-0.1182651791595655</v>
      </c>
    </row>
    <row r="266" spans="1:26" s="23" customFormat="1" hidden="1" outlineLevel="1" x14ac:dyDescent="0.25">
      <c r="A266" s="44"/>
      <c r="B266" s="10" t="str">
        <f>CONCATENATE("          ", "9153", " - ", "MISC. INCOME")</f>
        <v xml:space="preserve">          9153 - MISC. INCOME</v>
      </c>
      <c r="C266" s="10"/>
      <c r="D266" s="2">
        <f t="shared" ref="D266:D267" si="173">0</f>
        <v>0</v>
      </c>
      <c r="E266" s="2"/>
      <c r="F266" s="19">
        <f t="shared" si="162"/>
        <v>0</v>
      </c>
      <c r="G266" s="2"/>
      <c r="H266" s="2">
        <f t="shared" ref="H266:H267" si="174">0</f>
        <v>0</v>
      </c>
      <c r="I266" s="2"/>
      <c r="J266" s="19">
        <f t="shared" si="163"/>
        <v>0</v>
      </c>
      <c r="K266" s="2"/>
      <c r="L266" s="2">
        <f t="shared" si="164"/>
        <v>0</v>
      </c>
      <c r="M266" s="2"/>
      <c r="N266" s="19">
        <f t="shared" si="165"/>
        <v>0</v>
      </c>
      <c r="O266" s="10"/>
      <c r="P266" s="2">
        <f t="shared" ref="P266:P267" si="175">0</f>
        <v>0</v>
      </c>
      <c r="Q266" s="2"/>
      <c r="R266" s="19">
        <f t="shared" si="166"/>
        <v>0</v>
      </c>
      <c r="S266" s="2"/>
      <c r="T266" s="2">
        <f>--450</f>
        <v>450</v>
      </c>
      <c r="U266" s="2"/>
      <c r="V266" s="19">
        <f t="shared" si="167"/>
        <v>5.1351546573585284E-5</v>
      </c>
      <c r="W266" s="2"/>
      <c r="X266" s="2">
        <f t="shared" si="168"/>
        <v>-450</v>
      </c>
      <c r="Y266" s="2"/>
      <c r="Z266" s="19">
        <f t="shared" si="169"/>
        <v>-1</v>
      </c>
    </row>
    <row r="267" spans="1:26" s="23" customFormat="1" hidden="1" outlineLevel="1" x14ac:dyDescent="0.25">
      <c r="A267" s="44"/>
      <c r="B267" s="10" t="str">
        <f>CONCATENATE("          ", "9160", " - ", "MISC. INCOME")</f>
        <v xml:space="preserve">          9160 - MISC. INCOME</v>
      </c>
      <c r="C267" s="10"/>
      <c r="D267" s="2">
        <f t="shared" si="173"/>
        <v>0</v>
      </c>
      <c r="E267" s="2"/>
      <c r="F267" s="19">
        <f t="shared" si="162"/>
        <v>0</v>
      </c>
      <c r="G267" s="2"/>
      <c r="H267" s="2">
        <f t="shared" si="174"/>
        <v>0</v>
      </c>
      <c r="I267" s="2"/>
      <c r="J267" s="19">
        <f t="shared" si="163"/>
        <v>0</v>
      </c>
      <c r="K267" s="2"/>
      <c r="L267" s="2">
        <f t="shared" si="164"/>
        <v>0</v>
      </c>
      <c r="M267" s="2"/>
      <c r="N267" s="19">
        <f t="shared" si="165"/>
        <v>0</v>
      </c>
      <c r="O267" s="10"/>
      <c r="P267" s="2">
        <f t="shared" si="175"/>
        <v>0</v>
      </c>
      <c r="Q267" s="2"/>
      <c r="R267" s="19">
        <f t="shared" si="166"/>
        <v>0</v>
      </c>
      <c r="S267" s="2"/>
      <c r="T267" s="2">
        <f>--22475</f>
        <v>22475</v>
      </c>
      <c r="U267" s="2"/>
      <c r="V267" s="19">
        <f t="shared" si="167"/>
        <v>2.5647244649807319E-3</v>
      </c>
      <c r="W267" s="2"/>
      <c r="X267" s="2">
        <f t="shared" si="168"/>
        <v>-22475</v>
      </c>
      <c r="Y267" s="2"/>
      <c r="Z267" s="19">
        <f t="shared" si="169"/>
        <v>-1</v>
      </c>
    </row>
    <row r="268" spans="1:26" s="23" customFormat="1" hidden="1" outlineLevel="1" x14ac:dyDescent="0.25">
      <c r="A268" s="44"/>
      <c r="B268" s="10" t="str">
        <f>CONCATENATE("          ", "9163", " - ", "MISC. INCOME")</f>
        <v xml:space="preserve">          9163 - MISC. INCOME</v>
      </c>
      <c r="C268" s="10"/>
      <c r="D268" s="2">
        <f>--44.1</f>
        <v>44.1</v>
      </c>
      <c r="E268" s="2"/>
      <c r="F268" s="19">
        <f t="shared" si="162"/>
        <v>1.0057787577291302E-4</v>
      </c>
      <c r="G268" s="2"/>
      <c r="H268" s="2">
        <f>--345960.62</f>
        <v>345960.62</v>
      </c>
      <c r="I268" s="2"/>
      <c r="J268" s="19">
        <f t="shared" si="163"/>
        <v>2.098810124332255</v>
      </c>
      <c r="K268" s="2"/>
      <c r="L268" s="2">
        <f t="shared" si="164"/>
        <v>-345916.52</v>
      </c>
      <c r="M268" s="2"/>
      <c r="N268" s="19">
        <f t="shared" si="165"/>
        <v>-0.99987252884446798</v>
      </c>
      <c r="O268" s="10"/>
      <c r="P268" s="2">
        <f>--346478.56</f>
        <v>346478.56</v>
      </c>
      <c r="Q268" s="2"/>
      <c r="R268" s="19">
        <f t="shared" si="166"/>
        <v>7.3677466855411169E-2</v>
      </c>
      <c r="S268" s="2"/>
      <c r="T268" s="2">
        <f>--430400.5</f>
        <v>430400.5</v>
      </c>
      <c r="U268" s="2"/>
      <c r="V268" s="19">
        <f t="shared" si="167"/>
        <v>4.9114958491209761E-2</v>
      </c>
      <c r="W268" s="2"/>
      <c r="X268" s="2">
        <f t="shared" si="168"/>
        <v>-83921.94</v>
      </c>
      <c r="Y268" s="2"/>
      <c r="Z268" s="19">
        <f t="shared" si="169"/>
        <v>-0.19498569355751214</v>
      </c>
    </row>
    <row r="269" spans="1:26" x14ac:dyDescent="0.25">
      <c r="A269" s="9"/>
      <c r="B269" s="11"/>
      <c r="C269" s="11"/>
      <c r="D269" s="3"/>
      <c r="E269" s="3"/>
      <c r="F269" s="8"/>
      <c r="G269" s="3"/>
      <c r="H269" s="3"/>
      <c r="I269" s="3"/>
      <c r="J269" s="8"/>
      <c r="K269" s="3"/>
      <c r="L269" s="3"/>
      <c r="M269" s="3"/>
      <c r="N269" s="8"/>
      <c r="O269" s="11"/>
      <c r="P269" s="3"/>
      <c r="Q269" s="3"/>
      <c r="R269" s="8"/>
      <c r="S269" s="3"/>
      <c r="T269" s="3"/>
      <c r="U269" s="3"/>
      <c r="V269" s="8"/>
      <c r="W269" s="3"/>
      <c r="X269" s="3"/>
      <c r="Y269" s="3"/>
      <c r="Z269" s="8"/>
    </row>
    <row r="270" spans="1:26" s="24" customFormat="1" x14ac:dyDescent="0.25">
      <c r="A270" s="11"/>
      <c r="B270" s="29" t="s">
        <v>276</v>
      </c>
      <c r="C270" s="29"/>
      <c r="D270" s="20">
        <f>+D164-D166+D259</f>
        <v>-9601.4499999998407</v>
      </c>
      <c r="E270" s="14"/>
      <c r="F270" s="22">
        <f>IF(D$12=0,0,D270/D$12)</f>
        <v>-2.1897810551923347E-2</v>
      </c>
      <c r="G270" s="14"/>
      <c r="H270" s="20">
        <f>+H164-H166+H259</f>
        <v>222022.59</v>
      </c>
      <c r="I270" s="14"/>
      <c r="J270" s="22">
        <f>IF(H$12=0,0,H270/H$12)</f>
        <v>1.3469257273341377</v>
      </c>
      <c r="K270" s="16"/>
      <c r="L270" s="20">
        <f>+D270-H270</f>
        <v>-231624.03999999983</v>
      </c>
      <c r="M270" s="16"/>
      <c r="N270" s="22">
        <f>IF(H270=0,0,L270/H270)</f>
        <v>-1.0432453742657439</v>
      </c>
      <c r="O270" s="28"/>
      <c r="P270" s="20">
        <f>+P164-P166+P259</f>
        <v>113143.18999999878</v>
      </c>
      <c r="Q270" s="14"/>
      <c r="R270" s="22">
        <f>IF(P$12=0,0,P270/P$12)</f>
        <v>2.4059507841236696E-2</v>
      </c>
      <c r="S270" s="14"/>
      <c r="T270" s="20">
        <f>+T164-T166+T259</f>
        <v>1083118.5499999975</v>
      </c>
      <c r="U270" s="14"/>
      <c r="V270" s="22">
        <f>IF(T$12=0,0,T270/T$12)</f>
        <v>0.12359958370008674</v>
      </c>
      <c r="W270" s="16"/>
      <c r="X270" s="20">
        <f>+P270-T270</f>
        <v>-969975.35999999871</v>
      </c>
      <c r="Y270" s="16"/>
      <c r="Z270" s="22">
        <f>IF(T270=0,0,X270/T270)</f>
        <v>-0.89553942179274926</v>
      </c>
    </row>
    <row r="271" spans="1:26" x14ac:dyDescent="0.25">
      <c r="A271" s="9"/>
      <c r="B271" s="11"/>
      <c r="C271" s="9"/>
      <c r="D271" s="3"/>
      <c r="E271" s="3"/>
      <c r="F271" s="8"/>
      <c r="G271" s="3"/>
      <c r="H271" s="3"/>
      <c r="I271" s="3"/>
      <c r="J271" s="8"/>
      <c r="K271" s="3"/>
      <c r="L271" s="3"/>
      <c r="M271" s="3"/>
      <c r="N271" s="8"/>
      <c r="P271" s="3"/>
      <c r="Q271" s="3"/>
      <c r="R271" s="8"/>
      <c r="S271" s="3"/>
      <c r="T271" s="3"/>
      <c r="U271" s="3"/>
      <c r="V271" s="8"/>
      <c r="W271" s="3"/>
      <c r="X271" s="3"/>
      <c r="Y271" s="3"/>
      <c r="Z271" s="8"/>
    </row>
    <row r="272" spans="1:26" s="24" customFormat="1" x14ac:dyDescent="0.25">
      <c r="A272" s="51"/>
      <c r="B272" s="11" t="s">
        <v>127</v>
      </c>
      <c r="C272" s="11"/>
      <c r="D272" s="4">
        <v>105001.36</v>
      </c>
      <c r="E272" s="4"/>
      <c r="F272" s="13">
        <f>IF(D$12=0,0,D272/D$12)</f>
        <v>0.23947423451398908</v>
      </c>
      <c r="G272" s="4"/>
      <c r="H272" s="4">
        <v>73662.679999999993</v>
      </c>
      <c r="I272" s="4"/>
      <c r="J272" s="13">
        <f>IF(H$12=0,0,H272/H$12)</f>
        <v>0.44688317002509448</v>
      </c>
      <c r="K272" s="4"/>
      <c r="L272" s="4">
        <f>+D272-H272</f>
        <v>31338.680000000008</v>
      </c>
      <c r="M272" s="4"/>
      <c r="N272" s="13">
        <f>IF(H272=0,0,L272/H272)</f>
        <v>0.42543496924086949</v>
      </c>
      <c r="O272" s="11"/>
      <c r="P272" s="4">
        <v>983811.25</v>
      </c>
      <c r="Q272" s="4"/>
      <c r="R272" s="13">
        <f>IF(P$12=0,0,P272/P$12)</f>
        <v>0.20920405800536584</v>
      </c>
      <c r="S272" s="4"/>
      <c r="T272" s="4">
        <v>994990.07999999996</v>
      </c>
      <c r="U272" s="4"/>
      <c r="V272" s="13">
        <f>IF(T$12=0,0,T272/T$12)</f>
        <v>0.11354284318527855</v>
      </c>
      <c r="W272" s="4"/>
      <c r="X272" s="4">
        <f>+P272-T272</f>
        <v>-11178.829999999958</v>
      </c>
      <c r="Y272" s="4"/>
      <c r="Z272" s="13">
        <f>IF(T272=0,0,X272/T272)</f>
        <v>-1.1235117037548715E-2</v>
      </c>
    </row>
    <row r="273" spans="1:26" x14ac:dyDescent="0.25">
      <c r="A273" s="9"/>
      <c r="B273" s="11"/>
      <c r="C273" s="11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O273" s="11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s="24" customFormat="1" ht="15.75" thickBot="1" x14ac:dyDescent="0.3">
      <c r="A274" s="11"/>
      <c r="B274" s="29" t="s">
        <v>125</v>
      </c>
      <c r="C274" s="29"/>
      <c r="D274" s="30">
        <f>+D270-D272</f>
        <v>-114602.80999999984</v>
      </c>
      <c r="E274" s="14"/>
      <c r="F274" s="34">
        <f>IF(D$12=0,0,D274/D$12)</f>
        <v>-0.26137204506591244</v>
      </c>
      <c r="G274" s="14"/>
      <c r="H274" s="30">
        <f>+H270-H272</f>
        <v>148359.91</v>
      </c>
      <c r="I274" s="14"/>
      <c r="J274" s="34">
        <f>IF(H$12=0,0,H274/H$12)</f>
        <v>0.90004255730904337</v>
      </c>
      <c r="K274" s="16"/>
      <c r="L274" s="30">
        <f>D274-H274</f>
        <v>-262962.71999999986</v>
      </c>
      <c r="M274" s="16"/>
      <c r="N274" s="34">
        <f>IF(H274=0,0,L274/H274)</f>
        <v>-1.772464812091082</v>
      </c>
      <c r="O274" s="28"/>
      <c r="P274" s="30">
        <f>+P270-P272</f>
        <v>-870668.06000000122</v>
      </c>
      <c r="Q274" s="14"/>
      <c r="R274" s="34">
        <f>IF(P$12=0,0,P274/P$12)</f>
        <v>-0.18514455016412915</v>
      </c>
      <c r="S274" s="14"/>
      <c r="T274" s="30">
        <f>+T270-T272</f>
        <v>88128.469999997527</v>
      </c>
      <c r="U274" s="14"/>
      <c r="V274" s="34">
        <f>IF(T$12=0,0,T274/T$12)</f>
        <v>1.0056740514808192E-2</v>
      </c>
      <c r="W274" s="16"/>
      <c r="X274" s="30">
        <f>P274-T274</f>
        <v>-958796.52999999875</v>
      </c>
      <c r="Y274" s="16"/>
      <c r="Z274" s="34">
        <f>IF(T274=0,0,X274/T274)</f>
        <v>-10.87953223288712</v>
      </c>
    </row>
    <row r="275" spans="1:26" ht="15.75" thickTop="1" x14ac:dyDescent="0.25">
      <c r="A275" s="9"/>
      <c r="B275" s="9"/>
      <c r="C275" s="9"/>
      <c r="D275" s="3"/>
      <c r="E275" s="3"/>
      <c r="F275" s="8"/>
      <c r="G275" s="3"/>
      <c r="H275" s="3"/>
      <c r="I275" s="3"/>
      <c r="J275" s="8"/>
      <c r="K275" s="3"/>
      <c r="L275" s="3"/>
      <c r="M275" s="3"/>
      <c r="N275" s="8"/>
      <c r="P275" s="3"/>
      <c r="Q275" s="3"/>
      <c r="R275" s="8"/>
      <c r="S275" s="3"/>
      <c r="T275" s="3"/>
      <c r="U275" s="3"/>
      <c r="V275" s="8"/>
      <c r="W275" s="3"/>
      <c r="X275" s="3"/>
      <c r="Y275" s="3"/>
      <c r="Z275" s="8"/>
    </row>
    <row r="276" spans="1:26" x14ac:dyDescent="0.25">
      <c r="A276" s="9"/>
      <c r="B276" s="9"/>
      <c r="C276" s="9"/>
      <c r="D276" s="3"/>
      <c r="E276" s="3"/>
      <c r="F276" s="8"/>
      <c r="G276" s="3"/>
      <c r="H276" s="3"/>
      <c r="I276" s="3"/>
      <c r="J276" s="8"/>
      <c r="K276" s="3"/>
      <c r="L276" s="3"/>
      <c r="M276" s="3"/>
      <c r="N276" s="8"/>
      <c r="P276" s="3"/>
      <c r="Q276" s="3"/>
      <c r="R276" s="8"/>
      <c r="S276" s="3"/>
      <c r="T276" s="3"/>
      <c r="U276" s="3"/>
      <c r="V276" s="8"/>
      <c r="W276" s="3"/>
      <c r="X276" s="3"/>
      <c r="Y276" s="3"/>
      <c r="Z276" s="8"/>
    </row>
    <row r="277" spans="1:26" s="24" customFormat="1" ht="15.75" thickBot="1" x14ac:dyDescent="0.3">
      <c r="A277" s="11"/>
      <c r="B277" s="29" t="s">
        <v>293</v>
      </c>
      <c r="C277" s="29"/>
      <c r="D277" s="32">
        <f>SUM(D274:D276)</f>
        <v>-114602.80999999984</v>
      </c>
      <c r="E277" s="14"/>
      <c r="F277" s="35">
        <f>IF(D$12=0,0,D277/D$12)</f>
        <v>-0.26137204506591244</v>
      </c>
      <c r="G277" s="14"/>
      <c r="H277" s="32">
        <f>SUM(H274:H276)</f>
        <v>148359.91</v>
      </c>
      <c r="I277" s="14"/>
      <c r="J277" s="35">
        <f>IF(H$12=0,0,H277/H$12)</f>
        <v>0.90004255730904337</v>
      </c>
      <c r="K277" s="16"/>
      <c r="L277" s="32">
        <f>+D277-H277</f>
        <v>-262962.71999999986</v>
      </c>
      <c r="M277" s="16"/>
      <c r="N277" s="35">
        <f>IF(H277=0,0,L277/H277)</f>
        <v>-1.772464812091082</v>
      </c>
      <c r="O277" s="28"/>
      <c r="P277" s="32">
        <f>SUM(P274:P276)</f>
        <v>-870668.06000000122</v>
      </c>
      <c r="Q277" s="14"/>
      <c r="R277" s="35">
        <f>IF(P$12=0,0,P277/P$12)</f>
        <v>-0.18514455016412915</v>
      </c>
      <c r="S277" s="14"/>
      <c r="T277" s="32">
        <f>SUM(T274:T276)</f>
        <v>88128.469999997527</v>
      </c>
      <c r="U277" s="14"/>
      <c r="V277" s="35">
        <f>IF(T$12=0,0,T277/T$12)</f>
        <v>1.0056740514808192E-2</v>
      </c>
      <c r="W277" s="16"/>
      <c r="X277" s="32">
        <f>+P277-T277</f>
        <v>-958796.52999999875</v>
      </c>
      <c r="Y277" s="16"/>
      <c r="Z277" s="35">
        <f>IF(T277=0,0,X277/T277)</f>
        <v>-10.87953223288712</v>
      </c>
    </row>
    <row r="278" spans="1:26" ht="15.75" thickTop="1" x14ac:dyDescent="0.25">
      <c r="A278" s="9"/>
      <c r="C278" s="9"/>
      <c r="D278" s="17"/>
      <c r="E278" s="17"/>
      <c r="G278" s="17"/>
      <c r="H278" s="17"/>
      <c r="I278" s="17"/>
      <c r="J278" s="42"/>
      <c r="K278" s="17"/>
      <c r="L278" s="17"/>
      <c r="M278" s="17"/>
      <c r="P278" s="17"/>
      <c r="Q278" s="17"/>
      <c r="R278" s="42"/>
      <c r="S278" s="17"/>
      <c r="T278" s="17"/>
      <c r="U278" s="17"/>
      <c r="V278" s="42"/>
      <c r="W278" s="17"/>
      <c r="X278" s="17"/>
    </row>
    <row r="279" spans="1:26" x14ac:dyDescent="0.25">
      <c r="A279" s="9"/>
      <c r="B279" s="59">
        <v>44330.008787650462</v>
      </c>
      <c r="D279" s="17"/>
      <c r="E279" s="17"/>
      <c r="G279" s="17"/>
      <c r="H279" s="17"/>
      <c r="I279" s="17"/>
      <c r="J279" s="42"/>
      <c r="K279" s="17"/>
      <c r="L279" s="17"/>
      <c r="M279" s="17"/>
      <c r="P279" s="17"/>
      <c r="Q279" s="17"/>
      <c r="R279" s="42"/>
      <c r="S279" s="17"/>
      <c r="T279" s="17"/>
      <c r="U279" s="17"/>
      <c r="V279" s="42"/>
      <c r="W279" s="17"/>
      <c r="X279" s="17"/>
    </row>
    <row r="280" spans="1:26" x14ac:dyDescent="0.25">
      <c r="A280" s="9"/>
      <c r="B280" s="52" t="s">
        <v>56</v>
      </c>
      <c r="D280" s="17"/>
      <c r="E280" s="17"/>
      <c r="G280" s="17"/>
      <c r="H280" s="17"/>
      <c r="I280" s="17"/>
      <c r="J280" s="42"/>
      <c r="K280" s="17"/>
      <c r="L280" s="17"/>
      <c r="M280" s="17"/>
      <c r="P280" s="17"/>
      <c r="Q280" s="17"/>
      <c r="R280" s="42"/>
      <c r="S280" s="17"/>
      <c r="T280" s="17"/>
      <c r="U280" s="17"/>
      <c r="V280" s="42"/>
      <c r="W280" s="17"/>
      <c r="X280" s="17"/>
    </row>
    <row r="281" spans="1:26" x14ac:dyDescent="0.25">
      <c r="A281" s="9"/>
      <c r="B281" s="55"/>
      <c r="D281" s="17"/>
      <c r="E281" s="17"/>
      <c r="G281" s="17"/>
      <c r="H281" s="17"/>
      <c r="I281" s="17"/>
      <c r="J281" s="42"/>
      <c r="K281" s="17"/>
      <c r="L281" s="17"/>
      <c r="M281" s="17"/>
      <c r="P281" s="17"/>
      <c r="Q281" s="17"/>
      <c r="R281" s="42"/>
      <c r="S281" s="17"/>
      <c r="T281" s="17"/>
      <c r="U281" s="17"/>
      <c r="V281" s="42"/>
      <c r="W281" s="17"/>
      <c r="X281" s="17"/>
    </row>
    <row r="282" spans="1:26" x14ac:dyDescent="0.25">
      <c r="D282" s="17"/>
      <c r="E282" s="17"/>
      <c r="G282" s="17"/>
      <c r="H282" s="17"/>
      <c r="I282" s="17"/>
      <c r="J282" s="42"/>
      <c r="K282" s="17"/>
      <c r="L282" s="17"/>
      <c r="M282" s="17"/>
      <c r="P282" s="17"/>
      <c r="Q282" s="17"/>
      <c r="R282" s="42"/>
      <c r="S282" s="17"/>
      <c r="T282" s="17"/>
      <c r="U282" s="17"/>
      <c r="V282" s="42"/>
      <c r="W282" s="17"/>
      <c r="X282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312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1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313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841693.65</v>
      </c>
      <c r="E12" s="4"/>
      <c r="F12" s="13"/>
      <c r="G12" s="4"/>
      <c r="H12" s="4">
        <f>SUM(OSRRefH13x_0)</f>
        <v>468425.83</v>
      </c>
      <c r="I12" s="4"/>
      <c r="J12" s="13"/>
      <c r="K12" s="4"/>
      <c r="L12" s="4">
        <f t="shared" ref="L12:L127" si="0">+D12-H12</f>
        <v>373267.82</v>
      </c>
      <c r="M12" s="4"/>
      <c r="N12" s="13">
        <f t="shared" ref="N12:N127" si="1">IF(H12=0,0,L12/H12)</f>
        <v>0.79685575835986666</v>
      </c>
      <c r="O12" s="11"/>
      <c r="P12" s="4">
        <f>SUM(OSRRefP13x_0)</f>
        <v>7125423.3199999975</v>
      </c>
      <c r="Q12" s="4"/>
      <c r="R12" s="13"/>
      <c r="S12" s="4"/>
      <c r="T12" s="4">
        <f>SUM(OSRRefT13x_0)</f>
        <v>11105048.310000001</v>
      </c>
      <c r="U12" s="4"/>
      <c r="V12" s="13"/>
      <c r="W12" s="4"/>
      <c r="X12" s="4">
        <f t="shared" ref="X12:X127" si="2">+P12-T12</f>
        <v>-3979624.990000003</v>
      </c>
      <c r="Y12" s="4"/>
      <c r="Z12" s="13">
        <f t="shared" ref="Z12:Z127" si="3">IF(T12=0,0,X12/T12)</f>
        <v>-0.35836178996325346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-13346.89</f>
        <v>-13346.89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-13346.89</v>
      </c>
      <c r="M13" s="2"/>
      <c r="N13" s="19">
        <f t="shared" si="1"/>
        <v>0</v>
      </c>
      <c r="O13" s="10"/>
      <c r="P13" s="2">
        <f>-136003.3</f>
        <v>-136003.29999999999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-136003.29999999999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--31347.12</f>
        <v>31347.119999999999</v>
      </c>
      <c r="E14" s="2"/>
      <c r="F14" s="19"/>
      <c r="G14" s="2"/>
      <c r="H14" s="2">
        <f>--1084.45</f>
        <v>1084.45</v>
      </c>
      <c r="I14" s="2"/>
      <c r="J14" s="19"/>
      <c r="K14" s="2"/>
      <c r="L14" s="2">
        <f t="shared" si="0"/>
        <v>30262.67</v>
      </c>
      <c r="M14" s="2"/>
      <c r="N14" s="19">
        <f t="shared" si="1"/>
        <v>27.906007653649311</v>
      </c>
      <c r="O14" s="10"/>
      <c r="P14" s="2">
        <f>--1263810.36</f>
        <v>1263810.3600000001</v>
      </c>
      <c r="Q14" s="2"/>
      <c r="R14" s="19"/>
      <c r="S14" s="2"/>
      <c r="T14" s="2">
        <f>--2397977.73</f>
        <v>2397977.73</v>
      </c>
      <c r="U14" s="2"/>
      <c r="V14" s="19"/>
      <c r="W14" s="2"/>
      <c r="X14" s="2">
        <f t="shared" si="2"/>
        <v>-1134167.3699999999</v>
      </c>
      <c r="Y14" s="2"/>
      <c r="Z14" s="19">
        <f t="shared" si="3"/>
        <v>-0.47296826647343382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--1971.3</f>
        <v>1971.3</v>
      </c>
      <c r="E15" s="2"/>
      <c r="F15" s="19"/>
      <c r="G15" s="2"/>
      <c r="H15" s="2">
        <f>--602.5</f>
        <v>602.5</v>
      </c>
      <c r="I15" s="2"/>
      <c r="J15" s="19"/>
      <c r="K15" s="2"/>
      <c r="L15" s="2">
        <f t="shared" si="0"/>
        <v>1368.8</v>
      </c>
      <c r="M15" s="2"/>
      <c r="N15" s="19">
        <f t="shared" si="1"/>
        <v>2.2718672199170125</v>
      </c>
      <c r="O15" s="10"/>
      <c r="P15" s="2">
        <f>--578768.63</f>
        <v>578768.63</v>
      </c>
      <c r="Q15" s="2"/>
      <c r="R15" s="19"/>
      <c r="S15" s="2"/>
      <c r="T15" s="2">
        <f>--1244917.19</f>
        <v>1244917.19</v>
      </c>
      <c r="U15" s="2"/>
      <c r="V15" s="19"/>
      <c r="W15" s="2"/>
      <c r="X15" s="2">
        <f t="shared" si="2"/>
        <v>-666148.55999999994</v>
      </c>
      <c r="Y15" s="2"/>
      <c r="Z15" s="19">
        <f t="shared" si="3"/>
        <v>-0.53509467565469149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--20</f>
        <v>20</v>
      </c>
      <c r="E16" s="2"/>
      <c r="F16" s="19"/>
      <c r="G16" s="2"/>
      <c r="H16" s="2">
        <f t="shared" ref="H16:H18" si="4">0</f>
        <v>0</v>
      </c>
      <c r="I16" s="2"/>
      <c r="J16" s="19"/>
      <c r="K16" s="2"/>
      <c r="L16" s="2">
        <f t="shared" si="0"/>
        <v>20</v>
      </c>
      <c r="M16" s="2"/>
      <c r="N16" s="19">
        <f t="shared" si="1"/>
        <v>0</v>
      </c>
      <c r="O16" s="10"/>
      <c r="P16" s="2">
        <f>--17997.88</f>
        <v>17997.88</v>
      </c>
      <c r="Q16" s="2"/>
      <c r="R16" s="19"/>
      <c r="S16" s="2"/>
      <c r="T16" s="2">
        <f>--33694.89</f>
        <v>33694.89</v>
      </c>
      <c r="U16" s="2"/>
      <c r="V16" s="19"/>
      <c r="W16" s="2"/>
      <c r="X16" s="2">
        <f t="shared" si="2"/>
        <v>-15697.009999999998</v>
      </c>
      <c r="Y16" s="2"/>
      <c r="Z16" s="19">
        <f t="shared" si="3"/>
        <v>-0.46585728577834795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5"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5"/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--61.81</f>
        <v>61.81</v>
      </c>
      <c r="E19" s="2"/>
      <c r="F19" s="19"/>
      <c r="G19" s="2"/>
      <c r="H19" s="2">
        <f>--18.36</f>
        <v>18.36</v>
      </c>
      <c r="I19" s="2"/>
      <c r="J19" s="19"/>
      <c r="K19" s="2"/>
      <c r="L19" s="2">
        <f t="shared" si="0"/>
        <v>43.45</v>
      </c>
      <c r="M19" s="2"/>
      <c r="N19" s="19">
        <f t="shared" si="1"/>
        <v>2.3665577342047932</v>
      </c>
      <c r="O19" s="10"/>
      <c r="P19" s="2">
        <f>--1263.83</f>
        <v>1263.83</v>
      </c>
      <c r="Q19" s="2"/>
      <c r="R19" s="19"/>
      <c r="S19" s="2"/>
      <c r="T19" s="2">
        <f>--2713.36</f>
        <v>2713.36</v>
      </c>
      <c r="U19" s="2"/>
      <c r="V19" s="19"/>
      <c r="W19" s="2"/>
      <c r="X19" s="2">
        <f t="shared" si="2"/>
        <v>-1449.5300000000002</v>
      </c>
      <c r="Y19" s="2"/>
      <c r="Z19" s="19">
        <f t="shared" si="3"/>
        <v>-0.53421956540967663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--36.85</f>
        <v>36.85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36.85</v>
      </c>
      <c r="M20" s="2"/>
      <c r="N20" s="19">
        <f t="shared" si="1"/>
        <v>0</v>
      </c>
      <c r="O20" s="10"/>
      <c r="P20" s="2">
        <f>--484.55</f>
        <v>484.55</v>
      </c>
      <c r="Q20" s="2"/>
      <c r="R20" s="19"/>
      <c r="S20" s="2"/>
      <c r="T20" s="2">
        <f>--1219.18</f>
        <v>1219.18</v>
      </c>
      <c r="U20" s="2"/>
      <c r="V20" s="19"/>
      <c r="W20" s="2"/>
      <c r="X20" s="2">
        <f t="shared" si="2"/>
        <v>-734.63000000000011</v>
      </c>
      <c r="Y20" s="2"/>
      <c r="Z20" s="19">
        <f t="shared" si="3"/>
        <v>-0.60256073754490724</v>
      </c>
    </row>
    <row r="21" spans="1:26" s="23" customFormat="1" hidden="1" outlineLevel="1" x14ac:dyDescent="0.25">
      <c r="A21" s="44"/>
      <c r="B21" s="10" t="str">
        <f>CONCATENATE("          ", "4017", " - ", "TAXABLE SALES-DORM/HOUSEWARES")</f>
        <v xml:space="preserve">          4017 - TAXABLE SALES-DORM/HOUSEWARES</v>
      </c>
      <c r="C21" s="10"/>
      <c r="D21" s="2">
        <f>0</f>
        <v>0</v>
      </c>
      <c r="E21" s="2"/>
      <c r="F21" s="19"/>
      <c r="G21" s="2"/>
      <c r="H21" s="2">
        <f>--64.95</f>
        <v>64.95</v>
      </c>
      <c r="I21" s="2"/>
      <c r="J21" s="19"/>
      <c r="K21" s="2"/>
      <c r="L21" s="2">
        <f t="shared" si="0"/>
        <v>-64.95</v>
      </c>
      <c r="M21" s="2"/>
      <c r="N21" s="19">
        <f t="shared" si="1"/>
        <v>-1</v>
      </c>
      <c r="O21" s="10"/>
      <c r="P21" s="2">
        <f>0</f>
        <v>0</v>
      </c>
      <c r="Q21" s="2"/>
      <c r="R21" s="19"/>
      <c r="S21" s="2"/>
      <c r="T21" s="2">
        <f>--347.52</f>
        <v>347.52</v>
      </c>
      <c r="U21" s="2"/>
      <c r="V21" s="19"/>
      <c r="W21" s="2"/>
      <c r="X21" s="2">
        <f t="shared" si="2"/>
        <v>-347.52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"4018", " - ", "TAXABLE SALES-STUDY GUIDES")</f>
        <v xml:space="preserve">          4018 - TAXABLE SALES-STUDY GUIDES</v>
      </c>
      <c r="C22" s="10"/>
      <c r="D22" s="2">
        <f>--72.96</f>
        <v>72.959999999999994</v>
      </c>
      <c r="E22" s="2"/>
      <c r="F22" s="19"/>
      <c r="G22" s="2"/>
      <c r="H22" s="2">
        <f t="shared" ref="H22:H24" si="6">0</f>
        <v>0</v>
      </c>
      <c r="I22" s="2"/>
      <c r="J22" s="19"/>
      <c r="K22" s="2"/>
      <c r="L22" s="2">
        <f t="shared" si="0"/>
        <v>72.959999999999994</v>
      </c>
      <c r="M22" s="2"/>
      <c r="N22" s="19">
        <f t="shared" si="1"/>
        <v>0</v>
      </c>
      <c r="O22" s="10"/>
      <c r="P22" s="2">
        <f>--473.1</f>
        <v>473.1</v>
      </c>
      <c r="Q22" s="2"/>
      <c r="R22" s="19"/>
      <c r="S22" s="2"/>
      <c r="T22" s="2">
        <f>--4154.31</f>
        <v>4154.3100000000004</v>
      </c>
      <c r="U22" s="2"/>
      <c r="V22" s="19"/>
      <c r="W22" s="2"/>
      <c r="X22" s="2">
        <f t="shared" si="2"/>
        <v>-3681.2100000000005</v>
      </c>
      <c r="Y22" s="2"/>
      <c r="Z22" s="19">
        <f t="shared" si="3"/>
        <v>-0.88611827234847662</v>
      </c>
    </row>
    <row r="23" spans="1:26" s="23" customFormat="1" hidden="1" outlineLevel="1" x14ac:dyDescent="0.25">
      <c r="A23" s="44"/>
      <c r="B23" s="10" t="str">
        <f>CONCATENATE("          ", "4019", " - ", "TAXABLE SALES-BOOK RELATED")</f>
        <v xml:space="preserve">          4019 - TAXABLE SALES-BOOK RELATED</v>
      </c>
      <c r="C23" s="10"/>
      <c r="D23" s="2">
        <f t="shared" ref="D23:D24" si="7">0</f>
        <v>0</v>
      </c>
      <c r="E23" s="2"/>
      <c r="F23" s="19"/>
      <c r="G23" s="2"/>
      <c r="H23" s="2">
        <f t="shared" si="6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ref="P23:P24" si="8">0</f>
        <v>0</v>
      </c>
      <c r="Q23" s="2"/>
      <c r="R23" s="19"/>
      <c r="S23" s="2"/>
      <c r="T23" s="2">
        <f>--42.85</f>
        <v>42.85</v>
      </c>
      <c r="U23" s="2"/>
      <c r="V23" s="19"/>
      <c r="W23" s="2"/>
      <c r="X23" s="2">
        <f t="shared" si="2"/>
        <v>-42.85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"4025", " - ", "TAXABLE SALES-TEST FORMS")</f>
        <v xml:space="preserve">          4025 - TAXABLE SALES-TEST FORMS</v>
      </c>
      <c r="C24" s="10"/>
      <c r="D24" s="2">
        <f t="shared" si="7"/>
        <v>0</v>
      </c>
      <c r="E24" s="2"/>
      <c r="F24" s="19"/>
      <c r="G24" s="2"/>
      <c r="H24" s="2">
        <f t="shared" si="6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 t="shared" si="8"/>
        <v>0</v>
      </c>
      <c r="Q24" s="2"/>
      <c r="R24" s="19"/>
      <c r="S24" s="2"/>
      <c r="T24" s="2">
        <f>--54702.86</f>
        <v>54702.86</v>
      </c>
      <c r="U24" s="2"/>
      <c r="V24" s="19"/>
      <c r="W24" s="2"/>
      <c r="X24" s="2">
        <f t="shared" si="2"/>
        <v>-54702.86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"4026", " - ", "TAXABLE SALES-WRITING INSTRUME")</f>
        <v xml:space="preserve">          4026 - TAXABLE SALES-WRITING INSTRUME</v>
      </c>
      <c r="C25" s="10"/>
      <c r="D25" s="2">
        <f>--21.42</f>
        <v>21.42</v>
      </c>
      <c r="E25" s="2"/>
      <c r="F25" s="19"/>
      <c r="G25" s="2"/>
      <c r="H25" s="2">
        <f>--81.65</f>
        <v>81.650000000000006</v>
      </c>
      <c r="I25" s="2"/>
      <c r="J25" s="19"/>
      <c r="K25" s="2"/>
      <c r="L25" s="2">
        <f t="shared" si="0"/>
        <v>-60.230000000000004</v>
      </c>
      <c r="M25" s="2"/>
      <c r="N25" s="19">
        <f t="shared" si="1"/>
        <v>-0.73766074709124307</v>
      </c>
      <c r="O25" s="10"/>
      <c r="P25" s="2">
        <f>--486.17</f>
        <v>486.17</v>
      </c>
      <c r="Q25" s="2"/>
      <c r="R25" s="19"/>
      <c r="S25" s="2"/>
      <c r="T25" s="2">
        <f>--79949.71</f>
        <v>79949.710000000006</v>
      </c>
      <c r="U25" s="2"/>
      <c r="V25" s="19"/>
      <c r="W25" s="2"/>
      <c r="X25" s="2">
        <f t="shared" si="2"/>
        <v>-79463.540000000008</v>
      </c>
      <c r="Y25" s="2"/>
      <c r="Z25" s="19">
        <f t="shared" si="3"/>
        <v>-0.99391905236429257</v>
      </c>
    </row>
    <row r="26" spans="1:26" s="23" customFormat="1" hidden="1" outlineLevel="1" x14ac:dyDescent="0.25">
      <c r="A26" s="44"/>
      <c r="B26" s="10" t="str">
        <f>CONCATENATE("          ", "4027", " - ", "TAXABLE SALES-SCHOOL SUPPLIES")</f>
        <v xml:space="preserve">          4027 - TAXABLE SALES-SCHOOL SUPPLIES</v>
      </c>
      <c r="C26" s="10"/>
      <c r="D26" s="2">
        <f>--6558.65</f>
        <v>6558.65</v>
      </c>
      <c r="E26" s="2"/>
      <c r="F26" s="19"/>
      <c r="G26" s="2"/>
      <c r="H26" s="2">
        <f>--1399.98</f>
        <v>1399.98</v>
      </c>
      <c r="I26" s="2"/>
      <c r="J26" s="19"/>
      <c r="K26" s="2"/>
      <c r="L26" s="2">
        <f t="shared" si="0"/>
        <v>5158.67</v>
      </c>
      <c r="M26" s="2"/>
      <c r="N26" s="19">
        <f t="shared" si="1"/>
        <v>3.6848169259560852</v>
      </c>
      <c r="O26" s="10"/>
      <c r="P26" s="2">
        <f>--64070.97</f>
        <v>64070.97</v>
      </c>
      <c r="Q26" s="2"/>
      <c r="R26" s="19"/>
      <c r="S26" s="2"/>
      <c r="T26" s="2">
        <f>--271246.56</f>
        <v>271246.56</v>
      </c>
      <c r="U26" s="2"/>
      <c r="V26" s="19"/>
      <c r="W26" s="2"/>
      <c r="X26" s="2">
        <f t="shared" si="2"/>
        <v>-207175.59</v>
      </c>
      <c r="Y26" s="2"/>
      <c r="Z26" s="19">
        <f t="shared" si="3"/>
        <v>-0.76379066337283685</v>
      </c>
    </row>
    <row r="27" spans="1:26" s="23" customFormat="1" hidden="1" outlineLevel="1" x14ac:dyDescent="0.25">
      <c r="A27" s="44"/>
      <c r="B27" s="10" t="str">
        <f>CONCATENATE("          ", "4028", " - ", "TAXABLE SALES-ART/TECH")</f>
        <v xml:space="preserve">          4028 - TAXABLE SALES-ART/TECH</v>
      </c>
      <c r="C27" s="10"/>
      <c r="D27" s="2">
        <f>--2650.79</f>
        <v>2650.79</v>
      </c>
      <c r="E27" s="2"/>
      <c r="F27" s="19"/>
      <c r="G27" s="2"/>
      <c r="H27" s="2">
        <f>--168.82</f>
        <v>168.82</v>
      </c>
      <c r="I27" s="2"/>
      <c r="J27" s="19"/>
      <c r="K27" s="2"/>
      <c r="L27" s="2">
        <f t="shared" si="0"/>
        <v>2481.9699999999998</v>
      </c>
      <c r="M27" s="2"/>
      <c r="N27" s="19">
        <f t="shared" si="1"/>
        <v>14.701871816135528</v>
      </c>
      <c r="O27" s="10"/>
      <c r="P27" s="2">
        <f>--46900.17</f>
        <v>46900.17</v>
      </c>
      <c r="Q27" s="2"/>
      <c r="R27" s="19"/>
      <c r="S27" s="2"/>
      <c r="T27" s="2">
        <f>--292765.87</f>
        <v>292765.87</v>
      </c>
      <c r="U27" s="2"/>
      <c r="V27" s="19"/>
      <c r="W27" s="2"/>
      <c r="X27" s="2">
        <f t="shared" si="2"/>
        <v>-245865.7</v>
      </c>
      <c r="Y27" s="2"/>
      <c r="Z27" s="19">
        <f t="shared" si="3"/>
        <v>-0.83980315055166788</v>
      </c>
    </row>
    <row r="28" spans="1:26" s="23" customFormat="1" hidden="1" outlineLevel="1" x14ac:dyDescent="0.25">
      <c r="A28" s="44"/>
      <c r="B28" s="10" t="str">
        <f>CONCATENATE("          ", "4031", " - ", "TAXABLE SALES-FOOD")</f>
        <v xml:space="preserve">          4031 - TAXABLE SALES-FOOD</v>
      </c>
      <c r="C28" s="10"/>
      <c r="D28" s="2">
        <f>--595.72</f>
        <v>595.72</v>
      </c>
      <c r="E28" s="2"/>
      <c r="F28" s="19"/>
      <c r="G28" s="2"/>
      <c r="H28" s="2">
        <f t="shared" ref="H28:H33" si="9">0</f>
        <v>0</v>
      </c>
      <c r="I28" s="2"/>
      <c r="J28" s="19"/>
      <c r="K28" s="2"/>
      <c r="L28" s="2">
        <f t="shared" si="0"/>
        <v>595.72</v>
      </c>
      <c r="M28" s="2"/>
      <c r="N28" s="19">
        <f t="shared" si="1"/>
        <v>0</v>
      </c>
      <c r="O28" s="10"/>
      <c r="P28" s="2">
        <f>--4210.59</f>
        <v>4210.59</v>
      </c>
      <c r="Q28" s="2"/>
      <c r="R28" s="19"/>
      <c r="S28" s="2"/>
      <c r="T28" s="2">
        <f>--486.34</f>
        <v>486.34</v>
      </c>
      <c r="U28" s="2"/>
      <c r="V28" s="19"/>
      <c r="W28" s="2"/>
      <c r="X28" s="2">
        <f t="shared" si="2"/>
        <v>3724.25</v>
      </c>
      <c r="Y28" s="2"/>
      <c r="Z28" s="19">
        <f t="shared" si="3"/>
        <v>7.6577085989225653</v>
      </c>
    </row>
    <row r="29" spans="1:26" s="23" customFormat="1" hidden="1" outlineLevel="1" x14ac:dyDescent="0.25">
      <c r="A29" s="44"/>
      <c r="B29" s="10" t="str">
        <f>CONCATENATE("          ", "4032", " - ", "TAXABLE SALES-JUICE")</f>
        <v xml:space="preserve">          4032 - TAXABLE SALES-JUICE</v>
      </c>
      <c r="C29" s="10"/>
      <c r="D29" s="2">
        <f t="shared" ref="D29:D33" si="10">0</f>
        <v>0</v>
      </c>
      <c r="E29" s="2"/>
      <c r="F29" s="19"/>
      <c r="G29" s="2"/>
      <c r="H29" s="2">
        <f t="shared" si="9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 t="shared" ref="P29:P30" si="11">0</f>
        <v>0</v>
      </c>
      <c r="Q29" s="2"/>
      <c r="R29" s="19"/>
      <c r="S29" s="2"/>
      <c r="T29" s="2">
        <f>--1905.06</f>
        <v>1905.06</v>
      </c>
      <c r="U29" s="2"/>
      <c r="V29" s="19"/>
      <c r="W29" s="2"/>
      <c r="X29" s="2">
        <f t="shared" si="2"/>
        <v>-1905.06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"4033", " - ", "TAXABLE SALES-CANDY")</f>
        <v xml:space="preserve">          4033 - TAXABLE SALES-CANDY</v>
      </c>
      <c r="C30" s="10"/>
      <c r="D30" s="2">
        <f t="shared" si="10"/>
        <v>0</v>
      </c>
      <c r="E30" s="2"/>
      <c r="F30" s="19"/>
      <c r="G30" s="2"/>
      <c r="H30" s="2">
        <f t="shared" si="9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 t="shared" si="11"/>
        <v>0</v>
      </c>
      <c r="Q30" s="2"/>
      <c r="R30" s="19"/>
      <c r="S30" s="2"/>
      <c r="T30" s="2">
        <f>--205.53</f>
        <v>205.53</v>
      </c>
      <c r="U30" s="2"/>
      <c r="V30" s="19"/>
      <c r="W30" s="2"/>
      <c r="X30" s="2">
        <f t="shared" si="2"/>
        <v>-205.53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"4034", " - ", "TAXABLE SALES-SODA")</f>
        <v xml:space="preserve">          4034 - TAXABLE SALES-SODA</v>
      </c>
      <c r="C31" s="10"/>
      <c r="D31" s="2">
        <f t="shared" si="10"/>
        <v>0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--6.78</f>
        <v>6.78</v>
      </c>
      <c r="Q31" s="2"/>
      <c r="R31" s="19"/>
      <c r="S31" s="2"/>
      <c r="T31" s="2">
        <f>--7803.51</f>
        <v>7803.51</v>
      </c>
      <c r="U31" s="2"/>
      <c r="V31" s="19"/>
      <c r="W31" s="2"/>
      <c r="X31" s="2">
        <f t="shared" si="2"/>
        <v>-7796.7300000000005</v>
      </c>
      <c r="Y31" s="2"/>
      <c r="Z31" s="19">
        <f t="shared" si="3"/>
        <v>-0.99913116020867532</v>
      </c>
    </row>
    <row r="32" spans="1:26" s="23" customFormat="1" hidden="1" outlineLevel="1" x14ac:dyDescent="0.25">
      <c r="A32" s="44"/>
      <c r="B32" s="10" t="str">
        <f>CONCATENATE("          ", "4035", " - ", "TAXABLE SALES-HEALTH &amp; BEAUTY")</f>
        <v xml:space="preserve">          4035 - TAXABLE SALES-HEALTH &amp; BEAUTY</v>
      </c>
      <c r="C32" s="10"/>
      <c r="D32" s="2">
        <f t="shared" si="10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ref="P32:P33" si="12">0</f>
        <v>0</v>
      </c>
      <c r="Q32" s="2"/>
      <c r="R32" s="19"/>
      <c r="S32" s="2"/>
      <c r="T32" s="2">
        <f>--1981.84</f>
        <v>1981.84</v>
      </c>
      <c r="U32" s="2"/>
      <c r="V32" s="19"/>
      <c r="W32" s="2"/>
      <c r="X32" s="2">
        <f t="shared" si="2"/>
        <v>-1981.84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"4037", " - ", "TAXABLE SALES-WATER")</f>
        <v xml:space="preserve">          4037 - TAXABLE SALES-WATER</v>
      </c>
      <c r="C33" s="10"/>
      <c r="D33" s="2">
        <f t="shared" si="10"/>
        <v>0</v>
      </c>
      <c r="E33" s="2"/>
      <c r="F33" s="19"/>
      <c r="G33" s="2"/>
      <c r="H33" s="2">
        <f t="shared" si="9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12"/>
        <v>0</v>
      </c>
      <c r="Q33" s="2"/>
      <c r="R33" s="19"/>
      <c r="S33" s="2"/>
      <c r="T33" s="2">
        <f>--513.51</f>
        <v>513.51</v>
      </c>
      <c r="U33" s="2"/>
      <c r="V33" s="19"/>
      <c r="W33" s="2"/>
      <c r="X33" s="2">
        <f t="shared" si="2"/>
        <v>-513.51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"4040", " - ", "TAXABLE SALES-LOGO CLOTHING")</f>
        <v xml:space="preserve">          4040 - TAXABLE SALES-LOGO CLOTHING</v>
      </c>
      <c r="C34" s="10"/>
      <c r="D34" s="2">
        <f>--159179.58</f>
        <v>159179.57999999999</v>
      </c>
      <c r="E34" s="2"/>
      <c r="F34" s="19"/>
      <c r="G34" s="2"/>
      <c r="H34" s="2">
        <f>--67974.91</f>
        <v>67974.91</v>
      </c>
      <c r="I34" s="2"/>
      <c r="J34" s="19"/>
      <c r="K34" s="2"/>
      <c r="L34" s="2">
        <f t="shared" si="0"/>
        <v>91204.669999999984</v>
      </c>
      <c r="M34" s="2"/>
      <c r="N34" s="19">
        <f t="shared" si="1"/>
        <v>1.3417402097332674</v>
      </c>
      <c r="O34" s="10"/>
      <c r="P34" s="2">
        <f>--913180.73</f>
        <v>913180.73</v>
      </c>
      <c r="Q34" s="2"/>
      <c r="R34" s="19"/>
      <c r="S34" s="2"/>
      <c r="T34" s="2">
        <f>--1844103.4</f>
        <v>1844103.4</v>
      </c>
      <c r="U34" s="2"/>
      <c r="V34" s="19"/>
      <c r="W34" s="2"/>
      <c r="X34" s="2">
        <f t="shared" si="2"/>
        <v>-930922.66999999993</v>
      </c>
      <c r="Y34" s="2"/>
      <c r="Z34" s="19">
        <f t="shared" si="3"/>
        <v>-0.50481045151806558</v>
      </c>
    </row>
    <row r="35" spans="1:26" s="23" customFormat="1" hidden="1" outlineLevel="1" x14ac:dyDescent="0.25">
      <c r="A35" s="44"/>
      <c r="B35" s="10" t="str">
        <f>CONCATENATE("          ", "4041", " - ", "TAXABLE SALES-LOGO GIFTS")</f>
        <v xml:space="preserve">          4041 - TAXABLE SALES-LOGO GIFTS</v>
      </c>
      <c r="C35" s="10"/>
      <c r="D35" s="2">
        <f>--116440.2</f>
        <v>116440.2</v>
      </c>
      <c r="E35" s="2"/>
      <c r="F35" s="19"/>
      <c r="G35" s="2"/>
      <c r="H35" s="2">
        <f>--14115.57</f>
        <v>14115.57</v>
      </c>
      <c r="I35" s="2"/>
      <c r="J35" s="19"/>
      <c r="K35" s="2"/>
      <c r="L35" s="2">
        <f t="shared" si="0"/>
        <v>102324.63</v>
      </c>
      <c r="M35" s="2"/>
      <c r="N35" s="19">
        <f t="shared" si="1"/>
        <v>7.2490611431206817</v>
      </c>
      <c r="O35" s="10"/>
      <c r="P35" s="2">
        <f>--440456.98</f>
        <v>440456.98</v>
      </c>
      <c r="Q35" s="2"/>
      <c r="R35" s="19"/>
      <c r="S35" s="2"/>
      <c r="T35" s="2">
        <f>--481133.29</f>
        <v>481133.29</v>
      </c>
      <c r="U35" s="2"/>
      <c r="V35" s="19"/>
      <c r="W35" s="2"/>
      <c r="X35" s="2">
        <f t="shared" si="2"/>
        <v>-40676.31</v>
      </c>
      <c r="Y35" s="2"/>
      <c r="Z35" s="19">
        <f t="shared" si="3"/>
        <v>-8.454270541121775E-2</v>
      </c>
    </row>
    <row r="36" spans="1:26" s="23" customFormat="1" hidden="1" outlineLevel="1" x14ac:dyDescent="0.25">
      <c r="A36" s="44"/>
      <c r="B36" s="10" t="str">
        <f>CONCATENATE("          ", "4042", " - ", "TAXABLE SALES-EVERYDAY GIFTS")</f>
        <v xml:space="preserve">          4042 - TAXABLE SALES-EVERYDAY GIFTS</v>
      </c>
      <c r="C36" s="10"/>
      <c r="D36" s="2">
        <f>--10630.32</f>
        <v>10630.32</v>
      </c>
      <c r="E36" s="2"/>
      <c r="F36" s="19"/>
      <c r="G36" s="2"/>
      <c r="H36" s="2">
        <f>--1721.77</f>
        <v>1721.77</v>
      </c>
      <c r="I36" s="2"/>
      <c r="J36" s="19"/>
      <c r="K36" s="2"/>
      <c r="L36" s="2">
        <f t="shared" si="0"/>
        <v>8908.5499999999993</v>
      </c>
      <c r="M36" s="2"/>
      <c r="N36" s="19">
        <f t="shared" si="1"/>
        <v>5.1740650609547147</v>
      </c>
      <c r="O36" s="10"/>
      <c r="P36" s="2">
        <f>--100678.52</f>
        <v>100678.52</v>
      </c>
      <c r="Q36" s="2"/>
      <c r="R36" s="19"/>
      <c r="S36" s="2"/>
      <c r="T36" s="2">
        <f>--279302.18</f>
        <v>279302.18</v>
      </c>
      <c r="U36" s="2"/>
      <c r="V36" s="19"/>
      <c r="W36" s="2"/>
      <c r="X36" s="2">
        <f t="shared" si="2"/>
        <v>-178623.65999999997</v>
      </c>
      <c r="Y36" s="2"/>
      <c r="Z36" s="19">
        <f t="shared" si="3"/>
        <v>-0.63953550237237666</v>
      </c>
    </row>
    <row r="37" spans="1:26" s="23" customFormat="1" hidden="1" outlineLevel="1" x14ac:dyDescent="0.25">
      <c r="A37" s="44"/>
      <c r="B37" s="10" t="str">
        <f>CONCATENATE("          ", "4043", " - ", "TAXABLE SALES-CARDS")</f>
        <v xml:space="preserve">          4043 - TAXABLE SALES-CARDS</v>
      </c>
      <c r="C37" s="10"/>
      <c r="D37" s="2">
        <f>--4423.21</f>
        <v>4423.21</v>
      </c>
      <c r="E37" s="2"/>
      <c r="F37" s="19"/>
      <c r="G37" s="2"/>
      <c r="H37" s="2">
        <f>--651</f>
        <v>651</v>
      </c>
      <c r="I37" s="2"/>
      <c r="J37" s="19"/>
      <c r="K37" s="2"/>
      <c r="L37" s="2">
        <f t="shared" si="0"/>
        <v>3772.21</v>
      </c>
      <c r="M37" s="2"/>
      <c r="N37" s="19">
        <f t="shared" si="1"/>
        <v>5.7944854070660519</v>
      </c>
      <c r="O37" s="10"/>
      <c r="P37" s="2">
        <f>--136859.38</f>
        <v>136859.38</v>
      </c>
      <c r="Q37" s="2"/>
      <c r="R37" s="19"/>
      <c r="S37" s="2"/>
      <c r="T37" s="2">
        <f>--77219.23</f>
        <v>77219.23</v>
      </c>
      <c r="U37" s="2"/>
      <c r="V37" s="19"/>
      <c r="W37" s="2"/>
      <c r="X37" s="2">
        <f t="shared" si="2"/>
        <v>59640.150000000009</v>
      </c>
      <c r="Y37" s="2"/>
      <c r="Z37" s="19">
        <f t="shared" si="3"/>
        <v>0.77234841632064977</v>
      </c>
    </row>
    <row r="38" spans="1:26" s="23" customFormat="1" hidden="1" outlineLevel="1" x14ac:dyDescent="0.25">
      <c r="A38" s="44"/>
      <c r="B38" s="10" t="str">
        <f>CONCATENATE("          ", "4044", " - ", "TAXABLE SALES-ACCESSORIES")</f>
        <v xml:space="preserve">          4044 - TAXABLE SALES-ACCESSORIES</v>
      </c>
      <c r="C38" s="10"/>
      <c r="D38" s="2">
        <f>--4745.38</f>
        <v>4745.38</v>
      </c>
      <c r="E38" s="2"/>
      <c r="F38" s="19"/>
      <c r="G38" s="2"/>
      <c r="H38" s="2">
        <f>--673.79</f>
        <v>673.79</v>
      </c>
      <c r="I38" s="2"/>
      <c r="J38" s="19"/>
      <c r="K38" s="2"/>
      <c r="L38" s="2">
        <f t="shared" si="0"/>
        <v>4071.59</v>
      </c>
      <c r="M38" s="2"/>
      <c r="N38" s="19">
        <f t="shared" si="1"/>
        <v>6.0428174950652283</v>
      </c>
      <c r="O38" s="10"/>
      <c r="P38" s="2">
        <f>--36092.23</f>
        <v>36092.230000000003</v>
      </c>
      <c r="Q38" s="2"/>
      <c r="R38" s="19"/>
      <c r="S38" s="2"/>
      <c r="T38" s="2">
        <f>--67340.52</f>
        <v>67340.52</v>
      </c>
      <c r="U38" s="2"/>
      <c r="V38" s="19"/>
      <c r="W38" s="2"/>
      <c r="X38" s="2">
        <f t="shared" si="2"/>
        <v>-31248.29</v>
      </c>
      <c r="Y38" s="2"/>
      <c r="Z38" s="19">
        <f t="shared" si="3"/>
        <v>-0.46403398726353762</v>
      </c>
    </row>
    <row r="39" spans="1:26" s="23" customFormat="1" hidden="1" outlineLevel="1" x14ac:dyDescent="0.25">
      <c r="A39" s="44"/>
      <c r="B39" s="10" t="str">
        <f>CONCATENATE("          ", "4045", " - ", "TAXABLE SALES-SPECIAL ORDERS")</f>
        <v xml:space="preserve">          4045 - TAXABLE SALES-SPECIAL ORDERS</v>
      </c>
      <c r="C39" s="10"/>
      <c r="D39" s="2">
        <f>--63044.9</f>
        <v>63044.9</v>
      </c>
      <c r="E39" s="2"/>
      <c r="F39" s="19"/>
      <c r="G39" s="2"/>
      <c r="H39" s="2">
        <f>--8913.15</f>
        <v>8913.15</v>
      </c>
      <c r="I39" s="2"/>
      <c r="J39" s="19"/>
      <c r="K39" s="2"/>
      <c r="L39" s="2">
        <f t="shared" si="0"/>
        <v>54131.75</v>
      </c>
      <c r="M39" s="2"/>
      <c r="N39" s="19">
        <f t="shared" si="1"/>
        <v>6.0732457099902959</v>
      </c>
      <c r="O39" s="10"/>
      <c r="P39" s="2">
        <f>--207242.34</f>
        <v>207242.34</v>
      </c>
      <c r="Q39" s="2"/>
      <c r="R39" s="19"/>
      <c r="S39" s="2"/>
      <c r="T39" s="2">
        <f>--83313.97</f>
        <v>83313.97</v>
      </c>
      <c r="U39" s="2"/>
      <c r="V39" s="19"/>
      <c r="W39" s="2"/>
      <c r="X39" s="2">
        <f t="shared" si="2"/>
        <v>123928.37</v>
      </c>
      <c r="Y39" s="2"/>
      <c r="Z39" s="19">
        <f t="shared" si="3"/>
        <v>1.4874860722637511</v>
      </c>
    </row>
    <row r="40" spans="1:26" s="23" customFormat="1" hidden="1" outlineLevel="1" x14ac:dyDescent="0.25">
      <c r="A40" s="44"/>
      <c r="B40" s="10" t="str">
        <f>CONCATENATE("          ", "4047", " - ", "TAXABLE SALES-MISC")</f>
        <v xml:space="preserve">          4047 - TAXABLE SALES-MISC</v>
      </c>
      <c r="C40" s="10"/>
      <c r="D40" s="2">
        <f>0</f>
        <v>0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>0</f>
        <v>0</v>
      </c>
      <c r="Q40" s="2"/>
      <c r="R40" s="19"/>
      <c r="S40" s="2"/>
      <c r="T40" s="2">
        <f>--2676.14</f>
        <v>2676.14</v>
      </c>
      <c r="U40" s="2"/>
      <c r="V40" s="19"/>
      <c r="W40" s="2"/>
      <c r="X40" s="2">
        <f t="shared" si="2"/>
        <v>-2676.14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"4081", " - ", "TAXABLE SALES-ELECTRONICS")</f>
        <v xml:space="preserve">          4081 - TAXABLE SALES-ELECTRONICS</v>
      </c>
      <c r="C41" s="10"/>
      <c r="D41" s="2">
        <f>--1628.82</f>
        <v>1628.82</v>
      </c>
      <c r="E41" s="2"/>
      <c r="F41" s="19"/>
      <c r="G41" s="2"/>
      <c r="H41" s="2">
        <f>--705.97</f>
        <v>705.97</v>
      </c>
      <c r="I41" s="2"/>
      <c r="J41" s="19"/>
      <c r="K41" s="2"/>
      <c r="L41" s="2">
        <f t="shared" si="0"/>
        <v>922.84999999999991</v>
      </c>
      <c r="M41" s="2"/>
      <c r="N41" s="19">
        <f t="shared" si="1"/>
        <v>1.3072085216085667</v>
      </c>
      <c r="O41" s="10"/>
      <c r="P41" s="2">
        <f>--62168.02</f>
        <v>62168.02</v>
      </c>
      <c r="Q41" s="2"/>
      <c r="R41" s="19"/>
      <c r="S41" s="2"/>
      <c r="T41" s="2">
        <f>--315078.02</f>
        <v>315078.02</v>
      </c>
      <c r="U41" s="2"/>
      <c r="V41" s="19"/>
      <c r="W41" s="2"/>
      <c r="X41" s="2">
        <f t="shared" si="2"/>
        <v>-252910.00000000003</v>
      </c>
      <c r="Y41" s="2"/>
      <c r="Z41" s="19">
        <f t="shared" si="3"/>
        <v>-0.80269007657214553</v>
      </c>
    </row>
    <row r="42" spans="1:26" s="23" customFormat="1" hidden="1" outlineLevel="1" x14ac:dyDescent="0.25">
      <c r="A42" s="44"/>
      <c r="B42" s="10" t="str">
        <f>CONCATENATE("          ", "4082", " - ", "TAXABLE SALES-COMPUTER HARDWAR")</f>
        <v xml:space="preserve">          4082 - TAXABLE SALES-COMPUTER HARDWAR</v>
      </c>
      <c r="C42" s="10"/>
      <c r="D42" s="2">
        <f>--354181.27</f>
        <v>354181.27</v>
      </c>
      <c r="E42" s="2"/>
      <c r="F42" s="19"/>
      <c r="G42" s="2"/>
      <c r="H42" s="2">
        <f>--265200.65</f>
        <v>265200.65000000002</v>
      </c>
      <c r="I42" s="2"/>
      <c r="J42" s="19"/>
      <c r="K42" s="2"/>
      <c r="L42" s="2">
        <f t="shared" si="0"/>
        <v>88980.62</v>
      </c>
      <c r="M42" s="2"/>
      <c r="N42" s="19">
        <f t="shared" si="1"/>
        <v>0.33552187749162754</v>
      </c>
      <c r="O42" s="10"/>
      <c r="P42" s="2">
        <f>--2012047.63</f>
        <v>2012047.63</v>
      </c>
      <c r="Q42" s="2"/>
      <c r="R42" s="19"/>
      <c r="S42" s="2"/>
      <c r="T42" s="2">
        <f>--1926673.62</f>
        <v>1926673.62</v>
      </c>
      <c r="U42" s="2"/>
      <c r="V42" s="19"/>
      <c r="W42" s="2"/>
      <c r="X42" s="2">
        <f t="shared" si="2"/>
        <v>85374.009999999776</v>
      </c>
      <c r="Y42" s="2"/>
      <c r="Z42" s="19">
        <f t="shared" si="3"/>
        <v>4.4311609975746576E-2</v>
      </c>
    </row>
    <row r="43" spans="1:26" s="23" customFormat="1" hidden="1" outlineLevel="1" x14ac:dyDescent="0.25">
      <c r="A43" s="44"/>
      <c r="B43" s="10" t="str">
        <f>CONCATENATE("          ", "4083", " - ", "TAXABLE SALES-COMPUTER EQUIPME")</f>
        <v xml:space="preserve">          4083 - TAXABLE SALES-COMPUTER EQUIPME</v>
      </c>
      <c r="C43" s="10"/>
      <c r="D43" s="2">
        <f>--7273.67</f>
        <v>7273.67</v>
      </c>
      <c r="E43" s="2"/>
      <c r="F43" s="19"/>
      <c r="G43" s="2"/>
      <c r="H43" s="2">
        <f>--2895.75</f>
        <v>2895.75</v>
      </c>
      <c r="I43" s="2"/>
      <c r="J43" s="19"/>
      <c r="K43" s="2"/>
      <c r="L43" s="2">
        <f t="shared" si="0"/>
        <v>4377.92</v>
      </c>
      <c r="M43" s="2"/>
      <c r="N43" s="19">
        <f t="shared" si="1"/>
        <v>1.5118432185098851</v>
      </c>
      <c r="O43" s="10"/>
      <c r="P43" s="2">
        <f>--126942.93</f>
        <v>126942.93</v>
      </c>
      <c r="Q43" s="2"/>
      <c r="R43" s="19"/>
      <c r="S43" s="2"/>
      <c r="T43" s="2">
        <f>--103778.4</f>
        <v>103778.4</v>
      </c>
      <c r="U43" s="2"/>
      <c r="V43" s="19"/>
      <c r="W43" s="2"/>
      <c r="X43" s="2">
        <f t="shared" si="2"/>
        <v>23164.53</v>
      </c>
      <c r="Y43" s="2"/>
      <c r="Z43" s="19">
        <f t="shared" si="3"/>
        <v>0.22321147753289702</v>
      </c>
    </row>
    <row r="44" spans="1:26" s="23" customFormat="1" hidden="1" outlineLevel="1" x14ac:dyDescent="0.25">
      <c r="A44" s="44"/>
      <c r="B44" s="10" t="str">
        <f>CONCATENATE("          ", "4084", " - ", "TAXABLE SALES-SOFTWARE LICENSE")</f>
        <v xml:space="preserve">          4084 - TAXABLE SALES-SOFTWARE LICENSE</v>
      </c>
      <c r="C44" s="10"/>
      <c r="D44" s="2">
        <f>0</f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>0</f>
        <v>0</v>
      </c>
      <c r="Q44" s="2"/>
      <c r="R44" s="19"/>
      <c r="S44" s="2"/>
      <c r="T44" s="2">
        <f>--129</f>
        <v>129</v>
      </c>
      <c r="U44" s="2"/>
      <c r="V44" s="19"/>
      <c r="W44" s="2"/>
      <c r="X44" s="2">
        <f t="shared" si="2"/>
        <v>-129</v>
      </c>
      <c r="Y44" s="2"/>
      <c r="Z44" s="19">
        <f t="shared" si="3"/>
        <v>-1</v>
      </c>
    </row>
    <row r="45" spans="1:26" s="23" customFormat="1" hidden="1" outlineLevel="1" x14ac:dyDescent="0.25">
      <c r="A45" s="44"/>
      <c r="B45" s="10" t="str">
        <f>CONCATENATE("          ", "4085", " - ", "TAXABLE SALES-SOFTWARE")</f>
        <v xml:space="preserve">          4085 - TAXABLE SALES-SOFTWARE</v>
      </c>
      <c r="C45" s="10"/>
      <c r="D45" s="2">
        <f>--1771.88</f>
        <v>1771.88</v>
      </c>
      <c r="E45" s="2"/>
      <c r="F45" s="19"/>
      <c r="G45" s="2"/>
      <c r="H45" s="2">
        <f>--10</f>
        <v>10</v>
      </c>
      <c r="I45" s="2"/>
      <c r="J45" s="19"/>
      <c r="K45" s="2"/>
      <c r="L45" s="2">
        <f t="shared" si="0"/>
        <v>1761.88</v>
      </c>
      <c r="M45" s="2"/>
      <c r="N45" s="19">
        <f t="shared" si="1"/>
        <v>176.18800000000002</v>
      </c>
      <c r="O45" s="10"/>
      <c r="P45" s="2">
        <f>--4870.79</f>
        <v>4870.79</v>
      </c>
      <c r="Q45" s="2"/>
      <c r="R45" s="19"/>
      <c r="S45" s="2"/>
      <c r="T45" s="2">
        <f>--4567.93</f>
        <v>4567.93</v>
      </c>
      <c r="U45" s="2"/>
      <c r="V45" s="19"/>
      <c r="W45" s="2"/>
      <c r="X45" s="2">
        <f t="shared" si="2"/>
        <v>302.85999999999967</v>
      </c>
      <c r="Y45" s="2"/>
      <c r="Z45" s="19">
        <f t="shared" si="3"/>
        <v>6.6301366264369124E-2</v>
      </c>
    </row>
    <row r="46" spans="1:26" s="23" customFormat="1" hidden="1" outlineLevel="1" x14ac:dyDescent="0.25">
      <c r="A46" s="44"/>
      <c r="B46" s="10" t="str">
        <f>CONCATENATE("          ", "4086", " - ", "TAXABLE SALES-COMPUTER SUPPLIE")</f>
        <v xml:space="preserve">          4086 - TAXABLE SALES-COMPUTER SUPPLIE</v>
      </c>
      <c r="C46" s="10"/>
      <c r="D46" s="2">
        <f>--5818.73</f>
        <v>5818.73</v>
      </c>
      <c r="E46" s="2"/>
      <c r="F46" s="19"/>
      <c r="G46" s="2"/>
      <c r="H46" s="2">
        <f>--91.96</f>
        <v>91.96</v>
      </c>
      <c r="I46" s="2"/>
      <c r="J46" s="19"/>
      <c r="K46" s="2"/>
      <c r="L46" s="2">
        <f t="shared" si="0"/>
        <v>5726.7699999999995</v>
      </c>
      <c r="M46" s="2"/>
      <c r="N46" s="19">
        <f t="shared" si="1"/>
        <v>62.274575902566333</v>
      </c>
      <c r="O46" s="10"/>
      <c r="P46" s="2">
        <f>--65269.63</f>
        <v>65269.63</v>
      </c>
      <c r="Q46" s="2"/>
      <c r="R46" s="19"/>
      <c r="S46" s="2"/>
      <c r="T46" s="2">
        <f>--49172.02</f>
        <v>49172.02</v>
      </c>
      <c r="U46" s="2"/>
      <c r="V46" s="19"/>
      <c r="W46" s="2"/>
      <c r="X46" s="2">
        <f t="shared" si="2"/>
        <v>16097.61</v>
      </c>
      <c r="Y46" s="2"/>
      <c r="Z46" s="19">
        <f t="shared" si="3"/>
        <v>0.32737337209250306</v>
      </c>
    </row>
    <row r="47" spans="1:26" s="23" customFormat="1" hidden="1" outlineLevel="1" x14ac:dyDescent="0.25">
      <c r="A47" s="44"/>
      <c r="B47" s="10" t="str">
        <f>CONCATENATE("          ", "4088", " - ", "TAXABLE SALES-MUSIC")</f>
        <v xml:space="preserve">          4088 - TAXABLE SALES-MUSIC</v>
      </c>
      <c r="C47" s="10"/>
      <c r="D47" s="2">
        <f t="shared" ref="D47:D48" si="13">0</f>
        <v>0</v>
      </c>
      <c r="E47" s="2"/>
      <c r="F47" s="19"/>
      <c r="G47" s="2"/>
      <c r="H47" s="2">
        <f>--379.98</f>
        <v>379.98</v>
      </c>
      <c r="I47" s="2"/>
      <c r="J47" s="19"/>
      <c r="K47" s="2"/>
      <c r="L47" s="2">
        <f t="shared" si="0"/>
        <v>-379.98</v>
      </c>
      <c r="M47" s="2"/>
      <c r="N47" s="19">
        <f t="shared" si="1"/>
        <v>-1</v>
      </c>
      <c r="O47" s="10"/>
      <c r="P47" s="2">
        <f t="shared" ref="P47:P48" si="14">0</f>
        <v>0</v>
      </c>
      <c r="Q47" s="2"/>
      <c r="R47" s="19"/>
      <c r="S47" s="2"/>
      <c r="T47" s="2">
        <f>--1674.81</f>
        <v>1674.81</v>
      </c>
      <c r="U47" s="2"/>
      <c r="V47" s="19"/>
      <c r="W47" s="2"/>
      <c r="X47" s="2">
        <f t="shared" si="2"/>
        <v>-1674.81</v>
      </c>
      <c r="Y47" s="2"/>
      <c r="Z47" s="19">
        <f t="shared" si="3"/>
        <v>-1</v>
      </c>
    </row>
    <row r="48" spans="1:26" s="23" customFormat="1" hidden="1" outlineLevel="1" x14ac:dyDescent="0.25">
      <c r="A48" s="44"/>
      <c r="B48" s="10" t="str">
        <f>CONCATENATE("          ", "4092", " - ", "TAXABLE SALES-GRAD MERCH")</f>
        <v xml:space="preserve">          4092 - TAXABLE SALES-GRAD MERCH</v>
      </c>
      <c r="C48" s="10"/>
      <c r="D48" s="2">
        <f t="shared" si="13"/>
        <v>0</v>
      </c>
      <c r="E48" s="2"/>
      <c r="F48" s="19"/>
      <c r="G48" s="2"/>
      <c r="H48" s="2">
        <f>--3214.15</f>
        <v>3214.15</v>
      </c>
      <c r="I48" s="2"/>
      <c r="J48" s="19"/>
      <c r="K48" s="2"/>
      <c r="L48" s="2">
        <f t="shared" si="0"/>
        <v>-3214.15</v>
      </c>
      <c r="M48" s="2"/>
      <c r="N48" s="19">
        <f t="shared" si="1"/>
        <v>-1</v>
      </c>
      <c r="O48" s="10"/>
      <c r="P48" s="2">
        <f t="shared" si="14"/>
        <v>0</v>
      </c>
      <c r="Q48" s="2"/>
      <c r="R48" s="19"/>
      <c r="S48" s="2"/>
      <c r="T48" s="2">
        <f>--21826.42</f>
        <v>21826.42</v>
      </c>
      <c r="U48" s="2"/>
      <c r="V48" s="19"/>
      <c r="W48" s="2"/>
      <c r="X48" s="2">
        <f t="shared" si="2"/>
        <v>-21826.42</v>
      </c>
      <c r="Y48" s="2"/>
      <c r="Z48" s="19">
        <f t="shared" si="3"/>
        <v>-1</v>
      </c>
    </row>
    <row r="49" spans="1:26" s="23" customFormat="1" hidden="1" outlineLevel="1" x14ac:dyDescent="0.25">
      <c r="A49" s="44"/>
      <c r="B49" s="10" t="str">
        <f>CONCATENATE("          ", "4095", " - ", "TAXABLE SALES-CUSTOMER SERVICE")</f>
        <v xml:space="preserve">          4095 - TAXABLE SALES-CUSTOMER SERVICE</v>
      </c>
      <c r="C49" s="10"/>
      <c r="D49" s="2">
        <f>--2119.46</f>
        <v>2119.46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2119.46</v>
      </c>
      <c r="M49" s="2"/>
      <c r="N49" s="19">
        <f t="shared" si="1"/>
        <v>0</v>
      </c>
      <c r="O49" s="10"/>
      <c r="P49" s="2">
        <f>--3034.59</f>
        <v>3034.59</v>
      </c>
      <c r="Q49" s="2"/>
      <c r="R49" s="19"/>
      <c r="S49" s="2"/>
      <c r="T49" s="2">
        <f>--309.26</f>
        <v>309.26</v>
      </c>
      <c r="U49" s="2"/>
      <c r="V49" s="19"/>
      <c r="W49" s="2"/>
      <c r="X49" s="2">
        <f t="shared" si="2"/>
        <v>2725.33</v>
      </c>
      <c r="Y49" s="2"/>
      <c r="Z49" s="19">
        <f t="shared" si="3"/>
        <v>8.812423203776758</v>
      </c>
    </row>
    <row r="50" spans="1:26" s="23" customFormat="1" hidden="1" outlineLevel="1" x14ac:dyDescent="0.25">
      <c r="A50" s="44"/>
      <c r="B50" s="10" t="str">
        <f>CONCATENATE("          ", "4100", " - ", "NON-TAXABLE SALES")</f>
        <v xml:space="preserve">          4100 - NON-TAXABLE SALES</v>
      </c>
      <c r="C50" s="10"/>
      <c r="D50" s="2">
        <f>-12385.33</f>
        <v>-12385.33</v>
      </c>
      <c r="E50" s="2"/>
      <c r="F50" s="19"/>
      <c r="G50" s="2"/>
      <c r="H50" s="2">
        <f>--27923.82</f>
        <v>27923.82</v>
      </c>
      <c r="I50" s="2"/>
      <c r="J50" s="19"/>
      <c r="K50" s="2"/>
      <c r="L50" s="2">
        <f t="shared" si="0"/>
        <v>-40309.15</v>
      </c>
      <c r="M50" s="2"/>
      <c r="N50" s="19">
        <f t="shared" si="1"/>
        <v>-1.4435399597906018</v>
      </c>
      <c r="O50" s="10"/>
      <c r="P50" s="2">
        <f>--273838.77</f>
        <v>273838.77</v>
      </c>
      <c r="Q50" s="2"/>
      <c r="R50" s="19"/>
      <c r="S50" s="2"/>
      <c r="T50" s="2">
        <f>--602236.47</f>
        <v>602236.47</v>
      </c>
      <c r="U50" s="2"/>
      <c r="V50" s="19"/>
      <c r="W50" s="2"/>
      <c r="X50" s="2">
        <f t="shared" si="2"/>
        <v>-328397.69999999995</v>
      </c>
      <c r="Y50" s="2"/>
      <c r="Z50" s="19">
        <f t="shared" si="3"/>
        <v>-0.54529693294728554</v>
      </c>
    </row>
    <row r="51" spans="1:26" s="23" customFormat="1" hidden="1" outlineLevel="1" x14ac:dyDescent="0.25">
      <c r="A51" s="44"/>
      <c r="B51" s="10" t="str">
        <f>CONCATENATE("          ", "4101", " - ", "NON-TAXABLE SALES-NEW TEXT")</f>
        <v xml:space="preserve">          4101 - NON-TAXABLE SALES-NEW TEXT</v>
      </c>
      <c r="C51" s="10"/>
      <c r="D51" s="2">
        <f>--741.03</f>
        <v>741.03</v>
      </c>
      <c r="E51" s="2"/>
      <c r="F51" s="19"/>
      <c r="G51" s="2"/>
      <c r="H51" s="2">
        <f>--1972.02</f>
        <v>1972.02</v>
      </c>
      <c r="I51" s="2"/>
      <c r="J51" s="19"/>
      <c r="K51" s="2"/>
      <c r="L51" s="2">
        <f t="shared" si="0"/>
        <v>-1230.99</v>
      </c>
      <c r="M51" s="2"/>
      <c r="N51" s="19">
        <f t="shared" si="1"/>
        <v>-0.62422794900660239</v>
      </c>
      <c r="O51" s="10"/>
      <c r="P51" s="2">
        <f>--112796.74</f>
        <v>112796.74</v>
      </c>
      <c r="Q51" s="2"/>
      <c r="R51" s="19"/>
      <c r="S51" s="2"/>
      <c r="T51" s="2">
        <f>--144163.44</f>
        <v>144163.44</v>
      </c>
      <c r="U51" s="2"/>
      <c r="V51" s="19"/>
      <c r="W51" s="2"/>
      <c r="X51" s="2">
        <f t="shared" si="2"/>
        <v>-31366.699999999997</v>
      </c>
      <c r="Y51" s="2"/>
      <c r="Z51" s="19">
        <f t="shared" si="3"/>
        <v>-0.21757735525733846</v>
      </c>
    </row>
    <row r="52" spans="1:26" s="23" customFormat="1" hidden="1" outlineLevel="1" x14ac:dyDescent="0.25">
      <c r="A52" s="44"/>
      <c r="B52" s="10" t="str">
        <f>CONCATENATE("          ", "4102", " - ", "NON-TAXABLE SALES-USED TEXT")</f>
        <v xml:space="preserve">          4102 - NON-TAXABLE SALES-USED TEXT</v>
      </c>
      <c r="C52" s="10"/>
      <c r="D52" s="2">
        <f>--743.99</f>
        <v>743.99</v>
      </c>
      <c r="E52" s="2"/>
      <c r="F52" s="19"/>
      <c r="G52" s="2"/>
      <c r="H52" s="2">
        <f>--804.2</f>
        <v>804.2</v>
      </c>
      <c r="I52" s="2"/>
      <c r="J52" s="19"/>
      <c r="K52" s="2"/>
      <c r="L52" s="2">
        <f t="shared" si="0"/>
        <v>-60.210000000000036</v>
      </c>
      <c r="M52" s="2"/>
      <c r="N52" s="19">
        <f t="shared" si="1"/>
        <v>-7.4869435463815012E-2</v>
      </c>
      <c r="O52" s="10"/>
      <c r="P52" s="2">
        <f>--48703.42</f>
        <v>48703.42</v>
      </c>
      <c r="Q52" s="2"/>
      <c r="R52" s="19"/>
      <c r="S52" s="2"/>
      <c r="T52" s="2">
        <f>--69659.9</f>
        <v>69659.899999999994</v>
      </c>
      <c r="U52" s="2"/>
      <c r="V52" s="19"/>
      <c r="W52" s="2"/>
      <c r="X52" s="2">
        <f t="shared" si="2"/>
        <v>-20956.479999999996</v>
      </c>
      <c r="Y52" s="2"/>
      <c r="Z52" s="19">
        <f t="shared" si="3"/>
        <v>-0.3008399380418289</v>
      </c>
    </row>
    <row r="53" spans="1:26" s="23" customFormat="1" hidden="1" outlineLevel="1" x14ac:dyDescent="0.25">
      <c r="A53" s="44"/>
      <c r="B53" s="10" t="str">
        <f>CONCATENATE("          ", "4103", " - ", "NON-TAXABLE SALES-RENTAL TEXT")</f>
        <v xml:space="preserve">          4103 - NON-TAXABLE SALES-RENTAL TEXT</v>
      </c>
      <c r="C53" s="10"/>
      <c r="D53" s="2">
        <f>0</f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0"/>
      <c r="P53" s="2">
        <f>--1138.95</f>
        <v>1138.95</v>
      </c>
      <c r="Q53" s="2"/>
      <c r="R53" s="19"/>
      <c r="S53" s="2"/>
      <c r="T53" s="2">
        <f>--664.97</f>
        <v>664.97</v>
      </c>
      <c r="U53" s="2"/>
      <c r="V53" s="19"/>
      <c r="W53" s="2"/>
      <c r="X53" s="2">
        <f t="shared" si="2"/>
        <v>473.98</v>
      </c>
      <c r="Y53" s="2"/>
      <c r="Z53" s="19">
        <f t="shared" si="3"/>
        <v>0.71278403537001667</v>
      </c>
    </row>
    <row r="54" spans="1:26" s="23" customFormat="1" hidden="1" outlineLevel="1" x14ac:dyDescent="0.25">
      <c r="A54" s="44"/>
      <c r="B54" s="10" t="str">
        <f>CONCATENATE("          ", "4104", " - ", "NON-TAXABLE SALES-DIGITAL TEXT")</f>
        <v xml:space="preserve">          4104 - NON-TAXABLE SALES-DIGITAL TEXT</v>
      </c>
      <c r="C54" s="10"/>
      <c r="D54" s="2">
        <f>--3431.99</f>
        <v>3431.99</v>
      </c>
      <c r="E54" s="2"/>
      <c r="F54" s="19"/>
      <c r="G54" s="2"/>
      <c r="H54" s="2">
        <f>--2502.44</f>
        <v>2502.44</v>
      </c>
      <c r="I54" s="2"/>
      <c r="J54" s="19"/>
      <c r="K54" s="2"/>
      <c r="L54" s="2">
        <f t="shared" si="0"/>
        <v>929.54999999999973</v>
      </c>
      <c r="M54" s="2"/>
      <c r="N54" s="19">
        <f t="shared" si="1"/>
        <v>0.37145745752145892</v>
      </c>
      <c r="O54" s="10"/>
      <c r="P54" s="2">
        <f>--480403.17</f>
        <v>480403.17</v>
      </c>
      <c r="Q54" s="2"/>
      <c r="R54" s="19"/>
      <c r="S54" s="2"/>
      <c r="T54" s="2">
        <f>--526854.09</f>
        <v>526854.09</v>
      </c>
      <c r="U54" s="2"/>
      <c r="V54" s="19"/>
      <c r="W54" s="2"/>
      <c r="X54" s="2">
        <f t="shared" si="2"/>
        <v>-46450.919999999984</v>
      </c>
      <c r="Y54" s="2"/>
      <c r="Z54" s="19">
        <f t="shared" si="3"/>
        <v>-8.8166573785163155E-2</v>
      </c>
    </row>
    <row r="55" spans="1:26" s="23" customFormat="1" hidden="1" outlineLevel="1" x14ac:dyDescent="0.25">
      <c r="A55" s="44"/>
      <c r="B55" s="10" t="str">
        <f>CONCATENATE("          ", "4111", " - ", "NON-TAXABLE SALES-NO VALUE TEX")</f>
        <v xml:space="preserve">          4111 - NON-TAXABLE SALES-NO VALUE TEX</v>
      </c>
      <c r="C55" s="10"/>
      <c r="D55" s="2">
        <f>0</f>
        <v>0</v>
      </c>
      <c r="E55" s="2"/>
      <c r="F55" s="19"/>
      <c r="G55" s="2"/>
      <c r="H55" s="2">
        <f>--593.67</f>
        <v>593.66999999999996</v>
      </c>
      <c r="I55" s="2"/>
      <c r="J55" s="19"/>
      <c r="K55" s="2"/>
      <c r="L55" s="2">
        <f t="shared" si="0"/>
        <v>-593.66999999999996</v>
      </c>
      <c r="M55" s="2"/>
      <c r="N55" s="19">
        <f t="shared" si="1"/>
        <v>-1</v>
      </c>
      <c r="O55" s="10"/>
      <c r="P55" s="2">
        <f>0</f>
        <v>0</v>
      </c>
      <c r="Q55" s="2"/>
      <c r="R55" s="19"/>
      <c r="S55" s="2"/>
      <c r="T55" s="2">
        <f>--15323</f>
        <v>15323</v>
      </c>
      <c r="U55" s="2"/>
      <c r="V55" s="19"/>
      <c r="W55" s="2"/>
      <c r="X55" s="2">
        <f t="shared" si="2"/>
        <v>-15323</v>
      </c>
      <c r="Y55" s="2"/>
      <c r="Z55" s="19">
        <f t="shared" si="3"/>
        <v>-1</v>
      </c>
    </row>
    <row r="56" spans="1:26" s="23" customFormat="1" hidden="1" outlineLevel="1" x14ac:dyDescent="0.25">
      <c r="A56" s="44"/>
      <c r="B56" s="10" t="str">
        <f>CONCATENATE("          ", "4113", " - ", "NON-TAXABLE SALES-TRADE BOOKS")</f>
        <v xml:space="preserve">          4113 - NON-TAXABLE SALES-TRADE BOOKS</v>
      </c>
      <c r="C56" s="10"/>
      <c r="D56" s="2">
        <f>--738</f>
        <v>738</v>
      </c>
      <c r="E56" s="2"/>
      <c r="F56" s="19"/>
      <c r="G56" s="2"/>
      <c r="H56" s="2">
        <f>--2440</f>
        <v>2440</v>
      </c>
      <c r="I56" s="2"/>
      <c r="J56" s="19"/>
      <c r="K56" s="2"/>
      <c r="L56" s="2">
        <f t="shared" si="0"/>
        <v>-1702</v>
      </c>
      <c r="M56" s="2"/>
      <c r="N56" s="19">
        <f t="shared" si="1"/>
        <v>-0.69754098360655736</v>
      </c>
      <c r="O56" s="10"/>
      <c r="P56" s="2">
        <f>--12127.25</f>
        <v>12127.25</v>
      </c>
      <c r="Q56" s="2"/>
      <c r="R56" s="19"/>
      <c r="S56" s="2"/>
      <c r="T56" s="2">
        <f>--8241.92</f>
        <v>8241.92</v>
      </c>
      <c r="U56" s="2"/>
      <c r="V56" s="19"/>
      <c r="W56" s="2"/>
      <c r="X56" s="2">
        <f t="shared" si="2"/>
        <v>3885.33</v>
      </c>
      <c r="Y56" s="2"/>
      <c r="Z56" s="19">
        <f t="shared" si="3"/>
        <v>0.4714107877776052</v>
      </c>
    </row>
    <row r="57" spans="1:26" s="23" customFormat="1" hidden="1" outlineLevel="1" x14ac:dyDescent="0.25">
      <c r="A57" s="44"/>
      <c r="B57" s="10" t="str">
        <f>CONCATENATE("          ", "4118", " - ", "NON-TAXABLE SALES-STUDY GUIDES")</f>
        <v xml:space="preserve">          4118 - NON-TAXABLE SALES-STUDY GUIDES</v>
      </c>
      <c r="C57" s="10"/>
      <c r="D57" s="2">
        <f t="shared" ref="D57:D59" si="15">0</f>
        <v>0</v>
      </c>
      <c r="E57" s="2"/>
      <c r="F57" s="19"/>
      <c r="G57" s="2"/>
      <c r="H57" s="2">
        <f>--7.02</f>
        <v>7.02</v>
      </c>
      <c r="I57" s="2"/>
      <c r="J57" s="19"/>
      <c r="K57" s="2"/>
      <c r="L57" s="2">
        <f t="shared" si="0"/>
        <v>-7.02</v>
      </c>
      <c r="M57" s="2"/>
      <c r="N57" s="19">
        <f t="shared" si="1"/>
        <v>-1</v>
      </c>
      <c r="O57" s="10"/>
      <c r="P57" s="2">
        <f>--771.73</f>
        <v>771.73</v>
      </c>
      <c r="Q57" s="2"/>
      <c r="R57" s="19"/>
      <c r="S57" s="2"/>
      <c r="T57" s="2">
        <f>--75.94</f>
        <v>75.94</v>
      </c>
      <c r="U57" s="2"/>
      <c r="V57" s="19"/>
      <c r="W57" s="2"/>
      <c r="X57" s="2">
        <f t="shared" si="2"/>
        <v>695.79</v>
      </c>
      <c r="Y57" s="2"/>
      <c r="Z57" s="19">
        <f t="shared" si="3"/>
        <v>9.1623650250197528</v>
      </c>
    </row>
    <row r="58" spans="1:26" s="23" customFormat="1" hidden="1" outlineLevel="1" x14ac:dyDescent="0.25">
      <c r="A58" s="44"/>
      <c r="B58" s="10" t="str">
        <f>CONCATENATE("          ", "4125", " - ", "NON-TAXABLE SALES-TEST FORMS")</f>
        <v xml:space="preserve">          4125 - NON-TAXABLE SALES-TEST FORMS</v>
      </c>
      <c r="C58" s="10"/>
      <c r="D58" s="2">
        <f t="shared" si="15"/>
        <v>0</v>
      </c>
      <c r="E58" s="2"/>
      <c r="F58" s="19"/>
      <c r="G58" s="2"/>
      <c r="H58" s="2">
        <f>0</f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0"/>
      <c r="P58" s="2">
        <f>0</f>
        <v>0</v>
      </c>
      <c r="Q58" s="2"/>
      <c r="R58" s="19"/>
      <c r="S58" s="2"/>
      <c r="T58" s="2">
        <f>--267.61</f>
        <v>267.61</v>
      </c>
      <c r="U58" s="2"/>
      <c r="V58" s="19"/>
      <c r="W58" s="2"/>
      <c r="X58" s="2">
        <f t="shared" si="2"/>
        <v>-267.61</v>
      </c>
      <c r="Y58" s="2"/>
      <c r="Z58" s="19">
        <f t="shared" si="3"/>
        <v>-1</v>
      </c>
    </row>
    <row r="59" spans="1:26" s="23" customFormat="1" hidden="1" outlineLevel="1" x14ac:dyDescent="0.25">
      <c r="A59" s="44"/>
      <c r="B59" s="10" t="str">
        <f>CONCATENATE("          ", "4126", " - ", "NON-TAXABLE SALES-WRITING INST")</f>
        <v xml:space="preserve">          4126 - NON-TAXABLE SALES-WRITING INST</v>
      </c>
      <c r="C59" s="10"/>
      <c r="D59" s="2">
        <f t="shared" si="15"/>
        <v>0</v>
      </c>
      <c r="E59" s="2"/>
      <c r="F59" s="19"/>
      <c r="G59" s="2"/>
      <c r="H59" s="2">
        <f>--5.57</f>
        <v>5.57</v>
      </c>
      <c r="I59" s="2"/>
      <c r="J59" s="19"/>
      <c r="K59" s="2"/>
      <c r="L59" s="2">
        <f t="shared" si="0"/>
        <v>-5.57</v>
      </c>
      <c r="M59" s="2"/>
      <c r="N59" s="19">
        <f t="shared" si="1"/>
        <v>-1</v>
      </c>
      <c r="O59" s="10"/>
      <c r="P59" s="2">
        <f>--52.68</f>
        <v>52.68</v>
      </c>
      <c r="Q59" s="2"/>
      <c r="R59" s="19"/>
      <c r="S59" s="2"/>
      <c r="T59" s="2">
        <f>--3022.86</f>
        <v>3022.86</v>
      </c>
      <c r="U59" s="2"/>
      <c r="V59" s="19"/>
      <c r="W59" s="2"/>
      <c r="X59" s="2">
        <f t="shared" si="2"/>
        <v>-2970.1800000000003</v>
      </c>
      <c r="Y59" s="2"/>
      <c r="Z59" s="19">
        <f t="shared" si="3"/>
        <v>-0.98257279529981545</v>
      </c>
    </row>
    <row r="60" spans="1:26" s="23" customFormat="1" hidden="1" outlineLevel="1" x14ac:dyDescent="0.25">
      <c r="A60" s="44"/>
      <c r="B60" s="10" t="str">
        <f>CONCATENATE("          ", "4127", " - ", "NON-TAXABLE SALES-SCHOOL SUPPL")</f>
        <v xml:space="preserve">          4127 - NON-TAXABLE SALES-SCHOOL SUPPL</v>
      </c>
      <c r="C60" s="10"/>
      <c r="D60" s="2">
        <f>--493.37</f>
        <v>493.37</v>
      </c>
      <c r="E60" s="2"/>
      <c r="F60" s="19"/>
      <c r="G60" s="2"/>
      <c r="H60" s="2">
        <f>--1430.65</f>
        <v>1430.65</v>
      </c>
      <c r="I60" s="2"/>
      <c r="J60" s="19"/>
      <c r="K60" s="2"/>
      <c r="L60" s="2">
        <f t="shared" si="0"/>
        <v>-937.28000000000009</v>
      </c>
      <c r="M60" s="2"/>
      <c r="N60" s="19">
        <f t="shared" si="1"/>
        <v>-0.65514276727361687</v>
      </c>
      <c r="O60" s="10"/>
      <c r="P60" s="2">
        <f>--7100.68</f>
        <v>7100.68</v>
      </c>
      <c r="Q60" s="2"/>
      <c r="R60" s="19"/>
      <c r="S60" s="2"/>
      <c r="T60" s="2">
        <f>--6146.87</f>
        <v>6146.87</v>
      </c>
      <c r="U60" s="2"/>
      <c r="V60" s="19"/>
      <c r="W60" s="2"/>
      <c r="X60" s="2">
        <f t="shared" si="2"/>
        <v>953.8100000000004</v>
      </c>
      <c r="Y60" s="2"/>
      <c r="Z60" s="19">
        <f t="shared" si="3"/>
        <v>0.15517002962483353</v>
      </c>
    </row>
    <row r="61" spans="1:26" s="23" customFormat="1" hidden="1" outlineLevel="1" x14ac:dyDescent="0.25">
      <c r="A61" s="44"/>
      <c r="B61" s="10" t="str">
        <f>CONCATENATE("          ", "4128", " - ", "NON-TAXABLE SALES-ART/TECH")</f>
        <v xml:space="preserve">          4128 - NON-TAXABLE SALES-ART/TECH</v>
      </c>
      <c r="C61" s="10"/>
      <c r="D61" s="2">
        <f>--31.37</f>
        <v>31.37</v>
      </c>
      <c r="E61" s="2"/>
      <c r="F61" s="19"/>
      <c r="G61" s="2"/>
      <c r="H61" s="2">
        <f>0</f>
        <v>0</v>
      </c>
      <c r="I61" s="2"/>
      <c r="J61" s="19"/>
      <c r="K61" s="2"/>
      <c r="L61" s="2">
        <f t="shared" si="0"/>
        <v>31.37</v>
      </c>
      <c r="M61" s="2"/>
      <c r="N61" s="19">
        <f t="shared" si="1"/>
        <v>0</v>
      </c>
      <c r="O61" s="10"/>
      <c r="P61" s="2">
        <f>--69.95</f>
        <v>69.95</v>
      </c>
      <c r="Q61" s="2"/>
      <c r="R61" s="19"/>
      <c r="S61" s="2"/>
      <c r="T61" s="2">
        <f>--730.62</f>
        <v>730.62</v>
      </c>
      <c r="U61" s="2"/>
      <c r="V61" s="19"/>
      <c r="W61" s="2"/>
      <c r="X61" s="2">
        <f t="shared" si="2"/>
        <v>-660.67</v>
      </c>
      <c r="Y61" s="2"/>
      <c r="Z61" s="19">
        <f t="shared" si="3"/>
        <v>-0.90425939612931472</v>
      </c>
    </row>
    <row r="62" spans="1:26" s="23" customFormat="1" hidden="1" outlineLevel="1" x14ac:dyDescent="0.25">
      <c r="A62" s="44"/>
      <c r="B62" s="10" t="str">
        <f>CONCATENATE("          ", "4131", " - ", "NON-TAXABLE SALES-FOOD")</f>
        <v xml:space="preserve">          4131 - NON-TAXABLE SALES-FOOD</v>
      </c>
      <c r="C62" s="10"/>
      <c r="D62" s="2">
        <f>--975.93</f>
        <v>975.93</v>
      </c>
      <c r="E62" s="2"/>
      <c r="F62" s="19"/>
      <c r="G62" s="2"/>
      <c r="H62" s="2">
        <f>--3.97</f>
        <v>3.97</v>
      </c>
      <c r="I62" s="2"/>
      <c r="J62" s="19"/>
      <c r="K62" s="2"/>
      <c r="L62" s="2">
        <f t="shared" si="0"/>
        <v>971.95999999999992</v>
      </c>
      <c r="M62" s="2"/>
      <c r="N62" s="19">
        <f t="shared" si="1"/>
        <v>244.82619647355162</v>
      </c>
      <c r="O62" s="10"/>
      <c r="P62" s="2">
        <f>--11380.36</f>
        <v>11380.36</v>
      </c>
      <c r="Q62" s="2"/>
      <c r="R62" s="19"/>
      <c r="S62" s="2"/>
      <c r="T62" s="2">
        <f>--57887.54</f>
        <v>57887.54</v>
      </c>
      <c r="U62" s="2"/>
      <c r="V62" s="19"/>
      <c r="W62" s="2"/>
      <c r="X62" s="2">
        <f t="shared" si="2"/>
        <v>-46507.18</v>
      </c>
      <c r="Y62" s="2"/>
      <c r="Z62" s="19">
        <f t="shared" si="3"/>
        <v>-0.80340570699670433</v>
      </c>
    </row>
    <row r="63" spans="1:26" s="23" customFormat="1" hidden="1" outlineLevel="1" x14ac:dyDescent="0.25">
      <c r="A63" s="44"/>
      <c r="B63" s="10" t="str">
        <f>CONCATENATE("          ", "4132", " - ", "NON-TAXABLE SALES-JUICE")</f>
        <v xml:space="preserve">          4132 - NON-TAXABLE SALES-JUICE</v>
      </c>
      <c r="C63" s="10"/>
      <c r="D63" s="2">
        <f t="shared" ref="D63:D67" si="16">0</f>
        <v>0</v>
      </c>
      <c r="E63" s="2"/>
      <c r="F63" s="19"/>
      <c r="G63" s="2"/>
      <c r="H63" s="2">
        <f>0</f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0"/>
      <c r="P63" s="2">
        <f>--22.49</f>
        <v>22.49</v>
      </c>
      <c r="Q63" s="2"/>
      <c r="R63" s="19"/>
      <c r="S63" s="2"/>
      <c r="T63" s="2">
        <f>--16199.63</f>
        <v>16199.63</v>
      </c>
      <c r="U63" s="2"/>
      <c r="V63" s="19"/>
      <c r="W63" s="2"/>
      <c r="X63" s="2">
        <f t="shared" si="2"/>
        <v>-16177.14</v>
      </c>
      <c r="Y63" s="2"/>
      <c r="Z63" s="19">
        <f t="shared" si="3"/>
        <v>-0.99861169668689964</v>
      </c>
    </row>
    <row r="64" spans="1:26" s="23" customFormat="1" hidden="1" outlineLevel="1" x14ac:dyDescent="0.25">
      <c r="A64" s="44"/>
      <c r="B64" s="10" t="str">
        <f>CONCATENATE("          ", "4133", " - ", "NON-TAXABLE SALES-CANDY")</f>
        <v xml:space="preserve">          4133 - NON-TAXABLE SALES-CANDY</v>
      </c>
      <c r="C64" s="10"/>
      <c r="D64" s="2">
        <f t="shared" si="16"/>
        <v>0</v>
      </c>
      <c r="E64" s="2"/>
      <c r="F64" s="19"/>
      <c r="G64" s="2"/>
      <c r="H64" s="2">
        <f>--4.17</f>
        <v>4.17</v>
      </c>
      <c r="I64" s="2"/>
      <c r="J64" s="19"/>
      <c r="K64" s="2"/>
      <c r="L64" s="2">
        <f t="shared" si="0"/>
        <v>-4.17</v>
      </c>
      <c r="M64" s="2"/>
      <c r="N64" s="19">
        <f t="shared" si="1"/>
        <v>-1</v>
      </c>
      <c r="O64" s="10"/>
      <c r="P64" s="2">
        <f>--80.71</f>
        <v>80.709999999999994</v>
      </c>
      <c r="Q64" s="2"/>
      <c r="R64" s="19"/>
      <c r="S64" s="2"/>
      <c r="T64" s="2">
        <f>--18088.46</f>
        <v>18088.46</v>
      </c>
      <c r="U64" s="2"/>
      <c r="V64" s="19"/>
      <c r="W64" s="2"/>
      <c r="X64" s="2">
        <f t="shared" si="2"/>
        <v>-18007.75</v>
      </c>
      <c r="Y64" s="2"/>
      <c r="Z64" s="19">
        <f t="shared" si="3"/>
        <v>-0.99553803916972483</v>
      </c>
    </row>
    <row r="65" spans="1:26" s="23" customFormat="1" hidden="1" outlineLevel="1" x14ac:dyDescent="0.25">
      <c r="A65" s="44"/>
      <c r="B65" s="10" t="str">
        <f>CONCATENATE("          ", "4134", " - ", "NON-TAXABLE SALES-SODA")</f>
        <v xml:space="preserve">          4134 - NON-TAXABLE SALES-SODA</v>
      </c>
      <c r="C65" s="10"/>
      <c r="D65" s="2">
        <f t="shared" si="16"/>
        <v>0</v>
      </c>
      <c r="E65" s="2"/>
      <c r="F65" s="19"/>
      <c r="G65" s="2"/>
      <c r="H65" s="2">
        <f t="shared" ref="H65:H67" si="17">0</f>
        <v>0</v>
      </c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0"/>
      <c r="P65" s="2">
        <f>--45.53</f>
        <v>45.53</v>
      </c>
      <c r="Q65" s="2"/>
      <c r="R65" s="19"/>
      <c r="S65" s="2"/>
      <c r="T65" s="2">
        <f>--1.89</f>
        <v>1.89</v>
      </c>
      <c r="U65" s="2"/>
      <c r="V65" s="19"/>
      <c r="W65" s="2"/>
      <c r="X65" s="2">
        <f t="shared" si="2"/>
        <v>43.64</v>
      </c>
      <c r="Y65" s="2"/>
      <c r="Z65" s="19">
        <f t="shared" si="3"/>
        <v>23.089947089947092</v>
      </c>
    </row>
    <row r="66" spans="1:26" s="23" customFormat="1" hidden="1" outlineLevel="1" x14ac:dyDescent="0.25">
      <c r="A66" s="44"/>
      <c r="B66" s="10" t="str">
        <f>CONCATENATE("          ", "4135", " - ", "NON-TAXABLE SALES")</f>
        <v xml:space="preserve">          4135 - NON-TAXABLE SALES</v>
      </c>
      <c r="C66" s="10"/>
      <c r="D66" s="2">
        <f t="shared" si="16"/>
        <v>0</v>
      </c>
      <c r="E66" s="2"/>
      <c r="F66" s="19"/>
      <c r="G66" s="2"/>
      <c r="H66" s="2">
        <f t="shared" si="17"/>
        <v>0</v>
      </c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0"/>
      <c r="P66" s="2">
        <f>0</f>
        <v>0</v>
      </c>
      <c r="Q66" s="2"/>
      <c r="R66" s="19"/>
      <c r="S66" s="2"/>
      <c r="T66" s="2">
        <f>--161.4</f>
        <v>161.4</v>
      </c>
      <c r="U66" s="2"/>
      <c r="V66" s="19"/>
      <c r="W66" s="2"/>
      <c r="X66" s="2">
        <f t="shared" si="2"/>
        <v>-161.4</v>
      </c>
      <c r="Y66" s="2"/>
      <c r="Z66" s="19">
        <f t="shared" si="3"/>
        <v>-1</v>
      </c>
    </row>
    <row r="67" spans="1:26" s="23" customFormat="1" hidden="1" outlineLevel="1" x14ac:dyDescent="0.25">
      <c r="A67" s="44"/>
      <c r="B67" s="10" t="str">
        <f>CONCATENATE("          ", "4137", " - ", "NON-TAXABLE SALES-WATER")</f>
        <v xml:space="preserve">          4137 - NON-TAXABLE SALES-WATER</v>
      </c>
      <c r="C67" s="10"/>
      <c r="D67" s="2">
        <f t="shared" si="16"/>
        <v>0</v>
      </c>
      <c r="E67" s="2"/>
      <c r="F67" s="19"/>
      <c r="G67" s="2"/>
      <c r="H67" s="2">
        <f t="shared" si="17"/>
        <v>0</v>
      </c>
      <c r="I67" s="2"/>
      <c r="J67" s="19"/>
      <c r="K67" s="2"/>
      <c r="L67" s="2">
        <f t="shared" si="0"/>
        <v>0</v>
      </c>
      <c r="M67" s="2"/>
      <c r="N67" s="19">
        <f t="shared" si="1"/>
        <v>0</v>
      </c>
      <c r="O67" s="10"/>
      <c r="P67" s="2">
        <f>--68.25</f>
        <v>68.25</v>
      </c>
      <c r="Q67" s="2"/>
      <c r="R67" s="19"/>
      <c r="S67" s="2"/>
      <c r="T67" s="2">
        <f>--8519.06</f>
        <v>8519.06</v>
      </c>
      <c r="U67" s="2"/>
      <c r="V67" s="19"/>
      <c r="W67" s="2"/>
      <c r="X67" s="2">
        <f t="shared" si="2"/>
        <v>-8450.81</v>
      </c>
      <c r="Y67" s="2"/>
      <c r="Z67" s="19">
        <f t="shared" si="3"/>
        <v>-0.99198855272764841</v>
      </c>
    </row>
    <row r="68" spans="1:26" s="23" customFormat="1" hidden="1" outlineLevel="1" x14ac:dyDescent="0.25">
      <c r="A68" s="44"/>
      <c r="B68" s="10" t="str">
        <f>CONCATENATE("          ", "4140", " - ", "NON-TAXABLE SALES-LOGO CLOTHIN")</f>
        <v xml:space="preserve">          4140 - NON-TAXABLE SALES-LOGO CLOTHIN</v>
      </c>
      <c r="C68" s="10"/>
      <c r="D68" s="2">
        <f>--23040.7</f>
        <v>23040.7</v>
      </c>
      <c r="E68" s="2"/>
      <c r="F68" s="19"/>
      <c r="G68" s="2"/>
      <c r="H68" s="2">
        <f>--30875.73</f>
        <v>30875.73</v>
      </c>
      <c r="I68" s="2"/>
      <c r="J68" s="19"/>
      <c r="K68" s="2"/>
      <c r="L68" s="2">
        <f t="shared" si="0"/>
        <v>-7835.0299999999988</v>
      </c>
      <c r="M68" s="2"/>
      <c r="N68" s="19">
        <f t="shared" si="1"/>
        <v>-0.25376015401093349</v>
      </c>
      <c r="O68" s="10"/>
      <c r="P68" s="2">
        <f>--154792.39</f>
        <v>154792.39000000001</v>
      </c>
      <c r="Q68" s="2"/>
      <c r="R68" s="19"/>
      <c r="S68" s="2"/>
      <c r="T68" s="2">
        <f>--78924.71</f>
        <v>78924.710000000006</v>
      </c>
      <c r="U68" s="2"/>
      <c r="V68" s="19"/>
      <c r="W68" s="2"/>
      <c r="X68" s="2">
        <f t="shared" si="2"/>
        <v>75867.680000000008</v>
      </c>
      <c r="Y68" s="2"/>
      <c r="Z68" s="19">
        <f t="shared" si="3"/>
        <v>0.96126650322820317</v>
      </c>
    </row>
    <row r="69" spans="1:26" s="23" customFormat="1" hidden="1" outlineLevel="1" x14ac:dyDescent="0.25">
      <c r="A69" s="44"/>
      <c r="B69" s="10" t="str">
        <f>CONCATENATE("          ", "4141", " - ", "NON-TAXABLE SALES-LOGO GIFTS")</f>
        <v xml:space="preserve">          4141 - NON-TAXABLE SALES-LOGO GIFTS</v>
      </c>
      <c r="C69" s="10"/>
      <c r="D69" s="2">
        <f>--27228.57</f>
        <v>27228.57</v>
      </c>
      <c r="E69" s="2"/>
      <c r="F69" s="19"/>
      <c r="G69" s="2"/>
      <c r="H69" s="2">
        <f>--1860.77</f>
        <v>1860.77</v>
      </c>
      <c r="I69" s="2"/>
      <c r="J69" s="19"/>
      <c r="K69" s="2"/>
      <c r="L69" s="2">
        <f t="shared" si="0"/>
        <v>25367.8</v>
      </c>
      <c r="M69" s="2"/>
      <c r="N69" s="19">
        <f t="shared" si="1"/>
        <v>13.632958398942373</v>
      </c>
      <c r="O69" s="10"/>
      <c r="P69" s="2">
        <f>--36796.81</f>
        <v>36796.81</v>
      </c>
      <c r="Q69" s="2"/>
      <c r="R69" s="19"/>
      <c r="S69" s="2"/>
      <c r="T69" s="2">
        <f>--12775.33</f>
        <v>12775.33</v>
      </c>
      <c r="U69" s="2"/>
      <c r="V69" s="19"/>
      <c r="W69" s="2"/>
      <c r="X69" s="2">
        <f t="shared" si="2"/>
        <v>24021.479999999996</v>
      </c>
      <c r="Y69" s="2"/>
      <c r="Z69" s="19">
        <f t="shared" si="3"/>
        <v>1.8803021135266169</v>
      </c>
    </row>
    <row r="70" spans="1:26" s="23" customFormat="1" hidden="1" outlineLevel="1" x14ac:dyDescent="0.25">
      <c r="A70" s="44"/>
      <c r="B70" s="10" t="str">
        <f>CONCATENATE("          ", "4142", " - ", "NON-TAXABLE SALES-EVERYDAY GIF")</f>
        <v xml:space="preserve">          4142 - NON-TAXABLE SALES-EVERYDAY GIF</v>
      </c>
      <c r="C70" s="10"/>
      <c r="D70" s="2">
        <f>--306.73</f>
        <v>306.73</v>
      </c>
      <c r="E70" s="2"/>
      <c r="F70" s="19"/>
      <c r="G70" s="2"/>
      <c r="H70" s="2">
        <f>--386.65</f>
        <v>386.65</v>
      </c>
      <c r="I70" s="2"/>
      <c r="J70" s="19"/>
      <c r="K70" s="2"/>
      <c r="L70" s="2">
        <f t="shared" si="0"/>
        <v>-79.919999999999959</v>
      </c>
      <c r="M70" s="2"/>
      <c r="N70" s="19">
        <f t="shared" si="1"/>
        <v>-0.20669856459330135</v>
      </c>
      <c r="O70" s="10"/>
      <c r="P70" s="2">
        <f>--2588.1</f>
        <v>2588.1</v>
      </c>
      <c r="Q70" s="2"/>
      <c r="R70" s="19"/>
      <c r="S70" s="2"/>
      <c r="T70" s="2">
        <f>--14128.08</f>
        <v>14128.08</v>
      </c>
      <c r="U70" s="2"/>
      <c r="V70" s="19"/>
      <c r="W70" s="2"/>
      <c r="X70" s="2">
        <f t="shared" si="2"/>
        <v>-11539.98</v>
      </c>
      <c r="Y70" s="2"/>
      <c r="Z70" s="19">
        <f t="shared" si="3"/>
        <v>-0.81681162620823211</v>
      </c>
    </row>
    <row r="71" spans="1:26" s="23" customFormat="1" hidden="1" outlineLevel="1" x14ac:dyDescent="0.25">
      <c r="A71" s="44"/>
      <c r="B71" s="10" t="str">
        <f>CONCATENATE("          ", "4143", " - ", "NON-TAXABLE SALES-CARDS")</f>
        <v xml:space="preserve">          4143 - NON-TAXABLE SALES-CARDS</v>
      </c>
      <c r="C71" s="10"/>
      <c r="D71" s="2">
        <f>--49.97</f>
        <v>49.97</v>
      </c>
      <c r="E71" s="2"/>
      <c r="F71" s="19"/>
      <c r="G71" s="2"/>
      <c r="H71" s="2">
        <f>-9.99</f>
        <v>-9.99</v>
      </c>
      <c r="I71" s="2"/>
      <c r="J71" s="19"/>
      <c r="K71" s="2"/>
      <c r="L71" s="2">
        <f t="shared" si="0"/>
        <v>59.96</v>
      </c>
      <c r="M71" s="2"/>
      <c r="N71" s="19">
        <f t="shared" si="1"/>
        <v>-6.0020020020020022</v>
      </c>
      <c r="O71" s="10"/>
      <c r="P71" s="2">
        <f>--2431.45</f>
        <v>2431.4499999999998</v>
      </c>
      <c r="Q71" s="2"/>
      <c r="R71" s="19"/>
      <c r="S71" s="2"/>
      <c r="T71" s="2">
        <f>0</f>
        <v>0</v>
      </c>
      <c r="U71" s="2"/>
      <c r="V71" s="19"/>
      <c r="W71" s="2"/>
      <c r="X71" s="2">
        <f t="shared" si="2"/>
        <v>2431.4499999999998</v>
      </c>
      <c r="Y71" s="2"/>
      <c r="Z71" s="19">
        <f t="shared" si="3"/>
        <v>0</v>
      </c>
    </row>
    <row r="72" spans="1:26" s="23" customFormat="1" hidden="1" outlineLevel="1" x14ac:dyDescent="0.25">
      <c r="A72" s="44"/>
      <c r="B72" s="10" t="str">
        <f>CONCATENATE("          ", "4144", " - ", "NON-TAXABLE SALES-ACCESSORIES")</f>
        <v xml:space="preserve">          4144 - NON-TAXABLE SALES-ACCESSORIES</v>
      </c>
      <c r="C72" s="10"/>
      <c r="D72" s="2">
        <f>--29.85</f>
        <v>29.85</v>
      </c>
      <c r="E72" s="2"/>
      <c r="F72" s="19"/>
      <c r="G72" s="2"/>
      <c r="H72" s="2">
        <f>--299.4</f>
        <v>299.39999999999998</v>
      </c>
      <c r="I72" s="2"/>
      <c r="J72" s="19"/>
      <c r="K72" s="2"/>
      <c r="L72" s="2">
        <f t="shared" si="0"/>
        <v>-269.54999999999995</v>
      </c>
      <c r="M72" s="2"/>
      <c r="N72" s="19">
        <f t="shared" si="1"/>
        <v>-0.90030060120240474</v>
      </c>
      <c r="O72" s="10"/>
      <c r="P72" s="2">
        <f>--709.1</f>
        <v>709.1</v>
      </c>
      <c r="Q72" s="2"/>
      <c r="R72" s="19"/>
      <c r="S72" s="2"/>
      <c r="T72" s="2">
        <f>--2339.67</f>
        <v>2339.67</v>
      </c>
      <c r="U72" s="2"/>
      <c r="V72" s="19"/>
      <c r="W72" s="2"/>
      <c r="X72" s="2">
        <f t="shared" si="2"/>
        <v>-1630.5700000000002</v>
      </c>
      <c r="Y72" s="2"/>
      <c r="Z72" s="19">
        <f t="shared" si="3"/>
        <v>-0.69692307034752765</v>
      </c>
    </row>
    <row r="73" spans="1:26" s="23" customFormat="1" hidden="1" outlineLevel="1" x14ac:dyDescent="0.25">
      <c r="A73" s="44"/>
      <c r="B73" s="10" t="str">
        <f>CONCATENATE("          ", "4145", " - ", "NON-TAXABLE SALES-SPECIAL ORDE")</f>
        <v xml:space="preserve">          4145 - NON-TAXABLE SALES-SPECIAL ORDE</v>
      </c>
      <c r="C73" s="10"/>
      <c r="D73" s="2">
        <f>--20350.8</f>
        <v>20350.8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20350.8</v>
      </c>
      <c r="M73" s="2"/>
      <c r="N73" s="19">
        <f t="shared" si="1"/>
        <v>0</v>
      </c>
      <c r="O73" s="10"/>
      <c r="P73" s="2">
        <f>--74066.89</f>
        <v>74066.89</v>
      </c>
      <c r="Q73" s="2"/>
      <c r="R73" s="19"/>
      <c r="S73" s="2"/>
      <c r="T73" s="2">
        <f>--140</f>
        <v>140</v>
      </c>
      <c r="U73" s="2"/>
      <c r="V73" s="19"/>
      <c r="W73" s="2"/>
      <c r="X73" s="2">
        <f t="shared" si="2"/>
        <v>73926.89</v>
      </c>
      <c r="Y73" s="2"/>
      <c r="Z73" s="19">
        <f t="shared" si="3"/>
        <v>528.04921428571424</v>
      </c>
    </row>
    <row r="74" spans="1:26" s="23" customFormat="1" hidden="1" outlineLevel="1" x14ac:dyDescent="0.25">
      <c r="A74" s="44"/>
      <c r="B74" s="10" t="str">
        <f>CONCATENATE("          ", "4146", " - ", "NON-TAXABLE SALES-COIN OP MACH")</f>
        <v xml:space="preserve">          4146 - NON-TAXABLE SALES-COIN OP MACH</v>
      </c>
      <c r="C74" s="10"/>
      <c r="D74" s="2">
        <f>--30.2</f>
        <v>30.2</v>
      </c>
      <c r="E74" s="2"/>
      <c r="F74" s="19"/>
      <c r="G74" s="2"/>
      <c r="H74" s="2">
        <f>--121.7</f>
        <v>121.7</v>
      </c>
      <c r="I74" s="2"/>
      <c r="J74" s="19"/>
      <c r="K74" s="2"/>
      <c r="L74" s="2">
        <f t="shared" si="0"/>
        <v>-91.5</v>
      </c>
      <c r="M74" s="2"/>
      <c r="N74" s="19">
        <f t="shared" si="1"/>
        <v>-0.75184880854560387</v>
      </c>
      <c r="O74" s="10"/>
      <c r="P74" s="2">
        <f>--329.3</f>
        <v>329.3</v>
      </c>
      <c r="Q74" s="2"/>
      <c r="R74" s="19"/>
      <c r="S74" s="2"/>
      <c r="T74" s="2">
        <f>--205908.65</f>
        <v>205908.65</v>
      </c>
      <c r="U74" s="2"/>
      <c r="V74" s="19"/>
      <c r="W74" s="2"/>
      <c r="X74" s="2">
        <f t="shared" si="2"/>
        <v>-205579.35</v>
      </c>
      <c r="Y74" s="2"/>
      <c r="Z74" s="19">
        <f t="shared" si="3"/>
        <v>-0.99840074712742766</v>
      </c>
    </row>
    <row r="75" spans="1:26" s="23" customFormat="1" hidden="1" outlineLevel="1" x14ac:dyDescent="0.25">
      <c r="A75" s="44"/>
      <c r="B75" s="10" t="str">
        <f>CONCATENATE("          ", "4147", " - ", "NON-TAXABLE SALES-MISC")</f>
        <v xml:space="preserve">          4147 - NON-TAXABLE SALES-MISC</v>
      </c>
      <c r="C75" s="10"/>
      <c r="D75" s="2">
        <f>--11</f>
        <v>11</v>
      </c>
      <c r="E75" s="2"/>
      <c r="F75" s="19"/>
      <c r="G75" s="2"/>
      <c r="H75" s="2">
        <f>0</f>
        <v>0</v>
      </c>
      <c r="I75" s="2"/>
      <c r="J75" s="19"/>
      <c r="K75" s="2"/>
      <c r="L75" s="2">
        <f t="shared" si="0"/>
        <v>11</v>
      </c>
      <c r="M75" s="2"/>
      <c r="N75" s="19">
        <f t="shared" si="1"/>
        <v>0</v>
      </c>
      <c r="O75" s="10"/>
      <c r="P75" s="2">
        <f>--154.5</f>
        <v>154.5</v>
      </c>
      <c r="Q75" s="2"/>
      <c r="R75" s="19"/>
      <c r="S75" s="2"/>
      <c r="T75" s="2">
        <f>--3436.37</f>
        <v>3436.37</v>
      </c>
      <c r="U75" s="2"/>
      <c r="V75" s="19"/>
      <c r="W75" s="2"/>
      <c r="X75" s="2">
        <f t="shared" si="2"/>
        <v>-3281.87</v>
      </c>
      <c r="Y75" s="2"/>
      <c r="Z75" s="19">
        <f t="shared" si="3"/>
        <v>-0.95503976579937555</v>
      </c>
    </row>
    <row r="76" spans="1:26" s="23" customFormat="1" hidden="1" outlineLevel="1" x14ac:dyDescent="0.25">
      <c r="A76" s="44"/>
      <c r="B76" s="10" t="str">
        <f>CONCATENATE("          ", "4181", " - ", "NON-TAXABLE SALES-ELECTRONICS")</f>
        <v xml:space="preserve">          4181 - NON-TAXABLE SALES-ELECTRONICS</v>
      </c>
      <c r="C76" s="10"/>
      <c r="D76" s="2">
        <f>--29.99</f>
        <v>29.99</v>
      </c>
      <c r="E76" s="2"/>
      <c r="F76" s="19"/>
      <c r="G76" s="2"/>
      <c r="H76" s="2">
        <f>--154.96</f>
        <v>154.96</v>
      </c>
      <c r="I76" s="2"/>
      <c r="J76" s="19"/>
      <c r="K76" s="2"/>
      <c r="L76" s="2">
        <f t="shared" si="0"/>
        <v>-124.97000000000001</v>
      </c>
      <c r="M76" s="2"/>
      <c r="N76" s="19">
        <f t="shared" si="1"/>
        <v>-0.80646618482188959</v>
      </c>
      <c r="O76" s="10"/>
      <c r="P76" s="2">
        <f>--12508.62</f>
        <v>12508.62</v>
      </c>
      <c r="Q76" s="2"/>
      <c r="R76" s="19"/>
      <c r="S76" s="2"/>
      <c r="T76" s="2">
        <f>--2233.33</f>
        <v>2233.33</v>
      </c>
      <c r="U76" s="2"/>
      <c r="V76" s="19"/>
      <c r="W76" s="2"/>
      <c r="X76" s="2">
        <f t="shared" si="2"/>
        <v>10275.290000000001</v>
      </c>
      <c r="Y76" s="2"/>
      <c r="Z76" s="19">
        <f t="shared" si="3"/>
        <v>4.6008829863925174</v>
      </c>
    </row>
    <row r="77" spans="1:26" s="23" customFormat="1" hidden="1" outlineLevel="1" x14ac:dyDescent="0.25">
      <c r="A77" s="44"/>
      <c r="B77" s="10" t="str">
        <f>CONCATENATE("          ", "4182", " - ", "NON-TAXABLE SALES-COMPUTER HAR")</f>
        <v xml:space="preserve">          4182 - NON-TAXABLE SALES-COMPUTER HAR</v>
      </c>
      <c r="C77" s="10"/>
      <c r="D77" s="2">
        <f>--61075.64</f>
        <v>61075.64</v>
      </c>
      <c r="E77" s="2"/>
      <c r="F77" s="19"/>
      <c r="G77" s="2"/>
      <c r="H77" s="2">
        <f>--30055.98</f>
        <v>30055.98</v>
      </c>
      <c r="I77" s="2"/>
      <c r="J77" s="19"/>
      <c r="K77" s="2"/>
      <c r="L77" s="2">
        <f t="shared" si="0"/>
        <v>31019.66</v>
      </c>
      <c r="M77" s="2"/>
      <c r="N77" s="19">
        <f t="shared" si="1"/>
        <v>1.0320628374120557</v>
      </c>
      <c r="O77" s="10"/>
      <c r="P77" s="2">
        <f>--314490.47</f>
        <v>314490.46999999997</v>
      </c>
      <c r="Q77" s="2"/>
      <c r="R77" s="19"/>
      <c r="S77" s="2"/>
      <c r="T77" s="2">
        <f>--148066.94</f>
        <v>148066.94</v>
      </c>
      <c r="U77" s="2"/>
      <c r="V77" s="19"/>
      <c r="W77" s="2"/>
      <c r="X77" s="2">
        <f t="shared" si="2"/>
        <v>166423.52999999997</v>
      </c>
      <c r="Y77" s="2"/>
      <c r="Z77" s="19">
        <f t="shared" si="3"/>
        <v>1.1239749399832262</v>
      </c>
    </row>
    <row r="78" spans="1:26" s="23" customFormat="1" hidden="1" outlineLevel="1" x14ac:dyDescent="0.25">
      <c r="A78" s="44"/>
      <c r="B78" s="10" t="str">
        <f>CONCATENATE("          ", "4183", " - ", "NON-TAXABLE SALES-COMPUTER EQU")</f>
        <v xml:space="preserve">          4183 - NON-TAXABLE SALES-COMPUTER EQU</v>
      </c>
      <c r="C78" s="10"/>
      <c r="D78" s="2">
        <f>--2879.59</f>
        <v>2879.59</v>
      </c>
      <c r="E78" s="2"/>
      <c r="F78" s="19"/>
      <c r="G78" s="2"/>
      <c r="H78" s="2">
        <f>--2769.8</f>
        <v>2769.8</v>
      </c>
      <c r="I78" s="2"/>
      <c r="J78" s="19"/>
      <c r="K78" s="2"/>
      <c r="L78" s="2">
        <f t="shared" si="0"/>
        <v>109.78999999999996</v>
      </c>
      <c r="M78" s="2"/>
      <c r="N78" s="19">
        <f t="shared" si="1"/>
        <v>3.9638241028233066E-2</v>
      </c>
      <c r="O78" s="10"/>
      <c r="P78" s="2">
        <f>--19486.02</f>
        <v>19486.02</v>
      </c>
      <c r="Q78" s="2"/>
      <c r="R78" s="19"/>
      <c r="S78" s="2"/>
      <c r="T78" s="2">
        <f>--9532.02</f>
        <v>9532.02</v>
      </c>
      <c r="U78" s="2"/>
      <c r="V78" s="19"/>
      <c r="W78" s="2"/>
      <c r="X78" s="2">
        <f t="shared" si="2"/>
        <v>9954</v>
      </c>
      <c r="Y78" s="2"/>
      <c r="Z78" s="19">
        <f t="shared" si="3"/>
        <v>1.0442697350614034</v>
      </c>
    </row>
    <row r="79" spans="1:26" s="23" customFormat="1" hidden="1" outlineLevel="1" x14ac:dyDescent="0.25">
      <c r="A79" s="44"/>
      <c r="B79" s="10" t="str">
        <f>CONCATENATE("          ", "4184", " - ", "NON-TAXABLE SALES-SOFTWARE LIC")</f>
        <v xml:space="preserve">          4184 - NON-TAXABLE SALES-SOFTWARE LIC</v>
      </c>
      <c r="C79" s="10"/>
      <c r="D79" s="2">
        <f>0</f>
        <v>0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0"/>
      <c r="P79" s="2">
        <f>0</f>
        <v>0</v>
      </c>
      <c r="Q79" s="2"/>
      <c r="R79" s="19"/>
      <c r="S79" s="2"/>
      <c r="T79" s="2">
        <f>--2728</f>
        <v>2728</v>
      </c>
      <c r="U79" s="2"/>
      <c r="V79" s="19"/>
      <c r="W79" s="2"/>
      <c r="X79" s="2">
        <f t="shared" si="2"/>
        <v>-2728</v>
      </c>
      <c r="Y79" s="2"/>
      <c r="Z79" s="19">
        <f t="shared" si="3"/>
        <v>-1</v>
      </c>
    </row>
    <row r="80" spans="1:26" s="23" customFormat="1" hidden="1" outlineLevel="1" x14ac:dyDescent="0.25">
      <c r="A80" s="44"/>
      <c r="B80" s="10" t="str">
        <f>CONCATENATE("          ", "4185", " - ", "NON-TAXABLE SALES-SOFTWARE")</f>
        <v xml:space="preserve">          4185 - NON-TAXABLE SALES-SOFTWARE</v>
      </c>
      <c r="C80" s="10"/>
      <c r="D80" s="2">
        <f>--11345.61</f>
        <v>11345.61</v>
      </c>
      <c r="E80" s="2"/>
      <c r="F80" s="19"/>
      <c r="G80" s="2"/>
      <c r="H80" s="2">
        <f>--3224.87</f>
        <v>3224.87</v>
      </c>
      <c r="I80" s="2"/>
      <c r="J80" s="19"/>
      <c r="K80" s="2"/>
      <c r="L80" s="2">
        <f t="shared" si="0"/>
        <v>8120.7400000000007</v>
      </c>
      <c r="M80" s="2"/>
      <c r="N80" s="19">
        <f t="shared" si="1"/>
        <v>2.5181604219704985</v>
      </c>
      <c r="O80" s="10"/>
      <c r="P80" s="2">
        <f>--50032.39</f>
        <v>50032.39</v>
      </c>
      <c r="Q80" s="2"/>
      <c r="R80" s="19"/>
      <c r="S80" s="2"/>
      <c r="T80" s="2">
        <f>--16347.61</f>
        <v>16347.61</v>
      </c>
      <c r="U80" s="2"/>
      <c r="V80" s="19"/>
      <c r="W80" s="2"/>
      <c r="X80" s="2">
        <f t="shared" si="2"/>
        <v>33684.78</v>
      </c>
      <c r="Y80" s="2"/>
      <c r="Z80" s="19">
        <f t="shared" si="3"/>
        <v>2.0605323958670412</v>
      </c>
    </row>
    <row r="81" spans="1:26" s="23" customFormat="1" hidden="1" outlineLevel="1" x14ac:dyDescent="0.25">
      <c r="A81" s="44"/>
      <c r="B81" s="10" t="str">
        <f>CONCATENATE("          ", "4186", " - ", "NON-TAXABLE SALES-COMPUTER SUP")</f>
        <v xml:space="preserve">          4186 - NON-TAXABLE SALES-COMPUTER SUP</v>
      </c>
      <c r="C81" s="10"/>
      <c r="D81" s="2">
        <f>--89.97</f>
        <v>89.97</v>
      </c>
      <c r="E81" s="2"/>
      <c r="F81" s="19"/>
      <c r="G81" s="2"/>
      <c r="H81" s="2">
        <f>--189.97</f>
        <v>189.97</v>
      </c>
      <c r="I81" s="2"/>
      <c r="J81" s="19"/>
      <c r="K81" s="2"/>
      <c r="L81" s="2">
        <f t="shared" si="0"/>
        <v>-100</v>
      </c>
      <c r="M81" s="2"/>
      <c r="N81" s="19">
        <f t="shared" si="1"/>
        <v>-0.52639890509027742</v>
      </c>
      <c r="O81" s="10"/>
      <c r="P81" s="2">
        <f>--3345.17</f>
        <v>3345.17</v>
      </c>
      <c r="Q81" s="2"/>
      <c r="R81" s="19"/>
      <c r="S81" s="2"/>
      <c r="T81" s="2">
        <f>--2809.16</f>
        <v>2809.16</v>
      </c>
      <c r="U81" s="2"/>
      <c r="V81" s="19"/>
      <c r="W81" s="2"/>
      <c r="X81" s="2">
        <f t="shared" si="2"/>
        <v>536.01000000000022</v>
      </c>
      <c r="Y81" s="2"/>
      <c r="Z81" s="19">
        <f t="shared" si="3"/>
        <v>0.19080792834868796</v>
      </c>
    </row>
    <row r="82" spans="1:26" s="23" customFormat="1" hidden="1" outlineLevel="1" x14ac:dyDescent="0.25">
      <c r="A82" s="44"/>
      <c r="B82" s="10" t="str">
        <f>CONCATENATE("          ", "4188", " - ", "NON-TAXABLE SALES-MUSIC")</f>
        <v xml:space="preserve">          4188 - NON-TAXABLE SALES-MUSIC</v>
      </c>
      <c r="C82" s="10"/>
      <c r="D82" s="2">
        <f>0</f>
        <v>0</v>
      </c>
      <c r="E82" s="2"/>
      <c r="F82" s="19"/>
      <c r="G82" s="2"/>
      <c r="H82" s="2">
        <f>0</f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0"/>
      <c r="P82" s="2">
        <f>0</f>
        <v>0</v>
      </c>
      <c r="Q82" s="2"/>
      <c r="R82" s="19"/>
      <c r="S82" s="2"/>
      <c r="T82" s="2">
        <f>--219.96</f>
        <v>219.96</v>
      </c>
      <c r="U82" s="2"/>
      <c r="V82" s="19"/>
      <c r="W82" s="2"/>
      <c r="X82" s="2">
        <f t="shared" si="2"/>
        <v>-219.96</v>
      </c>
      <c r="Y82" s="2"/>
      <c r="Z82" s="19">
        <f t="shared" si="3"/>
        <v>-1</v>
      </c>
    </row>
    <row r="83" spans="1:26" s="23" customFormat="1" hidden="1" outlineLevel="1" x14ac:dyDescent="0.25">
      <c r="A83" s="44"/>
      <c r="B83" s="10" t="str">
        <f>CONCATENATE("          ", "4201", " - ", "SALES RETURN TAXABLE-NEW TEXT")</f>
        <v xml:space="preserve">          4201 - SALES RETURN TAXABLE-NEW TEXT</v>
      </c>
      <c r="C83" s="10"/>
      <c r="D83" s="2">
        <f>-376.85</f>
        <v>-376.85</v>
      </c>
      <c r="E83" s="2"/>
      <c r="F83" s="19"/>
      <c r="G83" s="2"/>
      <c r="H83" s="2">
        <f>-62.3</f>
        <v>-62.3</v>
      </c>
      <c r="I83" s="2"/>
      <c r="J83" s="19"/>
      <c r="K83" s="2"/>
      <c r="L83" s="2">
        <f t="shared" si="0"/>
        <v>-314.55</v>
      </c>
      <c r="M83" s="2"/>
      <c r="N83" s="19">
        <f t="shared" si="1"/>
        <v>5.048956661316212</v>
      </c>
      <c r="O83" s="10"/>
      <c r="P83" s="2">
        <f>-51638.02</f>
        <v>-51638.02</v>
      </c>
      <c r="Q83" s="2"/>
      <c r="R83" s="19"/>
      <c r="S83" s="2"/>
      <c r="T83" s="2">
        <f>-121223.01</f>
        <v>-121223.01</v>
      </c>
      <c r="U83" s="2"/>
      <c r="V83" s="19"/>
      <c r="W83" s="2"/>
      <c r="X83" s="2">
        <f t="shared" si="2"/>
        <v>69584.989999999991</v>
      </c>
      <c r="Y83" s="2"/>
      <c r="Z83" s="19">
        <f t="shared" si="3"/>
        <v>-0.57402460143499157</v>
      </c>
    </row>
    <row r="84" spans="1:26" s="23" customFormat="1" hidden="1" outlineLevel="1" x14ac:dyDescent="0.25">
      <c r="A84" s="44"/>
      <c r="B84" s="10" t="str">
        <f>CONCATENATE("          ", "4202", " - ", "SALES RETURN TAXABLE-USED TEXT")</f>
        <v xml:space="preserve">          4202 - SALES RETURN TAXABLE-USED TEXT</v>
      </c>
      <c r="C84" s="10"/>
      <c r="D84" s="2">
        <f>-206.95</f>
        <v>-206.95</v>
      </c>
      <c r="E84" s="2"/>
      <c r="F84" s="19"/>
      <c r="G84" s="2"/>
      <c r="H84" s="2">
        <f>-31.95</f>
        <v>-31.95</v>
      </c>
      <c r="I84" s="2"/>
      <c r="J84" s="19"/>
      <c r="K84" s="2"/>
      <c r="L84" s="2">
        <f t="shared" si="0"/>
        <v>-175</v>
      </c>
      <c r="M84" s="2"/>
      <c r="N84" s="19">
        <f t="shared" si="1"/>
        <v>5.4773082942097027</v>
      </c>
      <c r="O84" s="10"/>
      <c r="P84" s="2">
        <f>-20096.26</f>
        <v>-20096.259999999998</v>
      </c>
      <c r="Q84" s="2"/>
      <c r="R84" s="19"/>
      <c r="S84" s="2"/>
      <c r="T84" s="2">
        <f>-45552.71</f>
        <v>-45552.71</v>
      </c>
      <c r="U84" s="2"/>
      <c r="V84" s="19"/>
      <c r="W84" s="2"/>
      <c r="X84" s="2">
        <f t="shared" si="2"/>
        <v>25456.45</v>
      </c>
      <c r="Y84" s="2"/>
      <c r="Z84" s="19">
        <f t="shared" si="3"/>
        <v>-0.55883502869532897</v>
      </c>
    </row>
    <row r="85" spans="1:26" s="23" customFormat="1" hidden="1" outlineLevel="1" x14ac:dyDescent="0.25">
      <c r="A85" s="44"/>
      <c r="B85" s="10" t="str">
        <f>CONCATENATE("          ", "4203", " - ", "SALES RETURN TAXABLE-RENTAL TE")</f>
        <v xml:space="preserve">          4203 - SALES RETURN TAXABLE-RENTAL TE</v>
      </c>
      <c r="C85" s="10"/>
      <c r="D85" s="2">
        <f t="shared" ref="D85:D92" si="18">0</f>
        <v>0</v>
      </c>
      <c r="E85" s="2"/>
      <c r="F85" s="19"/>
      <c r="G85" s="2"/>
      <c r="H85" s="2">
        <f t="shared" ref="H85:H86" si="19"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0"/>
      <c r="P85" s="2">
        <f>0</f>
        <v>0</v>
      </c>
      <c r="Q85" s="2"/>
      <c r="R85" s="19"/>
      <c r="S85" s="2"/>
      <c r="T85" s="2">
        <f>-144.99</f>
        <v>-144.99</v>
      </c>
      <c r="U85" s="2"/>
      <c r="V85" s="19"/>
      <c r="W85" s="2"/>
      <c r="X85" s="2">
        <f t="shared" si="2"/>
        <v>144.99</v>
      </c>
      <c r="Y85" s="2"/>
      <c r="Z85" s="19">
        <f t="shared" si="3"/>
        <v>-1</v>
      </c>
    </row>
    <row r="86" spans="1:26" s="23" customFormat="1" hidden="1" outlineLevel="1" x14ac:dyDescent="0.25">
      <c r="A86" s="44"/>
      <c r="B86" s="10" t="str">
        <f>CONCATENATE("          ", "4204", " - ", "SALES RETURN TAXABLE-DIGITAL T")</f>
        <v xml:space="preserve">          4204 - SALES RETURN TAXABLE-DIGITAL T</v>
      </c>
      <c r="C86" s="10"/>
      <c r="D86" s="2">
        <f t="shared" si="18"/>
        <v>0</v>
      </c>
      <c r="E86" s="2"/>
      <c r="F86" s="19"/>
      <c r="G86" s="2"/>
      <c r="H86" s="2">
        <f t="shared" si="19"/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0"/>
      <c r="P86" s="2">
        <f>-1763.1</f>
        <v>-1763.1</v>
      </c>
      <c r="Q86" s="2"/>
      <c r="R86" s="19"/>
      <c r="S86" s="2"/>
      <c r="T86" s="2">
        <f>-17255.33</f>
        <v>-17255.330000000002</v>
      </c>
      <c r="U86" s="2"/>
      <c r="V86" s="19"/>
      <c r="W86" s="2"/>
      <c r="X86" s="2">
        <f t="shared" si="2"/>
        <v>15492.230000000001</v>
      </c>
      <c r="Y86" s="2"/>
      <c r="Z86" s="19">
        <f t="shared" si="3"/>
        <v>-0.89782287559843832</v>
      </c>
    </row>
    <row r="87" spans="1:26" s="23" customFormat="1" hidden="1" outlineLevel="1" x14ac:dyDescent="0.25">
      <c r="A87" s="44"/>
      <c r="B87" s="10" t="str">
        <f>CONCATENATE("          ", "4213", " - ", "NON-TAXABLE SALES-TRADE BOOKS")</f>
        <v xml:space="preserve">          4213 - NON-TAXABLE SALES-TRADE BOOKS</v>
      </c>
      <c r="C87" s="10"/>
      <c r="D87" s="2">
        <f t="shared" si="18"/>
        <v>0</v>
      </c>
      <c r="E87" s="2"/>
      <c r="F87" s="19"/>
      <c r="G87" s="2"/>
      <c r="H87" s="2">
        <f>-2173.76</f>
        <v>-2173.7600000000002</v>
      </c>
      <c r="I87" s="2"/>
      <c r="J87" s="19"/>
      <c r="K87" s="2"/>
      <c r="L87" s="2">
        <f t="shared" si="0"/>
        <v>2173.7600000000002</v>
      </c>
      <c r="M87" s="2"/>
      <c r="N87" s="19">
        <f t="shared" si="1"/>
        <v>-1</v>
      </c>
      <c r="O87" s="10"/>
      <c r="P87" s="2">
        <f>-69.93</f>
        <v>-69.930000000000007</v>
      </c>
      <c r="Q87" s="2"/>
      <c r="R87" s="19"/>
      <c r="S87" s="2"/>
      <c r="T87" s="2">
        <f>-2768.67</f>
        <v>-2768.67</v>
      </c>
      <c r="U87" s="2"/>
      <c r="V87" s="19"/>
      <c r="W87" s="2"/>
      <c r="X87" s="2">
        <f t="shared" si="2"/>
        <v>2698.7400000000002</v>
      </c>
      <c r="Y87" s="2"/>
      <c r="Z87" s="19">
        <f t="shared" si="3"/>
        <v>-0.97474238533303004</v>
      </c>
    </row>
    <row r="88" spans="1:26" s="23" customFormat="1" hidden="1" outlineLevel="1" x14ac:dyDescent="0.25">
      <c r="A88" s="44"/>
      <c r="B88" s="10" t="str">
        <f>CONCATENATE("          ", "4214", " - ", "SALES RETURN TAXABLE-REMAINDER")</f>
        <v xml:space="preserve">          4214 - SALES RETURN TAXABLE-REMAINDER</v>
      </c>
      <c r="C88" s="10"/>
      <c r="D88" s="2">
        <f t="shared" si="18"/>
        <v>0</v>
      </c>
      <c r="E88" s="2"/>
      <c r="F88" s="19"/>
      <c r="G88" s="2"/>
      <c r="H88" s="2">
        <f t="shared" ref="H88:H95" si="20">0</f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0"/>
      <c r="P88" s="2">
        <f t="shared" ref="P88:P89" si="21">0</f>
        <v>0</v>
      </c>
      <c r="Q88" s="2"/>
      <c r="R88" s="19"/>
      <c r="S88" s="2"/>
      <c r="T88" s="2">
        <f>-11.94</f>
        <v>-11.94</v>
      </c>
      <c r="U88" s="2"/>
      <c r="V88" s="19"/>
      <c r="W88" s="2"/>
      <c r="X88" s="2">
        <f t="shared" si="2"/>
        <v>11.94</v>
      </c>
      <c r="Y88" s="2"/>
      <c r="Z88" s="19">
        <f t="shared" si="3"/>
        <v>-1</v>
      </c>
    </row>
    <row r="89" spans="1:26" s="23" customFormat="1" hidden="1" outlineLevel="1" x14ac:dyDescent="0.25">
      <c r="A89" s="44"/>
      <c r="B89" s="10" t="str">
        <f>CONCATENATE("          ", "4217", " - ", "NON-TAXABLE SALES-DORM/HOUSEWA")</f>
        <v xml:space="preserve">          4217 - NON-TAXABLE SALES-DORM/HOUSEWA</v>
      </c>
      <c r="C89" s="10"/>
      <c r="D89" s="2">
        <f t="shared" si="18"/>
        <v>0</v>
      </c>
      <c r="E89" s="2"/>
      <c r="F89" s="19"/>
      <c r="G89" s="2"/>
      <c r="H89" s="2">
        <f t="shared" si="20"/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0"/>
      <c r="P89" s="2">
        <f t="shared" si="21"/>
        <v>0</v>
      </c>
      <c r="Q89" s="2"/>
      <c r="R89" s="19"/>
      <c r="S89" s="2"/>
      <c r="T89" s="2">
        <f>-2.98</f>
        <v>-2.98</v>
      </c>
      <c r="U89" s="2"/>
      <c r="V89" s="19"/>
      <c r="W89" s="2"/>
      <c r="X89" s="2">
        <f t="shared" si="2"/>
        <v>2.98</v>
      </c>
      <c r="Y89" s="2"/>
      <c r="Z89" s="19">
        <f t="shared" si="3"/>
        <v>-1</v>
      </c>
    </row>
    <row r="90" spans="1:26" s="23" customFormat="1" hidden="1" outlineLevel="1" x14ac:dyDescent="0.25">
      <c r="A90" s="44"/>
      <c r="B90" s="10" t="str">
        <f>CONCATENATE("          ", "4218", " - ", "SALES RETURN TAXABLE-STUDY GUI")</f>
        <v xml:space="preserve">          4218 - SALES RETURN TAXABLE-STUDY GUI</v>
      </c>
      <c r="C90" s="10"/>
      <c r="D90" s="2">
        <f t="shared" si="18"/>
        <v>0</v>
      </c>
      <c r="E90" s="2"/>
      <c r="F90" s="19"/>
      <c r="G90" s="2"/>
      <c r="H90" s="2">
        <f t="shared" si="20"/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0"/>
      <c r="P90" s="2">
        <f>-5.21</f>
        <v>-5.21</v>
      </c>
      <c r="Q90" s="2"/>
      <c r="R90" s="19"/>
      <c r="S90" s="2"/>
      <c r="T90" s="2">
        <f>-39.25</f>
        <v>-39.25</v>
      </c>
      <c r="U90" s="2"/>
      <c r="V90" s="19"/>
      <c r="W90" s="2"/>
      <c r="X90" s="2">
        <f t="shared" si="2"/>
        <v>34.04</v>
      </c>
      <c r="Y90" s="2"/>
      <c r="Z90" s="19">
        <f t="shared" si="3"/>
        <v>-0.86726114649681529</v>
      </c>
    </row>
    <row r="91" spans="1:26" s="23" customFormat="1" hidden="1" outlineLevel="1" x14ac:dyDescent="0.25">
      <c r="A91" s="44"/>
      <c r="B91" s="10" t="str">
        <f>CONCATENATE("          ", "4225", " - ", "SALES RETURN TAXABLE-TEST FORM")</f>
        <v xml:space="preserve">          4225 - SALES RETURN TAXABLE-TEST FORM</v>
      </c>
      <c r="C91" s="10"/>
      <c r="D91" s="2">
        <f t="shared" si="18"/>
        <v>0</v>
      </c>
      <c r="E91" s="2"/>
      <c r="F91" s="19"/>
      <c r="G91" s="2"/>
      <c r="H91" s="2">
        <f t="shared" si="20"/>
        <v>0</v>
      </c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0"/>
      <c r="P91" s="2">
        <f>0</f>
        <v>0</v>
      </c>
      <c r="Q91" s="2"/>
      <c r="R91" s="19"/>
      <c r="S91" s="2"/>
      <c r="T91" s="2">
        <f>-176.41</f>
        <v>-176.41</v>
      </c>
      <c r="U91" s="2"/>
      <c r="V91" s="19"/>
      <c r="W91" s="2"/>
      <c r="X91" s="2">
        <f t="shared" si="2"/>
        <v>176.41</v>
      </c>
      <c r="Y91" s="2"/>
      <c r="Z91" s="19">
        <f t="shared" si="3"/>
        <v>-1</v>
      </c>
    </row>
    <row r="92" spans="1:26" s="23" customFormat="1" hidden="1" outlineLevel="1" x14ac:dyDescent="0.25">
      <c r="A92" s="44"/>
      <c r="B92" s="10" t="str">
        <f>CONCATENATE("          ", "4226", " - ", "SALES RETURN TAXABLE-WRITING I")</f>
        <v xml:space="preserve">          4226 - SALES RETURN TAXABLE-WRITING I</v>
      </c>
      <c r="C92" s="10"/>
      <c r="D92" s="2">
        <f t="shared" si="18"/>
        <v>0</v>
      </c>
      <c r="E92" s="2"/>
      <c r="F92" s="19"/>
      <c r="G92" s="2"/>
      <c r="H92" s="2">
        <f t="shared" si="20"/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0"/>
      <c r="P92" s="2">
        <f>-34.23</f>
        <v>-34.229999999999997</v>
      </c>
      <c r="Q92" s="2"/>
      <c r="R92" s="19"/>
      <c r="S92" s="2"/>
      <c r="T92" s="2">
        <f>-765.04</f>
        <v>-765.04</v>
      </c>
      <c r="U92" s="2"/>
      <c r="V92" s="19"/>
      <c r="W92" s="2"/>
      <c r="X92" s="2">
        <f t="shared" si="2"/>
        <v>730.81</v>
      </c>
      <c r="Y92" s="2"/>
      <c r="Z92" s="19">
        <f t="shared" si="3"/>
        <v>-0.95525724145142732</v>
      </c>
    </row>
    <row r="93" spans="1:26" s="23" customFormat="1" hidden="1" outlineLevel="1" x14ac:dyDescent="0.25">
      <c r="A93" s="44"/>
      <c r="B93" s="10" t="str">
        <f>CONCATENATE("          ", "4227", " - ", "SALES RETURN TAXABLE-SCHOOL SU")</f>
        <v xml:space="preserve">          4227 - SALES RETURN TAXABLE-SCHOOL SU</v>
      </c>
      <c r="C93" s="10"/>
      <c r="D93" s="2">
        <f>-500.54</f>
        <v>-500.54</v>
      </c>
      <c r="E93" s="2"/>
      <c r="F93" s="19"/>
      <c r="G93" s="2"/>
      <c r="H93" s="2">
        <f t="shared" si="20"/>
        <v>0</v>
      </c>
      <c r="I93" s="2"/>
      <c r="J93" s="19"/>
      <c r="K93" s="2"/>
      <c r="L93" s="2">
        <f t="shared" si="0"/>
        <v>-500.54</v>
      </c>
      <c r="M93" s="2"/>
      <c r="N93" s="19">
        <f t="shared" si="1"/>
        <v>0</v>
      </c>
      <c r="O93" s="10"/>
      <c r="P93" s="2">
        <f>-1346.66</f>
        <v>-1346.66</v>
      </c>
      <c r="Q93" s="2"/>
      <c r="R93" s="19"/>
      <c r="S93" s="2"/>
      <c r="T93" s="2">
        <f>-8593.61</f>
        <v>-8593.61</v>
      </c>
      <c r="U93" s="2"/>
      <c r="V93" s="19"/>
      <c r="W93" s="2"/>
      <c r="X93" s="2">
        <f t="shared" si="2"/>
        <v>7246.9500000000007</v>
      </c>
      <c r="Y93" s="2"/>
      <c r="Z93" s="19">
        <f t="shared" si="3"/>
        <v>-0.8432951925907739</v>
      </c>
    </row>
    <row r="94" spans="1:26" s="23" customFormat="1" hidden="1" outlineLevel="1" x14ac:dyDescent="0.25">
      <c r="A94" s="44"/>
      <c r="B94" s="10" t="str">
        <f>CONCATENATE("          ", "4228", " - ", "SALES RETURN TAXABLE-ART/TECH")</f>
        <v xml:space="preserve">          4228 - SALES RETURN TAXABLE-ART/TECH</v>
      </c>
      <c r="C94" s="10"/>
      <c r="D94" s="2">
        <f>-136.11</f>
        <v>-136.11000000000001</v>
      </c>
      <c r="E94" s="2"/>
      <c r="F94" s="19"/>
      <c r="G94" s="2"/>
      <c r="H94" s="2">
        <f t="shared" si="20"/>
        <v>0</v>
      </c>
      <c r="I94" s="2"/>
      <c r="J94" s="19"/>
      <c r="K94" s="2"/>
      <c r="L94" s="2">
        <f t="shared" si="0"/>
        <v>-136.11000000000001</v>
      </c>
      <c r="M94" s="2"/>
      <c r="N94" s="19">
        <f t="shared" si="1"/>
        <v>0</v>
      </c>
      <c r="O94" s="10"/>
      <c r="P94" s="2">
        <f>-12973.73</f>
        <v>-12973.73</v>
      </c>
      <c r="Q94" s="2"/>
      <c r="R94" s="19"/>
      <c r="S94" s="2"/>
      <c r="T94" s="2">
        <f>-4739.1</f>
        <v>-4739.1000000000004</v>
      </c>
      <c r="U94" s="2"/>
      <c r="V94" s="19"/>
      <c r="W94" s="2"/>
      <c r="X94" s="2">
        <f t="shared" si="2"/>
        <v>-8234.6299999999992</v>
      </c>
      <c r="Y94" s="2"/>
      <c r="Z94" s="19">
        <f t="shared" si="3"/>
        <v>1.7375936359224322</v>
      </c>
    </row>
    <row r="95" spans="1:26" s="23" customFormat="1" hidden="1" outlineLevel="1" x14ac:dyDescent="0.25">
      <c r="A95" s="44"/>
      <c r="B95" s="10" t="str">
        <f>CONCATENATE("          ", "4233", " - ", "SALES RETURN TAXABLE-CANDY")</f>
        <v xml:space="preserve">          4233 - SALES RETURN TAXABLE-CANDY</v>
      </c>
      <c r="C95" s="10"/>
      <c r="D95" s="2">
        <f>0</f>
        <v>0</v>
      </c>
      <c r="E95" s="2"/>
      <c r="F95" s="19"/>
      <c r="G95" s="2"/>
      <c r="H95" s="2">
        <f t="shared" si="20"/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0"/>
      <c r="P95" s="2">
        <f>0</f>
        <v>0</v>
      </c>
      <c r="Q95" s="2"/>
      <c r="R95" s="19"/>
      <c r="S95" s="2"/>
      <c r="T95" s="2">
        <f>-8.25</f>
        <v>-8.25</v>
      </c>
      <c r="U95" s="2"/>
      <c r="V95" s="19"/>
      <c r="W95" s="2"/>
      <c r="X95" s="2">
        <f t="shared" si="2"/>
        <v>8.25</v>
      </c>
      <c r="Y95" s="2"/>
      <c r="Z95" s="19">
        <f t="shared" si="3"/>
        <v>-1</v>
      </c>
    </row>
    <row r="96" spans="1:26" s="23" customFormat="1" hidden="1" outlineLevel="1" x14ac:dyDescent="0.25">
      <c r="A96" s="44"/>
      <c r="B96" s="10" t="str">
        <f>CONCATENATE("          ", "4240", " - ", "SALES RETURN TAXABLE-LOGO CLOT")</f>
        <v xml:space="preserve">          4240 - SALES RETURN TAXABLE-LOGO CLOT</v>
      </c>
      <c r="C96" s="10"/>
      <c r="D96" s="2">
        <f>-5611.92</f>
        <v>-5611.92</v>
      </c>
      <c r="E96" s="2"/>
      <c r="F96" s="19"/>
      <c r="G96" s="2"/>
      <c r="H96" s="2">
        <f>-1642.96</f>
        <v>-1642.96</v>
      </c>
      <c r="I96" s="2"/>
      <c r="J96" s="19"/>
      <c r="K96" s="2"/>
      <c r="L96" s="2">
        <f t="shared" si="0"/>
        <v>-3968.96</v>
      </c>
      <c r="M96" s="2"/>
      <c r="N96" s="19">
        <f t="shared" si="1"/>
        <v>2.4157374494814237</v>
      </c>
      <c r="O96" s="10"/>
      <c r="P96" s="2">
        <f>-40666.27</f>
        <v>-40666.269999999997</v>
      </c>
      <c r="Q96" s="2"/>
      <c r="R96" s="19"/>
      <c r="S96" s="2"/>
      <c r="T96" s="2">
        <f>-74455.19</f>
        <v>-74455.19</v>
      </c>
      <c r="U96" s="2"/>
      <c r="V96" s="19"/>
      <c r="W96" s="2"/>
      <c r="X96" s="2">
        <f t="shared" si="2"/>
        <v>33788.920000000006</v>
      </c>
      <c r="Y96" s="2"/>
      <c r="Z96" s="19">
        <f t="shared" si="3"/>
        <v>-0.45381550970456197</v>
      </c>
    </row>
    <row r="97" spans="1:26" s="23" customFormat="1" hidden="1" outlineLevel="1" x14ac:dyDescent="0.25">
      <c r="A97" s="44"/>
      <c r="B97" s="10" t="str">
        <f>CONCATENATE("          ", "4241", " - ", "SALES RETURN TAXABLE-LOGO GIFT")</f>
        <v xml:space="preserve">          4241 - SALES RETURN TAXABLE-LOGO GIFT</v>
      </c>
      <c r="C97" s="10"/>
      <c r="D97" s="2">
        <f>-5656.91</f>
        <v>-5656.91</v>
      </c>
      <c r="E97" s="2"/>
      <c r="F97" s="19"/>
      <c r="G97" s="2"/>
      <c r="H97" s="2">
        <f>-190.5</f>
        <v>-190.5</v>
      </c>
      <c r="I97" s="2"/>
      <c r="J97" s="19"/>
      <c r="K97" s="2"/>
      <c r="L97" s="2">
        <f t="shared" si="0"/>
        <v>-5466.41</v>
      </c>
      <c r="M97" s="2"/>
      <c r="N97" s="19">
        <f t="shared" si="1"/>
        <v>28.695065616797901</v>
      </c>
      <c r="O97" s="10"/>
      <c r="P97" s="2">
        <f>-12175.25</f>
        <v>-12175.25</v>
      </c>
      <c r="Q97" s="2"/>
      <c r="R97" s="19"/>
      <c r="S97" s="2"/>
      <c r="T97" s="2">
        <f>-6331.88</f>
        <v>-6331.88</v>
      </c>
      <c r="U97" s="2"/>
      <c r="V97" s="19"/>
      <c r="W97" s="2"/>
      <c r="X97" s="2">
        <f t="shared" si="2"/>
        <v>-5843.37</v>
      </c>
      <c r="Y97" s="2"/>
      <c r="Z97" s="19">
        <f t="shared" si="3"/>
        <v>0.92284913801272284</v>
      </c>
    </row>
    <row r="98" spans="1:26" s="23" customFormat="1" hidden="1" outlineLevel="1" x14ac:dyDescent="0.25">
      <c r="A98" s="44"/>
      <c r="B98" s="10" t="str">
        <f>CONCATENATE("          ", "4242", " - ", "SALES RETURN TAXABLE-EVERYDAY")</f>
        <v xml:space="preserve">          4242 - SALES RETURN TAXABLE-EVERYDAY</v>
      </c>
      <c r="C98" s="10"/>
      <c r="D98" s="2">
        <f>-332.27</f>
        <v>-332.27</v>
      </c>
      <c r="E98" s="2"/>
      <c r="F98" s="19"/>
      <c r="G98" s="2"/>
      <c r="H98" s="2">
        <f>-3</f>
        <v>-3</v>
      </c>
      <c r="I98" s="2"/>
      <c r="J98" s="19"/>
      <c r="K98" s="2"/>
      <c r="L98" s="2">
        <f t="shared" si="0"/>
        <v>-329.27</v>
      </c>
      <c r="M98" s="2"/>
      <c r="N98" s="19">
        <f t="shared" si="1"/>
        <v>109.75666666666666</v>
      </c>
      <c r="O98" s="10"/>
      <c r="P98" s="2">
        <f>-2636.09</f>
        <v>-2636.09</v>
      </c>
      <c r="Q98" s="2"/>
      <c r="R98" s="19"/>
      <c r="S98" s="2"/>
      <c r="T98" s="2">
        <f>-4181.41</f>
        <v>-4181.41</v>
      </c>
      <c r="U98" s="2"/>
      <c r="V98" s="19"/>
      <c r="W98" s="2"/>
      <c r="X98" s="2">
        <f t="shared" si="2"/>
        <v>1545.3199999999997</v>
      </c>
      <c r="Y98" s="2"/>
      <c r="Z98" s="19">
        <f t="shared" si="3"/>
        <v>-0.36956911663768915</v>
      </c>
    </row>
    <row r="99" spans="1:26" s="23" customFormat="1" hidden="1" outlineLevel="1" x14ac:dyDescent="0.25">
      <c r="A99" s="44"/>
      <c r="B99" s="10" t="str">
        <f>CONCATENATE("          ", "4243", " - ", "SALES RETURN TAXABLE-CARDS")</f>
        <v xml:space="preserve">          4243 - SALES RETURN TAXABLE-CARDS</v>
      </c>
      <c r="C99" s="10"/>
      <c r="D99" s="2">
        <f>-199.86</f>
        <v>-199.86</v>
      </c>
      <c r="E99" s="2"/>
      <c r="F99" s="19"/>
      <c r="G99" s="2"/>
      <c r="H99" s="2">
        <f>-13</f>
        <v>-13</v>
      </c>
      <c r="I99" s="2"/>
      <c r="J99" s="19"/>
      <c r="K99" s="2"/>
      <c r="L99" s="2">
        <f t="shared" si="0"/>
        <v>-186.86</v>
      </c>
      <c r="M99" s="2"/>
      <c r="N99" s="19">
        <f t="shared" si="1"/>
        <v>14.373846153846156</v>
      </c>
      <c r="O99" s="10"/>
      <c r="P99" s="2">
        <f>-6142.09</f>
        <v>-6142.09</v>
      </c>
      <c r="Q99" s="2"/>
      <c r="R99" s="19"/>
      <c r="S99" s="2"/>
      <c r="T99" s="2">
        <f>-3006.31</f>
        <v>-3006.31</v>
      </c>
      <c r="U99" s="2"/>
      <c r="V99" s="19"/>
      <c r="W99" s="2"/>
      <c r="X99" s="2">
        <f t="shared" si="2"/>
        <v>-3135.78</v>
      </c>
      <c r="Y99" s="2"/>
      <c r="Z99" s="19">
        <f t="shared" si="3"/>
        <v>1.0430660843359467</v>
      </c>
    </row>
    <row r="100" spans="1:26" s="23" customFormat="1" hidden="1" outlineLevel="1" x14ac:dyDescent="0.25">
      <c r="A100" s="44"/>
      <c r="B100" s="10" t="str">
        <f>CONCATENATE("          ", "4244", " - ", "SALES RETURN TAXABLE-ACCESSORI")</f>
        <v xml:space="preserve">          4244 - SALES RETURN TAXABLE-ACCESSORI</v>
      </c>
      <c r="C100" s="10"/>
      <c r="D100" s="2">
        <f>-8.24</f>
        <v>-8.24</v>
      </c>
      <c r="E100" s="2"/>
      <c r="F100" s="19"/>
      <c r="G100" s="2"/>
      <c r="H100" s="2">
        <f t="shared" ref="H100:H102" si="22">0</f>
        <v>0</v>
      </c>
      <c r="I100" s="2"/>
      <c r="J100" s="19"/>
      <c r="K100" s="2"/>
      <c r="L100" s="2">
        <f t="shared" si="0"/>
        <v>-8.24</v>
      </c>
      <c r="M100" s="2"/>
      <c r="N100" s="19">
        <f t="shared" si="1"/>
        <v>0</v>
      </c>
      <c r="O100" s="10"/>
      <c r="P100" s="2">
        <f>-1243.5</f>
        <v>-1243.5</v>
      </c>
      <c r="Q100" s="2"/>
      <c r="R100" s="19"/>
      <c r="S100" s="2"/>
      <c r="T100" s="2">
        <f>-2470.7</f>
        <v>-2470.6999999999998</v>
      </c>
      <c r="U100" s="2"/>
      <c r="V100" s="19"/>
      <c r="W100" s="2"/>
      <c r="X100" s="2">
        <f t="shared" si="2"/>
        <v>1227.1999999999998</v>
      </c>
      <c r="Y100" s="2"/>
      <c r="Z100" s="19">
        <f t="shared" si="3"/>
        <v>-0.4967013397012992</v>
      </c>
    </row>
    <row r="101" spans="1:26" s="23" customFormat="1" hidden="1" outlineLevel="1" x14ac:dyDescent="0.25">
      <c r="A101" s="44"/>
      <c r="B101" s="10" t="str">
        <f>CONCATENATE("          ", "4245", " - ", "SALES RETURN TAXABLE-SPECIAL O")</f>
        <v xml:space="preserve">          4245 - SALES RETURN TAXABLE-SPECIAL O</v>
      </c>
      <c r="C101" s="10"/>
      <c r="D101" s="2">
        <f>-4071.14</f>
        <v>-4071.14</v>
      </c>
      <c r="E101" s="2"/>
      <c r="F101" s="19"/>
      <c r="G101" s="2"/>
      <c r="H101" s="2">
        <f t="shared" si="22"/>
        <v>0</v>
      </c>
      <c r="I101" s="2"/>
      <c r="J101" s="19"/>
      <c r="K101" s="2"/>
      <c r="L101" s="2">
        <f t="shared" si="0"/>
        <v>-4071.14</v>
      </c>
      <c r="M101" s="2"/>
      <c r="N101" s="19">
        <f t="shared" si="1"/>
        <v>0</v>
      </c>
      <c r="O101" s="10"/>
      <c r="P101" s="2">
        <f>-15424.73</f>
        <v>-15424.73</v>
      </c>
      <c r="Q101" s="2"/>
      <c r="R101" s="19"/>
      <c r="S101" s="2"/>
      <c r="T101" s="2">
        <f>-1735.03</f>
        <v>-1735.03</v>
      </c>
      <c r="U101" s="2"/>
      <c r="V101" s="19"/>
      <c r="W101" s="2"/>
      <c r="X101" s="2">
        <f t="shared" si="2"/>
        <v>-13689.699999999999</v>
      </c>
      <c r="Y101" s="2"/>
      <c r="Z101" s="19">
        <f t="shared" si="3"/>
        <v>7.890180573246572</v>
      </c>
    </row>
    <row r="102" spans="1:26" s="23" customFormat="1" hidden="1" outlineLevel="1" x14ac:dyDescent="0.25">
      <c r="A102" s="44"/>
      <c r="B102" s="10" t="str">
        <f>CONCATENATE("          ", "4281", " - ", "SALES RETURN TAXABLE-ELECTRONI")</f>
        <v xml:space="preserve">          4281 - SALES RETURN TAXABLE-ELECTRONI</v>
      </c>
      <c r="C102" s="10"/>
      <c r="D102" s="2">
        <f>0</f>
        <v>0</v>
      </c>
      <c r="E102" s="2"/>
      <c r="F102" s="19"/>
      <c r="G102" s="2"/>
      <c r="H102" s="2">
        <f t="shared" si="22"/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0"/>
      <c r="P102" s="2">
        <f>-14762.14</f>
        <v>-14762.14</v>
      </c>
      <c r="Q102" s="2"/>
      <c r="R102" s="19"/>
      <c r="S102" s="2"/>
      <c r="T102" s="2">
        <f>-7836.67</f>
        <v>-7836.67</v>
      </c>
      <c r="U102" s="2"/>
      <c r="V102" s="19"/>
      <c r="W102" s="2"/>
      <c r="X102" s="2">
        <f t="shared" si="2"/>
        <v>-6925.4699999999993</v>
      </c>
      <c r="Y102" s="2"/>
      <c r="Z102" s="19">
        <f t="shared" si="3"/>
        <v>0.88372612346825874</v>
      </c>
    </row>
    <row r="103" spans="1:26" s="23" customFormat="1" hidden="1" outlineLevel="1" x14ac:dyDescent="0.25">
      <c r="A103" s="44"/>
      <c r="B103" s="10" t="str">
        <f>CONCATENATE("          ", "4282", " - ", "SALES RETURN TAXABLE-COMPUTER")</f>
        <v xml:space="preserve">          4282 - SALES RETURN TAXABLE-COMPUTER</v>
      </c>
      <c r="C103" s="10"/>
      <c r="D103" s="2">
        <f>-42380</f>
        <v>-42380</v>
      </c>
      <c r="E103" s="2"/>
      <c r="F103" s="19"/>
      <c r="G103" s="2"/>
      <c r="H103" s="2">
        <f>-1954.65</f>
        <v>-1954.65</v>
      </c>
      <c r="I103" s="2"/>
      <c r="J103" s="19"/>
      <c r="K103" s="2"/>
      <c r="L103" s="2">
        <f t="shared" si="0"/>
        <v>-40425.35</v>
      </c>
      <c r="M103" s="2"/>
      <c r="N103" s="19">
        <f t="shared" si="1"/>
        <v>20.681630982528841</v>
      </c>
      <c r="O103" s="10"/>
      <c r="P103" s="2">
        <f>-215145.16</f>
        <v>-215145.16</v>
      </c>
      <c r="Q103" s="2"/>
      <c r="R103" s="19"/>
      <c r="S103" s="2"/>
      <c r="T103" s="2">
        <f>-215445.8</f>
        <v>-215445.8</v>
      </c>
      <c r="U103" s="2"/>
      <c r="V103" s="19"/>
      <c r="W103" s="2"/>
      <c r="X103" s="2">
        <f t="shared" si="2"/>
        <v>300.63999999998487</v>
      </c>
      <c r="Y103" s="2"/>
      <c r="Z103" s="19">
        <f t="shared" si="3"/>
        <v>-1.3954321690187736E-3</v>
      </c>
    </row>
    <row r="104" spans="1:26" s="23" customFormat="1" hidden="1" outlineLevel="1" x14ac:dyDescent="0.25">
      <c r="A104" s="44"/>
      <c r="B104" s="10" t="str">
        <f>CONCATENATE("          ", "4283", " - ", "SALES RETURN TAXABLE-COMPUTER")</f>
        <v xml:space="preserve">          4283 - SALES RETURN TAXABLE-COMPUTER</v>
      </c>
      <c r="C104" s="10"/>
      <c r="D104" s="2">
        <f>-197.95</f>
        <v>-197.95</v>
      </c>
      <c r="E104" s="2"/>
      <c r="F104" s="19"/>
      <c r="G104" s="2"/>
      <c r="H104" s="2">
        <f>-135.96</f>
        <v>-135.96</v>
      </c>
      <c r="I104" s="2"/>
      <c r="J104" s="19"/>
      <c r="K104" s="2"/>
      <c r="L104" s="2">
        <f t="shared" si="0"/>
        <v>-61.989999999999981</v>
      </c>
      <c r="M104" s="2"/>
      <c r="N104" s="19">
        <f t="shared" si="1"/>
        <v>0.45594292438952616</v>
      </c>
      <c r="O104" s="10"/>
      <c r="P104" s="2">
        <f>-3947.2</f>
        <v>-3947.2</v>
      </c>
      <c r="Q104" s="2"/>
      <c r="R104" s="19"/>
      <c r="S104" s="2"/>
      <c r="T104" s="2">
        <f>-6589.02</f>
        <v>-6589.02</v>
      </c>
      <c r="U104" s="2"/>
      <c r="V104" s="19"/>
      <c r="W104" s="2"/>
      <c r="X104" s="2">
        <f t="shared" si="2"/>
        <v>2641.8200000000006</v>
      </c>
      <c r="Y104" s="2"/>
      <c r="Z104" s="19">
        <f t="shared" si="3"/>
        <v>-0.40094278056524346</v>
      </c>
    </row>
    <row r="105" spans="1:26" s="23" customFormat="1" hidden="1" outlineLevel="1" x14ac:dyDescent="0.25">
      <c r="A105" s="44"/>
      <c r="B105" s="10" t="str">
        <f>CONCATENATE("          ", "4284", " - ", "SALES RETURN TAXABLE-SOFTWARE")</f>
        <v xml:space="preserve">          4284 - SALES RETURN TAXABLE-SOFTWARE</v>
      </c>
      <c r="C105" s="10"/>
      <c r="D105" s="2">
        <f>0</f>
        <v>0</v>
      </c>
      <c r="E105" s="2"/>
      <c r="F105" s="19"/>
      <c r="G105" s="2"/>
      <c r="H105" s="2">
        <f t="shared" ref="H105:H110" si="23"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0"/>
      <c r="P105" s="2">
        <f>0</f>
        <v>0</v>
      </c>
      <c r="Q105" s="2"/>
      <c r="R105" s="19"/>
      <c r="S105" s="2"/>
      <c r="T105" s="2">
        <f>-129</f>
        <v>-129</v>
      </c>
      <c r="U105" s="2"/>
      <c r="V105" s="19"/>
      <c r="W105" s="2"/>
      <c r="X105" s="2">
        <f t="shared" si="2"/>
        <v>129</v>
      </c>
      <c r="Y105" s="2"/>
      <c r="Z105" s="19">
        <f t="shared" si="3"/>
        <v>-1</v>
      </c>
    </row>
    <row r="106" spans="1:26" s="23" customFormat="1" hidden="1" outlineLevel="1" x14ac:dyDescent="0.25">
      <c r="A106" s="44"/>
      <c r="B106" s="10" t="str">
        <f>CONCATENATE("          ", "4285", " - ", "SALES RETURN TAXABLE-SOFTWARE")</f>
        <v xml:space="preserve">          4285 - SALES RETURN TAXABLE-SOFTWARE</v>
      </c>
      <c r="C106" s="10"/>
      <c r="D106" s="2">
        <f>-99.83</f>
        <v>-99.83</v>
      </c>
      <c r="E106" s="2"/>
      <c r="F106" s="19"/>
      <c r="G106" s="2"/>
      <c r="H106" s="2">
        <f t="shared" si="23"/>
        <v>0</v>
      </c>
      <c r="I106" s="2"/>
      <c r="J106" s="19"/>
      <c r="K106" s="2"/>
      <c r="L106" s="2">
        <f t="shared" si="0"/>
        <v>-99.83</v>
      </c>
      <c r="M106" s="2"/>
      <c r="N106" s="19">
        <f t="shared" si="1"/>
        <v>0</v>
      </c>
      <c r="O106" s="10"/>
      <c r="P106" s="2">
        <f>-1091.79</f>
        <v>-1091.79</v>
      </c>
      <c r="Q106" s="2"/>
      <c r="R106" s="19"/>
      <c r="S106" s="2"/>
      <c r="T106" s="2">
        <f>-805.97</f>
        <v>-805.97</v>
      </c>
      <c r="U106" s="2"/>
      <c r="V106" s="19"/>
      <c r="W106" s="2"/>
      <c r="X106" s="2">
        <f t="shared" si="2"/>
        <v>-285.81999999999994</v>
      </c>
      <c r="Y106" s="2"/>
      <c r="Z106" s="19">
        <f t="shared" si="3"/>
        <v>0.35462858419047844</v>
      </c>
    </row>
    <row r="107" spans="1:26" s="23" customFormat="1" hidden="1" outlineLevel="1" x14ac:dyDescent="0.25">
      <c r="A107" s="44"/>
      <c r="B107" s="10" t="str">
        <f>CONCATENATE("          ", "4286", " - ", "SALES RETURN TAXABLE-COMPUTER")</f>
        <v xml:space="preserve">          4286 - SALES RETURN TAXABLE-COMPUTER</v>
      </c>
      <c r="C107" s="10"/>
      <c r="D107" s="2">
        <f t="shared" ref="D107:D110" si="24">0</f>
        <v>0</v>
      </c>
      <c r="E107" s="2"/>
      <c r="F107" s="19"/>
      <c r="G107" s="2"/>
      <c r="H107" s="2">
        <f t="shared" si="23"/>
        <v>0</v>
      </c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0"/>
      <c r="P107" s="2">
        <f>-4802.29</f>
        <v>-4802.29</v>
      </c>
      <c r="Q107" s="2"/>
      <c r="R107" s="19"/>
      <c r="S107" s="2"/>
      <c r="T107" s="2">
        <f>-3660.86</f>
        <v>-3660.86</v>
      </c>
      <c r="U107" s="2"/>
      <c r="V107" s="19"/>
      <c r="W107" s="2"/>
      <c r="X107" s="2">
        <f t="shared" si="2"/>
        <v>-1141.4299999999998</v>
      </c>
      <c r="Y107" s="2"/>
      <c r="Z107" s="19">
        <f t="shared" si="3"/>
        <v>0.31179285741601692</v>
      </c>
    </row>
    <row r="108" spans="1:26" s="23" customFormat="1" hidden="1" outlineLevel="1" x14ac:dyDescent="0.25">
      <c r="A108" s="44"/>
      <c r="B108" s="10" t="str">
        <f>CONCATENATE("          ", "4288", " - ", "TAXABLE SALES RETURN-MUSIC")</f>
        <v xml:space="preserve">          4288 - TAXABLE SALES RETURN-MUSIC</v>
      </c>
      <c r="C108" s="10"/>
      <c r="D108" s="2">
        <f t="shared" si="24"/>
        <v>0</v>
      </c>
      <c r="E108" s="2"/>
      <c r="F108" s="19"/>
      <c r="G108" s="2"/>
      <c r="H108" s="2">
        <f t="shared" si="23"/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0"/>
      <c r="P108" s="2">
        <f t="shared" ref="P108:P110" si="25">0</f>
        <v>0</v>
      </c>
      <c r="Q108" s="2"/>
      <c r="R108" s="19"/>
      <c r="S108" s="2"/>
      <c r="T108" s="2">
        <f>-3.99</f>
        <v>-3.99</v>
      </c>
      <c r="U108" s="2"/>
      <c r="V108" s="19"/>
      <c r="W108" s="2"/>
      <c r="X108" s="2">
        <f t="shared" si="2"/>
        <v>3.99</v>
      </c>
      <c r="Y108" s="2"/>
      <c r="Z108" s="19">
        <f t="shared" si="3"/>
        <v>-1</v>
      </c>
    </row>
    <row r="109" spans="1:26" s="23" customFormat="1" hidden="1" outlineLevel="1" x14ac:dyDescent="0.25">
      <c r="A109" s="44"/>
      <c r="B109" s="10" t="str">
        <f>CONCATENATE("          ", "4292", " - ", "SALES RETURN TAXABLE-GRAD MERC")</f>
        <v xml:space="preserve">          4292 - SALES RETURN TAXABLE-GRAD MERC</v>
      </c>
      <c r="C109" s="10"/>
      <c r="D109" s="2">
        <f t="shared" si="24"/>
        <v>0</v>
      </c>
      <c r="E109" s="2"/>
      <c r="F109" s="19"/>
      <c r="G109" s="2"/>
      <c r="H109" s="2">
        <f t="shared" si="23"/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0"/>
      <c r="P109" s="2">
        <f t="shared" si="25"/>
        <v>0</v>
      </c>
      <c r="Q109" s="2"/>
      <c r="R109" s="19"/>
      <c r="S109" s="2"/>
      <c r="T109" s="2">
        <f>-513.95</f>
        <v>-513.95000000000005</v>
      </c>
      <c r="U109" s="2"/>
      <c r="V109" s="19"/>
      <c r="W109" s="2"/>
      <c r="X109" s="2">
        <f t="shared" si="2"/>
        <v>513.95000000000005</v>
      </c>
      <c r="Y109" s="2"/>
      <c r="Z109" s="19">
        <f t="shared" si="3"/>
        <v>-1</v>
      </c>
    </row>
    <row r="110" spans="1:26" s="23" customFormat="1" hidden="1" outlineLevel="1" x14ac:dyDescent="0.25">
      <c r="A110" s="44"/>
      <c r="B110" s="10" t="str">
        <f>CONCATENATE("          ", "4295", " - ", "SALES RETURN TAXABLE-CUSTOMER")</f>
        <v xml:space="preserve">          4295 - SALES RETURN TAXABLE-CUSTOMER</v>
      </c>
      <c r="C110" s="10"/>
      <c r="D110" s="2">
        <f t="shared" si="24"/>
        <v>0</v>
      </c>
      <c r="E110" s="2"/>
      <c r="F110" s="19"/>
      <c r="G110" s="2"/>
      <c r="H110" s="2">
        <f t="shared" si="23"/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0"/>
      <c r="P110" s="2">
        <f t="shared" si="25"/>
        <v>0</v>
      </c>
      <c r="Q110" s="2"/>
      <c r="R110" s="19"/>
      <c r="S110" s="2"/>
      <c r="T110" s="2">
        <f>--0.99</f>
        <v>0.99</v>
      </c>
      <c r="U110" s="2"/>
      <c r="V110" s="19"/>
      <c r="W110" s="2"/>
      <c r="X110" s="2">
        <f t="shared" si="2"/>
        <v>-0.99</v>
      </c>
      <c r="Y110" s="2"/>
      <c r="Z110" s="19">
        <f t="shared" si="3"/>
        <v>-1</v>
      </c>
    </row>
    <row r="111" spans="1:26" s="23" customFormat="1" hidden="1" outlineLevel="1" x14ac:dyDescent="0.25">
      <c r="A111" s="44"/>
      <c r="B111" s="10" t="str">
        <f>CONCATENATE("          ", "4301", " - ", "SALES RETURN NON TAXABLE-NEW T")</f>
        <v xml:space="preserve">          4301 - SALES RETURN NON TAXABLE-NEW T</v>
      </c>
      <c r="C111" s="10"/>
      <c r="D111" s="2">
        <f>-225.91</f>
        <v>-225.91</v>
      </c>
      <c r="E111" s="2"/>
      <c r="F111" s="19"/>
      <c r="G111" s="2"/>
      <c r="H111" s="2">
        <f>-357.81</f>
        <v>-357.81</v>
      </c>
      <c r="I111" s="2"/>
      <c r="J111" s="19"/>
      <c r="K111" s="2"/>
      <c r="L111" s="2">
        <f t="shared" si="0"/>
        <v>131.9</v>
      </c>
      <c r="M111" s="2"/>
      <c r="N111" s="19">
        <f t="shared" si="1"/>
        <v>-0.36863139655124227</v>
      </c>
      <c r="O111" s="10"/>
      <c r="P111" s="2">
        <f>-3463.2</f>
        <v>-3463.2</v>
      </c>
      <c r="Q111" s="2"/>
      <c r="R111" s="19"/>
      <c r="S111" s="2"/>
      <c r="T111" s="2">
        <f>-15579.43</f>
        <v>-15579.43</v>
      </c>
      <c r="U111" s="2"/>
      <c r="V111" s="19"/>
      <c r="W111" s="2"/>
      <c r="X111" s="2">
        <f t="shared" si="2"/>
        <v>12116.23</v>
      </c>
      <c r="Y111" s="2"/>
      <c r="Z111" s="19">
        <f t="shared" si="3"/>
        <v>-0.77770688658057452</v>
      </c>
    </row>
    <row r="112" spans="1:26" s="23" customFormat="1" hidden="1" outlineLevel="1" x14ac:dyDescent="0.25">
      <c r="A112" s="44"/>
      <c r="B112" s="10" t="str">
        <f>CONCATENATE("          ", "4302", " - ", "SALES RETURN NON TAXABLE-TEXT")</f>
        <v xml:space="preserve">          4302 - SALES RETURN NON TAXABLE-TEXT</v>
      </c>
      <c r="C112" s="10"/>
      <c r="D112" s="2">
        <f>-98.97</f>
        <v>-98.97</v>
      </c>
      <c r="E112" s="2"/>
      <c r="F112" s="19"/>
      <c r="G112" s="2"/>
      <c r="H112" s="2">
        <f t="shared" ref="H112:H114" si="26">0</f>
        <v>0</v>
      </c>
      <c r="I112" s="2"/>
      <c r="J112" s="19"/>
      <c r="K112" s="2"/>
      <c r="L112" s="2">
        <f t="shared" si="0"/>
        <v>-98.97</v>
      </c>
      <c r="M112" s="2"/>
      <c r="N112" s="19">
        <f t="shared" si="1"/>
        <v>0</v>
      </c>
      <c r="O112" s="10"/>
      <c r="P112" s="2">
        <f>-2443.32</f>
        <v>-2443.3200000000002</v>
      </c>
      <c r="Q112" s="2"/>
      <c r="R112" s="19"/>
      <c r="S112" s="2"/>
      <c r="T112" s="2">
        <f>-1312.37</f>
        <v>-1312.37</v>
      </c>
      <c r="U112" s="2"/>
      <c r="V112" s="19"/>
      <c r="W112" s="2"/>
      <c r="X112" s="2">
        <f t="shared" si="2"/>
        <v>-1130.9500000000003</v>
      </c>
      <c r="Y112" s="2"/>
      <c r="Z112" s="19">
        <f t="shared" si="3"/>
        <v>0.86176154590549947</v>
      </c>
    </row>
    <row r="113" spans="1:26" s="23" customFormat="1" hidden="1" outlineLevel="1" x14ac:dyDescent="0.25">
      <c r="A113" s="44"/>
      <c r="B113" s="10" t="str">
        <f>CONCATENATE("          ", "4303", " - ", "SALES RETURN NON-TAXABLE-RENTA")</f>
        <v xml:space="preserve">          4303 - SALES RETURN NON-TAXABLE-RENTA</v>
      </c>
      <c r="C113" s="10"/>
      <c r="D113" s="2">
        <f t="shared" ref="D113:D119" si="27">0</f>
        <v>0</v>
      </c>
      <c r="E113" s="2"/>
      <c r="F113" s="19"/>
      <c r="G113" s="2"/>
      <c r="H113" s="2">
        <f t="shared" si="26"/>
        <v>0</v>
      </c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0"/>
      <c r="P113" s="2">
        <f>0</f>
        <v>0</v>
      </c>
      <c r="Q113" s="2"/>
      <c r="R113" s="19"/>
      <c r="S113" s="2"/>
      <c r="T113" s="2">
        <f>-184.99</f>
        <v>-184.99</v>
      </c>
      <c r="U113" s="2"/>
      <c r="V113" s="19"/>
      <c r="W113" s="2"/>
      <c r="X113" s="2">
        <f t="shared" si="2"/>
        <v>184.99</v>
      </c>
      <c r="Y113" s="2"/>
      <c r="Z113" s="19">
        <f t="shared" si="3"/>
        <v>-1</v>
      </c>
    </row>
    <row r="114" spans="1:26" s="23" customFormat="1" hidden="1" outlineLevel="1" x14ac:dyDescent="0.25">
      <c r="A114" s="44"/>
      <c r="B114" s="10" t="str">
        <f>CONCATENATE("          ", "4304", " - ", "SALES RETURN NON TAXABLE-DIGIT")</f>
        <v xml:space="preserve">          4304 - SALES RETURN NON TAXABLE-DIGIT</v>
      </c>
      <c r="C114" s="10"/>
      <c r="D114" s="2">
        <f t="shared" si="27"/>
        <v>0</v>
      </c>
      <c r="E114" s="2"/>
      <c r="F114" s="19"/>
      <c r="G114" s="2"/>
      <c r="H114" s="2">
        <f t="shared" si="26"/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0"/>
      <c r="P114" s="2">
        <f>-27543.76</f>
        <v>-27543.759999999998</v>
      </c>
      <c r="Q114" s="2"/>
      <c r="R114" s="19"/>
      <c r="S114" s="2"/>
      <c r="T114" s="2">
        <f>-19036.13</f>
        <v>-19036.13</v>
      </c>
      <c r="U114" s="2"/>
      <c r="V114" s="19"/>
      <c r="W114" s="2"/>
      <c r="X114" s="2">
        <f t="shared" si="2"/>
        <v>-8507.6299999999974</v>
      </c>
      <c r="Y114" s="2"/>
      <c r="Z114" s="19">
        <f t="shared" si="3"/>
        <v>0.44692014605909902</v>
      </c>
    </row>
    <row r="115" spans="1:26" s="23" customFormat="1" hidden="1" outlineLevel="1" x14ac:dyDescent="0.25">
      <c r="A115" s="44"/>
      <c r="B115" s="10" t="str">
        <f>CONCATENATE("          ", "4311", " - ", "SALES RETURN NON TAXABLE-NO VA")</f>
        <v xml:space="preserve">          4311 - SALES RETURN NON TAXABLE-NO VA</v>
      </c>
      <c r="C115" s="10"/>
      <c r="D115" s="2">
        <f t="shared" si="27"/>
        <v>0</v>
      </c>
      <c r="E115" s="2"/>
      <c r="F115" s="19"/>
      <c r="G115" s="2"/>
      <c r="H115" s="2">
        <f>-88.62</f>
        <v>-88.62</v>
      </c>
      <c r="I115" s="2"/>
      <c r="J115" s="19"/>
      <c r="K115" s="2"/>
      <c r="L115" s="2">
        <f t="shared" si="0"/>
        <v>88.62</v>
      </c>
      <c r="M115" s="2"/>
      <c r="N115" s="19">
        <f t="shared" si="1"/>
        <v>-1</v>
      </c>
      <c r="O115" s="10"/>
      <c r="P115" s="2">
        <f t="shared" ref="P115:P119" si="28">0</f>
        <v>0</v>
      </c>
      <c r="Q115" s="2"/>
      <c r="R115" s="19"/>
      <c r="S115" s="2"/>
      <c r="T115" s="2">
        <f>-941.28</f>
        <v>-941.28</v>
      </c>
      <c r="U115" s="2"/>
      <c r="V115" s="19"/>
      <c r="W115" s="2"/>
      <c r="X115" s="2">
        <f t="shared" si="2"/>
        <v>941.28</v>
      </c>
      <c r="Y115" s="2"/>
      <c r="Z115" s="19">
        <f t="shared" si="3"/>
        <v>-1</v>
      </c>
    </row>
    <row r="116" spans="1:26" s="23" customFormat="1" hidden="1" outlineLevel="1" x14ac:dyDescent="0.25">
      <c r="A116" s="44"/>
      <c r="B116" s="10" t="str">
        <f>CONCATENATE("          ", "4313", " - ", "SALES RETURN NON TAXABLE-TRADE")</f>
        <v xml:space="preserve">          4313 - SALES RETURN NON TAXABLE-TRADE</v>
      </c>
      <c r="C116" s="10"/>
      <c r="D116" s="2">
        <f t="shared" si="27"/>
        <v>0</v>
      </c>
      <c r="E116" s="2"/>
      <c r="F116" s="19"/>
      <c r="G116" s="2"/>
      <c r="H116" s="2">
        <f>-2481.44</f>
        <v>-2481.44</v>
      </c>
      <c r="I116" s="2"/>
      <c r="J116" s="19"/>
      <c r="K116" s="2"/>
      <c r="L116" s="2">
        <f t="shared" si="0"/>
        <v>2481.44</v>
      </c>
      <c r="M116" s="2"/>
      <c r="N116" s="19">
        <f t="shared" si="1"/>
        <v>-1</v>
      </c>
      <c r="O116" s="10"/>
      <c r="P116" s="2">
        <f t="shared" si="28"/>
        <v>0</v>
      </c>
      <c r="Q116" s="2"/>
      <c r="R116" s="19"/>
      <c r="S116" s="2"/>
      <c r="T116" s="2">
        <f>-2481.44</f>
        <v>-2481.44</v>
      </c>
      <c r="U116" s="2"/>
      <c r="V116" s="19"/>
      <c r="W116" s="2"/>
      <c r="X116" s="2">
        <f t="shared" si="2"/>
        <v>2481.44</v>
      </c>
      <c r="Y116" s="2"/>
      <c r="Z116" s="19">
        <f t="shared" si="3"/>
        <v>-1</v>
      </c>
    </row>
    <row r="117" spans="1:26" s="23" customFormat="1" hidden="1" outlineLevel="1" x14ac:dyDescent="0.25">
      <c r="A117" s="44"/>
      <c r="B117" s="10" t="str">
        <f>CONCATENATE("          ", "4327", " - ", "SALES RETURN NON TAXABLE-SCHOO")</f>
        <v xml:space="preserve">          4327 - SALES RETURN NON TAXABLE-SCHOO</v>
      </c>
      <c r="C117" s="10"/>
      <c r="D117" s="2">
        <f t="shared" si="27"/>
        <v>0</v>
      </c>
      <c r="E117" s="2"/>
      <c r="F117" s="19"/>
      <c r="G117" s="2"/>
      <c r="H117" s="2">
        <f t="shared" ref="H117:H119" si="29">0</f>
        <v>0</v>
      </c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0"/>
      <c r="P117" s="2">
        <f t="shared" si="28"/>
        <v>0</v>
      </c>
      <c r="Q117" s="2"/>
      <c r="R117" s="19"/>
      <c r="S117" s="2"/>
      <c r="T117" s="2">
        <f>-21.87</f>
        <v>-21.87</v>
      </c>
      <c r="U117" s="2"/>
      <c r="V117" s="19"/>
      <c r="W117" s="2"/>
      <c r="X117" s="2">
        <f t="shared" si="2"/>
        <v>21.87</v>
      </c>
      <c r="Y117" s="2"/>
      <c r="Z117" s="19">
        <f t="shared" si="3"/>
        <v>-1</v>
      </c>
    </row>
    <row r="118" spans="1:26" s="23" customFormat="1" hidden="1" outlineLevel="1" x14ac:dyDescent="0.25">
      <c r="A118" s="44"/>
      <c r="B118" s="10" t="str">
        <f>CONCATENATE("          ", "4331", " - ", "SALES RETURN NON TAXABLE-FOOD")</f>
        <v xml:space="preserve">          4331 - SALES RETURN NON TAXABLE-FOOD</v>
      </c>
      <c r="C118" s="10"/>
      <c r="D118" s="2">
        <f t="shared" si="27"/>
        <v>0</v>
      </c>
      <c r="E118" s="2"/>
      <c r="F118" s="19"/>
      <c r="G118" s="2"/>
      <c r="H118" s="2">
        <f t="shared" si="29"/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0"/>
      <c r="P118" s="2">
        <f t="shared" si="28"/>
        <v>0</v>
      </c>
      <c r="Q118" s="2"/>
      <c r="R118" s="19"/>
      <c r="S118" s="2"/>
      <c r="T118" s="2">
        <f>-12.57</f>
        <v>-12.57</v>
      </c>
      <c r="U118" s="2"/>
      <c r="V118" s="19"/>
      <c r="W118" s="2"/>
      <c r="X118" s="2">
        <f t="shared" si="2"/>
        <v>12.57</v>
      </c>
      <c r="Y118" s="2"/>
      <c r="Z118" s="19">
        <f t="shared" si="3"/>
        <v>-1</v>
      </c>
    </row>
    <row r="119" spans="1:26" s="23" customFormat="1" hidden="1" outlineLevel="1" x14ac:dyDescent="0.25">
      <c r="A119" s="44"/>
      <c r="B119" s="10" t="str">
        <f>CONCATENATE("          ", "4332", " - ", "SALES RETURN NON TAXABLE-JUICE")</f>
        <v xml:space="preserve">          4332 - SALES RETURN NON TAXABLE-JUICE</v>
      </c>
      <c r="C119" s="10"/>
      <c r="D119" s="2">
        <f t="shared" si="27"/>
        <v>0</v>
      </c>
      <c r="E119" s="2"/>
      <c r="F119" s="19"/>
      <c r="G119" s="2"/>
      <c r="H119" s="2">
        <f t="shared" si="29"/>
        <v>0</v>
      </c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0"/>
      <c r="P119" s="2">
        <f t="shared" si="28"/>
        <v>0</v>
      </c>
      <c r="Q119" s="2"/>
      <c r="R119" s="19"/>
      <c r="S119" s="2"/>
      <c r="T119" s="2">
        <f>-2.79</f>
        <v>-2.79</v>
      </c>
      <c r="U119" s="2"/>
      <c r="V119" s="19"/>
      <c r="W119" s="2"/>
      <c r="X119" s="2">
        <f t="shared" si="2"/>
        <v>2.79</v>
      </c>
      <c r="Y119" s="2"/>
      <c r="Z119" s="19">
        <f t="shared" si="3"/>
        <v>-1</v>
      </c>
    </row>
    <row r="120" spans="1:26" s="23" customFormat="1" hidden="1" outlineLevel="1" x14ac:dyDescent="0.25">
      <c r="A120" s="44"/>
      <c r="B120" s="10" t="str">
        <f>CONCATENATE("          ", "4340", " - ", "SALES RETURN NON TAXABLE-LOGO")</f>
        <v xml:space="preserve">          4340 - SALES RETURN NON TAXABLE-LOGO</v>
      </c>
      <c r="C120" s="10"/>
      <c r="D120" s="2">
        <f>-664.13</f>
        <v>-664.13</v>
      </c>
      <c r="E120" s="2"/>
      <c r="F120" s="19"/>
      <c r="G120" s="2"/>
      <c r="H120" s="2">
        <f>-24.95</f>
        <v>-24.95</v>
      </c>
      <c r="I120" s="2"/>
      <c r="J120" s="19"/>
      <c r="K120" s="2"/>
      <c r="L120" s="2">
        <f t="shared" si="0"/>
        <v>-639.17999999999995</v>
      </c>
      <c r="M120" s="2"/>
      <c r="N120" s="19">
        <f t="shared" si="1"/>
        <v>25.618436873747495</v>
      </c>
      <c r="O120" s="10"/>
      <c r="P120" s="2">
        <f>-3307.52</f>
        <v>-3307.52</v>
      </c>
      <c r="Q120" s="2"/>
      <c r="R120" s="19"/>
      <c r="S120" s="2"/>
      <c r="T120" s="2">
        <f>-1020.4</f>
        <v>-1020.4</v>
      </c>
      <c r="U120" s="2"/>
      <c r="V120" s="19"/>
      <c r="W120" s="2"/>
      <c r="X120" s="2">
        <f t="shared" si="2"/>
        <v>-2287.12</v>
      </c>
      <c r="Y120" s="2"/>
      <c r="Z120" s="19">
        <f t="shared" si="3"/>
        <v>2.2413955311642493</v>
      </c>
    </row>
    <row r="121" spans="1:26" s="23" customFormat="1" hidden="1" outlineLevel="1" x14ac:dyDescent="0.25">
      <c r="A121" s="44"/>
      <c r="B121" s="10" t="str">
        <f>CONCATENATE("          ", "4341", " - ", "SALES RETURN NON TAXABLE-LOGO")</f>
        <v xml:space="preserve">          4341 - SALES RETURN NON TAXABLE-LOGO</v>
      </c>
      <c r="C121" s="10"/>
      <c r="D121" s="2">
        <f>-9.9</f>
        <v>-9.9</v>
      </c>
      <c r="E121" s="2"/>
      <c r="F121" s="19"/>
      <c r="G121" s="2"/>
      <c r="H121" s="2">
        <f t="shared" ref="H121:H127" si="30">0</f>
        <v>0</v>
      </c>
      <c r="I121" s="2"/>
      <c r="J121" s="19"/>
      <c r="K121" s="2"/>
      <c r="L121" s="2">
        <f t="shared" si="0"/>
        <v>-9.9</v>
      </c>
      <c r="M121" s="2"/>
      <c r="N121" s="19">
        <f t="shared" si="1"/>
        <v>0</v>
      </c>
      <c r="O121" s="10"/>
      <c r="P121" s="2">
        <f>-402.44</f>
        <v>-402.44</v>
      </c>
      <c r="Q121" s="2"/>
      <c r="R121" s="19"/>
      <c r="S121" s="2"/>
      <c r="T121" s="2">
        <f>-245.5</f>
        <v>-245.5</v>
      </c>
      <c r="U121" s="2"/>
      <c r="V121" s="19"/>
      <c r="W121" s="2"/>
      <c r="X121" s="2">
        <f t="shared" si="2"/>
        <v>-156.94</v>
      </c>
      <c r="Y121" s="2"/>
      <c r="Z121" s="19">
        <f t="shared" si="3"/>
        <v>0.63926680244399181</v>
      </c>
    </row>
    <row r="122" spans="1:26" s="23" customFormat="1" hidden="1" outlineLevel="1" x14ac:dyDescent="0.25">
      <c r="A122" s="44"/>
      <c r="B122" s="10" t="str">
        <f>CONCATENATE("          ", "4342", " - ", "SALES RETURN NON TAXABLE-EVERY")</f>
        <v xml:space="preserve">          4342 - SALES RETURN NON TAXABLE-EVERY</v>
      </c>
      <c r="C122" s="10"/>
      <c r="D122" s="2">
        <f t="shared" ref="D122:D125" si="31">0</f>
        <v>0</v>
      </c>
      <c r="E122" s="2"/>
      <c r="F122" s="19"/>
      <c r="G122" s="2"/>
      <c r="H122" s="2">
        <f t="shared" si="30"/>
        <v>0</v>
      </c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0"/>
      <c r="P122" s="2">
        <f>-118.7</f>
        <v>-118.7</v>
      </c>
      <c r="Q122" s="2"/>
      <c r="R122" s="19"/>
      <c r="S122" s="2"/>
      <c r="T122" s="2">
        <f>-149.22</f>
        <v>-149.22</v>
      </c>
      <c r="U122" s="2"/>
      <c r="V122" s="19"/>
      <c r="W122" s="2"/>
      <c r="X122" s="2">
        <f t="shared" si="2"/>
        <v>30.519999999999996</v>
      </c>
      <c r="Y122" s="2"/>
      <c r="Z122" s="19">
        <f t="shared" si="3"/>
        <v>-0.20453022383058569</v>
      </c>
    </row>
    <row r="123" spans="1:26" s="23" customFormat="1" hidden="1" outlineLevel="1" x14ac:dyDescent="0.25">
      <c r="A123" s="44"/>
      <c r="B123" s="10" t="str">
        <f>CONCATENATE("          ", "4346", " - ", "SALES RETURN NON TAXABLE-COIN-")</f>
        <v xml:space="preserve">          4346 - SALES RETURN NON TAXABLE-COIN-</v>
      </c>
      <c r="C123" s="10"/>
      <c r="D123" s="2">
        <f t="shared" si="31"/>
        <v>0</v>
      </c>
      <c r="E123" s="2"/>
      <c r="F123" s="19"/>
      <c r="G123" s="2"/>
      <c r="H123" s="2">
        <f t="shared" si="30"/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0"/>
      <c r="P123" s="2">
        <f t="shared" ref="P123:P124" si="32">0</f>
        <v>0</v>
      </c>
      <c r="Q123" s="2"/>
      <c r="R123" s="19"/>
      <c r="S123" s="2"/>
      <c r="T123" s="2">
        <f>-8.15</f>
        <v>-8.15</v>
      </c>
      <c r="U123" s="2"/>
      <c r="V123" s="19"/>
      <c r="W123" s="2"/>
      <c r="X123" s="2">
        <f t="shared" si="2"/>
        <v>8.15</v>
      </c>
      <c r="Y123" s="2"/>
      <c r="Z123" s="19">
        <f t="shared" si="3"/>
        <v>-1</v>
      </c>
    </row>
    <row r="124" spans="1:26" s="23" customFormat="1" hidden="1" outlineLevel="1" x14ac:dyDescent="0.25">
      <c r="A124" s="44"/>
      <c r="B124" s="10" t="str">
        <f>CONCATENATE("          ", "4347", " - ", "SALES RETURN NON TAXABLE-MISC")</f>
        <v xml:space="preserve">          4347 - SALES RETURN NON TAXABLE-MISC</v>
      </c>
      <c r="C124" s="10"/>
      <c r="D124" s="2">
        <f t="shared" si="31"/>
        <v>0</v>
      </c>
      <c r="E124" s="2"/>
      <c r="F124" s="19"/>
      <c r="G124" s="2"/>
      <c r="H124" s="2">
        <f t="shared" si="30"/>
        <v>0</v>
      </c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0"/>
      <c r="P124" s="2">
        <f t="shared" si="32"/>
        <v>0</v>
      </c>
      <c r="Q124" s="2"/>
      <c r="R124" s="19"/>
      <c r="S124" s="2"/>
      <c r="T124" s="2">
        <f>-84</f>
        <v>-84</v>
      </c>
      <c r="U124" s="2"/>
      <c r="V124" s="19"/>
      <c r="W124" s="2"/>
      <c r="X124" s="2">
        <f t="shared" si="2"/>
        <v>84</v>
      </c>
      <c r="Y124" s="2"/>
      <c r="Z124" s="19">
        <f t="shared" si="3"/>
        <v>-1</v>
      </c>
    </row>
    <row r="125" spans="1:26" s="23" customFormat="1" hidden="1" outlineLevel="1" x14ac:dyDescent="0.25">
      <c r="A125" s="44"/>
      <c r="B125" s="10" t="str">
        <f>CONCATENATE("          ", "4381", " - ", "SALES RETURN NON TAXABLE-ELECT")</f>
        <v xml:space="preserve">          4381 - SALES RETURN NON TAXABLE-ELECT</v>
      </c>
      <c r="C125" s="10"/>
      <c r="D125" s="2">
        <f t="shared" si="31"/>
        <v>0</v>
      </c>
      <c r="E125" s="2"/>
      <c r="F125" s="19"/>
      <c r="G125" s="2"/>
      <c r="H125" s="2">
        <f t="shared" si="30"/>
        <v>0</v>
      </c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0"/>
      <c r="P125" s="2">
        <f>-5624.15</f>
        <v>-5624.15</v>
      </c>
      <c r="Q125" s="2"/>
      <c r="R125" s="19"/>
      <c r="S125" s="2"/>
      <c r="T125" s="2">
        <f>-1279.84</f>
        <v>-1279.8399999999999</v>
      </c>
      <c r="U125" s="2"/>
      <c r="V125" s="19"/>
      <c r="W125" s="2"/>
      <c r="X125" s="2">
        <f t="shared" si="2"/>
        <v>-4344.3099999999995</v>
      </c>
      <c r="Y125" s="2"/>
      <c r="Z125" s="19">
        <f t="shared" si="3"/>
        <v>3.3944164895611948</v>
      </c>
    </row>
    <row r="126" spans="1:26" s="23" customFormat="1" hidden="1" outlineLevel="1" x14ac:dyDescent="0.25">
      <c r="A126" s="44"/>
      <c r="B126" s="10" t="str">
        <f>CONCATENATE("          ", "4383", " - ", "SALES RETURN NON TAXABLE-COMPU")</f>
        <v xml:space="preserve">          4383 - SALES RETURN NON TAXABLE-COMPU</v>
      </c>
      <c r="C126" s="10"/>
      <c r="D126" s="2">
        <f>-14.99</f>
        <v>-14.99</v>
      </c>
      <c r="E126" s="2"/>
      <c r="F126" s="19"/>
      <c r="G126" s="2"/>
      <c r="H126" s="2">
        <f t="shared" si="30"/>
        <v>0</v>
      </c>
      <c r="I126" s="2"/>
      <c r="J126" s="19"/>
      <c r="K126" s="2"/>
      <c r="L126" s="2">
        <f t="shared" si="0"/>
        <v>-14.99</v>
      </c>
      <c r="M126" s="2"/>
      <c r="N126" s="19">
        <f t="shared" si="1"/>
        <v>0</v>
      </c>
      <c r="O126" s="10"/>
      <c r="P126" s="2">
        <f>-14.99</f>
        <v>-14.99</v>
      </c>
      <c r="Q126" s="2"/>
      <c r="R126" s="19"/>
      <c r="S126" s="2"/>
      <c r="T126" s="2">
        <f>-49.98</f>
        <v>-49.98</v>
      </c>
      <c r="U126" s="2"/>
      <c r="V126" s="19"/>
      <c r="W126" s="2"/>
      <c r="X126" s="2">
        <f t="shared" si="2"/>
        <v>34.989999999999995</v>
      </c>
      <c r="Y126" s="2"/>
      <c r="Z126" s="19">
        <f t="shared" si="3"/>
        <v>-0.70008003201280511</v>
      </c>
    </row>
    <row r="127" spans="1:26" s="23" customFormat="1" hidden="1" outlineLevel="1" x14ac:dyDescent="0.25">
      <c r="A127" s="44"/>
      <c r="B127" s="10" t="str">
        <f>CONCATENATE("          ", "4386", " - ", "SALES RETURN NON TAXABLE-COMPU")</f>
        <v xml:space="preserve">          4386 - SALES RETURN NON TAXABLE-COMPU</v>
      </c>
      <c r="C127" s="10"/>
      <c r="D127" s="2">
        <f>0</f>
        <v>0</v>
      </c>
      <c r="E127" s="2"/>
      <c r="F127" s="19"/>
      <c r="G127" s="2"/>
      <c r="H127" s="2">
        <f t="shared" si="30"/>
        <v>0</v>
      </c>
      <c r="I127" s="2"/>
      <c r="J127" s="19"/>
      <c r="K127" s="2"/>
      <c r="L127" s="2">
        <f t="shared" si="0"/>
        <v>0</v>
      </c>
      <c r="M127" s="2"/>
      <c r="N127" s="19">
        <f t="shared" si="1"/>
        <v>0</v>
      </c>
      <c r="O127" s="10"/>
      <c r="P127" s="2">
        <f>0</f>
        <v>0</v>
      </c>
      <c r="Q127" s="2"/>
      <c r="R127" s="19"/>
      <c r="S127" s="2"/>
      <c r="T127" s="2">
        <f>-104.96</f>
        <v>-104.96</v>
      </c>
      <c r="U127" s="2"/>
      <c r="V127" s="19"/>
      <c r="W127" s="2"/>
      <c r="X127" s="2">
        <f t="shared" si="2"/>
        <v>104.96</v>
      </c>
      <c r="Y127" s="2"/>
      <c r="Z127" s="19">
        <f t="shared" si="3"/>
        <v>-1</v>
      </c>
    </row>
    <row r="128" spans="1:26" x14ac:dyDescent="0.25">
      <c r="A128" s="9"/>
      <c r="B128" s="11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4" customFormat="1" collapsed="1" x14ac:dyDescent="0.25">
      <c r="A129" s="11"/>
      <c r="B129" s="28" t="s">
        <v>256</v>
      </c>
      <c r="C129" s="11"/>
      <c r="D129" s="4">
        <f>SUM(OSRRefD16x_0)</f>
        <v>592594.99</v>
      </c>
      <c r="E129" s="4"/>
      <c r="F129" s="13">
        <f t="shared" ref="F129:F188" si="33">IF(D$12=0,0,D129/D$12)</f>
        <v>0.7040506839988635</v>
      </c>
      <c r="G129" s="4"/>
      <c r="H129" s="4">
        <f>SUM(OSRRefH16x_0)</f>
        <v>336529.33999999997</v>
      </c>
      <c r="I129" s="4"/>
      <c r="J129" s="13">
        <f t="shared" ref="J129:J188" si="34">IF(H$12=0,0,H129/H$12)</f>
        <v>0.71842609533295798</v>
      </c>
      <c r="K129" s="4"/>
      <c r="L129" s="4">
        <f t="shared" ref="L129:L188" si="35">+D129-H129</f>
        <v>256065.65000000002</v>
      </c>
      <c r="M129" s="4"/>
      <c r="N129" s="13">
        <f t="shared" ref="N129:N188" si="36">IF(H129=0,0,L129/H129)</f>
        <v>0.76090141204330075</v>
      </c>
      <c r="O129" s="11"/>
      <c r="P129" s="4">
        <f>SUM(OSRRefP16x_0)</f>
        <v>5178092.5900000008</v>
      </c>
      <c r="Q129" s="4"/>
      <c r="R129" s="13">
        <f t="shared" ref="R129:R188" si="37">IF(P$12=0,0,P129/P$12)</f>
        <v>0.72670666112788973</v>
      </c>
      <c r="S129" s="4"/>
      <c r="T129" s="4">
        <f>SUM(OSRRefT16x_0)</f>
        <v>7124648.1600000011</v>
      </c>
      <c r="U129" s="4"/>
      <c r="V129" s="13">
        <f t="shared" ref="V129:V188" si="38">IF(T$12=0,0,T129/T$12)</f>
        <v>0.64156840754887279</v>
      </c>
      <c r="W129" s="4"/>
      <c r="X129" s="4">
        <f t="shared" ref="X129:X188" si="39">+P129-T129</f>
        <v>-1946555.5700000003</v>
      </c>
      <c r="Y129" s="4"/>
      <c r="Z129" s="13">
        <f t="shared" ref="Z129:Z188" si="40">IF(T129=0,0,X129/T129)</f>
        <v>-0.27321427336279858</v>
      </c>
    </row>
    <row r="130" spans="1:26" s="23" customFormat="1" hidden="1" outlineLevel="1" x14ac:dyDescent="0.25">
      <c r="A130" s="44"/>
      <c r="B130" s="10" t="str">
        <f>CONCATENATE("          ", "5000", " - ", "PURCHASES @ COST")</f>
        <v xml:space="preserve">          5000 - PURCHASES @ COST</v>
      </c>
      <c r="C130" s="10"/>
      <c r="D130" s="2"/>
      <c r="E130" s="2"/>
      <c r="F130" s="19">
        <f t="shared" si="33"/>
        <v>0</v>
      </c>
      <c r="G130" s="2"/>
      <c r="H130" s="2">
        <v>0</v>
      </c>
      <c r="I130" s="2"/>
      <c r="J130" s="19">
        <f t="shared" si="34"/>
        <v>0</v>
      </c>
      <c r="K130" s="2"/>
      <c r="L130" s="2">
        <f t="shared" si="35"/>
        <v>0</v>
      </c>
      <c r="M130" s="2"/>
      <c r="N130" s="19">
        <f t="shared" si="36"/>
        <v>0</v>
      </c>
      <c r="O130" s="10"/>
      <c r="P130" s="2">
        <v>0</v>
      </c>
      <c r="Q130" s="2"/>
      <c r="R130" s="19">
        <f t="shared" si="37"/>
        <v>0</v>
      </c>
      <c r="S130" s="2"/>
      <c r="T130" s="2">
        <v>0</v>
      </c>
      <c r="U130" s="2"/>
      <c r="V130" s="19">
        <f t="shared" si="38"/>
        <v>0</v>
      </c>
      <c r="W130" s="2"/>
      <c r="X130" s="2">
        <f t="shared" si="39"/>
        <v>0</v>
      </c>
      <c r="Y130" s="2"/>
      <c r="Z130" s="19">
        <f t="shared" si="40"/>
        <v>0</v>
      </c>
    </row>
    <row r="131" spans="1:26" s="23" customFormat="1" hidden="1" outlineLevel="1" x14ac:dyDescent="0.25">
      <c r="A131" s="44"/>
      <c r="B131" s="10" t="str">
        <f>CONCATENATE("          ", "5001", " - ", "PURCHASES @ COST-NEW TEXT")</f>
        <v xml:space="preserve">          5001 - PURCHASES @ COST-NEW TEXT</v>
      </c>
      <c r="C131" s="10"/>
      <c r="D131" s="2">
        <v>-28969.93</v>
      </c>
      <c r="E131" s="2"/>
      <c r="F131" s="19">
        <f t="shared" si="33"/>
        <v>-3.4418615371519079E-2</v>
      </c>
      <c r="G131" s="2"/>
      <c r="H131" s="2">
        <v>-24912.87</v>
      </c>
      <c r="I131" s="2"/>
      <c r="J131" s="19">
        <f t="shared" si="34"/>
        <v>-5.3184236232233388E-2</v>
      </c>
      <c r="K131" s="2"/>
      <c r="L131" s="2">
        <f t="shared" si="35"/>
        <v>-4057.0600000000013</v>
      </c>
      <c r="M131" s="2"/>
      <c r="N131" s="19">
        <f t="shared" si="36"/>
        <v>0.16284996469696192</v>
      </c>
      <c r="O131" s="10"/>
      <c r="P131" s="2">
        <v>1006546.47</v>
      </c>
      <c r="Q131" s="2"/>
      <c r="R131" s="19">
        <f t="shared" si="37"/>
        <v>0.14126128719605677</v>
      </c>
      <c r="S131" s="2"/>
      <c r="T131" s="2">
        <v>1569752.25</v>
      </c>
      <c r="U131" s="2"/>
      <c r="V131" s="19">
        <f t="shared" si="38"/>
        <v>0.14135483306150515</v>
      </c>
      <c r="W131" s="2"/>
      <c r="X131" s="2">
        <f t="shared" si="39"/>
        <v>-563205.78</v>
      </c>
      <c r="Y131" s="2"/>
      <c r="Z131" s="19">
        <f t="shared" si="40"/>
        <v>-0.35878641358851376</v>
      </c>
    </row>
    <row r="132" spans="1:26" s="23" customFormat="1" hidden="1" outlineLevel="1" x14ac:dyDescent="0.25">
      <c r="A132" s="44"/>
      <c r="B132" s="10" t="str">
        <f>CONCATENATE("          ", "5002", " - ", "PURCHASES @ COST-USED TEXT")</f>
        <v xml:space="preserve">          5002 - PURCHASES @ COST-USED TEXT</v>
      </c>
      <c r="C132" s="10"/>
      <c r="D132" s="2">
        <v>-122091.65</v>
      </c>
      <c r="E132" s="2"/>
      <c r="F132" s="19">
        <f t="shared" si="33"/>
        <v>-0.1450547357699562</v>
      </c>
      <c r="G132" s="2"/>
      <c r="H132" s="2">
        <v>-3117.33</v>
      </c>
      <c r="I132" s="2"/>
      <c r="J132" s="19">
        <f t="shared" si="34"/>
        <v>-6.6549062847366886E-3</v>
      </c>
      <c r="K132" s="2"/>
      <c r="L132" s="2">
        <f t="shared" si="35"/>
        <v>-118974.31999999999</v>
      </c>
      <c r="M132" s="2"/>
      <c r="N132" s="19">
        <f t="shared" si="36"/>
        <v>38.165455694456469</v>
      </c>
      <c r="O132" s="10"/>
      <c r="P132" s="2">
        <v>274961.02</v>
      </c>
      <c r="Q132" s="2"/>
      <c r="R132" s="19">
        <f t="shared" si="37"/>
        <v>3.8588727665937482E-2</v>
      </c>
      <c r="S132" s="2"/>
      <c r="T132" s="2">
        <v>595582.78</v>
      </c>
      <c r="U132" s="2"/>
      <c r="V132" s="19">
        <f t="shared" si="38"/>
        <v>5.3631714457620404E-2</v>
      </c>
      <c r="W132" s="2"/>
      <c r="X132" s="2">
        <f t="shared" si="39"/>
        <v>-320621.76</v>
      </c>
      <c r="Y132" s="2"/>
      <c r="Z132" s="19">
        <f t="shared" si="40"/>
        <v>-0.53833282419615958</v>
      </c>
    </row>
    <row r="133" spans="1:26" s="23" customFormat="1" hidden="1" outlineLevel="1" x14ac:dyDescent="0.25">
      <c r="A133" s="44"/>
      <c r="B133" s="10" t="str">
        <f>CONCATENATE("          ", "5003", " - ", "PURCHASES @ COST-RENTAL TEXT")</f>
        <v xml:space="preserve">          5003 - PURCHASES @ COST-RENTAL TEXT</v>
      </c>
      <c r="C133" s="10"/>
      <c r="D133" s="2"/>
      <c r="E133" s="2"/>
      <c r="F133" s="19">
        <f t="shared" si="33"/>
        <v>0</v>
      </c>
      <c r="G133" s="2"/>
      <c r="H133" s="2"/>
      <c r="I133" s="2"/>
      <c r="J133" s="19">
        <f t="shared" si="34"/>
        <v>0</v>
      </c>
      <c r="K133" s="2"/>
      <c r="L133" s="2">
        <f t="shared" si="35"/>
        <v>0</v>
      </c>
      <c r="M133" s="2"/>
      <c r="N133" s="19">
        <f t="shared" si="36"/>
        <v>0</v>
      </c>
      <c r="O133" s="10"/>
      <c r="P133" s="2">
        <v>32.520000000000003</v>
      </c>
      <c r="Q133" s="2"/>
      <c r="R133" s="19">
        <f t="shared" si="37"/>
        <v>4.5639393674648388E-6</v>
      </c>
      <c r="S133" s="2"/>
      <c r="T133" s="2">
        <v>-78.400000000000006</v>
      </c>
      <c r="U133" s="2"/>
      <c r="V133" s="19">
        <f t="shared" si="38"/>
        <v>-7.0598522231912744E-6</v>
      </c>
      <c r="W133" s="2"/>
      <c r="X133" s="2">
        <f t="shared" si="39"/>
        <v>110.92000000000002</v>
      </c>
      <c r="Y133" s="2"/>
      <c r="Z133" s="19">
        <f t="shared" si="40"/>
        <v>-1.4147959183673471</v>
      </c>
    </row>
    <row r="134" spans="1:26" s="23" customFormat="1" hidden="1" outlineLevel="1" x14ac:dyDescent="0.25">
      <c r="A134" s="44"/>
      <c r="B134" s="10" t="str">
        <f>CONCATENATE("          ", "5004", " - ", "PURCHASES @ COST-DIGITAL TEXT")</f>
        <v xml:space="preserve">          5004 - PURCHASES @ COST-DIGITAL TEXT</v>
      </c>
      <c r="C134" s="10"/>
      <c r="D134" s="2">
        <v>887.88</v>
      </c>
      <c r="E134" s="2"/>
      <c r="F134" s="19">
        <f t="shared" si="33"/>
        <v>1.0548731120877529E-3</v>
      </c>
      <c r="G134" s="2"/>
      <c r="H134" s="2">
        <v>54465.03</v>
      </c>
      <c r="I134" s="2"/>
      <c r="J134" s="19">
        <f t="shared" si="34"/>
        <v>0.11627247370197326</v>
      </c>
      <c r="K134" s="2"/>
      <c r="L134" s="2">
        <f t="shared" si="35"/>
        <v>-53577.15</v>
      </c>
      <c r="M134" s="2"/>
      <c r="N134" s="19">
        <f t="shared" si="36"/>
        <v>-0.98369816375755237</v>
      </c>
      <c r="O134" s="10"/>
      <c r="P134" s="2">
        <v>207450.38</v>
      </c>
      <c r="Q134" s="2"/>
      <c r="R134" s="19">
        <f t="shared" si="37"/>
        <v>2.9114113040514773E-2</v>
      </c>
      <c r="S134" s="2"/>
      <c r="T134" s="2">
        <v>492787.91</v>
      </c>
      <c r="U134" s="2"/>
      <c r="V134" s="19">
        <f t="shared" si="38"/>
        <v>4.4375125280296954E-2</v>
      </c>
      <c r="W134" s="2"/>
      <c r="X134" s="2">
        <f t="shared" si="39"/>
        <v>-285337.52999999997</v>
      </c>
      <c r="Y134" s="2"/>
      <c r="Z134" s="19">
        <f t="shared" si="40"/>
        <v>-0.57902705039983626</v>
      </c>
    </row>
    <row r="135" spans="1:26" s="23" customFormat="1" hidden="1" outlineLevel="1" x14ac:dyDescent="0.25">
      <c r="A135" s="44"/>
      <c r="B135" s="10" t="str">
        <f>CONCATENATE("          ", "5011", " - ", "PURCHASES @ COST-NO VALUE TEXT")</f>
        <v xml:space="preserve">          5011 - PURCHASES @ COST-NO VALUE TEXT</v>
      </c>
      <c r="C135" s="10"/>
      <c r="D135" s="2"/>
      <c r="E135" s="2"/>
      <c r="F135" s="19">
        <f t="shared" si="33"/>
        <v>0</v>
      </c>
      <c r="G135" s="2"/>
      <c r="H135" s="2">
        <v>42</v>
      </c>
      <c r="I135" s="2"/>
      <c r="J135" s="19">
        <f t="shared" si="34"/>
        <v>8.9662006896588088E-5</v>
      </c>
      <c r="K135" s="2"/>
      <c r="L135" s="2">
        <f t="shared" si="35"/>
        <v>-42</v>
      </c>
      <c r="M135" s="2"/>
      <c r="N135" s="19">
        <f t="shared" si="36"/>
        <v>-1</v>
      </c>
      <c r="O135" s="10"/>
      <c r="P135" s="2">
        <v>67.17</v>
      </c>
      <c r="Q135" s="2"/>
      <c r="R135" s="19">
        <f t="shared" si="37"/>
        <v>9.4268083429462858E-6</v>
      </c>
      <c r="S135" s="2"/>
      <c r="T135" s="2">
        <v>6363</v>
      </c>
      <c r="U135" s="2"/>
      <c r="V135" s="19">
        <f t="shared" si="38"/>
        <v>5.729826491857918E-4</v>
      </c>
      <c r="W135" s="2"/>
      <c r="X135" s="2">
        <f t="shared" si="39"/>
        <v>-6295.83</v>
      </c>
      <c r="Y135" s="2"/>
      <c r="Z135" s="19">
        <f t="shared" si="40"/>
        <v>-0.98944365865157946</v>
      </c>
    </row>
    <row r="136" spans="1:26" s="23" customFormat="1" hidden="1" outlineLevel="1" x14ac:dyDescent="0.25">
      <c r="A136" s="44"/>
      <c r="B136" s="10" t="str">
        <f>CONCATENATE("          ", "5013", " - ", "PURCHASES @ COST-TRADE BOOKS")</f>
        <v xml:space="preserve">          5013 - PURCHASES @ COST-TRADE BOOKS</v>
      </c>
      <c r="C136" s="10"/>
      <c r="D136" s="2">
        <v>800</v>
      </c>
      <c r="E136" s="2"/>
      <c r="F136" s="19">
        <f t="shared" si="33"/>
        <v>9.5046457817520664E-4</v>
      </c>
      <c r="G136" s="2"/>
      <c r="H136" s="2">
        <v>-3150.69</v>
      </c>
      <c r="I136" s="2"/>
      <c r="J136" s="19">
        <f t="shared" si="34"/>
        <v>-6.7261235359288365E-3</v>
      </c>
      <c r="K136" s="2"/>
      <c r="L136" s="2">
        <f t="shared" si="35"/>
        <v>3950.69</v>
      </c>
      <c r="M136" s="2"/>
      <c r="N136" s="19">
        <f t="shared" si="36"/>
        <v>-1.2539126350101089</v>
      </c>
      <c r="O136" s="10"/>
      <c r="P136" s="2">
        <v>9670.02</v>
      </c>
      <c r="Q136" s="2"/>
      <c r="R136" s="19">
        <f t="shared" si="37"/>
        <v>1.3571151587383869E-3</v>
      </c>
      <c r="S136" s="2"/>
      <c r="T136" s="2">
        <v>3197.85</v>
      </c>
      <c r="U136" s="2"/>
      <c r="V136" s="19">
        <f t="shared" si="38"/>
        <v>2.8796362795831905E-4</v>
      </c>
      <c r="W136" s="2"/>
      <c r="X136" s="2">
        <f t="shared" si="39"/>
        <v>6472.17</v>
      </c>
      <c r="Y136" s="2"/>
      <c r="Z136" s="19">
        <f t="shared" si="40"/>
        <v>2.0239129415075756</v>
      </c>
    </row>
    <row r="137" spans="1:26" s="23" customFormat="1" hidden="1" outlineLevel="1" x14ac:dyDescent="0.25">
      <c r="A137" s="44"/>
      <c r="B137" s="10" t="str">
        <f>CONCATENATE("          ", "5014", " - ", "PURCHASES @ COST-REMAINDERS")</f>
        <v xml:space="preserve">          5014 - PURCHASES @ COST-REMAINDERS</v>
      </c>
      <c r="C137" s="10"/>
      <c r="D137" s="2"/>
      <c r="E137" s="2"/>
      <c r="F137" s="19">
        <f t="shared" si="33"/>
        <v>0</v>
      </c>
      <c r="G137" s="2"/>
      <c r="H137" s="2"/>
      <c r="I137" s="2"/>
      <c r="J137" s="19">
        <f t="shared" si="34"/>
        <v>0</v>
      </c>
      <c r="K137" s="2"/>
      <c r="L137" s="2">
        <f t="shared" si="35"/>
        <v>0</v>
      </c>
      <c r="M137" s="2"/>
      <c r="N137" s="19">
        <f t="shared" si="36"/>
        <v>0</v>
      </c>
      <c r="O137" s="10"/>
      <c r="P137" s="2">
        <v>111.57</v>
      </c>
      <c r="Q137" s="2"/>
      <c r="R137" s="19">
        <f t="shared" si="37"/>
        <v>1.5658017073433333E-5</v>
      </c>
      <c r="S137" s="2"/>
      <c r="T137" s="2">
        <v>615.07000000000005</v>
      </c>
      <c r="U137" s="2"/>
      <c r="V137" s="19">
        <f t="shared" si="38"/>
        <v>5.5386521771916541E-5</v>
      </c>
      <c r="W137" s="2"/>
      <c r="X137" s="2">
        <f t="shared" si="39"/>
        <v>-503.50000000000006</v>
      </c>
      <c r="Y137" s="2"/>
      <c r="Z137" s="19">
        <f t="shared" si="40"/>
        <v>-0.81860601232380059</v>
      </c>
    </row>
    <row r="138" spans="1:26" s="23" customFormat="1" hidden="1" outlineLevel="1" x14ac:dyDescent="0.25">
      <c r="A138" s="44"/>
      <c r="B138" s="10" t="str">
        <f>CONCATENATE("          ", "5017", " - ", "PURCHASES @ COST-DORM/HOUSEWAR")</f>
        <v xml:space="preserve">          5017 - PURCHASES @ COST-DORM/HOUSEWAR</v>
      </c>
      <c r="C138" s="10"/>
      <c r="D138" s="2"/>
      <c r="E138" s="2"/>
      <c r="F138" s="19">
        <f t="shared" si="33"/>
        <v>0</v>
      </c>
      <c r="G138" s="2"/>
      <c r="H138" s="2"/>
      <c r="I138" s="2"/>
      <c r="J138" s="19">
        <f t="shared" si="34"/>
        <v>0</v>
      </c>
      <c r="K138" s="2"/>
      <c r="L138" s="2">
        <f t="shared" si="35"/>
        <v>0</v>
      </c>
      <c r="M138" s="2"/>
      <c r="N138" s="19">
        <f t="shared" si="36"/>
        <v>0</v>
      </c>
      <c r="O138" s="10"/>
      <c r="P138" s="2"/>
      <c r="Q138" s="2"/>
      <c r="R138" s="19">
        <f t="shared" si="37"/>
        <v>0</v>
      </c>
      <c r="S138" s="2"/>
      <c r="T138" s="2">
        <v>14.46</v>
      </c>
      <c r="U138" s="2"/>
      <c r="V138" s="19">
        <f t="shared" si="38"/>
        <v>1.3021104993283905E-6</v>
      </c>
      <c r="W138" s="2"/>
      <c r="X138" s="2">
        <f t="shared" si="39"/>
        <v>-14.46</v>
      </c>
      <c r="Y138" s="2"/>
      <c r="Z138" s="19">
        <f t="shared" si="40"/>
        <v>-1</v>
      </c>
    </row>
    <row r="139" spans="1:26" s="23" customFormat="1" hidden="1" outlineLevel="1" x14ac:dyDescent="0.25">
      <c r="A139" s="44"/>
      <c r="B139" s="10" t="str">
        <f>CONCATENATE("          ", "5018", " - ", "PURCHASES @ COST-STUDY GUIDES")</f>
        <v xml:space="preserve">          5018 - PURCHASES @ COST-STUDY GUIDES</v>
      </c>
      <c r="C139" s="10"/>
      <c r="D139" s="2"/>
      <c r="E139" s="2"/>
      <c r="F139" s="19">
        <f t="shared" si="33"/>
        <v>0</v>
      </c>
      <c r="G139" s="2"/>
      <c r="H139" s="2">
        <v>-2582.4699999999998</v>
      </c>
      <c r="I139" s="2"/>
      <c r="J139" s="19">
        <f t="shared" si="34"/>
        <v>-5.5130819750055194E-3</v>
      </c>
      <c r="K139" s="2"/>
      <c r="L139" s="2">
        <f t="shared" si="35"/>
        <v>2582.4699999999998</v>
      </c>
      <c r="M139" s="2"/>
      <c r="N139" s="19">
        <f t="shared" si="36"/>
        <v>-1</v>
      </c>
      <c r="O139" s="10"/>
      <c r="P139" s="2">
        <v>967.21</v>
      </c>
      <c r="Q139" s="2"/>
      <c r="R139" s="19">
        <f t="shared" si="37"/>
        <v>1.3574070712194547E-4</v>
      </c>
      <c r="S139" s="2"/>
      <c r="T139" s="2">
        <v>-205.14</v>
      </c>
      <c r="U139" s="2"/>
      <c r="V139" s="19">
        <f t="shared" si="38"/>
        <v>-1.8472679656447166E-5</v>
      </c>
      <c r="W139" s="2"/>
      <c r="X139" s="2">
        <f t="shared" si="39"/>
        <v>1172.3499999999999</v>
      </c>
      <c r="Y139" s="2"/>
      <c r="Z139" s="19">
        <f t="shared" si="40"/>
        <v>-5.7148776445354388</v>
      </c>
    </row>
    <row r="140" spans="1:26" s="23" customFormat="1" hidden="1" outlineLevel="1" x14ac:dyDescent="0.25">
      <c r="A140" s="44"/>
      <c r="B140" s="10" t="str">
        <f>CONCATENATE("          ", "5025", " - ", "PURCHASES @ COST-TEST FORMS")</f>
        <v xml:space="preserve">          5025 - PURCHASES @ COST-TEST FORMS</v>
      </c>
      <c r="C140" s="10"/>
      <c r="D140" s="2"/>
      <c r="E140" s="2"/>
      <c r="F140" s="19">
        <f t="shared" si="33"/>
        <v>0</v>
      </c>
      <c r="G140" s="2"/>
      <c r="H140" s="2"/>
      <c r="I140" s="2"/>
      <c r="J140" s="19">
        <f t="shared" si="34"/>
        <v>0</v>
      </c>
      <c r="K140" s="2"/>
      <c r="L140" s="2">
        <f t="shared" si="35"/>
        <v>0</v>
      </c>
      <c r="M140" s="2"/>
      <c r="N140" s="19">
        <f t="shared" si="36"/>
        <v>0</v>
      </c>
      <c r="O140" s="10"/>
      <c r="P140" s="2">
        <v>599.29</v>
      </c>
      <c r="Q140" s="2"/>
      <c r="R140" s="19">
        <f t="shared" si="37"/>
        <v>8.4105880182287917E-5</v>
      </c>
      <c r="S140" s="2"/>
      <c r="T140" s="2">
        <v>26400.39</v>
      </c>
      <c r="U140" s="2"/>
      <c r="V140" s="19">
        <f t="shared" si="38"/>
        <v>2.3773322963599065E-3</v>
      </c>
      <c r="W140" s="2"/>
      <c r="X140" s="2">
        <f t="shared" si="39"/>
        <v>-25801.1</v>
      </c>
      <c r="Y140" s="2"/>
      <c r="Z140" s="19">
        <f t="shared" si="40"/>
        <v>-0.97729995655367208</v>
      </c>
    </row>
    <row r="141" spans="1:26" s="23" customFormat="1" hidden="1" outlineLevel="1" x14ac:dyDescent="0.25">
      <c r="A141" s="44"/>
      <c r="B141" s="10" t="str">
        <f>CONCATENATE("          ", "5026", " - ", "PURCHASES @ COST-WRITING INSTR")</f>
        <v xml:space="preserve">          5026 - PURCHASES @ COST-WRITING INSTR</v>
      </c>
      <c r="C141" s="10"/>
      <c r="D141" s="2"/>
      <c r="E141" s="2"/>
      <c r="F141" s="19">
        <f t="shared" si="33"/>
        <v>0</v>
      </c>
      <c r="G141" s="2"/>
      <c r="H141" s="2">
        <v>2463.3000000000002</v>
      </c>
      <c r="I141" s="2"/>
      <c r="J141" s="19">
        <f t="shared" si="34"/>
        <v>5.2586767044848918E-3</v>
      </c>
      <c r="K141" s="2"/>
      <c r="L141" s="2">
        <f t="shared" si="35"/>
        <v>-2463.3000000000002</v>
      </c>
      <c r="M141" s="2"/>
      <c r="N141" s="19">
        <f t="shared" si="36"/>
        <v>-1</v>
      </c>
      <c r="O141" s="10"/>
      <c r="P141" s="2">
        <v>584.54999999999995</v>
      </c>
      <c r="Q141" s="2"/>
      <c r="R141" s="19">
        <f t="shared" si="37"/>
        <v>8.2037231157797399E-5</v>
      </c>
      <c r="S141" s="2"/>
      <c r="T141" s="2">
        <v>51434.57</v>
      </c>
      <c r="U141" s="2"/>
      <c r="V141" s="19">
        <f t="shared" si="38"/>
        <v>4.6316385633085096E-3</v>
      </c>
      <c r="W141" s="2"/>
      <c r="X141" s="2">
        <f t="shared" si="39"/>
        <v>-50850.02</v>
      </c>
      <c r="Y141" s="2"/>
      <c r="Z141" s="19">
        <f t="shared" si="40"/>
        <v>-0.98863507559215513</v>
      </c>
    </row>
    <row r="142" spans="1:26" s="23" customFormat="1" hidden="1" outlineLevel="1" x14ac:dyDescent="0.25">
      <c r="A142" s="44"/>
      <c r="B142" s="10" t="str">
        <f>CONCATENATE("          ", "5027", " - ", "PURCHASES @ COST-SCHOOL SUPPLI")</f>
        <v xml:space="preserve">          5027 - PURCHASES @ COST-SCHOOL SUPPLI</v>
      </c>
      <c r="C142" s="10"/>
      <c r="D142" s="2">
        <v>1838.72</v>
      </c>
      <c r="E142" s="2"/>
      <c r="F142" s="19">
        <f t="shared" si="33"/>
        <v>2.1845477864778948E-3</v>
      </c>
      <c r="G142" s="2"/>
      <c r="H142" s="2">
        <v>6003.13</v>
      </c>
      <c r="I142" s="2"/>
      <c r="J142" s="19">
        <f t="shared" si="34"/>
        <v>1.2815540082407496E-2</v>
      </c>
      <c r="K142" s="2"/>
      <c r="L142" s="2">
        <f t="shared" si="35"/>
        <v>-4164.41</v>
      </c>
      <c r="M142" s="2"/>
      <c r="N142" s="19">
        <f t="shared" si="36"/>
        <v>-0.6937064498020199</v>
      </c>
      <c r="O142" s="10"/>
      <c r="P142" s="2">
        <v>23734.6</v>
      </c>
      <c r="Q142" s="2"/>
      <c r="R142" s="19">
        <f t="shared" si="37"/>
        <v>3.3309740255544574E-3</v>
      </c>
      <c r="S142" s="2"/>
      <c r="T142" s="2">
        <v>143608.17000000001</v>
      </c>
      <c r="U142" s="2"/>
      <c r="V142" s="19">
        <f t="shared" si="38"/>
        <v>1.2931791559221051E-2</v>
      </c>
      <c r="W142" s="2"/>
      <c r="X142" s="2">
        <f t="shared" si="39"/>
        <v>-119873.57</v>
      </c>
      <c r="Y142" s="2"/>
      <c r="Z142" s="19">
        <f t="shared" si="40"/>
        <v>-0.83472667328049643</v>
      </c>
    </row>
    <row r="143" spans="1:26" s="23" customFormat="1" hidden="1" outlineLevel="1" x14ac:dyDescent="0.25">
      <c r="A143" s="44"/>
      <c r="B143" s="10" t="str">
        <f>CONCATENATE("          ", "5028", " - ", "PURCHASES @ COST-ART/TECH")</f>
        <v xml:space="preserve">          5028 - PURCHASES @ COST-ART/TECH</v>
      </c>
      <c r="C143" s="10"/>
      <c r="D143" s="2">
        <v>1371.26</v>
      </c>
      <c r="E143" s="2"/>
      <c r="F143" s="19">
        <f t="shared" si="33"/>
        <v>1.6291675718356673E-3</v>
      </c>
      <c r="G143" s="2"/>
      <c r="H143" s="2">
        <v>8617.84</v>
      </c>
      <c r="I143" s="2"/>
      <c r="J143" s="19">
        <f t="shared" si="34"/>
        <v>1.8397448321754589E-2</v>
      </c>
      <c r="K143" s="2"/>
      <c r="L143" s="2">
        <f t="shared" si="35"/>
        <v>-7246.58</v>
      </c>
      <c r="M143" s="2"/>
      <c r="N143" s="19">
        <f t="shared" si="36"/>
        <v>-0.8408812417032574</v>
      </c>
      <c r="O143" s="10"/>
      <c r="P143" s="2">
        <v>47006.62</v>
      </c>
      <c r="Q143" s="2"/>
      <c r="R143" s="19">
        <f t="shared" si="37"/>
        <v>6.5970283994298906E-3</v>
      </c>
      <c r="S143" s="2"/>
      <c r="T143" s="2">
        <v>159687.99</v>
      </c>
      <c r="U143" s="2"/>
      <c r="V143" s="19">
        <f t="shared" si="38"/>
        <v>1.4379765449214869E-2</v>
      </c>
      <c r="W143" s="2"/>
      <c r="X143" s="2">
        <f t="shared" si="39"/>
        <v>-112681.37</v>
      </c>
      <c r="Y143" s="2"/>
      <c r="Z143" s="19">
        <f t="shared" si="40"/>
        <v>-0.70563459406058027</v>
      </c>
    </row>
    <row r="144" spans="1:26" s="23" customFormat="1" hidden="1" outlineLevel="1" x14ac:dyDescent="0.25">
      <c r="A144" s="44"/>
      <c r="B144" s="10" t="str">
        <f>CONCATENATE("          ", "5031", " - ", "PURCHASES @ COST-FOOD")</f>
        <v xml:space="preserve">          5031 - PURCHASES @ COST-FOOD</v>
      </c>
      <c r="C144" s="10"/>
      <c r="D144" s="2"/>
      <c r="E144" s="2"/>
      <c r="F144" s="19">
        <f t="shared" si="33"/>
        <v>0</v>
      </c>
      <c r="G144" s="2"/>
      <c r="H144" s="2"/>
      <c r="I144" s="2"/>
      <c r="J144" s="19">
        <f t="shared" si="34"/>
        <v>0</v>
      </c>
      <c r="K144" s="2"/>
      <c r="L144" s="2">
        <f t="shared" si="35"/>
        <v>0</v>
      </c>
      <c r="M144" s="2"/>
      <c r="N144" s="19">
        <f t="shared" si="36"/>
        <v>0</v>
      </c>
      <c r="O144" s="10"/>
      <c r="P144" s="2">
        <v>7785.72</v>
      </c>
      <c r="Q144" s="2"/>
      <c r="R144" s="19">
        <f t="shared" si="37"/>
        <v>1.0926677125479196E-3</v>
      </c>
      <c r="S144" s="2"/>
      <c r="T144" s="2">
        <v>33239.879999999997</v>
      </c>
      <c r="U144" s="2"/>
      <c r="V144" s="19">
        <f t="shared" si="38"/>
        <v>2.99322245812004E-3</v>
      </c>
      <c r="W144" s="2"/>
      <c r="X144" s="2">
        <f t="shared" si="39"/>
        <v>-25454.159999999996</v>
      </c>
      <c r="Y144" s="2"/>
      <c r="Z144" s="19">
        <f t="shared" si="40"/>
        <v>-0.76577171758742801</v>
      </c>
    </row>
    <row r="145" spans="1:26" s="23" customFormat="1" hidden="1" outlineLevel="1" x14ac:dyDescent="0.25">
      <c r="A145" s="44"/>
      <c r="B145" s="10" t="str">
        <f>CONCATENATE("          ", "5032", " - ", "PURCHASES @ COST-JUICE")</f>
        <v xml:space="preserve">          5032 - PURCHASES @ COST-JUICE</v>
      </c>
      <c r="C145" s="10"/>
      <c r="D145" s="2"/>
      <c r="E145" s="2"/>
      <c r="F145" s="19">
        <f t="shared" si="33"/>
        <v>0</v>
      </c>
      <c r="G145" s="2"/>
      <c r="H145" s="2"/>
      <c r="I145" s="2"/>
      <c r="J145" s="19">
        <f t="shared" si="34"/>
        <v>0</v>
      </c>
      <c r="K145" s="2"/>
      <c r="L145" s="2">
        <f t="shared" si="35"/>
        <v>0</v>
      </c>
      <c r="M145" s="2"/>
      <c r="N145" s="19">
        <f t="shared" si="36"/>
        <v>0</v>
      </c>
      <c r="O145" s="10"/>
      <c r="P145" s="2"/>
      <c r="Q145" s="2"/>
      <c r="R145" s="19">
        <f t="shared" si="37"/>
        <v>0</v>
      </c>
      <c r="S145" s="2"/>
      <c r="T145" s="2">
        <v>7802.45</v>
      </c>
      <c r="U145" s="2"/>
      <c r="V145" s="19">
        <f t="shared" si="38"/>
        <v>7.0260387728110648E-4</v>
      </c>
      <c r="W145" s="2"/>
      <c r="X145" s="2">
        <f t="shared" si="39"/>
        <v>-7802.45</v>
      </c>
      <c r="Y145" s="2"/>
      <c r="Z145" s="19">
        <f t="shared" si="40"/>
        <v>-1</v>
      </c>
    </row>
    <row r="146" spans="1:26" s="23" customFormat="1" hidden="1" outlineLevel="1" x14ac:dyDescent="0.25">
      <c r="A146" s="44"/>
      <c r="B146" s="10" t="str">
        <f>CONCATENATE("          ", "5033", " - ", "PURCHASES @ COST-CANDY")</f>
        <v xml:space="preserve">          5033 - PURCHASES @ COST-CANDY</v>
      </c>
      <c r="C146" s="10"/>
      <c r="D146" s="2"/>
      <c r="E146" s="2"/>
      <c r="F146" s="19">
        <f t="shared" si="33"/>
        <v>0</v>
      </c>
      <c r="G146" s="2"/>
      <c r="H146" s="2">
        <v>-25.2</v>
      </c>
      <c r="I146" s="2"/>
      <c r="J146" s="19">
        <f t="shared" si="34"/>
        <v>-5.3797204137952853E-5</v>
      </c>
      <c r="K146" s="2"/>
      <c r="L146" s="2">
        <f t="shared" si="35"/>
        <v>25.2</v>
      </c>
      <c r="M146" s="2"/>
      <c r="N146" s="19">
        <f t="shared" si="36"/>
        <v>-1</v>
      </c>
      <c r="O146" s="10"/>
      <c r="P146" s="2"/>
      <c r="Q146" s="2"/>
      <c r="R146" s="19">
        <f t="shared" si="37"/>
        <v>0</v>
      </c>
      <c r="S146" s="2"/>
      <c r="T146" s="2">
        <v>9998.41</v>
      </c>
      <c r="U146" s="2"/>
      <c r="V146" s="19">
        <f t="shared" si="38"/>
        <v>9.0034817687344214E-4</v>
      </c>
      <c r="W146" s="2"/>
      <c r="X146" s="2">
        <f t="shared" si="39"/>
        <v>-9998.41</v>
      </c>
      <c r="Y146" s="2"/>
      <c r="Z146" s="19">
        <f t="shared" si="40"/>
        <v>-1</v>
      </c>
    </row>
    <row r="147" spans="1:26" s="23" customFormat="1" hidden="1" outlineLevel="1" x14ac:dyDescent="0.25">
      <c r="A147" s="44"/>
      <c r="B147" s="10" t="str">
        <f>CONCATENATE("          ", "5034", " - ", "PURCHASES @ COST-SODA")</f>
        <v xml:space="preserve">          5034 - PURCHASES @ COST-SODA</v>
      </c>
      <c r="C147" s="10"/>
      <c r="D147" s="2"/>
      <c r="E147" s="2"/>
      <c r="F147" s="19">
        <f t="shared" si="33"/>
        <v>0</v>
      </c>
      <c r="G147" s="2"/>
      <c r="H147" s="2"/>
      <c r="I147" s="2"/>
      <c r="J147" s="19">
        <f t="shared" si="34"/>
        <v>0</v>
      </c>
      <c r="K147" s="2"/>
      <c r="L147" s="2">
        <f t="shared" si="35"/>
        <v>0</v>
      </c>
      <c r="M147" s="2"/>
      <c r="N147" s="19">
        <f t="shared" si="36"/>
        <v>0</v>
      </c>
      <c r="O147" s="10"/>
      <c r="P147" s="2"/>
      <c r="Q147" s="2"/>
      <c r="R147" s="19">
        <f t="shared" si="37"/>
        <v>0</v>
      </c>
      <c r="S147" s="2"/>
      <c r="T147" s="2">
        <v>4033.88</v>
      </c>
      <c r="U147" s="2"/>
      <c r="V147" s="19">
        <f t="shared" si="38"/>
        <v>3.6324740671029102E-4</v>
      </c>
      <c r="W147" s="2"/>
      <c r="X147" s="2">
        <f t="shared" si="39"/>
        <v>-4033.88</v>
      </c>
      <c r="Y147" s="2"/>
      <c r="Z147" s="19">
        <f t="shared" si="40"/>
        <v>-1</v>
      </c>
    </row>
    <row r="148" spans="1:26" s="23" customFormat="1" hidden="1" outlineLevel="1" x14ac:dyDescent="0.25">
      <c r="A148" s="44"/>
      <c r="B148" s="10" t="str">
        <f>CONCATENATE("          ", "5035", " - ", "PURCHASES @ COST-HEALTH &amp; BEAU")</f>
        <v xml:space="preserve">          5035 - PURCHASES @ COST-HEALTH &amp; BEAU</v>
      </c>
      <c r="C148" s="10"/>
      <c r="D148" s="2"/>
      <c r="E148" s="2"/>
      <c r="F148" s="19">
        <f t="shared" si="33"/>
        <v>0</v>
      </c>
      <c r="G148" s="2"/>
      <c r="H148" s="2"/>
      <c r="I148" s="2"/>
      <c r="J148" s="19">
        <f t="shared" si="34"/>
        <v>0</v>
      </c>
      <c r="K148" s="2"/>
      <c r="L148" s="2">
        <f t="shared" si="35"/>
        <v>0</v>
      </c>
      <c r="M148" s="2"/>
      <c r="N148" s="19">
        <f t="shared" si="36"/>
        <v>0</v>
      </c>
      <c r="O148" s="10"/>
      <c r="P148" s="2"/>
      <c r="Q148" s="2"/>
      <c r="R148" s="19">
        <f t="shared" si="37"/>
        <v>0</v>
      </c>
      <c r="S148" s="2"/>
      <c r="T148" s="2">
        <v>1117.6500000000001</v>
      </c>
      <c r="U148" s="2"/>
      <c r="V148" s="19">
        <f t="shared" si="38"/>
        <v>1.006434162914506E-4</v>
      </c>
      <c r="W148" s="2"/>
      <c r="X148" s="2">
        <f t="shared" si="39"/>
        <v>-1117.6500000000001</v>
      </c>
      <c r="Y148" s="2"/>
      <c r="Z148" s="19">
        <f t="shared" si="40"/>
        <v>-1</v>
      </c>
    </row>
    <row r="149" spans="1:26" s="23" customFormat="1" hidden="1" outlineLevel="1" x14ac:dyDescent="0.25">
      <c r="A149" s="44"/>
      <c r="B149" s="10" t="str">
        <f>CONCATENATE("          ", "5037", " - ", "PURCHASES @ COST-WATER")</f>
        <v xml:space="preserve">          5037 - PURCHASES @ COST-WATER</v>
      </c>
      <c r="C149" s="10"/>
      <c r="D149" s="2"/>
      <c r="E149" s="2"/>
      <c r="F149" s="19">
        <f t="shared" si="33"/>
        <v>0</v>
      </c>
      <c r="G149" s="2"/>
      <c r="H149" s="2"/>
      <c r="I149" s="2"/>
      <c r="J149" s="19">
        <f t="shared" si="34"/>
        <v>0</v>
      </c>
      <c r="K149" s="2"/>
      <c r="L149" s="2">
        <f t="shared" si="35"/>
        <v>0</v>
      </c>
      <c r="M149" s="2"/>
      <c r="N149" s="19">
        <f t="shared" si="36"/>
        <v>0</v>
      </c>
      <c r="O149" s="10"/>
      <c r="P149" s="2"/>
      <c r="Q149" s="2"/>
      <c r="R149" s="19">
        <f t="shared" si="37"/>
        <v>0</v>
      </c>
      <c r="S149" s="2"/>
      <c r="T149" s="2">
        <v>5693.57</v>
      </c>
      <c r="U149" s="2"/>
      <c r="V149" s="19">
        <f t="shared" si="38"/>
        <v>5.1270105640810124E-4</v>
      </c>
      <c r="W149" s="2"/>
      <c r="X149" s="2">
        <f t="shared" si="39"/>
        <v>-5693.57</v>
      </c>
      <c r="Y149" s="2"/>
      <c r="Z149" s="19">
        <f t="shared" si="40"/>
        <v>-1</v>
      </c>
    </row>
    <row r="150" spans="1:26" s="23" customFormat="1" hidden="1" outlineLevel="1" x14ac:dyDescent="0.25">
      <c r="A150" s="44"/>
      <c r="B150" s="10" t="str">
        <f>CONCATENATE("          ", "5040", " - ", "PURCHASES @ COST-LOGO CLOTHING")</f>
        <v xml:space="preserve">          5040 - PURCHASES @ COST-LOGO CLOTHING</v>
      </c>
      <c r="C150" s="10"/>
      <c r="D150" s="2">
        <v>39218.65</v>
      </c>
      <c r="E150" s="2"/>
      <c r="F150" s="19">
        <f t="shared" si="33"/>
        <v>4.6594922036063836E-2</v>
      </c>
      <c r="G150" s="2"/>
      <c r="H150" s="2">
        <v>8012.9</v>
      </c>
      <c r="I150" s="2"/>
      <c r="J150" s="19">
        <f t="shared" si="34"/>
        <v>1.7106016549087395E-2</v>
      </c>
      <c r="K150" s="2"/>
      <c r="L150" s="2">
        <f t="shared" si="35"/>
        <v>31205.75</v>
      </c>
      <c r="M150" s="2"/>
      <c r="N150" s="19">
        <f t="shared" si="36"/>
        <v>3.894438967165446</v>
      </c>
      <c r="O150" s="10"/>
      <c r="P150" s="2">
        <v>279090.25</v>
      </c>
      <c r="Q150" s="2"/>
      <c r="R150" s="19">
        <f t="shared" si="37"/>
        <v>3.9168234288148945E-2</v>
      </c>
      <c r="S150" s="2"/>
      <c r="T150" s="2">
        <v>974911.44</v>
      </c>
      <c r="U150" s="2"/>
      <c r="V150" s="19">
        <f t="shared" si="38"/>
        <v>8.7789932360951603E-2</v>
      </c>
      <c r="W150" s="2"/>
      <c r="X150" s="2">
        <f t="shared" si="39"/>
        <v>-695821.19</v>
      </c>
      <c r="Y150" s="2"/>
      <c r="Z150" s="19">
        <f t="shared" si="40"/>
        <v>-0.71372758740014375</v>
      </c>
    </row>
    <row r="151" spans="1:26" s="23" customFormat="1" hidden="1" outlineLevel="1" x14ac:dyDescent="0.25">
      <c r="A151" s="44"/>
      <c r="B151" s="10" t="str">
        <f>CONCATENATE("          ", "5041", " - ", "PURCHASES @ COST-LOGO GIFTS")</f>
        <v xml:space="preserve">          5041 - PURCHASES @ COST-LOGO GIFTS</v>
      </c>
      <c r="C151" s="10"/>
      <c r="D151" s="2">
        <v>15798.51</v>
      </c>
      <c r="E151" s="2"/>
      <c r="F151" s="19">
        <f t="shared" si="33"/>
        <v>1.8769905178683478E-2</v>
      </c>
      <c r="G151" s="2"/>
      <c r="H151" s="2">
        <v>-4050.7</v>
      </c>
      <c r="I151" s="2"/>
      <c r="J151" s="19">
        <f t="shared" si="34"/>
        <v>-8.6474736032383179E-3</v>
      </c>
      <c r="K151" s="2"/>
      <c r="L151" s="2">
        <f t="shared" si="35"/>
        <v>19849.21</v>
      </c>
      <c r="M151" s="2"/>
      <c r="N151" s="19">
        <f t="shared" si="36"/>
        <v>-4.9001925593107361</v>
      </c>
      <c r="O151" s="10"/>
      <c r="P151" s="2">
        <v>84261.95</v>
      </c>
      <c r="Q151" s="2"/>
      <c r="R151" s="19">
        <f t="shared" si="37"/>
        <v>1.1825536001978901E-2</v>
      </c>
      <c r="S151" s="2"/>
      <c r="T151" s="2">
        <v>145460.03</v>
      </c>
      <c r="U151" s="2"/>
      <c r="V151" s="19">
        <f t="shared" si="38"/>
        <v>1.3098549951287874E-2</v>
      </c>
      <c r="W151" s="2"/>
      <c r="X151" s="2">
        <f t="shared" si="39"/>
        <v>-61198.080000000002</v>
      </c>
      <c r="Y151" s="2"/>
      <c r="Z151" s="19">
        <f t="shared" si="40"/>
        <v>-0.42072093619119977</v>
      </c>
    </row>
    <row r="152" spans="1:26" s="23" customFormat="1" hidden="1" outlineLevel="1" x14ac:dyDescent="0.25">
      <c r="A152" s="44"/>
      <c r="B152" s="10" t="str">
        <f>CONCATENATE("          ", "5042", " - ", "PURCHASES @ COST-EVERYDAY GIFT")</f>
        <v xml:space="preserve">          5042 - PURCHASES @ COST-EVERYDAY GIFT</v>
      </c>
      <c r="C152" s="10"/>
      <c r="D152" s="2"/>
      <c r="E152" s="2"/>
      <c r="F152" s="19">
        <f t="shared" si="33"/>
        <v>0</v>
      </c>
      <c r="G152" s="2"/>
      <c r="H152" s="2">
        <v>521.79999999999995</v>
      </c>
      <c r="I152" s="2"/>
      <c r="J152" s="19">
        <f t="shared" si="34"/>
        <v>1.1139436952057062E-3</v>
      </c>
      <c r="K152" s="2"/>
      <c r="L152" s="2">
        <f t="shared" si="35"/>
        <v>-521.79999999999995</v>
      </c>
      <c r="M152" s="2"/>
      <c r="N152" s="19">
        <f t="shared" si="36"/>
        <v>-1</v>
      </c>
      <c r="O152" s="10"/>
      <c r="P152" s="2">
        <v>18748.18</v>
      </c>
      <c r="Q152" s="2"/>
      <c r="R152" s="19">
        <f t="shared" si="37"/>
        <v>2.6311671823590695E-3</v>
      </c>
      <c r="S152" s="2"/>
      <c r="T152" s="2">
        <v>115885.04</v>
      </c>
      <c r="U152" s="2"/>
      <c r="V152" s="19">
        <f t="shared" si="38"/>
        <v>1.0435347669370021E-2</v>
      </c>
      <c r="W152" s="2"/>
      <c r="X152" s="2">
        <f t="shared" si="39"/>
        <v>-97136.859999999986</v>
      </c>
      <c r="Y152" s="2"/>
      <c r="Z152" s="19">
        <f t="shared" si="40"/>
        <v>-0.83821742651165321</v>
      </c>
    </row>
    <row r="153" spans="1:26" s="23" customFormat="1" hidden="1" outlineLevel="1" x14ac:dyDescent="0.25">
      <c r="A153" s="44"/>
      <c r="B153" s="10" t="str">
        <f>CONCATENATE("          ", "5043", " - ", "PURCHASES @ COST-CARDS")</f>
        <v xml:space="preserve">          5043 - PURCHASES @ COST-CARDS</v>
      </c>
      <c r="C153" s="10"/>
      <c r="D153" s="2">
        <v>41</v>
      </c>
      <c r="E153" s="2"/>
      <c r="F153" s="19">
        <f t="shared" si="33"/>
        <v>4.8711309631479339E-5</v>
      </c>
      <c r="G153" s="2"/>
      <c r="H153" s="2">
        <v>6137.75</v>
      </c>
      <c r="I153" s="2"/>
      <c r="J153" s="19">
        <f t="shared" si="34"/>
        <v>1.3102928162607941E-2</v>
      </c>
      <c r="K153" s="2"/>
      <c r="L153" s="2">
        <f t="shared" si="35"/>
        <v>-6096.75</v>
      </c>
      <c r="M153" s="2"/>
      <c r="N153" s="19">
        <f t="shared" si="36"/>
        <v>-0.9933200276974461</v>
      </c>
      <c r="O153" s="10"/>
      <c r="P153" s="2">
        <v>55405.33</v>
      </c>
      <c r="Q153" s="2"/>
      <c r="R153" s="19">
        <f t="shared" si="37"/>
        <v>7.7757246849440549E-3</v>
      </c>
      <c r="S153" s="2"/>
      <c r="T153" s="2">
        <v>30914.66</v>
      </c>
      <c r="U153" s="2"/>
      <c r="V153" s="19">
        <f t="shared" si="38"/>
        <v>2.7838384072729891E-3</v>
      </c>
      <c r="W153" s="2"/>
      <c r="X153" s="2">
        <f t="shared" si="39"/>
        <v>24490.670000000002</v>
      </c>
      <c r="Y153" s="2"/>
      <c r="Z153" s="19">
        <f t="shared" si="40"/>
        <v>0.7922024696373825</v>
      </c>
    </row>
    <row r="154" spans="1:26" s="23" customFormat="1" hidden="1" outlineLevel="1" x14ac:dyDescent="0.25">
      <c r="A154" s="44"/>
      <c r="B154" s="10" t="str">
        <f>CONCATENATE("          ", "5044", " - ", "PURCHASES @ COST-ACCESSORIES")</f>
        <v xml:space="preserve">          5044 - PURCHASES @ COST-ACCESSORIES</v>
      </c>
      <c r="C154" s="10"/>
      <c r="D154" s="2">
        <v>1490.88</v>
      </c>
      <c r="E154" s="2"/>
      <c r="F154" s="19">
        <f t="shared" si="33"/>
        <v>1.7712857878873151E-3</v>
      </c>
      <c r="G154" s="2"/>
      <c r="H154" s="2">
        <v>4380</v>
      </c>
      <c r="I154" s="2"/>
      <c r="J154" s="19">
        <f t="shared" si="34"/>
        <v>9.3504664335013286E-3</v>
      </c>
      <c r="K154" s="2"/>
      <c r="L154" s="2">
        <f t="shared" si="35"/>
        <v>-2889.12</v>
      </c>
      <c r="M154" s="2"/>
      <c r="N154" s="19">
        <f t="shared" si="36"/>
        <v>-0.65961643835616435</v>
      </c>
      <c r="O154" s="10"/>
      <c r="P154" s="2">
        <v>2555.71</v>
      </c>
      <c r="Q154" s="2"/>
      <c r="R154" s="19">
        <f t="shared" si="37"/>
        <v>3.586748302836274E-4</v>
      </c>
      <c r="S154" s="2"/>
      <c r="T154" s="2">
        <v>36474.03</v>
      </c>
      <c r="U154" s="2"/>
      <c r="V154" s="19">
        <f t="shared" si="38"/>
        <v>3.284454869697005E-3</v>
      </c>
      <c r="W154" s="2"/>
      <c r="X154" s="2">
        <f t="shared" si="39"/>
        <v>-33918.32</v>
      </c>
      <c r="Y154" s="2"/>
      <c r="Z154" s="19">
        <f t="shared" si="40"/>
        <v>-0.92993069315345744</v>
      </c>
    </row>
    <row r="155" spans="1:26" s="23" customFormat="1" hidden="1" outlineLevel="1" x14ac:dyDescent="0.25">
      <c r="A155" s="44"/>
      <c r="B155" s="10" t="str">
        <f>CONCATENATE("          ", "5045", " - ", "PURCHASES @ COST-SPECIAL ORDER")</f>
        <v xml:space="preserve">          5045 - PURCHASES @ COST-SPECIAL ORDER</v>
      </c>
      <c r="C155" s="10"/>
      <c r="D155" s="2">
        <v>5771.38</v>
      </c>
      <c r="E155" s="2"/>
      <c r="F155" s="19">
        <f t="shared" si="33"/>
        <v>6.8568653214860298E-3</v>
      </c>
      <c r="G155" s="2"/>
      <c r="H155" s="2">
        <v>4221.8999999999996</v>
      </c>
      <c r="I155" s="2"/>
      <c r="J155" s="19">
        <f t="shared" si="34"/>
        <v>9.012953021826314E-3</v>
      </c>
      <c r="K155" s="2"/>
      <c r="L155" s="2">
        <f t="shared" si="35"/>
        <v>1549.4800000000005</v>
      </c>
      <c r="M155" s="2"/>
      <c r="N155" s="19">
        <f t="shared" si="36"/>
        <v>0.36701011392974742</v>
      </c>
      <c r="O155" s="10"/>
      <c r="P155" s="2">
        <v>114998.07</v>
      </c>
      <c r="Q155" s="2"/>
      <c r="R155" s="19">
        <f t="shared" si="37"/>
        <v>1.6139121121017137E-2</v>
      </c>
      <c r="S155" s="2"/>
      <c r="T155" s="2">
        <v>61923.15</v>
      </c>
      <c r="U155" s="2"/>
      <c r="V155" s="19">
        <f t="shared" si="38"/>
        <v>5.5761261249299325E-3</v>
      </c>
      <c r="W155" s="2"/>
      <c r="X155" s="2">
        <f t="shared" si="39"/>
        <v>53074.920000000006</v>
      </c>
      <c r="Y155" s="2"/>
      <c r="Z155" s="19">
        <f t="shared" si="40"/>
        <v>0.85710949782108958</v>
      </c>
    </row>
    <row r="156" spans="1:26" s="23" customFormat="1" hidden="1" outlineLevel="1" x14ac:dyDescent="0.25">
      <c r="A156" s="44"/>
      <c r="B156" s="10" t="str">
        <f>CONCATENATE("          ", "5081", " - ", "PURCHASES @ COST-ELECTRONICS")</f>
        <v xml:space="preserve">          5081 - PURCHASES @ COST-ELECTRONICS</v>
      </c>
      <c r="C156" s="10"/>
      <c r="D156" s="2">
        <v>-19.5</v>
      </c>
      <c r="E156" s="2"/>
      <c r="F156" s="19">
        <f t="shared" si="33"/>
        <v>-2.3167574093020661E-5</v>
      </c>
      <c r="G156" s="2"/>
      <c r="H156" s="2">
        <v>-6200.47</v>
      </c>
      <c r="I156" s="2"/>
      <c r="J156" s="19">
        <f t="shared" si="34"/>
        <v>-1.323682342624018E-2</v>
      </c>
      <c r="K156" s="2"/>
      <c r="L156" s="2">
        <f t="shared" si="35"/>
        <v>6180.97</v>
      </c>
      <c r="M156" s="2"/>
      <c r="N156" s="19">
        <f t="shared" si="36"/>
        <v>-0.99685507711512189</v>
      </c>
      <c r="O156" s="10"/>
      <c r="P156" s="2">
        <v>32448.37</v>
      </c>
      <c r="Q156" s="2"/>
      <c r="R156" s="19">
        <f t="shared" si="37"/>
        <v>4.5538866313980641E-3</v>
      </c>
      <c r="S156" s="2"/>
      <c r="T156" s="2">
        <v>258832.17</v>
      </c>
      <c r="U156" s="2"/>
      <c r="V156" s="19">
        <f t="shared" si="38"/>
        <v>2.3307613148060225E-2</v>
      </c>
      <c r="W156" s="2"/>
      <c r="X156" s="2">
        <f t="shared" si="39"/>
        <v>-226383.80000000002</v>
      </c>
      <c r="Y156" s="2"/>
      <c r="Z156" s="19">
        <f t="shared" si="40"/>
        <v>-0.8746354829077081</v>
      </c>
    </row>
    <row r="157" spans="1:26" s="23" customFormat="1" hidden="1" outlineLevel="1" x14ac:dyDescent="0.25">
      <c r="A157" s="44"/>
      <c r="B157" s="10" t="str">
        <f>CONCATENATE("          ", "5082", " - ", "PURCHASES @ COST-COMPUTER HARD")</f>
        <v xml:space="preserve">          5082 - PURCHASES @ COST-COMPUTER HARD</v>
      </c>
      <c r="C157" s="10"/>
      <c r="D157" s="2">
        <v>277047.03999999998</v>
      </c>
      <c r="E157" s="2"/>
      <c r="F157" s="19">
        <f t="shared" si="33"/>
        <v>0.32915424751036199</v>
      </c>
      <c r="G157" s="2"/>
      <c r="H157" s="2">
        <v>119657.48</v>
      </c>
      <c r="I157" s="2"/>
      <c r="J157" s="19">
        <f t="shared" si="34"/>
        <v>0.25544594754734168</v>
      </c>
      <c r="K157" s="2"/>
      <c r="L157" s="2">
        <f t="shared" si="35"/>
        <v>157389.56</v>
      </c>
      <c r="M157" s="2"/>
      <c r="N157" s="19">
        <f t="shared" si="36"/>
        <v>1.315334068542978</v>
      </c>
      <c r="O157" s="10"/>
      <c r="P157" s="2">
        <v>1673340.8</v>
      </c>
      <c r="Q157" s="2"/>
      <c r="R157" s="19">
        <f t="shared" si="37"/>
        <v>0.23484089644234649</v>
      </c>
      <c r="S157" s="2"/>
      <c r="T157" s="2">
        <v>1500831.87</v>
      </c>
      <c r="U157" s="2"/>
      <c r="V157" s="19">
        <f t="shared" si="38"/>
        <v>0.13514861242418136</v>
      </c>
      <c r="W157" s="2"/>
      <c r="X157" s="2">
        <f t="shared" si="39"/>
        <v>172508.92999999993</v>
      </c>
      <c r="Y157" s="2"/>
      <c r="Z157" s="19">
        <f t="shared" si="40"/>
        <v>0.11494220868324173</v>
      </c>
    </row>
    <row r="158" spans="1:26" s="23" customFormat="1" hidden="1" outlineLevel="1" x14ac:dyDescent="0.25">
      <c r="A158" s="44"/>
      <c r="B158" s="10" t="str">
        <f>CONCATENATE("          ", "5083", " - ", "PURCHASES @ COST-COMPUTER EQUI")</f>
        <v xml:space="preserve">          5083 - PURCHASES @ COST-COMPUTER EQUI</v>
      </c>
      <c r="C158" s="10"/>
      <c r="D158" s="2">
        <v>14312.16</v>
      </c>
      <c r="E158" s="2"/>
      <c r="F158" s="19">
        <f t="shared" si="33"/>
        <v>1.700400139647008E-2</v>
      </c>
      <c r="G158" s="2"/>
      <c r="H158" s="2">
        <v>2539.54</v>
      </c>
      <c r="I158" s="2"/>
      <c r="J158" s="19">
        <f t="shared" si="34"/>
        <v>5.4214345950990787E-3</v>
      </c>
      <c r="K158" s="2"/>
      <c r="L158" s="2">
        <f t="shared" si="35"/>
        <v>11772.619999999999</v>
      </c>
      <c r="M158" s="2"/>
      <c r="N158" s="19">
        <f t="shared" si="36"/>
        <v>4.6357293053072599</v>
      </c>
      <c r="O158" s="10"/>
      <c r="P158" s="2">
        <v>119515.49</v>
      </c>
      <c r="Q158" s="2"/>
      <c r="R158" s="19">
        <f t="shared" si="37"/>
        <v>1.6773107313433282E-2</v>
      </c>
      <c r="S158" s="2"/>
      <c r="T158" s="2">
        <v>80412.33</v>
      </c>
      <c r="U158" s="2"/>
      <c r="V158" s="19">
        <f t="shared" si="38"/>
        <v>7.2410608000317645E-3</v>
      </c>
      <c r="W158" s="2"/>
      <c r="X158" s="2">
        <f t="shared" si="39"/>
        <v>39103.160000000003</v>
      </c>
      <c r="Y158" s="2"/>
      <c r="Z158" s="19">
        <f t="shared" si="40"/>
        <v>0.48628313593201444</v>
      </c>
    </row>
    <row r="159" spans="1:26" s="23" customFormat="1" hidden="1" outlineLevel="1" x14ac:dyDescent="0.25">
      <c r="A159" s="44"/>
      <c r="B159" s="10" t="str">
        <f>CONCATENATE("          ", "5084", " - ", "PURCHASES @ COST-SOFTWARE LICE")</f>
        <v xml:space="preserve">          5084 - PURCHASES @ COST-SOFTWARE LICE</v>
      </c>
      <c r="C159" s="10"/>
      <c r="D159" s="2"/>
      <c r="E159" s="2"/>
      <c r="F159" s="19">
        <f t="shared" si="33"/>
        <v>0</v>
      </c>
      <c r="G159" s="2"/>
      <c r="H159" s="2"/>
      <c r="I159" s="2"/>
      <c r="J159" s="19">
        <f t="shared" si="34"/>
        <v>0</v>
      </c>
      <c r="K159" s="2"/>
      <c r="L159" s="2">
        <f t="shared" si="35"/>
        <v>0</v>
      </c>
      <c r="M159" s="2"/>
      <c r="N159" s="19">
        <f t="shared" si="36"/>
        <v>0</v>
      </c>
      <c r="O159" s="10"/>
      <c r="P159" s="2"/>
      <c r="Q159" s="2"/>
      <c r="R159" s="19">
        <f t="shared" si="37"/>
        <v>0</v>
      </c>
      <c r="S159" s="2"/>
      <c r="T159" s="2">
        <v>2728</v>
      </c>
      <c r="U159" s="2"/>
      <c r="V159" s="19">
        <f t="shared" si="38"/>
        <v>2.4565404164369635E-4</v>
      </c>
      <c r="W159" s="2"/>
      <c r="X159" s="2">
        <f t="shared" si="39"/>
        <v>-2728</v>
      </c>
      <c r="Y159" s="2"/>
      <c r="Z159" s="19">
        <f t="shared" si="40"/>
        <v>-1</v>
      </c>
    </row>
    <row r="160" spans="1:26" s="23" customFormat="1" hidden="1" outlineLevel="1" x14ac:dyDescent="0.25">
      <c r="A160" s="44"/>
      <c r="B160" s="10" t="str">
        <f>CONCATENATE("          ", "5085", " - ", "PURCHASES @ COST-SOFTWARE")</f>
        <v xml:space="preserve">          5085 - PURCHASES @ COST-SOFTWARE</v>
      </c>
      <c r="C160" s="10"/>
      <c r="D160" s="2">
        <v>4012.17</v>
      </c>
      <c r="E160" s="2"/>
      <c r="F160" s="19">
        <f t="shared" si="33"/>
        <v>4.7667818332715233E-3</v>
      </c>
      <c r="G160" s="2"/>
      <c r="H160" s="2">
        <v>2504.11</v>
      </c>
      <c r="I160" s="2"/>
      <c r="J160" s="19">
        <f t="shared" si="34"/>
        <v>5.3457982878527431E-3</v>
      </c>
      <c r="K160" s="2"/>
      <c r="L160" s="2">
        <f t="shared" si="35"/>
        <v>1508.06</v>
      </c>
      <c r="M160" s="2"/>
      <c r="N160" s="19">
        <f t="shared" si="36"/>
        <v>0.60223392742331605</v>
      </c>
      <c r="O160" s="10"/>
      <c r="P160" s="2">
        <v>37910.879999999997</v>
      </c>
      <c r="Q160" s="2"/>
      <c r="R160" s="19">
        <f t="shared" si="37"/>
        <v>5.3205091539740281E-3</v>
      </c>
      <c r="S160" s="2"/>
      <c r="T160" s="2">
        <v>11666.5</v>
      </c>
      <c r="U160" s="2"/>
      <c r="V160" s="19">
        <f t="shared" si="38"/>
        <v>1.0505582393094514E-3</v>
      </c>
      <c r="W160" s="2"/>
      <c r="X160" s="2">
        <f t="shared" si="39"/>
        <v>26244.379999999997</v>
      </c>
      <c r="Y160" s="2"/>
      <c r="Z160" s="19">
        <f t="shared" si="40"/>
        <v>2.2495504221488876</v>
      </c>
    </row>
    <row r="161" spans="1:26" s="23" customFormat="1" hidden="1" outlineLevel="1" x14ac:dyDescent="0.25">
      <c r="A161" s="44"/>
      <c r="B161" s="10" t="str">
        <f>CONCATENATE("          ", "5086", " - ", "PURCHASES @ COST-COMPUTER SUPP")</f>
        <v xml:space="preserve">          5086 - PURCHASES @ COST-COMPUTER SUPP</v>
      </c>
      <c r="C161" s="10"/>
      <c r="D161" s="2">
        <v>28.4</v>
      </c>
      <c r="E161" s="2"/>
      <c r="F161" s="19">
        <f t="shared" si="33"/>
        <v>3.3741492525219835E-5</v>
      </c>
      <c r="G161" s="2"/>
      <c r="H161" s="2">
        <v>0</v>
      </c>
      <c r="I161" s="2"/>
      <c r="J161" s="19">
        <f t="shared" si="34"/>
        <v>0</v>
      </c>
      <c r="K161" s="2"/>
      <c r="L161" s="2">
        <f t="shared" si="35"/>
        <v>28.4</v>
      </c>
      <c r="M161" s="2"/>
      <c r="N161" s="19">
        <f t="shared" si="36"/>
        <v>0</v>
      </c>
      <c r="O161" s="10"/>
      <c r="P161" s="2">
        <v>23692.6</v>
      </c>
      <c r="Q161" s="2"/>
      <c r="R161" s="19">
        <f t="shared" si="37"/>
        <v>3.3250796389175104E-3</v>
      </c>
      <c r="S161" s="2"/>
      <c r="T161" s="2">
        <v>30376.77</v>
      </c>
      <c r="U161" s="2"/>
      <c r="V161" s="19">
        <f t="shared" si="38"/>
        <v>2.7354018777789538E-3</v>
      </c>
      <c r="W161" s="2"/>
      <c r="X161" s="2">
        <f t="shared" si="39"/>
        <v>-6684.1700000000019</v>
      </c>
      <c r="Y161" s="2"/>
      <c r="Z161" s="19">
        <f t="shared" si="40"/>
        <v>-0.22004215721421341</v>
      </c>
    </row>
    <row r="162" spans="1:26" s="23" customFormat="1" hidden="1" outlineLevel="1" x14ac:dyDescent="0.25">
      <c r="A162" s="44"/>
      <c r="B162" s="10" t="str">
        <f>CONCATENATE("          ", "5088", " - ", "PURCHASES @ COST-MUSIC")</f>
        <v xml:space="preserve">          5088 - PURCHASES @ COST-MUSIC</v>
      </c>
      <c r="C162" s="10"/>
      <c r="D162" s="2"/>
      <c r="E162" s="2"/>
      <c r="F162" s="19">
        <f t="shared" si="33"/>
        <v>0</v>
      </c>
      <c r="G162" s="2"/>
      <c r="H162" s="2"/>
      <c r="I162" s="2"/>
      <c r="J162" s="19">
        <f t="shared" si="34"/>
        <v>0</v>
      </c>
      <c r="K162" s="2"/>
      <c r="L162" s="2">
        <f t="shared" si="35"/>
        <v>0</v>
      </c>
      <c r="M162" s="2"/>
      <c r="N162" s="19">
        <f t="shared" si="36"/>
        <v>0</v>
      </c>
      <c r="O162" s="10"/>
      <c r="P162" s="2"/>
      <c r="Q162" s="2"/>
      <c r="R162" s="19">
        <f t="shared" si="37"/>
        <v>0</v>
      </c>
      <c r="S162" s="2"/>
      <c r="T162" s="2">
        <v>95.65</v>
      </c>
      <c r="U162" s="2"/>
      <c r="V162" s="19">
        <f t="shared" si="38"/>
        <v>8.6131998105643534E-6</v>
      </c>
      <c r="W162" s="2"/>
      <c r="X162" s="2">
        <f t="shared" si="39"/>
        <v>-95.65</v>
      </c>
      <c r="Y162" s="2"/>
      <c r="Z162" s="19">
        <f t="shared" si="40"/>
        <v>-1</v>
      </c>
    </row>
    <row r="163" spans="1:26" s="23" customFormat="1" hidden="1" outlineLevel="1" x14ac:dyDescent="0.25">
      <c r="A163" s="44"/>
      <c r="B163" s="10" t="str">
        <f>CONCATENATE("          ", "5092", " - ", "PURCHASES @ COST-GRAD MERCH")</f>
        <v xml:space="preserve">          5092 - PURCHASES @ COST-GRAD MERCH</v>
      </c>
      <c r="C163" s="10"/>
      <c r="D163" s="2"/>
      <c r="E163" s="2"/>
      <c r="F163" s="19">
        <f t="shared" si="33"/>
        <v>0</v>
      </c>
      <c r="G163" s="2"/>
      <c r="H163" s="2">
        <v>5539.35</v>
      </c>
      <c r="I163" s="2"/>
      <c r="J163" s="19">
        <f t="shared" si="34"/>
        <v>1.1825458045300363E-2</v>
      </c>
      <c r="K163" s="2"/>
      <c r="L163" s="2">
        <f t="shared" si="35"/>
        <v>-5539.35</v>
      </c>
      <c r="M163" s="2"/>
      <c r="N163" s="19">
        <f t="shared" si="36"/>
        <v>-1</v>
      </c>
      <c r="O163" s="10"/>
      <c r="P163" s="2">
        <v>0</v>
      </c>
      <c r="Q163" s="2"/>
      <c r="R163" s="19">
        <f t="shared" si="37"/>
        <v>0</v>
      </c>
      <c r="S163" s="2"/>
      <c r="T163" s="2">
        <v>8485.48</v>
      </c>
      <c r="U163" s="2"/>
      <c r="V163" s="19">
        <f t="shared" si="38"/>
        <v>7.6411013830159546E-4</v>
      </c>
      <c r="W163" s="2"/>
      <c r="X163" s="2">
        <f t="shared" si="39"/>
        <v>-8485.48</v>
      </c>
      <c r="Y163" s="2"/>
      <c r="Z163" s="19">
        <f t="shared" si="40"/>
        <v>-1</v>
      </c>
    </row>
    <row r="164" spans="1:26" s="23" customFormat="1" hidden="1" outlineLevel="1" x14ac:dyDescent="0.25">
      <c r="A164" s="44"/>
      <c r="B164" s="10" t="str">
        <f>CONCATENATE("          ", "5095", " - ", "PURCHASES @ COST-CUSTOMER SERV")</f>
        <v xml:space="preserve">          5095 - PURCHASES @ COST-CUSTOMER SERV</v>
      </c>
      <c r="C164" s="10"/>
      <c r="D164" s="2"/>
      <c r="E164" s="2"/>
      <c r="F164" s="19">
        <f t="shared" si="33"/>
        <v>0</v>
      </c>
      <c r="G164" s="2"/>
      <c r="H164" s="2"/>
      <c r="I164" s="2"/>
      <c r="J164" s="19">
        <f t="shared" si="34"/>
        <v>0</v>
      </c>
      <c r="K164" s="2"/>
      <c r="L164" s="2">
        <f t="shared" si="35"/>
        <v>0</v>
      </c>
      <c r="M164" s="2"/>
      <c r="N164" s="19">
        <f t="shared" si="36"/>
        <v>0</v>
      </c>
      <c r="O164" s="10"/>
      <c r="P164" s="2"/>
      <c r="Q164" s="2"/>
      <c r="R164" s="19">
        <f t="shared" si="37"/>
        <v>0</v>
      </c>
      <c r="S164" s="2"/>
      <c r="T164" s="2">
        <v>0</v>
      </c>
      <c r="U164" s="2"/>
      <c r="V164" s="19">
        <f t="shared" si="38"/>
        <v>0</v>
      </c>
      <c r="W164" s="2"/>
      <c r="X164" s="2">
        <f t="shared" si="39"/>
        <v>0</v>
      </c>
      <c r="Y164" s="2"/>
      <c r="Z164" s="19">
        <f t="shared" si="40"/>
        <v>0</v>
      </c>
    </row>
    <row r="165" spans="1:26" s="23" customFormat="1" hidden="1" outlineLevel="1" x14ac:dyDescent="0.25">
      <c r="A165" s="44"/>
      <c r="B165" s="10" t="str">
        <f>CONCATENATE("          ", "5200", " - ", "PURCHASES OFFSET")</f>
        <v xml:space="preserve">          5200 - PURCHASES OFFSET</v>
      </c>
      <c r="C165" s="10"/>
      <c r="D165" s="2">
        <v>-216816.48</v>
      </c>
      <c r="E165" s="2"/>
      <c r="F165" s="19">
        <f t="shared" si="33"/>
        <v>-0.25759548025579143</v>
      </c>
      <c r="G165" s="2"/>
      <c r="H165" s="2">
        <v>-169098</v>
      </c>
      <c r="I165" s="2"/>
      <c r="J165" s="19">
        <f t="shared" si="34"/>
        <v>-0.36099204862379169</v>
      </c>
      <c r="K165" s="2"/>
      <c r="L165" s="2">
        <f t="shared" si="35"/>
        <v>-47718.48000000001</v>
      </c>
      <c r="M165" s="2"/>
      <c r="N165" s="19">
        <f t="shared" si="36"/>
        <v>0.28219423056452475</v>
      </c>
      <c r="O165" s="10"/>
      <c r="P165" s="2">
        <v>-3568766.21</v>
      </c>
      <c r="Q165" s="2"/>
      <c r="R165" s="19">
        <f t="shared" si="37"/>
        <v>-0.50084971091935082</v>
      </c>
      <c r="S165" s="2"/>
      <c r="T165" s="2">
        <v>-5300591</v>
      </c>
      <c r="U165" s="2"/>
      <c r="V165" s="19">
        <f t="shared" si="38"/>
        <v>-0.47731363718849051</v>
      </c>
      <c r="W165" s="2"/>
      <c r="X165" s="2">
        <f t="shared" si="39"/>
        <v>1731824.79</v>
      </c>
      <c r="Y165" s="2"/>
      <c r="Z165" s="19">
        <f t="shared" si="40"/>
        <v>-0.3267229616471069</v>
      </c>
    </row>
    <row r="166" spans="1:26" s="23" customFormat="1" hidden="1" outlineLevel="1" x14ac:dyDescent="0.25">
      <c r="A166" s="44"/>
      <c r="B166" s="10" t="str">
        <f>CONCATENATE("          ", "5300", " - ", "COG$ OFFSET")</f>
        <v xml:space="preserve">          5300 - COG$ OFFSET</v>
      </c>
      <c r="C166" s="10"/>
      <c r="D166" s="2">
        <v>592301</v>
      </c>
      <c r="E166" s="2"/>
      <c r="F166" s="19">
        <f t="shared" si="33"/>
        <v>0.70370140014719129</v>
      </c>
      <c r="G166" s="2"/>
      <c r="H166" s="2">
        <v>320186</v>
      </c>
      <c r="I166" s="2"/>
      <c r="J166" s="19">
        <f t="shared" si="34"/>
        <v>0.68353617476645123</v>
      </c>
      <c r="K166" s="2"/>
      <c r="L166" s="2">
        <f t="shared" si="35"/>
        <v>272115</v>
      </c>
      <c r="M166" s="2"/>
      <c r="N166" s="19">
        <f t="shared" si="36"/>
        <v>0.84986539074163148</v>
      </c>
      <c r="O166" s="10"/>
      <c r="P166" s="2">
        <v>4630385</v>
      </c>
      <c r="Q166" s="2"/>
      <c r="R166" s="19">
        <f t="shared" si="37"/>
        <v>0.64983998733144765</v>
      </c>
      <c r="S166" s="2"/>
      <c r="T166" s="2">
        <v>5919893.4699999997</v>
      </c>
      <c r="U166" s="2"/>
      <c r="V166" s="19">
        <f t="shared" si="38"/>
        <v>0.53308128922493625</v>
      </c>
      <c r="W166" s="2"/>
      <c r="X166" s="2">
        <f t="shared" si="39"/>
        <v>-1289508.4699999997</v>
      </c>
      <c r="Y166" s="2"/>
      <c r="Z166" s="19">
        <f t="shared" si="40"/>
        <v>-0.21782629645867593</v>
      </c>
    </row>
    <row r="167" spans="1:26" s="23" customFormat="1" hidden="1" outlineLevel="1" x14ac:dyDescent="0.25">
      <c r="A167" s="44"/>
      <c r="B167" s="10" t="str">
        <f>CONCATENATE("          ", "5500", " - ", "FREIGHT-IN")</f>
        <v xml:space="preserve">          5500 - FREIGHT-IN</v>
      </c>
      <c r="C167" s="10"/>
      <c r="D167" s="2"/>
      <c r="E167" s="2"/>
      <c r="F167" s="19">
        <f t="shared" si="33"/>
        <v>0</v>
      </c>
      <c r="G167" s="2"/>
      <c r="H167" s="2"/>
      <c r="I167" s="2"/>
      <c r="J167" s="19">
        <f t="shared" si="34"/>
        <v>0</v>
      </c>
      <c r="K167" s="2"/>
      <c r="L167" s="2">
        <f t="shared" si="35"/>
        <v>0</v>
      </c>
      <c r="M167" s="2"/>
      <c r="N167" s="19">
        <f t="shared" si="36"/>
        <v>0</v>
      </c>
      <c r="O167" s="10"/>
      <c r="P167" s="2">
        <v>0</v>
      </c>
      <c r="Q167" s="2"/>
      <c r="R167" s="19">
        <f t="shared" si="37"/>
        <v>0</v>
      </c>
      <c r="S167" s="2"/>
      <c r="T167" s="2">
        <v>156.47999999999999</v>
      </c>
      <c r="U167" s="2"/>
      <c r="V167" s="19">
        <f t="shared" si="38"/>
        <v>1.4090888723022582E-5</v>
      </c>
      <c r="W167" s="2"/>
      <c r="X167" s="2">
        <f t="shared" si="39"/>
        <v>-156.47999999999999</v>
      </c>
      <c r="Y167" s="2"/>
      <c r="Z167" s="19">
        <f t="shared" si="40"/>
        <v>-1</v>
      </c>
    </row>
    <row r="168" spans="1:26" s="23" customFormat="1" hidden="1" outlineLevel="1" x14ac:dyDescent="0.25">
      <c r="A168" s="44"/>
      <c r="B168" s="10" t="str">
        <f>CONCATENATE("          ", "5501", " - ", "FREIGHT-IN-NEW TEXT")</f>
        <v xml:space="preserve">          5501 - FREIGHT-IN-NEW TEXT</v>
      </c>
      <c r="C168" s="10"/>
      <c r="D168" s="2">
        <v>271.27</v>
      </c>
      <c r="E168" s="2"/>
      <c r="F168" s="19">
        <f t="shared" si="33"/>
        <v>3.2229065765198537E-4</v>
      </c>
      <c r="G168" s="2"/>
      <c r="H168" s="2">
        <v>2428.4</v>
      </c>
      <c r="I168" s="2"/>
      <c r="J168" s="19">
        <f t="shared" si="34"/>
        <v>5.1841718463732029E-3</v>
      </c>
      <c r="K168" s="2"/>
      <c r="L168" s="2">
        <f t="shared" si="35"/>
        <v>-2157.13</v>
      </c>
      <c r="M168" s="2"/>
      <c r="N168" s="19">
        <f t="shared" si="36"/>
        <v>-0.88829270301433039</v>
      </c>
      <c r="O168" s="10"/>
      <c r="P168" s="2">
        <v>50313.73</v>
      </c>
      <c r="Q168" s="2"/>
      <c r="R168" s="19">
        <f t="shared" si="37"/>
        <v>7.0611566134992833E-3</v>
      </c>
      <c r="S168" s="2"/>
      <c r="T168" s="2">
        <v>69768.95</v>
      </c>
      <c r="U168" s="2"/>
      <c r="V168" s="19">
        <f t="shared" si="38"/>
        <v>6.282633632234959E-3</v>
      </c>
      <c r="W168" s="2"/>
      <c r="X168" s="2">
        <f t="shared" si="39"/>
        <v>-19455.219999999994</v>
      </c>
      <c r="Y168" s="2"/>
      <c r="Z168" s="19">
        <f t="shared" si="40"/>
        <v>-0.27885212547988747</v>
      </c>
    </row>
    <row r="169" spans="1:26" s="23" customFormat="1" hidden="1" outlineLevel="1" x14ac:dyDescent="0.25">
      <c r="A169" s="44"/>
      <c r="B169" s="10" t="str">
        <f>CONCATENATE("          ", "5502", " - ", "FREIGHT-IN-USED TEXT")</f>
        <v xml:space="preserve">          5502 - FREIGHT-IN-USED TEXT</v>
      </c>
      <c r="C169" s="10"/>
      <c r="D169" s="2">
        <v>58.77</v>
      </c>
      <c r="E169" s="2"/>
      <c r="F169" s="19">
        <f t="shared" si="33"/>
        <v>6.982350407419612E-5</v>
      </c>
      <c r="G169" s="2"/>
      <c r="H169" s="2">
        <v>36.700000000000003</v>
      </c>
      <c r="I169" s="2"/>
      <c r="J169" s="19">
        <f t="shared" si="34"/>
        <v>7.8347515550113885E-5</v>
      </c>
      <c r="K169" s="2"/>
      <c r="L169" s="2">
        <f t="shared" si="35"/>
        <v>22.07</v>
      </c>
      <c r="M169" s="2"/>
      <c r="N169" s="19">
        <f t="shared" si="36"/>
        <v>0.60136239782016343</v>
      </c>
      <c r="O169" s="10"/>
      <c r="P169" s="2">
        <v>17858.900000000001</v>
      </c>
      <c r="Q169" s="2"/>
      <c r="R169" s="19">
        <f t="shared" si="37"/>
        <v>2.506363369299441E-3</v>
      </c>
      <c r="S169" s="2"/>
      <c r="T169" s="2">
        <v>15301.34</v>
      </c>
      <c r="U169" s="2"/>
      <c r="V169" s="19">
        <f t="shared" si="38"/>
        <v>1.3778724389898668E-3</v>
      </c>
      <c r="W169" s="2"/>
      <c r="X169" s="2">
        <f t="shared" si="39"/>
        <v>2557.5600000000013</v>
      </c>
      <c r="Y169" s="2"/>
      <c r="Z169" s="19">
        <f t="shared" si="40"/>
        <v>0.16714614537027483</v>
      </c>
    </row>
    <row r="170" spans="1:26" s="23" customFormat="1" hidden="1" outlineLevel="1" x14ac:dyDescent="0.25">
      <c r="A170" s="44"/>
      <c r="B170" s="10" t="str">
        <f>CONCATENATE("          ", "5504", " - ", "FREIGHT-IN-DIGITAL TEXT")</f>
        <v xml:space="preserve">          5504 - FREIGHT-IN-DIGITAL TEXT</v>
      </c>
      <c r="C170" s="10"/>
      <c r="D170" s="2"/>
      <c r="E170" s="2"/>
      <c r="F170" s="19">
        <f t="shared" si="33"/>
        <v>0</v>
      </c>
      <c r="G170" s="2"/>
      <c r="H170" s="2"/>
      <c r="I170" s="2"/>
      <c r="J170" s="19">
        <f t="shared" si="34"/>
        <v>0</v>
      </c>
      <c r="K170" s="2"/>
      <c r="L170" s="2">
        <f t="shared" si="35"/>
        <v>0</v>
      </c>
      <c r="M170" s="2"/>
      <c r="N170" s="19">
        <f t="shared" si="36"/>
        <v>0</v>
      </c>
      <c r="O170" s="10"/>
      <c r="P170" s="2">
        <v>28.92</v>
      </c>
      <c r="Q170" s="2"/>
      <c r="R170" s="19">
        <f t="shared" si="37"/>
        <v>4.0587062271550786E-6</v>
      </c>
      <c r="S170" s="2"/>
      <c r="T170" s="2">
        <v>118.75</v>
      </c>
      <c r="U170" s="2"/>
      <c r="V170" s="19">
        <f t="shared" si="38"/>
        <v>1.0693334840611783E-5</v>
      </c>
      <c r="W170" s="2"/>
      <c r="X170" s="2">
        <f t="shared" si="39"/>
        <v>-89.83</v>
      </c>
      <c r="Y170" s="2"/>
      <c r="Z170" s="19">
        <f t="shared" si="40"/>
        <v>-0.75646315789473684</v>
      </c>
    </row>
    <row r="171" spans="1:26" s="23" customFormat="1" hidden="1" outlineLevel="1" x14ac:dyDescent="0.25">
      <c r="A171" s="44"/>
      <c r="B171" s="10" t="str">
        <f>CONCATENATE("          ", "5513", " - ", "FREIGHT-IN-TRADE BOOKS")</f>
        <v xml:space="preserve">          5513 - FREIGHT-IN-TRADE BOOKS</v>
      </c>
      <c r="C171" s="10"/>
      <c r="D171" s="2"/>
      <c r="E171" s="2"/>
      <c r="F171" s="19">
        <f t="shared" si="33"/>
        <v>0</v>
      </c>
      <c r="G171" s="2"/>
      <c r="H171" s="2"/>
      <c r="I171" s="2"/>
      <c r="J171" s="19">
        <f t="shared" si="34"/>
        <v>0</v>
      </c>
      <c r="K171" s="2"/>
      <c r="L171" s="2">
        <f t="shared" si="35"/>
        <v>0</v>
      </c>
      <c r="M171" s="2"/>
      <c r="N171" s="19">
        <f t="shared" si="36"/>
        <v>0</v>
      </c>
      <c r="O171" s="10"/>
      <c r="P171" s="2">
        <v>85.28</v>
      </c>
      <c r="Q171" s="2"/>
      <c r="R171" s="19">
        <f t="shared" si="37"/>
        <v>1.1968411723782332E-5</v>
      </c>
      <c r="S171" s="2"/>
      <c r="T171" s="2">
        <v>30.24</v>
      </c>
      <c r="U171" s="2"/>
      <c r="V171" s="19">
        <f t="shared" si="38"/>
        <v>2.7230858575166338E-6</v>
      </c>
      <c r="W171" s="2"/>
      <c r="X171" s="2">
        <f t="shared" si="39"/>
        <v>55.040000000000006</v>
      </c>
      <c r="Y171" s="2"/>
      <c r="Z171" s="19">
        <f t="shared" si="40"/>
        <v>1.8201058201058204</v>
      </c>
    </row>
    <row r="172" spans="1:26" s="23" customFormat="1" hidden="1" outlineLevel="1" x14ac:dyDescent="0.25">
      <c r="A172" s="44"/>
      <c r="B172" s="10" t="str">
        <f>CONCATENATE("          ", "5518", " - ", "FREIGHT-IN-STUDY GUIDES")</f>
        <v xml:space="preserve">          5518 - FREIGHT-IN-STUDY GUIDES</v>
      </c>
      <c r="C172" s="10"/>
      <c r="D172" s="2"/>
      <c r="E172" s="2"/>
      <c r="F172" s="19">
        <f t="shared" si="33"/>
        <v>0</v>
      </c>
      <c r="G172" s="2"/>
      <c r="H172" s="2"/>
      <c r="I172" s="2"/>
      <c r="J172" s="19">
        <f t="shared" si="34"/>
        <v>0</v>
      </c>
      <c r="K172" s="2"/>
      <c r="L172" s="2">
        <f t="shared" si="35"/>
        <v>0</v>
      </c>
      <c r="M172" s="2"/>
      <c r="N172" s="19">
        <f t="shared" si="36"/>
        <v>0</v>
      </c>
      <c r="O172" s="10"/>
      <c r="P172" s="2"/>
      <c r="Q172" s="2"/>
      <c r="R172" s="19">
        <f t="shared" si="37"/>
        <v>0</v>
      </c>
      <c r="S172" s="2"/>
      <c r="T172" s="2">
        <v>21.13</v>
      </c>
      <c r="U172" s="2"/>
      <c r="V172" s="19">
        <f t="shared" si="38"/>
        <v>1.9027382331126481E-6</v>
      </c>
      <c r="W172" s="2"/>
      <c r="X172" s="2">
        <f t="shared" si="39"/>
        <v>-21.13</v>
      </c>
      <c r="Y172" s="2"/>
      <c r="Z172" s="19">
        <f t="shared" si="40"/>
        <v>-1</v>
      </c>
    </row>
    <row r="173" spans="1:26" s="23" customFormat="1" hidden="1" outlineLevel="1" x14ac:dyDescent="0.25">
      <c r="A173" s="44"/>
      <c r="B173" s="10" t="str">
        <f>CONCATENATE("          ", "5525", " - ", "FREIGHT-IN-TEST FORMS")</f>
        <v xml:space="preserve">          5525 - FREIGHT-IN-TEST FORMS</v>
      </c>
      <c r="C173" s="10"/>
      <c r="D173" s="2"/>
      <c r="E173" s="2"/>
      <c r="F173" s="19">
        <f t="shared" si="33"/>
        <v>0</v>
      </c>
      <c r="G173" s="2"/>
      <c r="H173" s="2"/>
      <c r="I173" s="2"/>
      <c r="J173" s="19">
        <f t="shared" si="34"/>
        <v>0</v>
      </c>
      <c r="K173" s="2"/>
      <c r="L173" s="2">
        <f t="shared" si="35"/>
        <v>0</v>
      </c>
      <c r="M173" s="2"/>
      <c r="N173" s="19">
        <f t="shared" si="36"/>
        <v>0</v>
      </c>
      <c r="O173" s="10"/>
      <c r="P173" s="2">
        <v>48.14</v>
      </c>
      <c r="Q173" s="2"/>
      <c r="R173" s="19">
        <f t="shared" si="37"/>
        <v>6.7560898262533007E-6</v>
      </c>
      <c r="S173" s="2"/>
      <c r="T173" s="2">
        <v>1237.22</v>
      </c>
      <c r="U173" s="2"/>
      <c r="V173" s="19">
        <f t="shared" si="38"/>
        <v>1.114105914231723E-4</v>
      </c>
      <c r="W173" s="2"/>
      <c r="X173" s="2">
        <f t="shared" si="39"/>
        <v>-1189.08</v>
      </c>
      <c r="Y173" s="2"/>
      <c r="Z173" s="19">
        <f t="shared" si="40"/>
        <v>-0.9610901860623009</v>
      </c>
    </row>
    <row r="174" spans="1:26" s="23" customFormat="1" hidden="1" outlineLevel="1" x14ac:dyDescent="0.25">
      <c r="A174" s="44"/>
      <c r="B174" s="10" t="str">
        <f>CONCATENATE("          ", "5526", " - ", "FREIGHT-IN-WRITING INSTRUMENTS")</f>
        <v xml:space="preserve">          5526 - FREIGHT-IN-WRITING INSTRUMENTS</v>
      </c>
      <c r="C174" s="10"/>
      <c r="D174" s="2"/>
      <c r="E174" s="2"/>
      <c r="F174" s="19">
        <f t="shared" si="33"/>
        <v>0</v>
      </c>
      <c r="G174" s="2"/>
      <c r="H174" s="2"/>
      <c r="I174" s="2"/>
      <c r="J174" s="19">
        <f t="shared" si="34"/>
        <v>0</v>
      </c>
      <c r="K174" s="2"/>
      <c r="L174" s="2">
        <f t="shared" si="35"/>
        <v>0</v>
      </c>
      <c r="M174" s="2"/>
      <c r="N174" s="19">
        <f t="shared" si="36"/>
        <v>0</v>
      </c>
      <c r="O174" s="10"/>
      <c r="P174" s="2">
        <v>0</v>
      </c>
      <c r="Q174" s="2"/>
      <c r="R174" s="19">
        <f t="shared" si="37"/>
        <v>0</v>
      </c>
      <c r="S174" s="2"/>
      <c r="T174" s="2">
        <v>260.35000000000002</v>
      </c>
      <c r="U174" s="2"/>
      <c r="V174" s="19">
        <f t="shared" si="38"/>
        <v>2.3444292427396023E-5</v>
      </c>
      <c r="W174" s="2"/>
      <c r="X174" s="2">
        <f t="shared" si="39"/>
        <v>-260.35000000000002</v>
      </c>
      <c r="Y174" s="2"/>
      <c r="Z174" s="19">
        <f t="shared" si="40"/>
        <v>-1</v>
      </c>
    </row>
    <row r="175" spans="1:26" s="23" customFormat="1" hidden="1" outlineLevel="1" x14ac:dyDescent="0.25">
      <c r="A175" s="44"/>
      <c r="B175" s="10" t="str">
        <f>CONCATENATE("          ", "5527", " - ", "FREIGHT-IN-SCHOOL SUPPLIES")</f>
        <v xml:space="preserve">          5527 - FREIGHT-IN-SCHOOL SUPPLIES</v>
      </c>
      <c r="C175" s="10"/>
      <c r="D175" s="2"/>
      <c r="E175" s="2"/>
      <c r="F175" s="19">
        <f t="shared" si="33"/>
        <v>0</v>
      </c>
      <c r="G175" s="2"/>
      <c r="H175" s="2"/>
      <c r="I175" s="2"/>
      <c r="J175" s="19">
        <f t="shared" si="34"/>
        <v>0</v>
      </c>
      <c r="K175" s="2"/>
      <c r="L175" s="2">
        <f t="shared" si="35"/>
        <v>0</v>
      </c>
      <c r="M175" s="2"/>
      <c r="N175" s="19">
        <f t="shared" si="36"/>
        <v>0</v>
      </c>
      <c r="O175" s="10"/>
      <c r="P175" s="2">
        <v>218.62</v>
      </c>
      <c r="Q175" s="2"/>
      <c r="R175" s="19">
        <f t="shared" si="37"/>
        <v>3.068168587069997E-5</v>
      </c>
      <c r="S175" s="2"/>
      <c r="T175" s="2">
        <v>2058.91</v>
      </c>
      <c r="U175" s="2"/>
      <c r="V175" s="19">
        <f t="shared" si="38"/>
        <v>1.8540306557207582E-4</v>
      </c>
      <c r="W175" s="2"/>
      <c r="X175" s="2">
        <f t="shared" si="39"/>
        <v>-1840.29</v>
      </c>
      <c r="Y175" s="2"/>
      <c r="Z175" s="19">
        <f t="shared" si="40"/>
        <v>-0.89381760251783715</v>
      </c>
    </row>
    <row r="176" spans="1:26" s="23" customFormat="1" hidden="1" outlineLevel="1" x14ac:dyDescent="0.25">
      <c r="A176" s="44"/>
      <c r="B176" s="10" t="str">
        <f>CONCATENATE("          ", "5528", " - ", "FREIGHT-IN-ART/TECH")</f>
        <v xml:space="preserve">          5528 - FREIGHT-IN-ART/TECH</v>
      </c>
      <c r="C176" s="10"/>
      <c r="D176" s="2">
        <v>89.22</v>
      </c>
      <c r="E176" s="2"/>
      <c r="F176" s="19">
        <f t="shared" si="33"/>
        <v>1.0600056208098991E-4</v>
      </c>
      <c r="G176" s="2"/>
      <c r="H176" s="2">
        <v>576.6</v>
      </c>
      <c r="I176" s="2"/>
      <c r="J176" s="19">
        <f t="shared" si="34"/>
        <v>1.2309312661088736E-3</v>
      </c>
      <c r="K176" s="2"/>
      <c r="L176" s="2">
        <f t="shared" si="35"/>
        <v>-487.38</v>
      </c>
      <c r="M176" s="2"/>
      <c r="N176" s="19">
        <f t="shared" si="36"/>
        <v>-0.8452653485952133</v>
      </c>
      <c r="O176" s="10"/>
      <c r="P176" s="2">
        <v>544.42999999999995</v>
      </c>
      <c r="Q176" s="2"/>
      <c r="R176" s="19">
        <f t="shared" si="37"/>
        <v>7.6406688494123055E-5</v>
      </c>
      <c r="S176" s="2"/>
      <c r="T176" s="2">
        <v>2844.12</v>
      </c>
      <c r="U176" s="2"/>
      <c r="V176" s="19">
        <f t="shared" si="38"/>
        <v>2.5611054725794343E-4</v>
      </c>
      <c r="W176" s="2"/>
      <c r="X176" s="2">
        <f t="shared" si="39"/>
        <v>-2299.69</v>
      </c>
      <c r="Y176" s="2"/>
      <c r="Z176" s="19">
        <f t="shared" si="40"/>
        <v>-0.80857699393837112</v>
      </c>
    </row>
    <row r="177" spans="1:26" s="23" customFormat="1" hidden="1" outlineLevel="1" x14ac:dyDescent="0.25">
      <c r="A177" s="44"/>
      <c r="B177" s="10" t="str">
        <f>CONCATENATE("          ", "5540", " - ", "FREIGHT-IN-LOGO CLOTHING")</f>
        <v xml:space="preserve">          5540 - FREIGHT-IN-LOGO CLOTHING</v>
      </c>
      <c r="C177" s="10"/>
      <c r="D177" s="2">
        <v>2107.65</v>
      </c>
      <c r="E177" s="2"/>
      <c r="F177" s="19">
        <f t="shared" si="33"/>
        <v>2.5040583352387178E-3</v>
      </c>
      <c r="G177" s="2"/>
      <c r="H177" s="2">
        <v>1044.9100000000001</v>
      </c>
      <c r="I177" s="2"/>
      <c r="J177" s="19">
        <f t="shared" si="34"/>
        <v>2.230683991102711E-3</v>
      </c>
      <c r="K177" s="2"/>
      <c r="L177" s="2">
        <f t="shared" si="35"/>
        <v>1062.74</v>
      </c>
      <c r="M177" s="2"/>
      <c r="N177" s="19">
        <f t="shared" si="36"/>
        <v>1.0170636705553588</v>
      </c>
      <c r="O177" s="10"/>
      <c r="P177" s="2">
        <v>9216.02</v>
      </c>
      <c r="Q177" s="2"/>
      <c r="R177" s="19">
        <f t="shared" si="37"/>
        <v>1.2933996460437671E-3</v>
      </c>
      <c r="S177" s="2"/>
      <c r="T177" s="2">
        <v>31703.3</v>
      </c>
      <c r="U177" s="2"/>
      <c r="V177" s="19">
        <f t="shared" si="38"/>
        <v>2.8548547574936212E-3</v>
      </c>
      <c r="W177" s="2"/>
      <c r="X177" s="2">
        <f t="shared" si="39"/>
        <v>-22487.279999999999</v>
      </c>
      <c r="Y177" s="2"/>
      <c r="Z177" s="19">
        <f t="shared" si="40"/>
        <v>-0.7093040787552084</v>
      </c>
    </row>
    <row r="178" spans="1:26" s="23" customFormat="1" hidden="1" outlineLevel="1" x14ac:dyDescent="0.25">
      <c r="A178" s="44"/>
      <c r="B178" s="10" t="str">
        <f>CONCATENATE("          ", "5541", " - ", "FREIGHT-IN-LOGO GIFTS")</f>
        <v xml:space="preserve">          5541 - FREIGHT-IN-LOGO GIFTS</v>
      </c>
      <c r="C178" s="10"/>
      <c r="D178" s="2">
        <v>2877.99</v>
      </c>
      <c r="E178" s="2"/>
      <c r="F178" s="19">
        <f t="shared" si="33"/>
        <v>3.4192844391780783E-3</v>
      </c>
      <c r="G178" s="2"/>
      <c r="H178" s="2">
        <v>186.99</v>
      </c>
      <c r="I178" s="2"/>
      <c r="J178" s="19">
        <f t="shared" si="34"/>
        <v>3.9918806356173826E-4</v>
      </c>
      <c r="K178" s="2"/>
      <c r="L178" s="2">
        <f t="shared" si="35"/>
        <v>2691</v>
      </c>
      <c r="M178" s="2"/>
      <c r="N178" s="19">
        <f t="shared" si="36"/>
        <v>14.391143911439114</v>
      </c>
      <c r="O178" s="10"/>
      <c r="P178" s="2">
        <v>5015.99</v>
      </c>
      <c r="Q178" s="2"/>
      <c r="R178" s="19">
        <f t="shared" si="37"/>
        <v>7.0395677207287682E-4</v>
      </c>
      <c r="S178" s="2"/>
      <c r="T178" s="2">
        <v>4882.9399999999996</v>
      </c>
      <c r="U178" s="2"/>
      <c r="V178" s="19">
        <f t="shared" si="38"/>
        <v>4.3970452569782649E-4</v>
      </c>
      <c r="W178" s="2"/>
      <c r="X178" s="2">
        <f t="shared" si="39"/>
        <v>133.05000000000018</v>
      </c>
      <c r="Y178" s="2"/>
      <c r="Z178" s="19">
        <f t="shared" si="40"/>
        <v>2.7247928502090991E-2</v>
      </c>
    </row>
    <row r="179" spans="1:26" s="23" customFormat="1" hidden="1" outlineLevel="1" x14ac:dyDescent="0.25">
      <c r="A179" s="44"/>
      <c r="B179" s="10" t="str">
        <f>CONCATENATE("          ", "5542", " - ", "FREIGHT-IN-EVERYDAY GIFTS")</f>
        <v xml:space="preserve">          5542 - FREIGHT-IN-EVERYDAY GIFTS</v>
      </c>
      <c r="C179" s="10"/>
      <c r="D179" s="2"/>
      <c r="E179" s="2"/>
      <c r="F179" s="19">
        <f t="shared" si="33"/>
        <v>0</v>
      </c>
      <c r="G179" s="2"/>
      <c r="H179" s="2">
        <v>45.1</v>
      </c>
      <c r="I179" s="2"/>
      <c r="J179" s="19">
        <f t="shared" si="34"/>
        <v>9.6279916929431503E-5</v>
      </c>
      <c r="K179" s="2"/>
      <c r="L179" s="2">
        <f t="shared" si="35"/>
        <v>-45.1</v>
      </c>
      <c r="M179" s="2"/>
      <c r="N179" s="19">
        <f t="shared" si="36"/>
        <v>-1</v>
      </c>
      <c r="O179" s="10"/>
      <c r="P179" s="2">
        <v>681.72</v>
      </c>
      <c r="Q179" s="2"/>
      <c r="R179" s="19">
        <f t="shared" si="37"/>
        <v>9.5674315669991698E-5</v>
      </c>
      <c r="S179" s="2"/>
      <c r="T179" s="2">
        <v>1839.04</v>
      </c>
      <c r="U179" s="2"/>
      <c r="V179" s="19">
        <f t="shared" si="38"/>
        <v>1.6560396214971529E-4</v>
      </c>
      <c r="W179" s="2"/>
      <c r="X179" s="2">
        <f t="shared" si="39"/>
        <v>-1157.32</v>
      </c>
      <c r="Y179" s="2"/>
      <c r="Z179" s="19">
        <f t="shared" si="40"/>
        <v>-0.62930659474508432</v>
      </c>
    </row>
    <row r="180" spans="1:26" s="23" customFormat="1" hidden="1" outlineLevel="1" x14ac:dyDescent="0.25">
      <c r="A180" s="44"/>
      <c r="B180" s="10" t="str">
        <f>CONCATENATE("          ", "5543", " - ", "FREIGHT-IN-CARDS")</f>
        <v xml:space="preserve">          5543 - FREIGHT-IN-CARDS</v>
      </c>
      <c r="C180" s="10"/>
      <c r="D180" s="2"/>
      <c r="E180" s="2"/>
      <c r="F180" s="19">
        <f t="shared" si="33"/>
        <v>0</v>
      </c>
      <c r="G180" s="2"/>
      <c r="H180" s="2"/>
      <c r="I180" s="2"/>
      <c r="J180" s="19">
        <f t="shared" si="34"/>
        <v>0</v>
      </c>
      <c r="K180" s="2"/>
      <c r="L180" s="2">
        <f t="shared" si="35"/>
        <v>0</v>
      </c>
      <c r="M180" s="2"/>
      <c r="N180" s="19">
        <f t="shared" si="36"/>
        <v>0</v>
      </c>
      <c r="O180" s="10"/>
      <c r="P180" s="2">
        <v>9110.5300000000007</v>
      </c>
      <c r="Q180" s="2"/>
      <c r="R180" s="19">
        <f t="shared" si="37"/>
        <v>1.2785949116073014E-3</v>
      </c>
      <c r="S180" s="2"/>
      <c r="T180" s="2">
        <v>2926.76</v>
      </c>
      <c r="U180" s="2"/>
      <c r="V180" s="19">
        <f t="shared" si="38"/>
        <v>2.6355220781565424E-4</v>
      </c>
      <c r="W180" s="2"/>
      <c r="X180" s="2">
        <f t="shared" si="39"/>
        <v>6183.77</v>
      </c>
      <c r="Y180" s="2"/>
      <c r="Z180" s="19">
        <f t="shared" si="40"/>
        <v>2.112838087168063</v>
      </c>
    </row>
    <row r="181" spans="1:26" s="23" customFormat="1" hidden="1" outlineLevel="1" x14ac:dyDescent="0.25">
      <c r="A181" s="44"/>
      <c r="B181" s="10" t="str">
        <f>CONCATENATE("          ", "5544", " - ", "FREIGHT-IN-ACCESSORIES")</f>
        <v xml:space="preserve">          5544 - FREIGHT-IN-ACCESSORIES</v>
      </c>
      <c r="C181" s="10"/>
      <c r="D181" s="2"/>
      <c r="E181" s="2"/>
      <c r="F181" s="19">
        <f t="shared" si="33"/>
        <v>0</v>
      </c>
      <c r="G181" s="2"/>
      <c r="H181" s="2"/>
      <c r="I181" s="2"/>
      <c r="J181" s="19">
        <f t="shared" si="34"/>
        <v>0</v>
      </c>
      <c r="K181" s="2"/>
      <c r="L181" s="2">
        <f t="shared" si="35"/>
        <v>0</v>
      </c>
      <c r="M181" s="2"/>
      <c r="N181" s="19">
        <f t="shared" si="36"/>
        <v>0</v>
      </c>
      <c r="O181" s="10"/>
      <c r="P181" s="2"/>
      <c r="Q181" s="2"/>
      <c r="R181" s="19">
        <f t="shared" si="37"/>
        <v>0</v>
      </c>
      <c r="S181" s="2"/>
      <c r="T181" s="2">
        <v>483.44</v>
      </c>
      <c r="U181" s="2"/>
      <c r="V181" s="19">
        <f t="shared" si="38"/>
        <v>4.3533354066066191E-5</v>
      </c>
      <c r="W181" s="2"/>
      <c r="X181" s="2">
        <f t="shared" si="39"/>
        <v>-483.44</v>
      </c>
      <c r="Y181" s="2"/>
      <c r="Z181" s="19">
        <f t="shared" si="40"/>
        <v>-1</v>
      </c>
    </row>
    <row r="182" spans="1:26" s="23" customFormat="1" hidden="1" outlineLevel="1" x14ac:dyDescent="0.25">
      <c r="A182" s="44"/>
      <c r="B182" s="10" t="str">
        <f>CONCATENATE("          ", "5545", " - ", "FREIGHT-IN-SPECIAL ORDERS")</f>
        <v xml:space="preserve">          5545 - FREIGHT-IN-SPECIAL ORDERS</v>
      </c>
      <c r="C182" s="10"/>
      <c r="D182" s="2">
        <v>168.6</v>
      </c>
      <c r="E182" s="2"/>
      <c r="F182" s="19">
        <f t="shared" si="33"/>
        <v>2.003104098504248E-4</v>
      </c>
      <c r="G182" s="2"/>
      <c r="H182" s="2">
        <v>17.190000000000001</v>
      </c>
      <c r="I182" s="2"/>
      <c r="J182" s="19">
        <f t="shared" si="34"/>
        <v>3.6697378536960699E-5</v>
      </c>
      <c r="K182" s="2"/>
      <c r="L182" s="2">
        <f t="shared" si="35"/>
        <v>151.41</v>
      </c>
      <c r="M182" s="2"/>
      <c r="N182" s="19">
        <f t="shared" si="36"/>
        <v>8.8080279232111689</v>
      </c>
      <c r="O182" s="10"/>
      <c r="P182" s="2">
        <v>1434.76</v>
      </c>
      <c r="Q182" s="2"/>
      <c r="R182" s="19">
        <f t="shared" si="37"/>
        <v>2.0135786121967564E-4</v>
      </c>
      <c r="S182" s="2"/>
      <c r="T182" s="2">
        <v>892.26</v>
      </c>
      <c r="U182" s="2"/>
      <c r="V182" s="19">
        <f t="shared" si="38"/>
        <v>8.0347241641130684E-5</v>
      </c>
      <c r="W182" s="2"/>
      <c r="X182" s="2">
        <f t="shared" si="39"/>
        <v>542.5</v>
      </c>
      <c r="Y182" s="2"/>
      <c r="Z182" s="19">
        <f t="shared" si="40"/>
        <v>0.60800663483737927</v>
      </c>
    </row>
    <row r="183" spans="1:26" s="23" customFormat="1" hidden="1" outlineLevel="1" x14ac:dyDescent="0.25">
      <c r="A183" s="44"/>
      <c r="B183" s="10" t="str">
        <f>CONCATENATE("          ", "5581", " - ", "FREIGHT-IN-ELECTRONICS")</f>
        <v xml:space="preserve">          5581 - FREIGHT-IN-ELECTRONICS</v>
      </c>
      <c r="C183" s="10"/>
      <c r="D183" s="2"/>
      <c r="E183" s="2"/>
      <c r="F183" s="19">
        <f t="shared" si="33"/>
        <v>0</v>
      </c>
      <c r="G183" s="2"/>
      <c r="H183" s="2"/>
      <c r="I183" s="2"/>
      <c r="J183" s="19">
        <f t="shared" si="34"/>
        <v>0</v>
      </c>
      <c r="K183" s="2"/>
      <c r="L183" s="2">
        <f t="shared" si="35"/>
        <v>0</v>
      </c>
      <c r="M183" s="2"/>
      <c r="N183" s="19">
        <f t="shared" si="36"/>
        <v>0</v>
      </c>
      <c r="O183" s="10"/>
      <c r="P183" s="2">
        <v>31</v>
      </c>
      <c r="Q183" s="2"/>
      <c r="R183" s="19">
        <f t="shared" si="37"/>
        <v>4.3506187082229399E-6</v>
      </c>
      <c r="S183" s="2"/>
      <c r="T183" s="2">
        <v>105.75</v>
      </c>
      <c r="U183" s="2"/>
      <c r="V183" s="19">
        <f t="shared" si="38"/>
        <v>9.5226960791132299E-6</v>
      </c>
      <c r="W183" s="2"/>
      <c r="X183" s="2">
        <f t="shared" si="39"/>
        <v>-74.75</v>
      </c>
      <c r="Y183" s="2"/>
      <c r="Z183" s="19">
        <f t="shared" si="40"/>
        <v>-0.70685579196217496</v>
      </c>
    </row>
    <row r="184" spans="1:26" s="23" customFormat="1" hidden="1" outlineLevel="1" x14ac:dyDescent="0.25">
      <c r="A184" s="44"/>
      <c r="B184" s="10" t="str">
        <f>CONCATENATE("          ", "5582", " - ", "FREIGHT-IN-COMPUTER HARDWARE")</f>
        <v xml:space="preserve">          5582 - FREIGHT-IN-COMPUTER HARDWARE</v>
      </c>
      <c r="C184" s="10"/>
      <c r="D184" s="2"/>
      <c r="E184" s="2"/>
      <c r="F184" s="19">
        <f t="shared" si="33"/>
        <v>0</v>
      </c>
      <c r="G184" s="2"/>
      <c r="H184" s="2"/>
      <c r="I184" s="2"/>
      <c r="J184" s="19">
        <f t="shared" si="34"/>
        <v>0</v>
      </c>
      <c r="K184" s="2"/>
      <c r="L184" s="2">
        <f t="shared" si="35"/>
        <v>0</v>
      </c>
      <c r="M184" s="2"/>
      <c r="N184" s="19">
        <f t="shared" si="36"/>
        <v>0</v>
      </c>
      <c r="O184" s="10"/>
      <c r="P184" s="2">
        <v>125</v>
      </c>
      <c r="Q184" s="2"/>
      <c r="R184" s="19">
        <f t="shared" si="37"/>
        <v>1.7542817371866692E-5</v>
      </c>
      <c r="S184" s="2"/>
      <c r="T184" s="2">
        <v>154.30000000000001</v>
      </c>
      <c r="U184" s="2"/>
      <c r="V184" s="19">
        <f t="shared" si="38"/>
        <v>1.3894581607632827E-5</v>
      </c>
      <c r="W184" s="2"/>
      <c r="X184" s="2">
        <f t="shared" si="39"/>
        <v>-29.300000000000011</v>
      </c>
      <c r="Y184" s="2"/>
      <c r="Z184" s="19">
        <f t="shared" si="40"/>
        <v>-0.18988982501620227</v>
      </c>
    </row>
    <row r="185" spans="1:26" s="23" customFormat="1" hidden="1" outlineLevel="1" x14ac:dyDescent="0.25">
      <c r="A185" s="44"/>
      <c r="B185" s="10" t="str">
        <f>CONCATENATE("          ", "5583", " - ", "FREIGHT-IN-COMPUTER EQUIPMENT")</f>
        <v xml:space="preserve">          5583 - FREIGHT-IN-COMPUTER EQUIPMENT</v>
      </c>
      <c r="C185" s="10"/>
      <c r="D185" s="2"/>
      <c r="E185" s="2"/>
      <c r="F185" s="19">
        <f t="shared" si="33"/>
        <v>0</v>
      </c>
      <c r="G185" s="2"/>
      <c r="H185" s="2">
        <v>39.049999999999997</v>
      </c>
      <c r="I185" s="2"/>
      <c r="J185" s="19">
        <f t="shared" si="34"/>
        <v>8.3364318316946773E-5</v>
      </c>
      <c r="K185" s="2"/>
      <c r="L185" s="2">
        <f t="shared" si="35"/>
        <v>-39.049999999999997</v>
      </c>
      <c r="M185" s="2"/>
      <c r="N185" s="19">
        <f t="shared" si="36"/>
        <v>-1</v>
      </c>
      <c r="O185" s="10"/>
      <c r="P185" s="2">
        <v>242.46</v>
      </c>
      <c r="Q185" s="2"/>
      <c r="R185" s="19">
        <f t="shared" si="37"/>
        <v>3.4027451999862389E-5</v>
      </c>
      <c r="S185" s="2"/>
      <c r="T185" s="2">
        <v>96.55</v>
      </c>
      <c r="U185" s="2"/>
      <c r="V185" s="19">
        <f t="shared" si="38"/>
        <v>8.6942440325142534E-6</v>
      </c>
      <c r="W185" s="2"/>
      <c r="X185" s="2">
        <f t="shared" si="39"/>
        <v>145.91000000000003</v>
      </c>
      <c r="Y185" s="2"/>
      <c r="Z185" s="19">
        <f t="shared" si="40"/>
        <v>1.5112377006732267</v>
      </c>
    </row>
    <row r="186" spans="1:26" s="23" customFormat="1" hidden="1" outlineLevel="1" x14ac:dyDescent="0.25">
      <c r="A186" s="44"/>
      <c r="B186" s="10" t="str">
        <f>CONCATENATE("          ", "5585", " - ", "FREIGHT-IN-SOFTWARE")</f>
        <v xml:space="preserve">          5585 - FREIGHT-IN-SOFTWARE</v>
      </c>
      <c r="C186" s="10"/>
      <c r="D186" s="2"/>
      <c r="E186" s="2"/>
      <c r="F186" s="19">
        <f t="shared" si="33"/>
        <v>0</v>
      </c>
      <c r="G186" s="2"/>
      <c r="H186" s="2"/>
      <c r="I186" s="2"/>
      <c r="J186" s="19">
        <f t="shared" si="34"/>
        <v>0</v>
      </c>
      <c r="K186" s="2"/>
      <c r="L186" s="2">
        <f t="shared" si="35"/>
        <v>0</v>
      </c>
      <c r="M186" s="2"/>
      <c r="N186" s="19">
        <f t="shared" si="36"/>
        <v>0</v>
      </c>
      <c r="O186" s="10"/>
      <c r="P186" s="2">
        <v>9.41</v>
      </c>
      <c r="Q186" s="2"/>
      <c r="R186" s="19">
        <f t="shared" si="37"/>
        <v>1.3206232917541247E-6</v>
      </c>
      <c r="S186" s="2"/>
      <c r="T186" s="2"/>
      <c r="U186" s="2"/>
      <c r="V186" s="19">
        <f t="shared" si="38"/>
        <v>0</v>
      </c>
      <c r="W186" s="2"/>
      <c r="X186" s="2">
        <f t="shared" si="39"/>
        <v>9.41</v>
      </c>
      <c r="Y186" s="2"/>
      <c r="Z186" s="19">
        <f t="shared" si="40"/>
        <v>0</v>
      </c>
    </row>
    <row r="187" spans="1:26" s="23" customFormat="1" hidden="1" outlineLevel="1" x14ac:dyDescent="0.25">
      <c r="A187" s="44"/>
      <c r="B187" s="10" t="str">
        <f>CONCATENATE("          ", "5586", " - ", "FREIGHT-IN-COMPUTER SUPPLIES")</f>
        <v xml:space="preserve">          5586 - FREIGHT-IN-COMPUTER SUPPLIES</v>
      </c>
      <c r="C187" s="10"/>
      <c r="D187" s="2"/>
      <c r="E187" s="2"/>
      <c r="F187" s="19">
        <f t="shared" si="33"/>
        <v>0</v>
      </c>
      <c r="G187" s="2"/>
      <c r="H187" s="2"/>
      <c r="I187" s="2"/>
      <c r="J187" s="19">
        <f t="shared" si="34"/>
        <v>0</v>
      </c>
      <c r="K187" s="2"/>
      <c r="L187" s="2">
        <f t="shared" si="35"/>
        <v>0</v>
      </c>
      <c r="M187" s="2"/>
      <c r="N187" s="19">
        <f t="shared" si="36"/>
        <v>0</v>
      </c>
      <c r="O187" s="10"/>
      <c r="P187" s="2">
        <v>24.12</v>
      </c>
      <c r="Q187" s="2"/>
      <c r="R187" s="19">
        <f t="shared" si="37"/>
        <v>3.3850620400753973E-6</v>
      </c>
      <c r="S187" s="2"/>
      <c r="T187" s="2">
        <v>301.27</v>
      </c>
      <c r="U187" s="2"/>
      <c r="V187" s="19">
        <f t="shared" si="38"/>
        <v>2.7129103052051465E-5</v>
      </c>
      <c r="W187" s="2"/>
      <c r="X187" s="2">
        <f t="shared" si="39"/>
        <v>-277.14999999999998</v>
      </c>
      <c r="Y187" s="2"/>
      <c r="Z187" s="19">
        <f t="shared" si="40"/>
        <v>-0.91993892521658316</v>
      </c>
    </row>
    <row r="188" spans="1:26" s="23" customFormat="1" hidden="1" outlineLevel="1" x14ac:dyDescent="0.25">
      <c r="A188" s="44"/>
      <c r="B188" s="10" t="str">
        <f>CONCATENATE("          ", "5592", " - ", "FREIGHT-IN-GRAD MERCH")</f>
        <v xml:space="preserve">          5592 - FREIGHT-IN-GRAD MERCH</v>
      </c>
      <c r="C188" s="10"/>
      <c r="D188" s="2"/>
      <c r="E188" s="2"/>
      <c r="F188" s="19">
        <f t="shared" si="33"/>
        <v>0</v>
      </c>
      <c r="G188" s="2"/>
      <c r="H188" s="2"/>
      <c r="I188" s="2"/>
      <c r="J188" s="19">
        <f t="shared" si="34"/>
        <v>0</v>
      </c>
      <c r="K188" s="2"/>
      <c r="L188" s="2">
        <f t="shared" si="35"/>
        <v>0</v>
      </c>
      <c r="M188" s="2"/>
      <c r="N188" s="19">
        <f t="shared" si="36"/>
        <v>0</v>
      </c>
      <c r="O188" s="10"/>
      <c r="P188" s="2">
        <v>0</v>
      </c>
      <c r="Q188" s="2"/>
      <c r="R188" s="19">
        <f t="shared" si="37"/>
        <v>0</v>
      </c>
      <c r="S188" s="2"/>
      <c r="T188" s="2">
        <v>118.73</v>
      </c>
      <c r="U188" s="2"/>
      <c r="V188" s="19">
        <f t="shared" si="38"/>
        <v>1.0691533857901786E-5</v>
      </c>
      <c r="W188" s="2"/>
      <c r="X188" s="2">
        <f t="shared" si="39"/>
        <v>-118.73</v>
      </c>
      <c r="Y188" s="2"/>
      <c r="Z188" s="19">
        <f t="shared" si="40"/>
        <v>-1</v>
      </c>
    </row>
    <row r="189" spans="1:26" x14ac:dyDescent="0.25">
      <c r="A189" s="9"/>
      <c r="B189" s="11"/>
      <c r="C189" s="11"/>
      <c r="D189" s="3"/>
      <c r="E189" s="3"/>
      <c r="F189" s="8"/>
      <c r="G189" s="3"/>
      <c r="H189" s="3"/>
      <c r="I189" s="3"/>
      <c r="J189" s="8"/>
      <c r="K189" s="3"/>
      <c r="L189" s="3"/>
      <c r="M189" s="3"/>
      <c r="N189" s="8"/>
      <c r="O189" s="11"/>
      <c r="P189" s="3"/>
      <c r="Q189" s="3"/>
      <c r="R189" s="8"/>
      <c r="S189" s="3"/>
      <c r="T189" s="3"/>
      <c r="U189" s="3"/>
      <c r="V189" s="8"/>
      <c r="W189" s="3"/>
      <c r="X189" s="3"/>
      <c r="Y189" s="3"/>
      <c r="Z189" s="8"/>
    </row>
    <row r="190" spans="1:26" s="24" customFormat="1" x14ac:dyDescent="0.25">
      <c r="A190" s="11"/>
      <c r="B190" s="29" t="s">
        <v>107</v>
      </c>
      <c r="C190" s="29"/>
      <c r="D190" s="20">
        <f>D12-D129</f>
        <v>249098.66000000003</v>
      </c>
      <c r="E190" s="14"/>
      <c r="F190" s="22">
        <f>IF(D$12=0,0,D190/D$12)</f>
        <v>0.29594931600113655</v>
      </c>
      <c r="G190" s="14"/>
      <c r="H190" s="20">
        <f>H12-H129</f>
        <v>131896.49000000005</v>
      </c>
      <c r="I190" s="14"/>
      <c r="J190" s="22">
        <f>IF(H$12=0,0,H190/H$12)</f>
        <v>0.28157390466704207</v>
      </c>
      <c r="K190" s="16"/>
      <c r="L190" s="20">
        <f>+D190-H190</f>
        <v>117202.16999999998</v>
      </c>
      <c r="M190" s="16"/>
      <c r="N190" s="22">
        <f>IF(H190=0,0,L190/H190)</f>
        <v>0.8885920315241137</v>
      </c>
      <c r="O190" s="28"/>
      <c r="P190" s="20">
        <f>P12-P129</f>
        <v>1947330.7299999967</v>
      </c>
      <c r="Q190" s="14"/>
      <c r="R190" s="22">
        <f>IF(P$12=0,0,P190/P$12)</f>
        <v>0.27329333887211033</v>
      </c>
      <c r="S190" s="14"/>
      <c r="T190" s="20">
        <f>T12-T129</f>
        <v>3980400.1499999994</v>
      </c>
      <c r="U190" s="14"/>
      <c r="V190" s="22">
        <f>IF(T$12=0,0,T190/T$12)</f>
        <v>0.35843159245112721</v>
      </c>
      <c r="W190" s="16"/>
      <c r="X190" s="20">
        <f>+P190-T190</f>
        <v>-2033069.4200000027</v>
      </c>
      <c r="Y190" s="16"/>
      <c r="Z190" s="22">
        <f>IF(T190=0,0,X190/T190)</f>
        <v>-0.51077010938209388</v>
      </c>
    </row>
    <row r="191" spans="1:26" x14ac:dyDescent="0.25">
      <c r="A191" s="9"/>
      <c r="B191" s="11"/>
      <c r="C191" s="9"/>
      <c r="D191" s="1"/>
      <c r="E191" s="1"/>
      <c r="F191" s="5"/>
      <c r="G191" s="1"/>
      <c r="H191" s="1"/>
      <c r="I191" s="1"/>
      <c r="J191" s="5"/>
      <c r="K191" s="1"/>
      <c r="L191" s="1"/>
      <c r="M191" s="1"/>
      <c r="N191" s="5"/>
      <c r="O191" s="37"/>
      <c r="P191" s="1"/>
      <c r="Q191" s="1"/>
      <c r="R191" s="5"/>
      <c r="S191" s="1"/>
      <c r="T191" s="1"/>
      <c r="U191" s="1"/>
      <c r="V191" s="5"/>
      <c r="W191" s="1"/>
      <c r="X191" s="1"/>
      <c r="Y191" s="1"/>
      <c r="Z191" s="5"/>
    </row>
    <row r="192" spans="1:26" s="24" customFormat="1" x14ac:dyDescent="0.25">
      <c r="A192" s="11"/>
      <c r="B192" s="28" t="s">
        <v>294</v>
      </c>
      <c r="C192" s="11"/>
      <c r="D192" s="21">
        <f>SUM(OSRRefD22x_0)</f>
        <v>269213.73999999993</v>
      </c>
      <c r="E192" s="21"/>
      <c r="F192" s="31">
        <f t="shared" ref="F192:F203" si="41">IF(D$12=0,0,D192/D$12)</f>
        <v>0.31984765478508709</v>
      </c>
      <c r="G192" s="21"/>
      <c r="H192" s="21">
        <f>SUM(OSRRefH22x_0)</f>
        <v>275902.98999999987</v>
      </c>
      <c r="I192" s="21"/>
      <c r="J192" s="31">
        <f t="shared" ref="J192:J203" si="42">IF(H$12=0,0,H192/H$12)</f>
        <v>0.5890003760040301</v>
      </c>
      <c r="K192" s="4"/>
      <c r="L192" s="21">
        <f t="shared" ref="L192:L203" si="43">+D192-H192</f>
        <v>-6689.2499999999418</v>
      </c>
      <c r="M192" s="4"/>
      <c r="N192" s="31">
        <f t="shared" ref="N192:N203" si="44">IF(H192=0,0,L192/H192)</f>
        <v>-2.4244934786679714E-2</v>
      </c>
      <c r="O192" s="11"/>
      <c r="P192" s="21">
        <f>SUM(OSRRefP22x_0)</f>
        <v>2776027.4299999997</v>
      </c>
      <c r="Q192" s="21"/>
      <c r="R192" s="31">
        <f t="shared" ref="R192:R203" si="45">IF(P$12=0,0,P192/P$12)</f>
        <v>0.38959473779025955</v>
      </c>
      <c r="S192" s="21"/>
      <c r="T192" s="21">
        <f>SUM(OSRRefT22x_0)</f>
        <v>3846683.3099999991</v>
      </c>
      <c r="U192" s="21"/>
      <c r="V192" s="31">
        <f t="shared" ref="V192:V203" si="46">IF(T$12=0,0,T192/T$12)</f>
        <v>0.34639050660735027</v>
      </c>
      <c r="W192" s="4"/>
      <c r="X192" s="21">
        <f t="shared" ref="X192:X203" si="47">+P192-T192</f>
        <v>-1070655.8799999994</v>
      </c>
      <c r="Y192" s="4"/>
      <c r="Z192" s="31">
        <f t="shared" ref="Z192:Z203" si="48">IF(T192=0,0,X192/T192)</f>
        <v>-0.27833221342050113</v>
      </c>
    </row>
    <row r="193" spans="1:26" s="26" customFormat="1" outlineLevel="1" collapsed="1" x14ac:dyDescent="0.25">
      <c r="A193" s="25"/>
      <c r="B193" s="12" t="str">
        <f>CONCATENATE("     ","*Benefits                                         ")</f>
        <v xml:space="preserve">     *Benefits                                         </v>
      </c>
      <c r="C193" s="12"/>
      <c r="D193" s="1">
        <f>SUM(OSRRefD22_0x_0)</f>
        <v>56964.56</v>
      </c>
      <c r="E193" s="1"/>
      <c r="F193" s="5">
        <f t="shared" si="41"/>
        <v>6.7678495614170303E-2</v>
      </c>
      <c r="G193" s="1"/>
      <c r="H193" s="1">
        <f>SUM(OSRRefH22_0x_0)</f>
        <v>27096.500000000004</v>
      </c>
      <c r="I193" s="1"/>
      <c r="J193" s="5">
        <f t="shared" si="42"/>
        <v>5.7845870711271417E-2</v>
      </c>
      <c r="K193" s="1"/>
      <c r="L193" s="1">
        <f t="shared" si="43"/>
        <v>29868.059999999994</v>
      </c>
      <c r="M193" s="1"/>
      <c r="N193" s="5">
        <f t="shared" si="44"/>
        <v>1.1022847969294924</v>
      </c>
      <c r="O193" s="12"/>
      <c r="P193" s="1">
        <f>SUM(OSRRefP22_0x_0)</f>
        <v>493440.38999999996</v>
      </c>
      <c r="Q193" s="1"/>
      <c r="R193" s="5">
        <f t="shared" si="45"/>
        <v>6.92506771653814E-2</v>
      </c>
      <c r="S193" s="1"/>
      <c r="T193" s="1">
        <f>SUM(OSRRefT22_0x_0)</f>
        <v>475027.00999999989</v>
      </c>
      <c r="U193" s="1"/>
      <c r="V193" s="5">
        <f t="shared" si="46"/>
        <v>4.2775771589596973E-2</v>
      </c>
      <c r="W193" s="1"/>
      <c r="X193" s="1">
        <f t="shared" si="47"/>
        <v>18413.380000000063</v>
      </c>
      <c r="Y193" s="1"/>
      <c r="Z193" s="5">
        <f t="shared" si="48"/>
        <v>3.8762806350737963E-2</v>
      </c>
    </row>
    <row r="194" spans="1:26" s="23" customFormat="1" hidden="1" outlineLevel="2" x14ac:dyDescent="0.25">
      <c r="A194" s="27"/>
      <c r="B194" s="10" t="str">
        <f>CONCATENATE("          ", "6111", " - ", "F.I.C.A.")</f>
        <v xml:space="preserve">          6111 - F.I.C.A.</v>
      </c>
      <c r="C194" s="10"/>
      <c r="D194" s="6">
        <v>11426.07</v>
      </c>
      <c r="E194" s="2"/>
      <c r="F194" s="7">
        <f t="shared" si="41"/>
        <v>1.3575093503437979E-2</v>
      </c>
      <c r="G194" s="2"/>
      <c r="H194" s="6">
        <v>8760.94</v>
      </c>
      <c r="I194" s="2"/>
      <c r="J194" s="7">
        <f t="shared" si="42"/>
        <v>1.8702939588109393E-2</v>
      </c>
      <c r="K194" s="2"/>
      <c r="L194" s="6">
        <f t="shared" si="43"/>
        <v>2665.1299999999992</v>
      </c>
      <c r="M194" s="2"/>
      <c r="N194" s="7">
        <f t="shared" si="44"/>
        <v>0.30420594137158785</v>
      </c>
      <c r="O194" s="10"/>
      <c r="P194" s="6">
        <v>94632.01</v>
      </c>
      <c r="Q194" s="2"/>
      <c r="R194" s="7">
        <f t="shared" si="45"/>
        <v>1.32808965517013E-2</v>
      </c>
      <c r="S194" s="2"/>
      <c r="T194" s="6">
        <v>100998.51</v>
      </c>
      <c r="U194" s="2"/>
      <c r="V194" s="7">
        <f t="shared" si="46"/>
        <v>9.0948285122768625E-3</v>
      </c>
      <c r="W194" s="2"/>
      <c r="X194" s="6">
        <f t="shared" si="47"/>
        <v>-6366.5</v>
      </c>
      <c r="Y194" s="2"/>
      <c r="Z194" s="7">
        <f t="shared" si="48"/>
        <v>-6.3035583396230305E-2</v>
      </c>
    </row>
    <row r="195" spans="1:26" s="23" customFormat="1" hidden="1" outlineLevel="2" x14ac:dyDescent="0.25">
      <c r="A195" s="27"/>
      <c r="B195" s="10" t="str">
        <f>CONCATENATE("          ", "6112", " - ", "COMPENSATION INSURANCE")</f>
        <v xml:space="preserve">          6112 - COMPENSATION INSURANCE</v>
      </c>
      <c r="C195" s="10"/>
      <c r="D195" s="6">
        <v>1775.21</v>
      </c>
      <c r="E195" s="2"/>
      <c r="F195" s="7">
        <f t="shared" si="41"/>
        <v>2.1090927797780107E-3</v>
      </c>
      <c r="G195" s="2"/>
      <c r="H195" s="6">
        <v>1265.4000000000001</v>
      </c>
      <c r="I195" s="2"/>
      <c r="J195" s="7">
        <f t="shared" si="42"/>
        <v>2.7013881792129183E-3</v>
      </c>
      <c r="K195" s="2"/>
      <c r="L195" s="6">
        <f t="shared" si="43"/>
        <v>509.80999999999995</v>
      </c>
      <c r="M195" s="2"/>
      <c r="N195" s="7">
        <f t="shared" si="44"/>
        <v>0.4028844634107791</v>
      </c>
      <c r="O195" s="10"/>
      <c r="P195" s="6">
        <v>23112.76</v>
      </c>
      <c r="Q195" s="2"/>
      <c r="R195" s="7">
        <f t="shared" si="45"/>
        <v>3.2437034211182849E-3</v>
      </c>
      <c r="S195" s="2"/>
      <c r="T195" s="6">
        <v>26291.77</v>
      </c>
      <c r="U195" s="2"/>
      <c r="V195" s="7">
        <f t="shared" si="46"/>
        <v>2.3675511592619086E-3</v>
      </c>
      <c r="W195" s="2"/>
      <c r="X195" s="6">
        <f t="shared" si="47"/>
        <v>-3179.010000000002</v>
      </c>
      <c r="Y195" s="2"/>
      <c r="Z195" s="7">
        <f t="shared" si="48"/>
        <v>-0.12091274189603826</v>
      </c>
    </row>
    <row r="196" spans="1:26" s="23" customFormat="1" hidden="1" outlineLevel="2" x14ac:dyDescent="0.25">
      <c r="A196" s="27"/>
      <c r="B196" s="10" t="str">
        <f>CONCATENATE("          ", "6113", " - ", "GROUP INSURANCE")</f>
        <v xml:space="preserve">          6113 - GROUP INSURANCE</v>
      </c>
      <c r="C196" s="10"/>
      <c r="D196" s="6">
        <v>19337.900000000001</v>
      </c>
      <c r="E196" s="2"/>
      <c r="F196" s="7">
        <f t="shared" si="41"/>
        <v>2.297498620786791E-2</v>
      </c>
      <c r="G196" s="2"/>
      <c r="H196" s="6">
        <v>14448.96</v>
      </c>
      <c r="I196" s="2"/>
      <c r="J196" s="7">
        <f t="shared" si="42"/>
        <v>3.0845779789726795E-2</v>
      </c>
      <c r="K196" s="2"/>
      <c r="L196" s="6">
        <f t="shared" si="43"/>
        <v>4888.9400000000023</v>
      </c>
      <c r="M196" s="2"/>
      <c r="N196" s="7">
        <f t="shared" si="44"/>
        <v>0.33835930060018177</v>
      </c>
      <c r="O196" s="10"/>
      <c r="P196" s="6">
        <v>175300.32</v>
      </c>
      <c r="Q196" s="2"/>
      <c r="R196" s="7">
        <f t="shared" si="45"/>
        <v>2.4602091991918321E-2</v>
      </c>
      <c r="S196" s="2"/>
      <c r="T196" s="6">
        <v>188171.8</v>
      </c>
      <c r="U196" s="2"/>
      <c r="V196" s="7">
        <f t="shared" si="46"/>
        <v>1.6944707915457956E-2</v>
      </c>
      <c r="W196" s="2"/>
      <c r="X196" s="6">
        <f t="shared" si="47"/>
        <v>-12871.479999999981</v>
      </c>
      <c r="Y196" s="2"/>
      <c r="Z196" s="7">
        <f t="shared" si="48"/>
        <v>-6.8402810623058197E-2</v>
      </c>
    </row>
    <row r="197" spans="1:26" s="23" customFormat="1" hidden="1" outlineLevel="2" x14ac:dyDescent="0.25">
      <c r="A197" s="27"/>
      <c r="B197" s="10" t="str">
        <f>CONCATENATE("          ", "6114", " - ", "STATE UNEMPLOYMENT INSURANCE")</f>
        <v xml:space="preserve">          6114 - STATE UNEMPLOYMENT INSURANCE</v>
      </c>
      <c r="C197" s="10"/>
      <c r="D197" s="6">
        <v>321.77999999999997</v>
      </c>
      <c r="E197" s="2"/>
      <c r="F197" s="7">
        <f t="shared" si="41"/>
        <v>3.8230061495652241E-4</v>
      </c>
      <c r="G197" s="2"/>
      <c r="H197" s="6">
        <v>235.23</v>
      </c>
      <c r="I197" s="2"/>
      <c r="J197" s="7">
        <f t="shared" si="42"/>
        <v>5.0217128291153365E-4</v>
      </c>
      <c r="K197" s="2"/>
      <c r="L197" s="6">
        <f t="shared" si="43"/>
        <v>86.549999999999983</v>
      </c>
      <c r="M197" s="2"/>
      <c r="N197" s="7">
        <f t="shared" si="44"/>
        <v>0.36793776304042847</v>
      </c>
      <c r="O197" s="10"/>
      <c r="P197" s="6">
        <v>3763.78</v>
      </c>
      <c r="Q197" s="2"/>
      <c r="R197" s="7">
        <f t="shared" si="45"/>
        <v>5.2821844134307537E-4</v>
      </c>
      <c r="S197" s="2"/>
      <c r="T197" s="6">
        <v>5068.3</v>
      </c>
      <c r="U197" s="2"/>
      <c r="V197" s="7">
        <f t="shared" si="46"/>
        <v>4.5639603345408588E-4</v>
      </c>
      <c r="W197" s="2"/>
      <c r="X197" s="6">
        <f t="shared" si="47"/>
        <v>-1304.52</v>
      </c>
      <c r="Y197" s="2"/>
      <c r="Z197" s="7">
        <f t="shared" si="48"/>
        <v>-0.25738807884300452</v>
      </c>
    </row>
    <row r="198" spans="1:26" s="23" customFormat="1" hidden="1" outlineLevel="2" x14ac:dyDescent="0.25">
      <c r="A198" s="27"/>
      <c r="B198" s="10" t="str">
        <f>CONCATENATE("          ", "6115", " - ", "P.E.R.S.")</f>
        <v xml:space="preserve">          6115 - P.E.R.S.</v>
      </c>
      <c r="C198" s="10"/>
      <c r="D198" s="6">
        <v>6349.33</v>
      </c>
      <c r="E198" s="2"/>
      <c r="F198" s="7">
        <f t="shared" si="41"/>
        <v>7.5435165751814807E-3</v>
      </c>
      <c r="G198" s="2"/>
      <c r="H198" s="6">
        <v>4925.18</v>
      </c>
      <c r="I198" s="2"/>
      <c r="J198" s="7">
        <f t="shared" si="42"/>
        <v>1.0514321979212803E-2</v>
      </c>
      <c r="K198" s="2"/>
      <c r="L198" s="6">
        <f t="shared" si="43"/>
        <v>1424.1499999999996</v>
      </c>
      <c r="M198" s="2"/>
      <c r="N198" s="7">
        <f t="shared" si="44"/>
        <v>0.28915694451776375</v>
      </c>
      <c r="O198" s="10"/>
      <c r="P198" s="6">
        <v>70285.67</v>
      </c>
      <c r="Q198" s="2"/>
      <c r="R198" s="7">
        <f t="shared" si="45"/>
        <v>9.8640693813543175E-3</v>
      </c>
      <c r="S198" s="2"/>
      <c r="T198" s="6">
        <v>72285.41</v>
      </c>
      <c r="U198" s="2"/>
      <c r="V198" s="7">
        <f t="shared" si="46"/>
        <v>6.5092386797550097E-3</v>
      </c>
      <c r="W198" s="2"/>
      <c r="X198" s="6">
        <f t="shared" si="47"/>
        <v>-1999.7400000000052</v>
      </c>
      <c r="Y198" s="2"/>
      <c r="Z198" s="7">
        <f t="shared" si="48"/>
        <v>-2.7664503805124783E-2</v>
      </c>
    </row>
    <row r="199" spans="1:26" s="23" customFormat="1" hidden="1" outlineLevel="2" x14ac:dyDescent="0.25">
      <c r="A199" s="27"/>
      <c r="B199" s="10" t="str">
        <f>CONCATENATE("          ", "6116", " - ", "EDUCATIONAL BENEFITS")</f>
        <v xml:space="preserve">          6116 - EDUCATIONAL BENEFITS</v>
      </c>
      <c r="C199" s="10"/>
      <c r="D199" s="6"/>
      <c r="E199" s="2"/>
      <c r="F199" s="7">
        <f t="shared" si="41"/>
        <v>0</v>
      </c>
      <c r="G199" s="2"/>
      <c r="H199" s="6"/>
      <c r="I199" s="2"/>
      <c r="J199" s="7">
        <f t="shared" si="42"/>
        <v>0</v>
      </c>
      <c r="K199" s="2"/>
      <c r="L199" s="6">
        <f t="shared" si="43"/>
        <v>0</v>
      </c>
      <c r="M199" s="2"/>
      <c r="N199" s="7">
        <f t="shared" si="44"/>
        <v>0</v>
      </c>
      <c r="O199" s="10"/>
      <c r="P199" s="6">
        <v>0</v>
      </c>
      <c r="Q199" s="2"/>
      <c r="R199" s="7">
        <f t="shared" si="45"/>
        <v>0</v>
      </c>
      <c r="S199" s="2"/>
      <c r="T199" s="6"/>
      <c r="U199" s="2"/>
      <c r="V199" s="7">
        <f t="shared" si="46"/>
        <v>0</v>
      </c>
      <c r="W199" s="2"/>
      <c r="X199" s="6">
        <f t="shared" si="47"/>
        <v>0</v>
      </c>
      <c r="Y199" s="2"/>
      <c r="Z199" s="7">
        <f t="shared" si="48"/>
        <v>0</v>
      </c>
    </row>
    <row r="200" spans="1:26" s="23" customFormat="1" hidden="1" outlineLevel="2" x14ac:dyDescent="0.25">
      <c r="A200" s="27"/>
      <c r="B200" s="10" t="str">
        <f>CONCATENATE("          ", "6117", " - ", "RETIREMENT STAFF HOURLY")</f>
        <v xml:space="preserve">          6117 - RETIREMENT STAFF HOURLY</v>
      </c>
      <c r="C200" s="10"/>
      <c r="D200" s="6">
        <v>534.61</v>
      </c>
      <c r="E200" s="2"/>
      <c r="F200" s="7">
        <f t="shared" si="41"/>
        <v>6.35159835172809E-4</v>
      </c>
      <c r="G200" s="2"/>
      <c r="H200" s="6">
        <v>824.52</v>
      </c>
      <c r="I200" s="2"/>
      <c r="J200" s="7">
        <f t="shared" si="42"/>
        <v>1.7601932839613049E-3</v>
      </c>
      <c r="K200" s="2"/>
      <c r="L200" s="6">
        <f t="shared" si="43"/>
        <v>-289.90999999999997</v>
      </c>
      <c r="M200" s="2"/>
      <c r="N200" s="7">
        <f t="shared" si="44"/>
        <v>-0.35161063406588072</v>
      </c>
      <c r="O200" s="10"/>
      <c r="P200" s="6">
        <v>5656.91</v>
      </c>
      <c r="Q200" s="2"/>
      <c r="R200" s="7">
        <f t="shared" si="45"/>
        <v>7.9390511215269124E-4</v>
      </c>
      <c r="S200" s="2"/>
      <c r="T200" s="6">
        <v>3390.11</v>
      </c>
      <c r="U200" s="2"/>
      <c r="V200" s="7">
        <f t="shared" si="46"/>
        <v>3.0527647474952766E-4</v>
      </c>
      <c r="W200" s="2"/>
      <c r="X200" s="6">
        <f t="shared" si="47"/>
        <v>2266.7999999999997</v>
      </c>
      <c r="Y200" s="2"/>
      <c r="Z200" s="7">
        <f t="shared" si="48"/>
        <v>0.66865086973579013</v>
      </c>
    </row>
    <row r="201" spans="1:26" s="23" customFormat="1" hidden="1" outlineLevel="2" x14ac:dyDescent="0.25">
      <c r="A201" s="27"/>
      <c r="B201" s="10" t="str">
        <f>CONCATENATE("          ", "6118", " - ", "VACATION")</f>
        <v xml:space="preserve">          6118 - VACATION</v>
      </c>
      <c r="C201" s="10"/>
      <c r="D201" s="6">
        <v>9009.1299999999992</v>
      </c>
      <c r="E201" s="2"/>
      <c r="F201" s="7">
        <f t="shared" si="41"/>
        <v>1.0703573681469498E-2</v>
      </c>
      <c r="G201" s="2"/>
      <c r="H201" s="6">
        <v>6612.32</v>
      </c>
      <c r="I201" s="2"/>
      <c r="J201" s="7">
        <f t="shared" si="42"/>
        <v>1.4116044796248745E-2</v>
      </c>
      <c r="K201" s="2"/>
      <c r="L201" s="6">
        <f t="shared" si="43"/>
        <v>2396.8099999999995</v>
      </c>
      <c r="M201" s="2"/>
      <c r="N201" s="7">
        <f t="shared" si="44"/>
        <v>0.36247640767536954</v>
      </c>
      <c r="O201" s="10"/>
      <c r="P201" s="6">
        <v>60445.83</v>
      </c>
      <c r="Q201" s="2"/>
      <c r="R201" s="7">
        <f t="shared" si="45"/>
        <v>8.4831212526472067E-3</v>
      </c>
      <c r="S201" s="2"/>
      <c r="T201" s="6">
        <v>61006.96</v>
      </c>
      <c r="U201" s="2"/>
      <c r="V201" s="7">
        <f t="shared" si="46"/>
        <v>5.4936240074762895E-3</v>
      </c>
      <c r="W201" s="2"/>
      <c r="X201" s="6">
        <f t="shared" si="47"/>
        <v>-561.12999999999738</v>
      </c>
      <c r="Y201" s="2"/>
      <c r="Z201" s="7">
        <f t="shared" si="48"/>
        <v>-9.1978030047718713E-3</v>
      </c>
    </row>
    <row r="202" spans="1:26" s="23" customFormat="1" hidden="1" outlineLevel="2" x14ac:dyDescent="0.25">
      <c r="A202" s="27"/>
      <c r="B202" s="10" t="str">
        <f>CONCATENATE("          ", "6119", " - ", "SICK LEAVE")</f>
        <v xml:space="preserve">          6119 - SICK LEAVE</v>
      </c>
      <c r="C202" s="10"/>
      <c r="D202" s="6">
        <v>6137.49</v>
      </c>
      <c r="E202" s="2"/>
      <c r="F202" s="7">
        <f t="shared" si="41"/>
        <v>7.2918335548806858E-3</v>
      </c>
      <c r="G202" s="2"/>
      <c r="H202" s="6">
        <v>-10520.59</v>
      </c>
      <c r="I202" s="2"/>
      <c r="J202" s="7">
        <f t="shared" si="42"/>
        <v>-2.2459457455623229E-2</v>
      </c>
      <c r="K202" s="2"/>
      <c r="L202" s="6">
        <f t="shared" si="43"/>
        <v>16658.080000000002</v>
      </c>
      <c r="M202" s="2"/>
      <c r="N202" s="7">
        <f t="shared" si="44"/>
        <v>-1.5833788789412002</v>
      </c>
      <c r="O202" s="10"/>
      <c r="P202" s="6">
        <v>43593.18</v>
      </c>
      <c r="Q202" s="2"/>
      <c r="R202" s="7">
        <f t="shared" si="45"/>
        <v>6.1179775631912932E-3</v>
      </c>
      <c r="S202" s="2"/>
      <c r="T202" s="6">
        <v>-2161.0300000000002</v>
      </c>
      <c r="U202" s="2"/>
      <c r="V202" s="7">
        <f t="shared" si="46"/>
        <v>-1.9459888328932448E-4</v>
      </c>
      <c r="W202" s="2"/>
      <c r="X202" s="6">
        <f t="shared" si="47"/>
        <v>45754.21</v>
      </c>
      <c r="Y202" s="2"/>
      <c r="Z202" s="7">
        <f t="shared" si="48"/>
        <v>-21.172408527415165</v>
      </c>
    </row>
    <row r="203" spans="1:26" s="23" customFormat="1" hidden="1" outlineLevel="2" x14ac:dyDescent="0.25">
      <c r="A203" s="27"/>
      <c r="B203" s="10" t="str">
        <f>CONCATENATE("          ", "6156", " - ", "EMPLOYEE MEALS")</f>
        <v xml:space="preserve">          6156 - EMPLOYEE MEALS</v>
      </c>
      <c r="C203" s="10"/>
      <c r="D203" s="6">
        <v>2073.04</v>
      </c>
      <c r="E203" s="2"/>
      <c r="F203" s="7">
        <f t="shared" si="41"/>
        <v>2.4629388614254128E-3</v>
      </c>
      <c r="G203" s="2"/>
      <c r="H203" s="6">
        <v>544.54</v>
      </c>
      <c r="I203" s="2"/>
      <c r="J203" s="7">
        <f t="shared" si="42"/>
        <v>1.1624892675111446E-3</v>
      </c>
      <c r="K203" s="2"/>
      <c r="L203" s="6">
        <f t="shared" si="43"/>
        <v>1528.5</v>
      </c>
      <c r="M203" s="2"/>
      <c r="N203" s="7">
        <f t="shared" si="44"/>
        <v>2.8069563301134903</v>
      </c>
      <c r="O203" s="10"/>
      <c r="P203" s="6">
        <v>16649.93</v>
      </c>
      <c r="Q203" s="2"/>
      <c r="R203" s="7">
        <f t="shared" si="45"/>
        <v>2.3366934499549153E-3</v>
      </c>
      <c r="S203" s="2"/>
      <c r="T203" s="6">
        <v>19975.18</v>
      </c>
      <c r="U203" s="2"/>
      <c r="V203" s="7">
        <f t="shared" si="46"/>
        <v>1.7987476904546666E-3</v>
      </c>
      <c r="W203" s="2"/>
      <c r="X203" s="6">
        <f t="shared" si="47"/>
        <v>-3325.25</v>
      </c>
      <c r="Y203" s="2"/>
      <c r="Z203" s="7">
        <f t="shared" si="48"/>
        <v>-0.16646908813837974</v>
      </c>
    </row>
    <row r="204" spans="1:26" s="26" customFormat="1" outlineLevel="1" collapsed="1" x14ac:dyDescent="0.25">
      <c r="A204" s="25"/>
      <c r="B204" s="12" t="str">
        <f>CONCATENATE("     ","*Payroll                                          ")</f>
        <v xml:space="preserve">     *Payroll                                          </v>
      </c>
      <c r="C204" s="12"/>
      <c r="D204" s="1">
        <f>SUM(OSRRefD22_1x_0)</f>
        <v>134061.96</v>
      </c>
      <c r="E204" s="1"/>
      <c r="F204" s="5">
        <f t="shared" ref="F204:F211" si="49">IF(D$12=0,0,D204/D$12)</f>
        <v>0.15927643032592675</v>
      </c>
      <c r="G204" s="1"/>
      <c r="H204" s="1">
        <f>SUM(OSRRefH22_1x_0)</f>
        <v>89793.61</v>
      </c>
      <c r="I204" s="1"/>
      <c r="J204" s="5">
        <f t="shared" ref="J204:J211" si="50">IF(H$12=0,0,H204/H$12)</f>
        <v>0.19169226854975097</v>
      </c>
      <c r="K204" s="1"/>
      <c r="L204" s="1">
        <f t="shared" ref="L204:L211" si="51">+D204-H204</f>
        <v>44268.349999999991</v>
      </c>
      <c r="M204" s="1"/>
      <c r="N204" s="5">
        <f t="shared" ref="N204:N211" si="52">IF(H204=0,0,L204/H204)</f>
        <v>0.49300111667188778</v>
      </c>
      <c r="O204" s="12"/>
      <c r="P204" s="1">
        <f>SUM(OSRRefP22_1x_0)</f>
        <v>1330934.72</v>
      </c>
      <c r="Q204" s="1"/>
      <c r="R204" s="5">
        <f t="shared" ref="R204:R211" si="53">IF(P$12=0,0,P204/P$12)</f>
        <v>0.18678675781469226</v>
      </c>
      <c r="S204" s="1"/>
      <c r="T204" s="1">
        <f>SUM(OSRRefT22_1x_0)</f>
        <v>1806667.35</v>
      </c>
      <c r="U204" s="1"/>
      <c r="V204" s="5">
        <f t="shared" ref="V204:V211" si="54">IF(T$12=0,0,T204/T$12)</f>
        <v>0.16268883300337483</v>
      </c>
      <c r="W204" s="1"/>
      <c r="X204" s="1">
        <f t="shared" ref="X204:X211" si="55">+P204-T204</f>
        <v>-475732.63000000012</v>
      </c>
      <c r="Y204" s="1"/>
      <c r="Z204" s="5">
        <f t="shared" ref="Z204:Z211" si="56">IF(T204=0,0,X204/T204)</f>
        <v>-0.26332054431603036</v>
      </c>
    </row>
    <row r="205" spans="1:26" s="23" customFormat="1" hidden="1" outlineLevel="2" x14ac:dyDescent="0.25">
      <c r="A205" s="27"/>
      <c r="B205" s="10" t="str">
        <f>CONCATENATE("          ", "6001", " - ", "ADMINISTRATIVE SALARIES")</f>
        <v xml:space="preserve">          6001 - ADMINISTRATIVE SALARIES</v>
      </c>
      <c r="C205" s="10"/>
      <c r="D205" s="6">
        <v>4416.46</v>
      </c>
      <c r="E205" s="2"/>
      <c r="F205" s="7">
        <f t="shared" si="49"/>
        <v>5.247110988659591E-3</v>
      </c>
      <c r="G205" s="2"/>
      <c r="H205" s="6"/>
      <c r="I205" s="2"/>
      <c r="J205" s="7">
        <f t="shared" si="50"/>
        <v>0</v>
      </c>
      <c r="K205" s="2"/>
      <c r="L205" s="6">
        <f t="shared" si="51"/>
        <v>4416.46</v>
      </c>
      <c r="M205" s="2"/>
      <c r="N205" s="7">
        <f t="shared" si="52"/>
        <v>0</v>
      </c>
      <c r="O205" s="10"/>
      <c r="P205" s="6">
        <v>43192.79</v>
      </c>
      <c r="Q205" s="2"/>
      <c r="R205" s="7">
        <f t="shared" si="53"/>
        <v>6.0617858140111199E-3</v>
      </c>
      <c r="S205" s="2"/>
      <c r="T205" s="6">
        <v>93238.31</v>
      </c>
      <c r="U205" s="2"/>
      <c r="V205" s="7">
        <f t="shared" si="54"/>
        <v>8.3960292109706274E-3</v>
      </c>
      <c r="W205" s="2"/>
      <c r="X205" s="6">
        <f t="shared" si="55"/>
        <v>-50045.52</v>
      </c>
      <c r="Y205" s="2"/>
      <c r="Z205" s="7">
        <f t="shared" si="56"/>
        <v>-0.53674846744862703</v>
      </c>
    </row>
    <row r="206" spans="1:26" s="23" customFormat="1" hidden="1" outlineLevel="2" x14ac:dyDescent="0.25">
      <c r="A206" s="27"/>
      <c r="B206" s="10" t="str">
        <f>CONCATENATE("          ", "6002", " - ", "STAFF SALARIES")</f>
        <v xml:space="preserve">          6002 - STAFF SALARIES</v>
      </c>
      <c r="C206" s="10"/>
      <c r="D206" s="6">
        <v>70695.399999999994</v>
      </c>
      <c r="E206" s="2"/>
      <c r="F206" s="7">
        <f t="shared" si="49"/>
        <v>8.3991841924909369E-2</v>
      </c>
      <c r="G206" s="2"/>
      <c r="H206" s="6">
        <v>45623.31</v>
      </c>
      <c r="I206" s="2"/>
      <c r="J206" s="7">
        <f t="shared" si="50"/>
        <v>9.73970841872661E-2</v>
      </c>
      <c r="K206" s="2"/>
      <c r="L206" s="6">
        <f t="shared" si="51"/>
        <v>25072.089999999997</v>
      </c>
      <c r="M206" s="2"/>
      <c r="N206" s="7">
        <f t="shared" si="52"/>
        <v>0.54954561604583263</v>
      </c>
      <c r="O206" s="10"/>
      <c r="P206" s="6">
        <v>626451.12</v>
      </c>
      <c r="Q206" s="2"/>
      <c r="R206" s="7">
        <f t="shared" si="53"/>
        <v>8.7917740724490767E-2</v>
      </c>
      <c r="S206" s="2"/>
      <c r="T206" s="6">
        <v>598145.22</v>
      </c>
      <c r="U206" s="2"/>
      <c r="V206" s="7">
        <f t="shared" si="54"/>
        <v>5.3862459964390728E-2</v>
      </c>
      <c r="W206" s="2"/>
      <c r="X206" s="6">
        <f t="shared" si="55"/>
        <v>28305.900000000023</v>
      </c>
      <c r="Y206" s="2"/>
      <c r="Z206" s="7">
        <f t="shared" si="56"/>
        <v>4.7322788937442357E-2</v>
      </c>
    </row>
    <row r="207" spans="1:26" s="23" customFormat="1" hidden="1" outlineLevel="2" x14ac:dyDescent="0.25">
      <c r="A207" s="27"/>
      <c r="B207" s="10" t="str">
        <f>CONCATENATE("          ", "6004", " - ", "STAFF HOURLY")</f>
        <v xml:space="preserve">          6004 - STAFF HOURLY</v>
      </c>
      <c r="C207" s="10"/>
      <c r="D207" s="6">
        <v>22574.34</v>
      </c>
      <c r="E207" s="2"/>
      <c r="F207" s="7">
        <f t="shared" si="49"/>
        <v>2.6820138182104616E-2</v>
      </c>
      <c r="G207" s="2"/>
      <c r="H207" s="6">
        <v>16664.93</v>
      </c>
      <c r="I207" s="2"/>
      <c r="J207" s="7">
        <f t="shared" si="50"/>
        <v>3.5576454014075186E-2</v>
      </c>
      <c r="K207" s="2"/>
      <c r="L207" s="6">
        <f t="shared" si="51"/>
        <v>5909.41</v>
      </c>
      <c r="M207" s="2"/>
      <c r="N207" s="7">
        <f t="shared" si="52"/>
        <v>0.35460154948145595</v>
      </c>
      <c r="O207" s="10"/>
      <c r="P207" s="6">
        <v>191802.63</v>
      </c>
      <c r="Q207" s="2"/>
      <c r="R207" s="7">
        <f t="shared" si="53"/>
        <v>2.6918068076269758E-2</v>
      </c>
      <c r="S207" s="2"/>
      <c r="T207" s="6">
        <v>57608.18</v>
      </c>
      <c r="U207" s="2"/>
      <c r="V207" s="7">
        <f t="shared" si="54"/>
        <v>5.1875668067219776E-3</v>
      </c>
      <c r="W207" s="2"/>
      <c r="X207" s="6">
        <f t="shared" si="55"/>
        <v>134194.45000000001</v>
      </c>
      <c r="Y207" s="2"/>
      <c r="Z207" s="7">
        <f t="shared" si="56"/>
        <v>2.3294339449710093</v>
      </c>
    </row>
    <row r="208" spans="1:26" s="23" customFormat="1" hidden="1" outlineLevel="2" x14ac:dyDescent="0.25">
      <c r="A208" s="27"/>
      <c r="B208" s="10" t="str">
        <f>CONCATENATE("          ", "6005", " - ", "TEMPORARY WAGES-HOURLY")</f>
        <v xml:space="preserve">          6005 - TEMPORARY WAGES-HOURLY</v>
      </c>
      <c r="C208" s="10"/>
      <c r="D208" s="6">
        <v>16005.07</v>
      </c>
      <c r="E208" s="2"/>
      <c r="F208" s="7">
        <f t="shared" si="49"/>
        <v>1.9015315132768319E-2</v>
      </c>
      <c r="G208" s="2"/>
      <c r="H208" s="6">
        <v>13759.87</v>
      </c>
      <c r="I208" s="2"/>
      <c r="J208" s="7">
        <f t="shared" si="50"/>
        <v>2.9374703781813227E-2</v>
      </c>
      <c r="K208" s="2"/>
      <c r="L208" s="6">
        <f t="shared" si="51"/>
        <v>2245.1999999999989</v>
      </c>
      <c r="M208" s="2"/>
      <c r="N208" s="7">
        <f t="shared" si="52"/>
        <v>0.16317014622957912</v>
      </c>
      <c r="O208" s="10"/>
      <c r="P208" s="6">
        <v>152232.04999999999</v>
      </c>
      <c r="Q208" s="2"/>
      <c r="R208" s="7">
        <f t="shared" si="53"/>
        <v>2.1364632410359029E-2</v>
      </c>
      <c r="S208" s="2"/>
      <c r="T208" s="6">
        <v>210256.47</v>
      </c>
      <c r="U208" s="2"/>
      <c r="V208" s="7">
        <f t="shared" si="54"/>
        <v>1.8933413356758282E-2</v>
      </c>
      <c r="W208" s="2"/>
      <c r="X208" s="6">
        <f t="shared" si="55"/>
        <v>-58024.420000000013</v>
      </c>
      <c r="Y208" s="2"/>
      <c r="Z208" s="7">
        <f t="shared" si="56"/>
        <v>-0.275969724023237</v>
      </c>
    </row>
    <row r="209" spans="1:26" s="23" customFormat="1" hidden="1" outlineLevel="2" x14ac:dyDescent="0.25">
      <c r="A209" s="27"/>
      <c r="B209" s="10" t="str">
        <f>CONCATENATE("          ", "6006", " - ", "TEMPORARY PART TIME")</f>
        <v xml:space="preserve">          6006 - TEMPORARY PART TIME</v>
      </c>
      <c r="C209" s="10"/>
      <c r="D209" s="6">
        <v>2893.47</v>
      </c>
      <c r="E209" s="2"/>
      <c r="F209" s="7">
        <f t="shared" si="49"/>
        <v>3.4376759287657686E-3</v>
      </c>
      <c r="G209" s="2"/>
      <c r="H209" s="6">
        <v>3309.56</v>
      </c>
      <c r="I209" s="2"/>
      <c r="J209" s="7">
        <f t="shared" si="50"/>
        <v>7.0652807510636203E-3</v>
      </c>
      <c r="K209" s="2"/>
      <c r="L209" s="6">
        <f t="shared" si="51"/>
        <v>-416.09000000000015</v>
      </c>
      <c r="M209" s="2"/>
      <c r="N209" s="7">
        <f t="shared" si="52"/>
        <v>-0.12572366115133135</v>
      </c>
      <c r="O209" s="10"/>
      <c r="P209" s="6">
        <v>16946.759999999998</v>
      </c>
      <c r="Q209" s="2"/>
      <c r="R209" s="7">
        <f t="shared" si="53"/>
        <v>2.3783513257988444E-3</v>
      </c>
      <c r="S209" s="2"/>
      <c r="T209" s="6">
        <v>42165.25</v>
      </c>
      <c r="U209" s="2"/>
      <c r="V209" s="7">
        <f t="shared" si="54"/>
        <v>3.7969443106366818E-3</v>
      </c>
      <c r="W209" s="2"/>
      <c r="X209" s="6">
        <f t="shared" si="55"/>
        <v>-25218.49</v>
      </c>
      <c r="Y209" s="2"/>
      <c r="Z209" s="7">
        <f t="shared" si="56"/>
        <v>-0.59808705035544674</v>
      </c>
    </row>
    <row r="210" spans="1:26" s="23" customFormat="1" hidden="1" outlineLevel="2" x14ac:dyDescent="0.25">
      <c r="A210" s="27"/>
      <c r="B210" s="10" t="str">
        <f>CONCATENATE("          ", "6007", " - ", "STUDENT HOURLY")</f>
        <v xml:space="preserve">          6007 - STUDENT HOURLY</v>
      </c>
      <c r="C210" s="10"/>
      <c r="D210" s="6">
        <v>15886.89</v>
      </c>
      <c r="E210" s="2"/>
      <c r="F210" s="7">
        <f t="shared" si="49"/>
        <v>1.8874907752957384E-2</v>
      </c>
      <c r="G210" s="2"/>
      <c r="H210" s="6">
        <v>10279.94</v>
      </c>
      <c r="I210" s="2"/>
      <c r="J210" s="7">
        <f t="shared" si="50"/>
        <v>2.194571550420266E-2</v>
      </c>
      <c r="K210" s="2"/>
      <c r="L210" s="6">
        <f t="shared" si="51"/>
        <v>5606.9499999999989</v>
      </c>
      <c r="M210" s="2"/>
      <c r="N210" s="7">
        <f t="shared" si="52"/>
        <v>0.5454263351731623</v>
      </c>
      <c r="O210" s="10"/>
      <c r="P210" s="6">
        <v>290307.42</v>
      </c>
      <c r="Q210" s="2"/>
      <c r="R210" s="7">
        <f t="shared" si="53"/>
        <v>4.0742480406062397E-2</v>
      </c>
      <c r="S210" s="2"/>
      <c r="T210" s="6">
        <v>789774</v>
      </c>
      <c r="U210" s="2"/>
      <c r="V210" s="7">
        <f t="shared" si="54"/>
        <v>7.1118465940289088E-2</v>
      </c>
      <c r="W210" s="2"/>
      <c r="X210" s="6">
        <f t="shared" si="55"/>
        <v>-499466.58</v>
      </c>
      <c r="Y210" s="2"/>
      <c r="Z210" s="7">
        <f t="shared" si="56"/>
        <v>-0.6324170965364776</v>
      </c>
    </row>
    <row r="211" spans="1:26" s="23" customFormat="1" hidden="1" outlineLevel="2" x14ac:dyDescent="0.25">
      <c r="A211" s="27"/>
      <c r="B211" s="10" t="str">
        <f>CONCATENATE("          ", "6008", " - ", "STUDENT HOURLY-FICA EXEMPT")</f>
        <v xml:space="preserve">          6008 - STUDENT HOURLY-FICA EXEMPT</v>
      </c>
      <c r="C211" s="10"/>
      <c r="D211" s="6">
        <v>1590.33</v>
      </c>
      <c r="E211" s="2"/>
      <c r="F211" s="7">
        <f t="shared" si="49"/>
        <v>1.8894404157617202E-3</v>
      </c>
      <c r="G211" s="2"/>
      <c r="H211" s="6">
        <v>156</v>
      </c>
      <c r="I211" s="2"/>
      <c r="J211" s="7">
        <f t="shared" si="50"/>
        <v>3.3303031133018434E-4</v>
      </c>
      <c r="K211" s="2"/>
      <c r="L211" s="6">
        <f t="shared" si="51"/>
        <v>1434.33</v>
      </c>
      <c r="M211" s="2"/>
      <c r="N211" s="7">
        <f t="shared" si="52"/>
        <v>9.1944230769230764</v>
      </c>
      <c r="O211" s="10"/>
      <c r="P211" s="6">
        <v>10001.950000000001</v>
      </c>
      <c r="Q211" s="2"/>
      <c r="R211" s="7">
        <f t="shared" si="53"/>
        <v>1.4036990577003367E-3</v>
      </c>
      <c r="S211" s="2"/>
      <c r="T211" s="6">
        <v>15479.92</v>
      </c>
      <c r="U211" s="2"/>
      <c r="V211" s="7">
        <f t="shared" si="54"/>
        <v>1.393953413607437E-3</v>
      </c>
      <c r="W211" s="2"/>
      <c r="X211" s="6">
        <f t="shared" si="55"/>
        <v>-5477.9699999999993</v>
      </c>
      <c r="Y211" s="2"/>
      <c r="Z211" s="7">
        <f t="shared" si="56"/>
        <v>-0.35387585982356495</v>
      </c>
    </row>
    <row r="212" spans="1:26" s="26" customFormat="1" outlineLevel="1" collapsed="1" x14ac:dyDescent="0.25">
      <c r="A212" s="25"/>
      <c r="B212" s="12" t="str">
        <f>CONCATENATE("     ","Advertising/Promo                                 ")</f>
        <v xml:space="preserve">     Advertising/Promo                                 </v>
      </c>
      <c r="C212" s="12"/>
      <c r="D212" s="1">
        <f>SUM(OSRRefD22_2x_0)</f>
        <v>1340.29</v>
      </c>
      <c r="E212" s="1"/>
      <c r="F212" s="5">
        <f t="shared" ref="F212:F216" si="57">IF(D$12=0,0,D212/D$12)</f>
        <v>1.5923727118530595E-3</v>
      </c>
      <c r="G212" s="1"/>
      <c r="H212" s="1">
        <f>SUM(OSRRefH22_2x_0)</f>
        <v>799.5</v>
      </c>
      <c r="I212" s="1"/>
      <c r="J212" s="5">
        <f t="shared" ref="J212:J216" si="58">IF(H$12=0,0,H212/H$12)</f>
        <v>1.7067803455671946E-3</v>
      </c>
      <c r="K212" s="1"/>
      <c r="L212" s="1">
        <f t="shared" ref="L212:L216" si="59">+D212-H212</f>
        <v>540.79</v>
      </c>
      <c r="M212" s="1"/>
      <c r="N212" s="5">
        <f t="shared" ref="N212:N216" si="60">IF(H212=0,0,L212/H212)</f>
        <v>0.67641025641025632</v>
      </c>
      <c r="O212" s="12"/>
      <c r="P212" s="1">
        <f>SUM(OSRRefP22_2x_0)</f>
        <v>18161.439999999999</v>
      </c>
      <c r="Q212" s="1"/>
      <c r="R212" s="5">
        <f t="shared" ref="R212:R216" si="61">IF(P$12=0,0,P212/P$12)</f>
        <v>2.5488226010409168E-3</v>
      </c>
      <c r="S212" s="1"/>
      <c r="T212" s="1">
        <f>SUM(OSRRefT22_2x_0)</f>
        <v>46188.41</v>
      </c>
      <c r="U212" s="1"/>
      <c r="V212" s="5">
        <f t="shared" ref="V212:V216" si="62">IF(T$12=0,0,T212/T$12)</f>
        <v>4.1592263906144143E-3</v>
      </c>
      <c r="W212" s="1"/>
      <c r="X212" s="1">
        <f t="shared" ref="X212:X216" si="63">+P212-T212</f>
        <v>-28026.970000000005</v>
      </c>
      <c r="Y212" s="1"/>
      <c r="Z212" s="5">
        <f t="shared" ref="Z212:Z216" si="64">IF(T212=0,0,X212/T212)</f>
        <v>-0.60679659680859344</v>
      </c>
    </row>
    <row r="213" spans="1:26" s="23" customFormat="1" hidden="1" outlineLevel="2" x14ac:dyDescent="0.25">
      <c r="A213" s="27"/>
      <c r="B213" s="10" t="str">
        <f>CONCATENATE("          ", "6362", " - ", "ADVERTISING EXPENSE")</f>
        <v xml:space="preserve">          6362 - ADVERTISING EXPENSE</v>
      </c>
      <c r="C213" s="10"/>
      <c r="D213" s="6">
        <v>1340.29</v>
      </c>
      <c r="E213" s="2"/>
      <c r="F213" s="7">
        <f t="shared" si="57"/>
        <v>1.5923727118530595E-3</v>
      </c>
      <c r="G213" s="2"/>
      <c r="H213" s="6">
        <v>799.5</v>
      </c>
      <c r="I213" s="2"/>
      <c r="J213" s="7">
        <f t="shared" si="58"/>
        <v>1.7067803455671946E-3</v>
      </c>
      <c r="K213" s="2"/>
      <c r="L213" s="6">
        <f t="shared" si="59"/>
        <v>540.79</v>
      </c>
      <c r="M213" s="2"/>
      <c r="N213" s="7">
        <f t="shared" si="60"/>
        <v>0.67641025641025632</v>
      </c>
      <c r="O213" s="10"/>
      <c r="P213" s="6">
        <v>18161.439999999999</v>
      </c>
      <c r="Q213" s="2"/>
      <c r="R213" s="7">
        <f t="shared" si="61"/>
        <v>2.5488226010409168E-3</v>
      </c>
      <c r="S213" s="2"/>
      <c r="T213" s="6">
        <v>46188.41</v>
      </c>
      <c r="U213" s="2"/>
      <c r="V213" s="7">
        <f t="shared" si="62"/>
        <v>4.1592263906144143E-3</v>
      </c>
      <c r="W213" s="2"/>
      <c r="X213" s="6">
        <f t="shared" si="63"/>
        <v>-28026.970000000005</v>
      </c>
      <c r="Y213" s="2"/>
      <c r="Z213" s="7">
        <f t="shared" si="64"/>
        <v>-0.60679659680859344</v>
      </c>
    </row>
    <row r="214" spans="1:26" s="26" customFormat="1" outlineLevel="1" collapsed="1" x14ac:dyDescent="0.25">
      <c r="A214" s="25"/>
      <c r="B214" s="12" t="str">
        <f>CONCATENATE("     ","Bad Debts/Over/Short                              ")</f>
        <v xml:space="preserve">     Bad Debts/Over/Short                              </v>
      </c>
      <c r="C214" s="12"/>
      <c r="D214" s="1">
        <f>SUM(OSRRefD22_3x_0)</f>
        <v>-1.25</v>
      </c>
      <c r="E214" s="1"/>
      <c r="F214" s="5">
        <f t="shared" si="57"/>
        <v>-1.4851009033987602E-6</v>
      </c>
      <c r="G214" s="1"/>
      <c r="H214" s="1">
        <f>SUM(OSRRefH22_3x_0)</f>
        <v>4.6500000000000004</v>
      </c>
      <c r="I214" s="1"/>
      <c r="J214" s="5">
        <f t="shared" si="58"/>
        <v>9.9268650492651107E-6</v>
      </c>
      <c r="K214" s="1"/>
      <c r="L214" s="1">
        <f t="shared" si="59"/>
        <v>-5.9</v>
      </c>
      <c r="M214" s="1"/>
      <c r="N214" s="5">
        <f t="shared" si="60"/>
        <v>-1.2688172043010753</v>
      </c>
      <c r="O214" s="12"/>
      <c r="P214" s="1">
        <f>SUM(OSRRefP22_3x_0)</f>
        <v>5182.7</v>
      </c>
      <c r="Q214" s="1"/>
      <c r="R214" s="5">
        <f t="shared" si="61"/>
        <v>7.2735327674538803E-4</v>
      </c>
      <c r="S214" s="1"/>
      <c r="T214" s="1">
        <f>SUM(OSRRefT22_3x_0)</f>
        <v>-26.370000000000005</v>
      </c>
      <c r="U214" s="1"/>
      <c r="V214" s="5">
        <f t="shared" si="62"/>
        <v>-2.3745957031320654E-6</v>
      </c>
      <c r="W214" s="1"/>
      <c r="X214" s="1">
        <f t="shared" si="63"/>
        <v>5209.07</v>
      </c>
      <c r="Y214" s="1"/>
      <c r="Z214" s="5">
        <f t="shared" si="64"/>
        <v>-197.53773227152061</v>
      </c>
    </row>
    <row r="215" spans="1:26" s="23" customFormat="1" hidden="1" outlineLevel="2" x14ac:dyDescent="0.25">
      <c r="A215" s="27"/>
      <c r="B215" s="10" t="str">
        <f>CONCATENATE("          ", "6272", " - ", "CASH (OVER/SHORT)")</f>
        <v xml:space="preserve">          6272 - CASH (OVER/SHORT)</v>
      </c>
      <c r="C215" s="10"/>
      <c r="D215" s="6">
        <v>-1.25</v>
      </c>
      <c r="E215" s="2"/>
      <c r="F215" s="7">
        <f t="shared" si="57"/>
        <v>-1.4851009033987602E-6</v>
      </c>
      <c r="G215" s="2"/>
      <c r="H215" s="6">
        <v>4.6500000000000004</v>
      </c>
      <c r="I215" s="2"/>
      <c r="J215" s="7">
        <f t="shared" si="58"/>
        <v>9.9268650492651107E-6</v>
      </c>
      <c r="K215" s="2"/>
      <c r="L215" s="6">
        <f t="shared" si="59"/>
        <v>-5.9</v>
      </c>
      <c r="M215" s="2"/>
      <c r="N215" s="7">
        <f t="shared" si="60"/>
        <v>-1.2688172043010753</v>
      </c>
      <c r="O215" s="10"/>
      <c r="P215" s="6">
        <v>-166.72</v>
      </c>
      <c r="Q215" s="2"/>
      <c r="R215" s="7">
        <f t="shared" si="61"/>
        <v>-2.3397908097900919E-5</v>
      </c>
      <c r="S215" s="2"/>
      <c r="T215" s="6">
        <v>-71.17</v>
      </c>
      <c r="U215" s="2"/>
      <c r="V215" s="7">
        <f t="shared" si="62"/>
        <v>-6.4087969735270784E-6</v>
      </c>
      <c r="W215" s="2"/>
      <c r="X215" s="6">
        <f t="shared" si="63"/>
        <v>-95.55</v>
      </c>
      <c r="Y215" s="2"/>
      <c r="Z215" s="7">
        <f t="shared" si="64"/>
        <v>1.3425600674441478</v>
      </c>
    </row>
    <row r="216" spans="1:26" s="23" customFormat="1" hidden="1" outlineLevel="2" x14ac:dyDescent="0.25">
      <c r="A216" s="27"/>
      <c r="B216" s="10" t="str">
        <f>CONCATENATE("          ", "6342", " - ", "BAD DEBT")</f>
        <v xml:space="preserve">          6342 - BAD DEBT</v>
      </c>
      <c r="C216" s="10"/>
      <c r="D216" s="6"/>
      <c r="E216" s="2"/>
      <c r="F216" s="7">
        <f t="shared" si="57"/>
        <v>0</v>
      </c>
      <c r="G216" s="2"/>
      <c r="H216" s="6"/>
      <c r="I216" s="2"/>
      <c r="J216" s="7">
        <f t="shared" si="58"/>
        <v>0</v>
      </c>
      <c r="K216" s="2"/>
      <c r="L216" s="6">
        <f t="shared" si="59"/>
        <v>0</v>
      </c>
      <c r="M216" s="2"/>
      <c r="N216" s="7">
        <f t="shared" si="60"/>
        <v>0</v>
      </c>
      <c r="O216" s="10"/>
      <c r="P216" s="6">
        <v>5349.42</v>
      </c>
      <c r="Q216" s="2"/>
      <c r="R216" s="7">
        <f t="shared" si="61"/>
        <v>7.5075118484328903E-4</v>
      </c>
      <c r="S216" s="2"/>
      <c r="T216" s="6">
        <v>44.8</v>
      </c>
      <c r="U216" s="2"/>
      <c r="V216" s="7">
        <f t="shared" si="62"/>
        <v>4.034201270395013E-6</v>
      </c>
      <c r="W216" s="2"/>
      <c r="X216" s="6">
        <f t="shared" si="63"/>
        <v>5304.62</v>
      </c>
      <c r="Y216" s="2"/>
      <c r="Z216" s="7">
        <f t="shared" si="64"/>
        <v>118.40669642857144</v>
      </c>
    </row>
    <row r="217" spans="1:26" s="26" customFormat="1" outlineLevel="1" collapsed="1" x14ac:dyDescent="0.25">
      <c r="A217" s="25"/>
      <c r="B217" s="12" t="str">
        <f>CONCATENATE("     ","Bank/card Fees                                    ")</f>
        <v xml:space="preserve">     Bank/card Fees                                    </v>
      </c>
      <c r="C217" s="12"/>
      <c r="D217" s="1">
        <f>SUM(OSRRefD22_4x_0)</f>
        <v>5310.85</v>
      </c>
      <c r="E217" s="1"/>
      <c r="F217" s="5">
        <f t="shared" ref="F217:F222" si="65">IF(D$12=0,0,D217/D$12)</f>
        <v>6.3097185062522456E-3</v>
      </c>
      <c r="G217" s="1"/>
      <c r="H217" s="1">
        <f>SUM(OSRRefH22_4x_0)</f>
        <v>2683.78</v>
      </c>
      <c r="I217" s="1"/>
      <c r="J217" s="5">
        <f t="shared" ref="J217:J222" si="66">IF(H$12=0,0,H217/H$12)</f>
        <v>5.7293595444982189E-3</v>
      </c>
      <c r="K217" s="1"/>
      <c r="L217" s="1">
        <f t="shared" ref="L217:L222" si="67">+D217-H217</f>
        <v>2627.07</v>
      </c>
      <c r="M217" s="1"/>
      <c r="N217" s="5">
        <f t="shared" ref="N217:N222" si="68">IF(H217=0,0,L217/H217)</f>
        <v>0.97886935590845747</v>
      </c>
      <c r="O217" s="12"/>
      <c r="P217" s="1">
        <f>SUM(OSRRefP22_4x_0)</f>
        <v>74635.86</v>
      </c>
      <c r="Q217" s="1"/>
      <c r="R217" s="5">
        <f t="shared" ref="R217:R222" si="69">IF(P$12=0,0,P217/P$12)</f>
        <v>1.0474586090977683E-2</v>
      </c>
      <c r="S217" s="1"/>
      <c r="T217" s="1">
        <f>SUM(OSRRefT22_4x_0)</f>
        <v>139831.69</v>
      </c>
      <c r="U217" s="1"/>
      <c r="V217" s="5">
        <f t="shared" ref="V217:V222" si="70">IF(T$12=0,0,T217/T$12)</f>
        <v>1.2591722799988431E-2</v>
      </c>
      <c r="W217" s="1"/>
      <c r="X217" s="1">
        <f t="shared" ref="X217:X222" si="71">+P217-T217</f>
        <v>-65195.83</v>
      </c>
      <c r="Y217" s="1"/>
      <c r="Z217" s="5">
        <f t="shared" ref="Z217:Z222" si="72">IF(T217=0,0,X217/T217)</f>
        <v>-0.46624502643141907</v>
      </c>
    </row>
    <row r="218" spans="1:26" s="23" customFormat="1" hidden="1" outlineLevel="2" x14ac:dyDescent="0.25">
      <c r="A218" s="27"/>
      <c r="B218" s="10" t="str">
        <f>CONCATENATE("          ", "6381", " - ", "BANK/CREDIT CARD FEES")</f>
        <v xml:space="preserve">          6381 - BANK/CREDIT CARD FEES</v>
      </c>
      <c r="C218" s="10"/>
      <c r="D218" s="6">
        <v>5310.85</v>
      </c>
      <c r="E218" s="2"/>
      <c r="F218" s="7">
        <f t="shared" si="65"/>
        <v>6.3097185062522456E-3</v>
      </c>
      <c r="G218" s="2"/>
      <c r="H218" s="6">
        <v>2683.78</v>
      </c>
      <c r="I218" s="2"/>
      <c r="J218" s="7">
        <f t="shared" si="66"/>
        <v>5.7293595444982189E-3</v>
      </c>
      <c r="K218" s="2"/>
      <c r="L218" s="6">
        <f t="shared" si="67"/>
        <v>2627.07</v>
      </c>
      <c r="M218" s="2"/>
      <c r="N218" s="7">
        <f t="shared" si="68"/>
        <v>0.97886935590845747</v>
      </c>
      <c r="O218" s="10"/>
      <c r="P218" s="6">
        <v>74635.86</v>
      </c>
      <c r="Q218" s="2"/>
      <c r="R218" s="7">
        <f t="shared" si="69"/>
        <v>1.0474586090977683E-2</v>
      </c>
      <c r="S218" s="2"/>
      <c r="T218" s="6">
        <v>139831.69</v>
      </c>
      <c r="U218" s="2"/>
      <c r="V218" s="7">
        <f t="shared" si="70"/>
        <v>1.2591722799988431E-2</v>
      </c>
      <c r="W218" s="2"/>
      <c r="X218" s="6">
        <f t="shared" si="71"/>
        <v>-65195.83</v>
      </c>
      <c r="Y218" s="2"/>
      <c r="Z218" s="7">
        <f t="shared" si="72"/>
        <v>-0.46624502643141907</v>
      </c>
    </row>
    <row r="219" spans="1:26" s="26" customFormat="1" outlineLevel="1" collapsed="1" x14ac:dyDescent="0.25">
      <c r="A219" s="25"/>
      <c r="B219" s="12" t="str">
        <f>CONCATENATE("     ","Depreciation                                      ")</f>
        <v xml:space="preserve">     Depreciation                                      </v>
      </c>
      <c r="C219" s="12"/>
      <c r="D219" s="1">
        <f>SUM(OSRRefD22_5x_0)</f>
        <v>31016.29</v>
      </c>
      <c r="E219" s="1"/>
      <c r="F219" s="5">
        <f t="shared" si="65"/>
        <v>3.6849856239262346E-2</v>
      </c>
      <c r="G219" s="1"/>
      <c r="H219" s="1">
        <f>SUM(OSRRefH22_5x_0)</f>
        <v>30629.919999999998</v>
      </c>
      <c r="I219" s="1"/>
      <c r="J219" s="5">
        <f t="shared" si="66"/>
        <v>6.5389049959093837E-2</v>
      </c>
      <c r="K219" s="1"/>
      <c r="L219" s="1">
        <f t="shared" si="67"/>
        <v>386.37000000000262</v>
      </c>
      <c r="M219" s="1"/>
      <c r="N219" s="5">
        <f t="shared" si="68"/>
        <v>1.2614136765620107E-2</v>
      </c>
      <c r="O219" s="12"/>
      <c r="P219" s="1">
        <f>SUM(OSRRefP22_5x_0)</f>
        <v>310458.39</v>
      </c>
      <c r="Q219" s="1"/>
      <c r="R219" s="5">
        <f t="shared" si="69"/>
        <v>4.3570518698670117E-2</v>
      </c>
      <c r="S219" s="1"/>
      <c r="T219" s="1">
        <f>SUM(OSRRefT22_5x_0)</f>
        <v>301487.34000000003</v>
      </c>
      <c r="U219" s="1"/>
      <c r="V219" s="5">
        <f t="shared" si="70"/>
        <v>2.7148674331161016E-2</v>
      </c>
      <c r="W219" s="1"/>
      <c r="X219" s="1">
        <f t="shared" si="71"/>
        <v>8971.0499999999884</v>
      </c>
      <c r="Y219" s="1"/>
      <c r="Z219" s="5">
        <f t="shared" si="72"/>
        <v>2.9755975823064371E-2</v>
      </c>
    </row>
    <row r="220" spans="1:26" s="23" customFormat="1" hidden="1" outlineLevel="2" x14ac:dyDescent="0.25">
      <c r="A220" s="27"/>
      <c r="B220" s="10" t="str">
        <f>CONCATENATE("          ", "6321", " - ", "BUILDING DEPRECIATION")</f>
        <v xml:space="preserve">          6321 - BUILDING DEPRECIATION</v>
      </c>
      <c r="C220" s="10"/>
      <c r="D220" s="6">
        <v>16396.52</v>
      </c>
      <c r="E220" s="2"/>
      <c r="F220" s="7">
        <f t="shared" si="65"/>
        <v>1.9480389331676673E-2</v>
      </c>
      <c r="G220" s="2"/>
      <c r="H220" s="6">
        <v>16396.52</v>
      </c>
      <c r="I220" s="2"/>
      <c r="J220" s="7">
        <f t="shared" si="66"/>
        <v>3.5003449745715343E-2</v>
      </c>
      <c r="K220" s="2"/>
      <c r="L220" s="6">
        <f t="shared" si="67"/>
        <v>0</v>
      </c>
      <c r="M220" s="2"/>
      <c r="N220" s="7">
        <f t="shared" si="68"/>
        <v>0</v>
      </c>
      <c r="O220" s="10"/>
      <c r="P220" s="6">
        <v>163965.20000000001</v>
      </c>
      <c r="Q220" s="2"/>
      <c r="R220" s="7">
        <f t="shared" si="69"/>
        <v>2.3011292471532774E-2</v>
      </c>
      <c r="S220" s="2"/>
      <c r="T220" s="6">
        <v>163965.20000000001</v>
      </c>
      <c r="U220" s="2"/>
      <c r="V220" s="7">
        <f t="shared" si="70"/>
        <v>1.4764924512066352E-2</v>
      </c>
      <c r="W220" s="2"/>
      <c r="X220" s="6">
        <f t="shared" si="71"/>
        <v>0</v>
      </c>
      <c r="Y220" s="2"/>
      <c r="Z220" s="7">
        <f t="shared" si="72"/>
        <v>0</v>
      </c>
    </row>
    <row r="221" spans="1:26" s="23" customFormat="1" hidden="1" outlineLevel="2" x14ac:dyDescent="0.25">
      <c r="A221" s="27"/>
      <c r="B221" s="10" t="str">
        <f>CONCATENATE("          ", "6322", " - ", "EQUIPMENT DEPRECIATION EXPENSE")</f>
        <v xml:space="preserve">          6322 - EQUIPMENT DEPRECIATION EXPENSE</v>
      </c>
      <c r="C221" s="10"/>
      <c r="D221" s="6">
        <v>14619.77</v>
      </c>
      <c r="E221" s="2"/>
      <c r="F221" s="7">
        <f t="shared" si="65"/>
        <v>1.7369466907585677E-2</v>
      </c>
      <c r="G221" s="2"/>
      <c r="H221" s="6">
        <v>14233.4</v>
      </c>
      <c r="I221" s="2"/>
      <c r="J221" s="7">
        <f t="shared" si="66"/>
        <v>3.0385600213378498E-2</v>
      </c>
      <c r="K221" s="2"/>
      <c r="L221" s="6">
        <f t="shared" si="67"/>
        <v>386.3700000000008</v>
      </c>
      <c r="M221" s="2"/>
      <c r="N221" s="7">
        <f t="shared" si="68"/>
        <v>2.714530611097846E-2</v>
      </c>
      <c r="O221" s="10"/>
      <c r="P221" s="6">
        <v>146493.19</v>
      </c>
      <c r="Q221" s="2"/>
      <c r="R221" s="7">
        <f t="shared" si="69"/>
        <v>2.0559226227137344E-2</v>
      </c>
      <c r="S221" s="2"/>
      <c r="T221" s="6">
        <v>137522.14000000001</v>
      </c>
      <c r="U221" s="2"/>
      <c r="V221" s="7">
        <f t="shared" si="70"/>
        <v>1.2383749819094665E-2</v>
      </c>
      <c r="W221" s="2"/>
      <c r="X221" s="6">
        <f t="shared" si="71"/>
        <v>8971.0499999999884</v>
      </c>
      <c r="Y221" s="2"/>
      <c r="Z221" s="7">
        <f t="shared" si="72"/>
        <v>6.5233496221044754E-2</v>
      </c>
    </row>
    <row r="222" spans="1:26" s="23" customFormat="1" hidden="1" outlineLevel="2" x14ac:dyDescent="0.25">
      <c r="A222" s="27"/>
      <c r="B222" s="10" t="str">
        <f>CONCATENATE("          ", "6324", " - ", "FURNITURE + FIXT DEPRECIATION")</f>
        <v xml:space="preserve">          6324 - FURNITURE + FIXT DEPRECIATION</v>
      </c>
      <c r="C222" s="10"/>
      <c r="D222" s="6"/>
      <c r="E222" s="2"/>
      <c r="F222" s="7">
        <f t="shared" si="65"/>
        <v>0</v>
      </c>
      <c r="G222" s="2"/>
      <c r="H222" s="6"/>
      <c r="I222" s="2"/>
      <c r="J222" s="7">
        <f t="shared" si="66"/>
        <v>0</v>
      </c>
      <c r="K222" s="2"/>
      <c r="L222" s="6">
        <f t="shared" si="67"/>
        <v>0</v>
      </c>
      <c r="M222" s="2"/>
      <c r="N222" s="7">
        <f t="shared" si="68"/>
        <v>0</v>
      </c>
      <c r="O222" s="10"/>
      <c r="P222" s="6"/>
      <c r="Q222" s="2"/>
      <c r="R222" s="7">
        <f t="shared" si="69"/>
        <v>0</v>
      </c>
      <c r="S222" s="2"/>
      <c r="T222" s="6">
        <v>0</v>
      </c>
      <c r="U222" s="2"/>
      <c r="V222" s="7">
        <f t="shared" si="70"/>
        <v>0</v>
      </c>
      <c r="W222" s="2"/>
      <c r="X222" s="6">
        <f t="shared" si="71"/>
        <v>0</v>
      </c>
      <c r="Y222" s="2"/>
      <c r="Z222" s="7">
        <f t="shared" si="72"/>
        <v>0</v>
      </c>
    </row>
    <row r="223" spans="1:26" s="26" customFormat="1" outlineLevel="1" collapsed="1" x14ac:dyDescent="0.25">
      <c r="A223" s="25"/>
      <c r="B223" s="12" t="str">
        <f>CONCATENATE("     ","Discounts and Markdowns                           ")</f>
        <v xml:space="preserve">     Discounts and Markdowns                           </v>
      </c>
      <c r="C223" s="12"/>
      <c r="D223" s="1">
        <f>SUM(OSRRefD22_6x_0)</f>
        <v>-15.43</v>
      </c>
      <c r="E223" s="1"/>
      <c r="F223" s="5">
        <f t="shared" ref="F223:F225" si="73">IF(D$12=0,0,D223/D$12)</f>
        <v>-1.8332085551554298E-5</v>
      </c>
      <c r="G223" s="1"/>
      <c r="H223" s="1">
        <f>SUM(OSRRefH22_6x_0)</f>
        <v>46887.76</v>
      </c>
      <c r="I223" s="1"/>
      <c r="J223" s="5">
        <f t="shared" ref="J223:J225" si="74">IF(H$12=0,0,H223/H$12)</f>
        <v>0.10009644429727541</v>
      </c>
      <c r="K223" s="1"/>
      <c r="L223" s="1">
        <f t="shared" ref="L223:L225" si="75">+D223-H223</f>
        <v>-46903.19</v>
      </c>
      <c r="M223" s="1"/>
      <c r="N223" s="5">
        <f t="shared" ref="N223:N225" si="76">IF(H223=0,0,L223/H223)</f>
        <v>-1.0003290837523482</v>
      </c>
      <c r="O223" s="12"/>
      <c r="P223" s="1">
        <f>SUM(OSRRefP22_6x_0)</f>
        <v>-15.43</v>
      </c>
      <c r="Q223" s="1"/>
      <c r="R223" s="5">
        <f t="shared" ref="R223:R225" si="77">IF(P$12=0,0,P223/P$12)</f>
        <v>-2.1654853763832246E-6</v>
      </c>
      <c r="S223" s="1"/>
      <c r="T223" s="1">
        <f>SUM(OSRRefT22_6x_0)</f>
        <v>373654.81</v>
      </c>
      <c r="U223" s="1"/>
      <c r="V223" s="5">
        <f t="shared" ref="V223:V225" si="78">IF(T$12=0,0,T223/T$12)</f>
        <v>3.3647292615875166E-2</v>
      </c>
      <c r="W223" s="1"/>
      <c r="X223" s="1">
        <f t="shared" ref="X223:X225" si="79">+P223-T223</f>
        <v>-373670.24</v>
      </c>
      <c r="Y223" s="1"/>
      <c r="Z223" s="5">
        <f t="shared" ref="Z223:Z225" si="80">IF(T223=0,0,X223/T223)</f>
        <v>-1.0000412947982658</v>
      </c>
    </row>
    <row r="224" spans="1:26" s="23" customFormat="1" hidden="1" outlineLevel="2" x14ac:dyDescent="0.25">
      <c r="A224" s="27"/>
      <c r="B224" s="10" t="str">
        <f>CONCATENATE("          ", "6382", " - ", "DISCOUNTS/MARK DOWNS")</f>
        <v xml:space="preserve">          6382 - DISCOUNTS/MARK DOWNS</v>
      </c>
      <c r="C224" s="10"/>
      <c r="D224" s="6">
        <v>0</v>
      </c>
      <c r="E224" s="2"/>
      <c r="F224" s="7">
        <f t="shared" si="73"/>
        <v>0</v>
      </c>
      <c r="G224" s="2"/>
      <c r="H224" s="6">
        <v>46887.9</v>
      </c>
      <c r="I224" s="2"/>
      <c r="J224" s="7">
        <f t="shared" si="74"/>
        <v>0.10009674317063173</v>
      </c>
      <c r="K224" s="2"/>
      <c r="L224" s="6">
        <f t="shared" si="75"/>
        <v>-46887.9</v>
      </c>
      <c r="M224" s="2"/>
      <c r="N224" s="7">
        <f t="shared" si="76"/>
        <v>-1</v>
      </c>
      <c r="O224" s="10"/>
      <c r="P224" s="6">
        <v>0</v>
      </c>
      <c r="Q224" s="2"/>
      <c r="R224" s="7">
        <f t="shared" si="77"/>
        <v>0</v>
      </c>
      <c r="S224" s="2"/>
      <c r="T224" s="6">
        <v>376886.43</v>
      </c>
      <c r="U224" s="2"/>
      <c r="V224" s="7">
        <f t="shared" si="78"/>
        <v>3.3938297203139317E-2</v>
      </c>
      <c r="W224" s="2"/>
      <c r="X224" s="6">
        <f t="shared" si="79"/>
        <v>-376886.43</v>
      </c>
      <c r="Y224" s="2"/>
      <c r="Z224" s="7">
        <f t="shared" si="80"/>
        <v>-1</v>
      </c>
    </row>
    <row r="225" spans="1:26" s="23" customFormat="1" hidden="1" outlineLevel="2" x14ac:dyDescent="0.25">
      <c r="A225" s="27"/>
      <c r="B225" s="10" t="str">
        <f>CONCATENATE("          ", "9175", " - ", "EARNED DISCOUNTS")</f>
        <v xml:space="preserve">          9175 - EARNED DISCOUNTS</v>
      </c>
      <c r="C225" s="10"/>
      <c r="D225" s="6">
        <v>-15.43</v>
      </c>
      <c r="E225" s="2"/>
      <c r="F225" s="7">
        <f t="shared" si="73"/>
        <v>-1.8332085551554298E-5</v>
      </c>
      <c r="G225" s="2"/>
      <c r="H225" s="6">
        <v>-0.14000000000000001</v>
      </c>
      <c r="I225" s="2"/>
      <c r="J225" s="7">
        <f t="shared" si="74"/>
        <v>-2.9887335632196032E-7</v>
      </c>
      <c r="K225" s="2"/>
      <c r="L225" s="6">
        <f t="shared" si="75"/>
        <v>-15.29</v>
      </c>
      <c r="M225" s="2"/>
      <c r="N225" s="7">
        <f t="shared" si="76"/>
        <v>109.21428571428569</v>
      </c>
      <c r="O225" s="10"/>
      <c r="P225" s="6">
        <v>-15.43</v>
      </c>
      <c r="Q225" s="2"/>
      <c r="R225" s="7">
        <f t="shared" si="77"/>
        <v>-2.1654853763832246E-6</v>
      </c>
      <c r="S225" s="2"/>
      <c r="T225" s="6">
        <v>-3231.62</v>
      </c>
      <c r="U225" s="2"/>
      <c r="V225" s="7">
        <f t="shared" si="78"/>
        <v>-2.9100458726415027E-4</v>
      </c>
      <c r="W225" s="2"/>
      <c r="X225" s="6">
        <f t="shared" si="79"/>
        <v>3216.19</v>
      </c>
      <c r="Y225" s="2"/>
      <c r="Z225" s="7">
        <f t="shared" si="80"/>
        <v>-0.9952253049554094</v>
      </c>
    </row>
    <row r="226" spans="1:26" s="26" customFormat="1" outlineLevel="1" collapsed="1" x14ac:dyDescent="0.25">
      <c r="A226" s="25"/>
      <c r="B226" s="12" t="str">
        <f>CONCATENATE("     ","Donations                                         ")</f>
        <v xml:space="preserve">     Donations                                         </v>
      </c>
      <c r="C226" s="12"/>
      <c r="D226" s="1">
        <f>SUM(OSRRefD22_7x_0)</f>
        <v>360.9</v>
      </c>
      <c r="E226" s="1"/>
      <c r="F226" s="5">
        <f t="shared" ref="F226:F234" si="81">IF(D$12=0,0,D226/D$12)</f>
        <v>4.2877833282929005E-4</v>
      </c>
      <c r="G226" s="1"/>
      <c r="H226" s="1">
        <f>SUM(OSRRefH22_7x_0)</f>
        <v>0</v>
      </c>
      <c r="I226" s="1"/>
      <c r="J226" s="5">
        <f t="shared" ref="J226:J234" si="82">IF(H$12=0,0,H226/H$12)</f>
        <v>0</v>
      </c>
      <c r="K226" s="1"/>
      <c r="L226" s="1">
        <f t="shared" ref="L226:L234" si="83">+D226-H226</f>
        <v>360.9</v>
      </c>
      <c r="M226" s="1"/>
      <c r="N226" s="5">
        <f t="shared" ref="N226:N234" si="84">IF(H226=0,0,L226/H226)</f>
        <v>0</v>
      </c>
      <c r="O226" s="12"/>
      <c r="P226" s="1">
        <f>SUM(OSRRefP22_7x_0)</f>
        <v>360.9</v>
      </c>
      <c r="Q226" s="1"/>
      <c r="R226" s="5">
        <f t="shared" ref="R226:R234" si="85">IF(P$12=0,0,P226/P$12)</f>
        <v>5.0649622316053509E-5</v>
      </c>
      <c r="S226" s="1"/>
      <c r="T226" s="1">
        <f>SUM(OSRRefT22_7x_0)</f>
        <v>12371.45</v>
      </c>
      <c r="U226" s="1"/>
      <c r="V226" s="5">
        <f t="shared" ref="V226:V234" si="86">IF(T$12=0,0,T226/T$12)</f>
        <v>1.114038377380098E-3</v>
      </c>
      <c r="W226" s="1"/>
      <c r="X226" s="1">
        <f t="shared" ref="X226:X234" si="87">+P226-T226</f>
        <v>-12010.550000000001</v>
      </c>
      <c r="Y226" s="1"/>
      <c r="Z226" s="5">
        <f t="shared" ref="Z226:Z234" si="88">IF(T226=0,0,X226/T226)</f>
        <v>-0.9708279951016251</v>
      </c>
    </row>
    <row r="227" spans="1:26" s="23" customFormat="1" hidden="1" outlineLevel="2" x14ac:dyDescent="0.25">
      <c r="A227" s="27"/>
      <c r="B227" s="10" t="str">
        <f>CONCATENATE("          ", "6399", " - ", "DONATION-ON CAMPUS")</f>
        <v xml:space="preserve">          6399 - DONATION-ON CAMPUS</v>
      </c>
      <c r="C227" s="10"/>
      <c r="D227" s="6">
        <v>360.9</v>
      </c>
      <c r="E227" s="2"/>
      <c r="F227" s="7">
        <f t="shared" si="81"/>
        <v>4.2877833282929005E-4</v>
      </c>
      <c r="G227" s="2"/>
      <c r="H227" s="6"/>
      <c r="I227" s="2"/>
      <c r="J227" s="7">
        <f t="shared" si="82"/>
        <v>0</v>
      </c>
      <c r="K227" s="2"/>
      <c r="L227" s="6">
        <f t="shared" si="83"/>
        <v>360.9</v>
      </c>
      <c r="M227" s="2"/>
      <c r="N227" s="7">
        <f t="shared" si="84"/>
        <v>0</v>
      </c>
      <c r="O227" s="10"/>
      <c r="P227" s="6">
        <v>360.9</v>
      </c>
      <c r="Q227" s="2"/>
      <c r="R227" s="7">
        <f t="shared" si="85"/>
        <v>5.0649622316053509E-5</v>
      </c>
      <c r="S227" s="2"/>
      <c r="T227" s="6">
        <v>12371.45</v>
      </c>
      <c r="U227" s="2"/>
      <c r="V227" s="7">
        <f t="shared" si="86"/>
        <v>1.114038377380098E-3</v>
      </c>
      <c r="W227" s="2"/>
      <c r="X227" s="6">
        <f t="shared" si="87"/>
        <v>-12010.550000000001</v>
      </c>
      <c r="Y227" s="2"/>
      <c r="Z227" s="7">
        <f t="shared" si="88"/>
        <v>-0.9708279951016251</v>
      </c>
    </row>
    <row r="228" spans="1:26" s="26" customFormat="1" outlineLevel="1" collapsed="1" x14ac:dyDescent="0.25">
      <c r="A228" s="25"/>
      <c r="B228" s="12" t="str">
        <f>CONCATENATE("     ","Employees' Appreciation                           ")</f>
        <v xml:space="preserve">     Employees' Appreciation                           </v>
      </c>
      <c r="C228" s="12"/>
      <c r="D228" s="1">
        <f>SUM(OSRRefD22_8x_0)</f>
        <v>0</v>
      </c>
      <c r="E228" s="1"/>
      <c r="F228" s="5">
        <f t="shared" si="81"/>
        <v>0</v>
      </c>
      <c r="G228" s="1"/>
      <c r="H228" s="1">
        <f>SUM(OSRRefH22_8x_0)</f>
        <v>30.15</v>
      </c>
      <c r="I228" s="1"/>
      <c r="J228" s="5">
        <f t="shared" si="82"/>
        <v>6.4364512093622155E-5</v>
      </c>
      <c r="K228" s="1"/>
      <c r="L228" s="1">
        <f t="shared" si="83"/>
        <v>-30.15</v>
      </c>
      <c r="M228" s="1"/>
      <c r="N228" s="5">
        <f t="shared" si="84"/>
        <v>-1</v>
      </c>
      <c r="O228" s="12"/>
      <c r="P228" s="1">
        <f>SUM(OSRRefP22_8x_0)</f>
        <v>186.03</v>
      </c>
      <c r="Q228" s="1"/>
      <c r="R228" s="5">
        <f t="shared" si="85"/>
        <v>2.6107922525506885E-5</v>
      </c>
      <c r="S228" s="1"/>
      <c r="T228" s="1">
        <f>SUM(OSRRefT22_8x_0)</f>
        <v>1554.27</v>
      </c>
      <c r="U228" s="1"/>
      <c r="V228" s="5">
        <f t="shared" si="86"/>
        <v>1.39960669833412E-4</v>
      </c>
      <c r="W228" s="1"/>
      <c r="X228" s="1">
        <f t="shared" si="87"/>
        <v>-1368.24</v>
      </c>
      <c r="Y228" s="1"/>
      <c r="Z228" s="5">
        <f t="shared" si="88"/>
        <v>-0.88031037078499874</v>
      </c>
    </row>
    <row r="229" spans="1:26" s="23" customFormat="1" hidden="1" outlineLevel="2" x14ac:dyDescent="0.25">
      <c r="A229" s="27"/>
      <c r="B229" s="10" t="str">
        <f>CONCATENATE("          ", "6277", " - ", "EMPLOYEE APPRECIATION")</f>
        <v xml:space="preserve">          6277 - EMPLOYEE APPRECIATION</v>
      </c>
      <c r="C229" s="10"/>
      <c r="D229" s="6"/>
      <c r="E229" s="2"/>
      <c r="F229" s="7">
        <f t="shared" si="81"/>
        <v>0</v>
      </c>
      <c r="G229" s="2"/>
      <c r="H229" s="6">
        <v>30.15</v>
      </c>
      <c r="I229" s="2"/>
      <c r="J229" s="7">
        <f t="shared" si="82"/>
        <v>6.4364512093622155E-5</v>
      </c>
      <c r="K229" s="2"/>
      <c r="L229" s="6">
        <f t="shared" si="83"/>
        <v>-30.15</v>
      </c>
      <c r="M229" s="2"/>
      <c r="N229" s="7">
        <f t="shared" si="84"/>
        <v>-1</v>
      </c>
      <c r="O229" s="10"/>
      <c r="P229" s="6">
        <v>186.03</v>
      </c>
      <c r="Q229" s="2"/>
      <c r="R229" s="7">
        <f t="shared" si="85"/>
        <v>2.6107922525506885E-5</v>
      </c>
      <c r="S229" s="2"/>
      <c r="T229" s="6">
        <v>1554.27</v>
      </c>
      <c r="U229" s="2"/>
      <c r="V229" s="7">
        <f t="shared" si="86"/>
        <v>1.39960669833412E-4</v>
      </c>
      <c r="W229" s="2"/>
      <c r="X229" s="6">
        <f t="shared" si="87"/>
        <v>-1368.24</v>
      </c>
      <c r="Y229" s="2"/>
      <c r="Z229" s="7">
        <f t="shared" si="88"/>
        <v>-0.88031037078499874</v>
      </c>
    </row>
    <row r="230" spans="1:26" s="26" customFormat="1" outlineLevel="1" collapsed="1" x14ac:dyDescent="0.25">
      <c r="A230" s="25"/>
      <c r="B230" s="12" t="str">
        <f>CONCATENATE("     ","Equipment Rental                                  ")</f>
        <v xml:space="preserve">     Equipment Rental                                  </v>
      </c>
      <c r="C230" s="12"/>
      <c r="D230" s="1">
        <f>SUM(OSRRefD22_9x_0)</f>
        <v>1388.16</v>
      </c>
      <c r="E230" s="1"/>
      <c r="F230" s="5">
        <f t="shared" si="81"/>
        <v>1.6492461360496187E-3</v>
      </c>
      <c r="G230" s="1"/>
      <c r="H230" s="1">
        <f>SUM(OSRRefH22_9x_0)</f>
        <v>1509.51</v>
      </c>
      <c r="I230" s="1"/>
      <c r="J230" s="5">
        <f t="shared" si="82"/>
        <v>3.2225165721540164E-3</v>
      </c>
      <c r="K230" s="1"/>
      <c r="L230" s="1">
        <f t="shared" si="83"/>
        <v>-121.34999999999991</v>
      </c>
      <c r="M230" s="1"/>
      <c r="N230" s="5">
        <f t="shared" si="84"/>
        <v>-8.0390325337361068E-2</v>
      </c>
      <c r="O230" s="12"/>
      <c r="P230" s="1">
        <f>SUM(OSRRefP22_9x_0)</f>
        <v>14834.17</v>
      </c>
      <c r="Q230" s="1"/>
      <c r="R230" s="5">
        <f t="shared" si="85"/>
        <v>2.0818650813857901E-3</v>
      </c>
      <c r="S230" s="1"/>
      <c r="T230" s="1">
        <f>SUM(OSRRefT22_9x_0)</f>
        <v>16764.13</v>
      </c>
      <c r="U230" s="1"/>
      <c r="V230" s="5">
        <f t="shared" si="86"/>
        <v>1.5095954139077491E-3</v>
      </c>
      <c r="W230" s="1"/>
      <c r="X230" s="1">
        <f t="shared" si="87"/>
        <v>-1929.9600000000009</v>
      </c>
      <c r="Y230" s="1"/>
      <c r="Z230" s="5">
        <f t="shared" si="88"/>
        <v>-0.11512437567592239</v>
      </c>
    </row>
    <row r="231" spans="1:26" s="23" customFormat="1" hidden="1" outlineLevel="2" x14ac:dyDescent="0.25">
      <c r="A231" s="27"/>
      <c r="B231" s="10" t="str">
        <f>CONCATENATE("          ", "6351", " - ", "EQUIPMENT RENTAL")</f>
        <v xml:space="preserve">          6351 - EQUIPMENT RENTAL</v>
      </c>
      <c r="C231" s="10"/>
      <c r="D231" s="6">
        <v>1388.16</v>
      </c>
      <c r="E231" s="2"/>
      <c r="F231" s="7">
        <f t="shared" si="81"/>
        <v>1.6492461360496187E-3</v>
      </c>
      <c r="G231" s="2"/>
      <c r="H231" s="6">
        <v>1509.51</v>
      </c>
      <c r="I231" s="2"/>
      <c r="J231" s="7">
        <f t="shared" si="82"/>
        <v>3.2225165721540164E-3</v>
      </c>
      <c r="K231" s="2"/>
      <c r="L231" s="6">
        <f t="shared" si="83"/>
        <v>-121.34999999999991</v>
      </c>
      <c r="M231" s="2"/>
      <c r="N231" s="7">
        <f t="shared" si="84"/>
        <v>-8.0390325337361068E-2</v>
      </c>
      <c r="O231" s="10"/>
      <c r="P231" s="6">
        <v>14834.17</v>
      </c>
      <c r="Q231" s="2"/>
      <c r="R231" s="7">
        <f t="shared" si="85"/>
        <v>2.0818650813857901E-3</v>
      </c>
      <c r="S231" s="2"/>
      <c r="T231" s="6">
        <v>16764.13</v>
      </c>
      <c r="U231" s="2"/>
      <c r="V231" s="7">
        <f t="shared" si="86"/>
        <v>1.5095954139077491E-3</v>
      </c>
      <c r="W231" s="2"/>
      <c r="X231" s="6">
        <f t="shared" si="87"/>
        <v>-1929.9600000000009</v>
      </c>
      <c r="Y231" s="2"/>
      <c r="Z231" s="7">
        <f t="shared" si="88"/>
        <v>-0.11512437567592239</v>
      </c>
    </row>
    <row r="232" spans="1:26" s="26" customFormat="1" outlineLevel="1" collapsed="1" x14ac:dyDescent="0.25">
      <c r="A232" s="25"/>
      <c r="B232" s="12" t="str">
        <f>CONCATENATE("     ","Freight out/Postage                               ")</f>
        <v xml:space="preserve">     Freight out/Postage                               </v>
      </c>
      <c r="C232" s="12"/>
      <c r="D232" s="1">
        <f>SUM(OSRRefD22_10x_0)</f>
        <v>-12487.910000000003</v>
      </c>
      <c r="E232" s="1"/>
      <c r="F232" s="5">
        <f t="shared" si="81"/>
        <v>-1.4836645138049935E-2</v>
      </c>
      <c r="G232" s="1"/>
      <c r="H232" s="1">
        <f>SUM(OSRRefH22_10x_0)</f>
        <v>9093.74</v>
      </c>
      <c r="I232" s="1"/>
      <c r="J232" s="5">
        <f t="shared" si="82"/>
        <v>1.9413404252280452E-2</v>
      </c>
      <c r="K232" s="1"/>
      <c r="L232" s="1">
        <f t="shared" si="83"/>
        <v>-21581.65</v>
      </c>
      <c r="M232" s="1"/>
      <c r="N232" s="5">
        <f t="shared" si="84"/>
        <v>-2.3732424722941277</v>
      </c>
      <c r="O232" s="12"/>
      <c r="P232" s="1">
        <f>SUM(OSRRefP22_10x_0)</f>
        <v>-45380.26999999999</v>
      </c>
      <c r="Q232" s="1"/>
      <c r="R232" s="5">
        <f t="shared" si="85"/>
        <v>-6.3687823111680062E-3</v>
      </c>
      <c r="S232" s="1"/>
      <c r="T232" s="1">
        <f>SUM(OSRRefT22_10x_0)</f>
        <v>10014.790000000001</v>
      </c>
      <c r="U232" s="1"/>
      <c r="V232" s="5">
        <f t="shared" si="86"/>
        <v>9.0182318171293035E-4</v>
      </c>
      <c r="W232" s="1"/>
      <c r="X232" s="1">
        <f t="shared" si="87"/>
        <v>-55395.05999999999</v>
      </c>
      <c r="Y232" s="1"/>
      <c r="Z232" s="5">
        <f t="shared" si="88"/>
        <v>-5.53132517007346</v>
      </c>
    </row>
    <row r="233" spans="1:26" s="23" customFormat="1" hidden="1" outlineLevel="2" x14ac:dyDescent="0.25">
      <c r="A233" s="27"/>
      <c r="B233" s="10" t="str">
        <f>CONCATENATE("          ", "6305", " - ", "FREIGHT OUT")</f>
        <v xml:space="preserve">          6305 - FREIGHT OUT</v>
      </c>
      <c r="C233" s="10"/>
      <c r="D233" s="6">
        <v>22694.03</v>
      </c>
      <c r="E233" s="2"/>
      <c r="F233" s="7">
        <f t="shared" si="81"/>
        <v>2.6962339563806854E-2</v>
      </c>
      <c r="G233" s="2"/>
      <c r="H233" s="6">
        <v>10653.58</v>
      </c>
      <c r="I233" s="2"/>
      <c r="J233" s="7">
        <f t="shared" si="82"/>
        <v>2.274336579603221E-2</v>
      </c>
      <c r="K233" s="2"/>
      <c r="L233" s="6">
        <f t="shared" si="83"/>
        <v>12040.449999999999</v>
      </c>
      <c r="M233" s="2"/>
      <c r="N233" s="7">
        <f t="shared" si="84"/>
        <v>1.1301787755852961</v>
      </c>
      <c r="O233" s="10"/>
      <c r="P233" s="6">
        <v>203529.51</v>
      </c>
      <c r="Q233" s="2"/>
      <c r="R233" s="7">
        <f t="shared" si="85"/>
        <v>2.8563848189724128E-2</v>
      </c>
      <c r="S233" s="2"/>
      <c r="T233" s="6">
        <v>62445.78</v>
      </c>
      <c r="U233" s="2"/>
      <c r="V233" s="7">
        <f t="shared" si="86"/>
        <v>5.6231885046162397E-3</v>
      </c>
      <c r="W233" s="2"/>
      <c r="X233" s="6">
        <f t="shared" si="87"/>
        <v>141083.73000000001</v>
      </c>
      <c r="Y233" s="2"/>
      <c r="Z233" s="7">
        <f t="shared" si="88"/>
        <v>2.259299667647678</v>
      </c>
    </row>
    <row r="234" spans="1:26" s="23" customFormat="1" hidden="1" outlineLevel="2" x14ac:dyDescent="0.25">
      <c r="A234" s="27"/>
      <c r="B234" s="10" t="str">
        <f>CONCATENATE("          ", "6307", " - ", "POSTAGE")</f>
        <v xml:space="preserve">          6307 - POSTAGE</v>
      </c>
      <c r="C234" s="10"/>
      <c r="D234" s="6">
        <v>-35181.94</v>
      </c>
      <c r="E234" s="2"/>
      <c r="F234" s="7">
        <f t="shared" si="81"/>
        <v>-4.1798984701856785E-2</v>
      </c>
      <c r="G234" s="2"/>
      <c r="H234" s="6">
        <v>-1559.84</v>
      </c>
      <c r="I234" s="2"/>
      <c r="J234" s="7">
        <f t="shared" si="82"/>
        <v>-3.3299615437517608E-3</v>
      </c>
      <c r="K234" s="2"/>
      <c r="L234" s="6">
        <f t="shared" si="83"/>
        <v>-33622.100000000006</v>
      </c>
      <c r="M234" s="2"/>
      <c r="N234" s="7">
        <f t="shared" si="84"/>
        <v>21.554838957841834</v>
      </c>
      <c r="O234" s="10"/>
      <c r="P234" s="6">
        <v>-248909.78</v>
      </c>
      <c r="Q234" s="2"/>
      <c r="R234" s="7">
        <f t="shared" si="85"/>
        <v>-3.4932630500892133E-2</v>
      </c>
      <c r="S234" s="2"/>
      <c r="T234" s="6">
        <v>-52430.99</v>
      </c>
      <c r="U234" s="2"/>
      <c r="V234" s="7">
        <f t="shared" si="86"/>
        <v>-4.7213653229033091E-3</v>
      </c>
      <c r="W234" s="2"/>
      <c r="X234" s="6">
        <f t="shared" si="87"/>
        <v>-196478.79</v>
      </c>
      <c r="Y234" s="2"/>
      <c r="Z234" s="7">
        <f t="shared" si="88"/>
        <v>3.7473789833073914</v>
      </c>
    </row>
    <row r="235" spans="1:26" s="26" customFormat="1" outlineLevel="1" collapsed="1" x14ac:dyDescent="0.25">
      <c r="A235" s="25"/>
      <c r="B235" s="12" t="str">
        <f>CONCATENATE("     ","General                                           ")</f>
        <v xml:space="preserve">     General                                           </v>
      </c>
      <c r="C235" s="12"/>
      <c r="D235" s="1">
        <f>SUM(OSRRefD22_11x_0)</f>
        <v>93.84</v>
      </c>
      <c r="E235" s="1"/>
      <c r="F235" s="5">
        <f t="shared" ref="F235:F242" si="89">IF(D$12=0,0,D235/D$12)</f>
        <v>1.1148949501995174E-4</v>
      </c>
      <c r="G235" s="1"/>
      <c r="H235" s="1">
        <f>SUM(OSRRefH22_11x_0)</f>
        <v>-375.03</v>
      </c>
      <c r="I235" s="1"/>
      <c r="J235" s="5">
        <f t="shared" ref="J235:J242" si="90">IF(H$12=0,0,H235/H$12)</f>
        <v>-8.0061767729589113E-4</v>
      </c>
      <c r="K235" s="1"/>
      <c r="L235" s="1">
        <f t="shared" ref="L235:L242" si="91">+D235-H235</f>
        <v>468.87</v>
      </c>
      <c r="M235" s="1"/>
      <c r="N235" s="5">
        <f t="shared" ref="N235:N242" si="92">IF(H235=0,0,L235/H235)</f>
        <v>-1.250219982401408</v>
      </c>
      <c r="O235" s="12"/>
      <c r="P235" s="1">
        <f>SUM(OSRRefP22_11x_0)</f>
        <v>2573.48</v>
      </c>
      <c r="Q235" s="1"/>
      <c r="R235" s="5">
        <f t="shared" ref="R235:R242" si="93">IF(P$12=0,0,P235/P$12)</f>
        <v>3.6116871720121198E-4</v>
      </c>
      <c r="S235" s="1"/>
      <c r="T235" s="1">
        <f>SUM(OSRRefT22_11x_0)</f>
        <v>-1406.62</v>
      </c>
      <c r="U235" s="1"/>
      <c r="V235" s="5">
        <f t="shared" ref="V235:V242" si="94">IF(T$12=0,0,T235/T$12)</f>
        <v>-1.2666491497685342E-4</v>
      </c>
      <c r="W235" s="1"/>
      <c r="X235" s="1">
        <f t="shared" ref="X235:X242" si="95">+P235-T235</f>
        <v>3980.1</v>
      </c>
      <c r="Y235" s="1"/>
      <c r="Z235" s="5">
        <f t="shared" ref="Z235:Z242" si="96">IF(T235=0,0,X235/T235)</f>
        <v>-2.8295488475921005</v>
      </c>
    </row>
    <row r="236" spans="1:26" s="23" customFormat="1" hidden="1" outlineLevel="2" x14ac:dyDescent="0.25">
      <c r="A236" s="27"/>
      <c r="B236" s="10" t="str">
        <f>CONCATENATE("          ", "6279", " - ", "GENERAL EXPENSE")</f>
        <v xml:space="preserve">          6279 - GENERAL EXPENSE</v>
      </c>
      <c r="C236" s="10"/>
      <c r="D236" s="6">
        <v>93.84</v>
      </c>
      <c r="E236" s="2"/>
      <c r="F236" s="7">
        <f t="shared" si="89"/>
        <v>1.1148949501995174E-4</v>
      </c>
      <c r="G236" s="2"/>
      <c r="H236" s="6">
        <v>-375.03</v>
      </c>
      <c r="I236" s="2"/>
      <c r="J236" s="7">
        <f t="shared" si="90"/>
        <v>-8.0061767729589113E-4</v>
      </c>
      <c r="K236" s="2"/>
      <c r="L236" s="6">
        <f t="shared" si="91"/>
        <v>468.87</v>
      </c>
      <c r="M236" s="2"/>
      <c r="N236" s="7">
        <f t="shared" si="92"/>
        <v>-1.250219982401408</v>
      </c>
      <c r="O236" s="10"/>
      <c r="P236" s="6">
        <v>2573.48</v>
      </c>
      <c r="Q236" s="2"/>
      <c r="R236" s="7">
        <f t="shared" si="93"/>
        <v>3.6116871720121198E-4</v>
      </c>
      <c r="S236" s="2"/>
      <c r="T236" s="6">
        <v>-1406.62</v>
      </c>
      <c r="U236" s="2"/>
      <c r="V236" s="7">
        <f t="shared" si="94"/>
        <v>-1.2666491497685342E-4</v>
      </c>
      <c r="W236" s="2"/>
      <c r="X236" s="6">
        <f t="shared" si="95"/>
        <v>3980.1</v>
      </c>
      <c r="Y236" s="2"/>
      <c r="Z236" s="7">
        <f t="shared" si="96"/>
        <v>-2.8295488475921005</v>
      </c>
    </row>
    <row r="237" spans="1:26" s="26" customFormat="1" outlineLevel="1" collapsed="1" x14ac:dyDescent="0.25">
      <c r="A237" s="25"/>
      <c r="B237" s="12" t="str">
        <f>CONCATENATE("     ","Insurance                                         ")</f>
        <v xml:space="preserve">     Insurance                                         </v>
      </c>
      <c r="C237" s="12"/>
      <c r="D237" s="1">
        <f>SUM(OSRRefD22_12x_0)</f>
        <v>4044.74</v>
      </c>
      <c r="E237" s="1"/>
      <c r="F237" s="5">
        <f t="shared" si="89"/>
        <v>4.8054776224104815E-3</v>
      </c>
      <c r="G237" s="1"/>
      <c r="H237" s="1">
        <f>SUM(OSRRefH22_12x_0)</f>
        <v>4044.74</v>
      </c>
      <c r="I237" s="1"/>
      <c r="J237" s="5">
        <f t="shared" si="90"/>
        <v>8.6347501374977546E-3</v>
      </c>
      <c r="K237" s="1"/>
      <c r="L237" s="1">
        <f t="shared" si="91"/>
        <v>0</v>
      </c>
      <c r="M237" s="1"/>
      <c r="N237" s="5">
        <f t="shared" si="92"/>
        <v>0</v>
      </c>
      <c r="O237" s="12"/>
      <c r="P237" s="1">
        <f>SUM(OSRRefP22_12x_0)</f>
        <v>40447.4</v>
      </c>
      <c r="Q237" s="1"/>
      <c r="R237" s="5">
        <f t="shared" si="93"/>
        <v>5.6764908109347275E-3</v>
      </c>
      <c r="S237" s="1"/>
      <c r="T237" s="1">
        <f>SUM(OSRRefT22_12x_0)</f>
        <v>40447.4</v>
      </c>
      <c r="U237" s="1"/>
      <c r="V237" s="5">
        <f t="shared" si="94"/>
        <v>3.6422534032181982E-3</v>
      </c>
      <c r="W237" s="1"/>
      <c r="X237" s="1">
        <f t="shared" si="95"/>
        <v>0</v>
      </c>
      <c r="Y237" s="1"/>
      <c r="Z237" s="5">
        <f t="shared" si="96"/>
        <v>0</v>
      </c>
    </row>
    <row r="238" spans="1:26" s="23" customFormat="1" hidden="1" outlineLevel="2" x14ac:dyDescent="0.25">
      <c r="A238" s="27"/>
      <c r="B238" s="10" t="str">
        <f>CONCATENATE("          ", "6314", " - ", "LIABILITY INSURANCE")</f>
        <v xml:space="preserve">          6314 - LIABILITY INSURANCE</v>
      </c>
      <c r="C238" s="10"/>
      <c r="D238" s="6">
        <v>4044.74</v>
      </c>
      <c r="E238" s="2"/>
      <c r="F238" s="7">
        <f t="shared" si="89"/>
        <v>4.8054776224104815E-3</v>
      </c>
      <c r="G238" s="2"/>
      <c r="H238" s="6">
        <v>4044.74</v>
      </c>
      <c r="I238" s="2"/>
      <c r="J238" s="7">
        <f t="shared" si="90"/>
        <v>8.6347501374977546E-3</v>
      </c>
      <c r="K238" s="2"/>
      <c r="L238" s="6">
        <f t="shared" si="91"/>
        <v>0</v>
      </c>
      <c r="M238" s="2"/>
      <c r="N238" s="7">
        <f t="shared" si="92"/>
        <v>0</v>
      </c>
      <c r="O238" s="10"/>
      <c r="P238" s="6">
        <v>40447.4</v>
      </c>
      <c r="Q238" s="2"/>
      <c r="R238" s="7">
        <f t="shared" si="93"/>
        <v>5.6764908109347275E-3</v>
      </c>
      <c r="S238" s="2"/>
      <c r="T238" s="6">
        <v>40447.4</v>
      </c>
      <c r="U238" s="2"/>
      <c r="V238" s="7">
        <f t="shared" si="94"/>
        <v>3.6422534032181982E-3</v>
      </c>
      <c r="W238" s="2"/>
      <c r="X238" s="6">
        <f t="shared" si="95"/>
        <v>0</v>
      </c>
      <c r="Y238" s="2"/>
      <c r="Z238" s="7">
        <f t="shared" si="96"/>
        <v>0</v>
      </c>
    </row>
    <row r="239" spans="1:26" s="26" customFormat="1" outlineLevel="1" collapsed="1" x14ac:dyDescent="0.25">
      <c r="A239" s="25"/>
      <c r="B239" s="12" t="str">
        <f>CONCATENATE("     ","Inventory Adjustment                              ")</f>
        <v xml:space="preserve">     Inventory Adjustment                              </v>
      </c>
      <c r="C239" s="12"/>
      <c r="D239" s="1">
        <f>SUM(OSRRefD22_13x_0)</f>
        <v>3350</v>
      </c>
      <c r="E239" s="1"/>
      <c r="F239" s="5">
        <f t="shared" si="89"/>
        <v>3.9800704211086779E-3</v>
      </c>
      <c r="G239" s="1"/>
      <c r="H239" s="1">
        <f>SUM(OSRRefH22_13x_0)</f>
        <v>4550</v>
      </c>
      <c r="I239" s="1"/>
      <c r="J239" s="5">
        <f t="shared" si="90"/>
        <v>9.7133840804637089E-3</v>
      </c>
      <c r="K239" s="1"/>
      <c r="L239" s="1">
        <f t="shared" si="91"/>
        <v>-1200</v>
      </c>
      <c r="M239" s="1"/>
      <c r="N239" s="5">
        <f t="shared" si="92"/>
        <v>-0.26373626373626374</v>
      </c>
      <c r="O239" s="12"/>
      <c r="P239" s="1">
        <f>SUM(OSRRefP22_13x_0)</f>
        <v>38500</v>
      </c>
      <c r="Q239" s="1"/>
      <c r="R239" s="5">
        <f t="shared" si="93"/>
        <v>5.4031877505349418E-3</v>
      </c>
      <c r="S239" s="1"/>
      <c r="T239" s="1">
        <f>SUM(OSRRefT22_13x_0)</f>
        <v>48800</v>
      </c>
      <c r="U239" s="1"/>
      <c r="V239" s="5">
        <f t="shared" si="94"/>
        <v>4.3943978123945687E-3</v>
      </c>
      <c r="W239" s="1"/>
      <c r="X239" s="1">
        <f t="shared" si="95"/>
        <v>-10300</v>
      </c>
      <c r="Y239" s="1"/>
      <c r="Z239" s="5">
        <f t="shared" si="96"/>
        <v>-0.21106557377049182</v>
      </c>
    </row>
    <row r="240" spans="1:26" s="23" customFormat="1" hidden="1" outlineLevel="2" x14ac:dyDescent="0.25">
      <c r="A240" s="27"/>
      <c r="B240" s="10" t="str">
        <f>CONCATENATE("          ", "6408", " - ", "INVENTORY ADJUSTMENT")</f>
        <v xml:space="preserve">          6408 - INVENTORY ADJUSTMENT</v>
      </c>
      <c r="C240" s="10"/>
      <c r="D240" s="6">
        <v>3350</v>
      </c>
      <c r="E240" s="2"/>
      <c r="F240" s="7">
        <f t="shared" si="89"/>
        <v>3.9800704211086779E-3</v>
      </c>
      <c r="G240" s="2"/>
      <c r="H240" s="6">
        <v>4550</v>
      </c>
      <c r="I240" s="2"/>
      <c r="J240" s="7">
        <f t="shared" si="90"/>
        <v>9.7133840804637089E-3</v>
      </c>
      <c r="K240" s="2"/>
      <c r="L240" s="6">
        <f t="shared" si="91"/>
        <v>-1200</v>
      </c>
      <c r="M240" s="2"/>
      <c r="N240" s="7">
        <f t="shared" si="92"/>
        <v>-0.26373626373626374</v>
      </c>
      <c r="O240" s="10"/>
      <c r="P240" s="6">
        <v>38500</v>
      </c>
      <c r="Q240" s="2"/>
      <c r="R240" s="7">
        <f t="shared" si="93"/>
        <v>5.4031877505349418E-3</v>
      </c>
      <c r="S240" s="2"/>
      <c r="T240" s="6">
        <v>48800</v>
      </c>
      <c r="U240" s="2"/>
      <c r="V240" s="7">
        <f t="shared" si="94"/>
        <v>4.3943978123945687E-3</v>
      </c>
      <c r="W240" s="2"/>
      <c r="X240" s="6">
        <f t="shared" si="95"/>
        <v>-10300</v>
      </c>
      <c r="Y240" s="2"/>
      <c r="Z240" s="7">
        <f t="shared" si="96"/>
        <v>-0.21106557377049182</v>
      </c>
    </row>
    <row r="241" spans="1:26" s="23" customFormat="1" hidden="1" outlineLevel="2" x14ac:dyDescent="0.25">
      <c r="A241" s="27"/>
      <c r="B241" s="10" t="str">
        <f>CONCATENATE("          ", "7701", " - ", "INV. SHRINKAGE-NEW TEXT")</f>
        <v xml:space="preserve">          7701 - INV. SHRINKAGE-NEW TEXT</v>
      </c>
      <c r="C241" s="10"/>
      <c r="D241" s="6"/>
      <c r="E241" s="2"/>
      <c r="F241" s="7">
        <f t="shared" si="89"/>
        <v>0</v>
      </c>
      <c r="G241" s="2"/>
      <c r="H241" s="6"/>
      <c r="I241" s="2"/>
      <c r="J241" s="7">
        <f t="shared" si="90"/>
        <v>0</v>
      </c>
      <c r="K241" s="2"/>
      <c r="L241" s="6">
        <f t="shared" si="91"/>
        <v>0</v>
      </c>
      <c r="M241" s="2"/>
      <c r="N241" s="7">
        <f t="shared" si="92"/>
        <v>0</v>
      </c>
      <c r="O241" s="10"/>
      <c r="P241" s="6"/>
      <c r="Q241" s="2"/>
      <c r="R241" s="7">
        <f t="shared" si="93"/>
        <v>0</v>
      </c>
      <c r="S241" s="2"/>
      <c r="T241" s="6">
        <v>0</v>
      </c>
      <c r="U241" s="2"/>
      <c r="V241" s="7">
        <f t="shared" si="94"/>
        <v>0</v>
      </c>
      <c r="W241" s="2"/>
      <c r="X241" s="6">
        <f t="shared" si="95"/>
        <v>0</v>
      </c>
      <c r="Y241" s="2"/>
      <c r="Z241" s="7">
        <f t="shared" si="96"/>
        <v>0</v>
      </c>
    </row>
    <row r="242" spans="1:26" s="23" customFormat="1" hidden="1" outlineLevel="2" x14ac:dyDescent="0.25">
      <c r="A242" s="27"/>
      <c r="B242" s="10" t="str">
        <f>CONCATENATE("          ", "7741", " - ", "INV. SHRINKAGE-LOGO GIFTS")</f>
        <v xml:space="preserve">          7741 - INV. SHRINKAGE-LOGO GIFTS</v>
      </c>
      <c r="C242" s="10"/>
      <c r="D242" s="6"/>
      <c r="E242" s="2"/>
      <c r="F242" s="7">
        <f t="shared" si="89"/>
        <v>0</v>
      </c>
      <c r="G242" s="2"/>
      <c r="H242" s="6"/>
      <c r="I242" s="2"/>
      <c r="J242" s="7">
        <f t="shared" si="90"/>
        <v>0</v>
      </c>
      <c r="K242" s="2"/>
      <c r="L242" s="6">
        <f t="shared" si="91"/>
        <v>0</v>
      </c>
      <c r="M242" s="2"/>
      <c r="N242" s="7">
        <f t="shared" si="92"/>
        <v>0</v>
      </c>
      <c r="O242" s="10"/>
      <c r="P242" s="6">
        <v>0</v>
      </c>
      <c r="Q242" s="2"/>
      <c r="R242" s="7">
        <f t="shared" si="93"/>
        <v>0</v>
      </c>
      <c r="S242" s="2"/>
      <c r="T242" s="6"/>
      <c r="U242" s="2"/>
      <c r="V242" s="7">
        <f t="shared" si="94"/>
        <v>0</v>
      </c>
      <c r="W242" s="2"/>
      <c r="X242" s="6">
        <f t="shared" si="95"/>
        <v>0</v>
      </c>
      <c r="Y242" s="2"/>
      <c r="Z242" s="7">
        <f t="shared" si="96"/>
        <v>0</v>
      </c>
    </row>
    <row r="243" spans="1:26" s="26" customFormat="1" outlineLevel="1" collapsed="1" x14ac:dyDescent="0.25">
      <c r="A243" s="25"/>
      <c r="B243" s="12" t="str">
        <f>CONCATENATE("     ","Professional Services                             ")</f>
        <v xml:space="preserve">     Professional Services                             </v>
      </c>
      <c r="C243" s="12"/>
      <c r="D243" s="1">
        <f>SUM(OSRRefD22_14x_0)</f>
        <v>0</v>
      </c>
      <c r="E243" s="1"/>
      <c r="F243" s="5">
        <f t="shared" ref="F243:F251" si="97">IF(D$12=0,0,D243/D$12)</f>
        <v>0</v>
      </c>
      <c r="G243" s="1"/>
      <c r="H243" s="1">
        <f>SUM(OSRRefH22_14x_0)</f>
        <v>2930</v>
      </c>
      <c r="I243" s="1"/>
      <c r="J243" s="5">
        <f t="shared" ref="J243:J251" si="98">IF(H$12=0,0,H243/H$12)</f>
        <v>6.2549923858810259E-3</v>
      </c>
      <c r="K243" s="1"/>
      <c r="L243" s="1">
        <f t="shared" ref="L243:L251" si="99">+D243-H243</f>
        <v>-2930</v>
      </c>
      <c r="M243" s="1"/>
      <c r="N243" s="5">
        <f t="shared" ref="N243:N251" si="100">IF(H243=0,0,L243/H243)</f>
        <v>-1</v>
      </c>
      <c r="O243" s="12"/>
      <c r="P243" s="1">
        <f>SUM(OSRRefP22_14x_0)</f>
        <v>0</v>
      </c>
      <c r="Q243" s="1"/>
      <c r="R243" s="5">
        <f t="shared" ref="R243:R251" si="101">IF(P$12=0,0,P243/P$12)</f>
        <v>0</v>
      </c>
      <c r="S243" s="1"/>
      <c r="T243" s="1">
        <f>SUM(OSRRefT22_14x_0)</f>
        <v>9129.56</v>
      </c>
      <c r="U243" s="1"/>
      <c r="V243" s="5">
        <f t="shared" ref="V243:V251" si="102">IF(T$12=0,0,T243/T$12)</f>
        <v>8.2210898549436374E-4</v>
      </c>
      <c r="W243" s="1"/>
      <c r="X243" s="1">
        <f t="shared" ref="X243:X251" si="103">+P243-T243</f>
        <v>-9129.56</v>
      </c>
      <c r="Y243" s="1"/>
      <c r="Z243" s="5">
        <f t="shared" ref="Z243:Z251" si="104">IF(T243=0,0,X243/T243)</f>
        <v>-1</v>
      </c>
    </row>
    <row r="244" spans="1:26" s="23" customFormat="1" hidden="1" outlineLevel="2" x14ac:dyDescent="0.25">
      <c r="A244" s="27"/>
      <c r="B244" s="10" t="str">
        <f>CONCATENATE("          ", "6336", " - ", "PROFESSIONAL SERVICES")</f>
        <v xml:space="preserve">          6336 - PROFESSIONAL SERVICES</v>
      </c>
      <c r="C244" s="10"/>
      <c r="D244" s="6"/>
      <c r="E244" s="2"/>
      <c r="F244" s="7">
        <f t="shared" si="97"/>
        <v>0</v>
      </c>
      <c r="G244" s="2"/>
      <c r="H244" s="6">
        <v>2930</v>
      </c>
      <c r="I244" s="2"/>
      <c r="J244" s="7">
        <f t="shared" si="98"/>
        <v>6.2549923858810259E-3</v>
      </c>
      <c r="K244" s="2"/>
      <c r="L244" s="6">
        <f t="shared" si="99"/>
        <v>-2930</v>
      </c>
      <c r="M244" s="2"/>
      <c r="N244" s="7">
        <f t="shared" si="100"/>
        <v>-1</v>
      </c>
      <c r="O244" s="10"/>
      <c r="P244" s="6"/>
      <c r="Q244" s="2"/>
      <c r="R244" s="7">
        <f t="shared" si="101"/>
        <v>0</v>
      </c>
      <c r="S244" s="2"/>
      <c r="T244" s="6">
        <v>9129.56</v>
      </c>
      <c r="U244" s="2"/>
      <c r="V244" s="7">
        <f t="shared" si="102"/>
        <v>8.2210898549436374E-4</v>
      </c>
      <c r="W244" s="2"/>
      <c r="X244" s="6">
        <f t="shared" si="103"/>
        <v>-9129.56</v>
      </c>
      <c r="Y244" s="2"/>
      <c r="Z244" s="7">
        <f t="shared" si="104"/>
        <v>-1</v>
      </c>
    </row>
    <row r="245" spans="1:26" s="26" customFormat="1" outlineLevel="1" collapsed="1" x14ac:dyDescent="0.25">
      <c r="A245" s="25"/>
      <c r="B245" s="12" t="str">
        <f>CONCATENATE("     ","Rent                                              ")</f>
        <v xml:space="preserve">     Rent                                              </v>
      </c>
      <c r="C245" s="12"/>
      <c r="D245" s="1">
        <f>SUM(OSRRefD22_15x_0)</f>
        <v>6100</v>
      </c>
      <c r="E245" s="1"/>
      <c r="F245" s="5">
        <f t="shared" si="97"/>
        <v>7.2472924085859505E-3</v>
      </c>
      <c r="G245" s="1"/>
      <c r="H245" s="1">
        <f>SUM(OSRRefH22_15x_0)</f>
        <v>6100</v>
      </c>
      <c r="I245" s="1"/>
      <c r="J245" s="5">
        <f t="shared" si="98"/>
        <v>1.3022339096885412E-2</v>
      </c>
      <c r="K245" s="1"/>
      <c r="L245" s="1">
        <f t="shared" si="99"/>
        <v>0</v>
      </c>
      <c r="M245" s="1"/>
      <c r="N245" s="5">
        <f t="shared" si="100"/>
        <v>0</v>
      </c>
      <c r="O245" s="12"/>
      <c r="P245" s="1">
        <f>SUM(OSRRefP22_15x_0)</f>
        <v>61000</v>
      </c>
      <c r="Q245" s="1"/>
      <c r="R245" s="5">
        <f t="shared" si="101"/>
        <v>8.560894877470946E-3</v>
      </c>
      <c r="S245" s="1"/>
      <c r="T245" s="1">
        <f>SUM(OSRRefT22_15x_0)</f>
        <v>62600</v>
      </c>
      <c r="U245" s="1"/>
      <c r="V245" s="5">
        <f t="shared" si="102"/>
        <v>5.6370758822930321E-3</v>
      </c>
      <c r="W245" s="1"/>
      <c r="X245" s="1">
        <f t="shared" si="103"/>
        <v>-1600</v>
      </c>
      <c r="Y245" s="1"/>
      <c r="Z245" s="5">
        <f t="shared" si="104"/>
        <v>-2.5559105431309903E-2</v>
      </c>
    </row>
    <row r="246" spans="1:26" s="23" customFormat="1" hidden="1" outlineLevel="2" x14ac:dyDescent="0.25">
      <c r="A246" s="27"/>
      <c r="B246" s="10" t="str">
        <f>CONCATENATE("          ", "6273", " - ", "RENT")</f>
        <v xml:space="preserve">          6273 - RENT</v>
      </c>
      <c r="C246" s="10"/>
      <c r="D246" s="6">
        <v>6100</v>
      </c>
      <c r="E246" s="2"/>
      <c r="F246" s="7">
        <f t="shared" si="97"/>
        <v>7.2472924085859505E-3</v>
      </c>
      <c r="G246" s="2"/>
      <c r="H246" s="6">
        <v>6100</v>
      </c>
      <c r="I246" s="2"/>
      <c r="J246" s="7">
        <f t="shared" si="98"/>
        <v>1.3022339096885412E-2</v>
      </c>
      <c r="K246" s="2"/>
      <c r="L246" s="6">
        <f t="shared" si="99"/>
        <v>0</v>
      </c>
      <c r="M246" s="2"/>
      <c r="N246" s="7">
        <f t="shared" si="100"/>
        <v>0</v>
      </c>
      <c r="O246" s="10"/>
      <c r="P246" s="6">
        <v>61000</v>
      </c>
      <c r="Q246" s="2"/>
      <c r="R246" s="7">
        <f t="shared" si="101"/>
        <v>8.560894877470946E-3</v>
      </c>
      <c r="S246" s="2"/>
      <c r="T246" s="6">
        <v>62600</v>
      </c>
      <c r="U246" s="2"/>
      <c r="V246" s="7">
        <f t="shared" si="102"/>
        <v>5.6370758822930321E-3</v>
      </c>
      <c r="W246" s="2"/>
      <c r="X246" s="6">
        <f t="shared" si="103"/>
        <v>-1600</v>
      </c>
      <c r="Y246" s="2"/>
      <c r="Z246" s="7">
        <f t="shared" si="104"/>
        <v>-2.5559105431309903E-2</v>
      </c>
    </row>
    <row r="247" spans="1:26" s="26" customFormat="1" outlineLevel="1" collapsed="1" x14ac:dyDescent="0.25">
      <c r="A247" s="25"/>
      <c r="B247" s="12" t="str">
        <f>CONCATENATE("     ","Repair and Maintenance                            ")</f>
        <v xml:space="preserve">     Repair and Maintenance                            </v>
      </c>
      <c r="C247" s="12"/>
      <c r="D247" s="1">
        <f>SUM(OSRRefD22_16x_0)</f>
        <v>2485.83</v>
      </c>
      <c r="E247" s="1"/>
      <c r="F247" s="5">
        <f t="shared" si="97"/>
        <v>2.953366702956592E-3</v>
      </c>
      <c r="G247" s="1"/>
      <c r="H247" s="1">
        <f>SUM(OSRRefH22_16x_0)</f>
        <v>7296.9100000000008</v>
      </c>
      <c r="I247" s="1"/>
      <c r="J247" s="5">
        <f t="shared" si="98"/>
        <v>1.5577514160566254E-2</v>
      </c>
      <c r="K247" s="1"/>
      <c r="L247" s="1">
        <f t="shared" si="99"/>
        <v>-4811.0800000000008</v>
      </c>
      <c r="M247" s="1"/>
      <c r="N247" s="5">
        <f t="shared" si="100"/>
        <v>-0.65933114153799355</v>
      </c>
      <c r="O247" s="12"/>
      <c r="P247" s="1">
        <f>SUM(OSRRefP22_16x_0)</f>
        <v>134465.69</v>
      </c>
      <c r="Q247" s="1"/>
      <c r="R247" s="5">
        <f t="shared" si="101"/>
        <v>1.8871256339616331E-2</v>
      </c>
      <c r="S247" s="1"/>
      <c r="T247" s="1">
        <f>SUM(OSRRefT22_16x_0)</f>
        <v>128551.20000000001</v>
      </c>
      <c r="U247" s="1"/>
      <c r="V247" s="5">
        <f t="shared" si="102"/>
        <v>1.1575924427473292E-2</v>
      </c>
      <c r="W247" s="1"/>
      <c r="X247" s="1">
        <f t="shared" si="103"/>
        <v>5914.4899999999907</v>
      </c>
      <c r="Y247" s="1"/>
      <c r="Z247" s="5">
        <f t="shared" si="104"/>
        <v>4.6008827611099624E-2</v>
      </c>
    </row>
    <row r="248" spans="1:26" s="23" customFormat="1" hidden="1" outlineLevel="2" x14ac:dyDescent="0.25">
      <c r="A248" s="27"/>
      <c r="B248" s="10" t="str">
        <f>CONCATENATE("          ", "6371", " - ", "COMPUTER SOFTWARE MAINTENANCE")</f>
        <v xml:space="preserve">          6371 - COMPUTER SOFTWARE MAINTENANCE</v>
      </c>
      <c r="C248" s="10"/>
      <c r="D248" s="6"/>
      <c r="E248" s="2"/>
      <c r="F248" s="7">
        <f t="shared" si="97"/>
        <v>0</v>
      </c>
      <c r="G248" s="2"/>
      <c r="H248" s="6">
        <v>631.04999999999995</v>
      </c>
      <c r="I248" s="2"/>
      <c r="J248" s="7">
        <f t="shared" si="98"/>
        <v>1.347171653621236E-3</v>
      </c>
      <c r="K248" s="2"/>
      <c r="L248" s="6">
        <f t="shared" si="99"/>
        <v>-631.04999999999995</v>
      </c>
      <c r="M248" s="2"/>
      <c r="N248" s="7">
        <f t="shared" si="100"/>
        <v>-1</v>
      </c>
      <c r="O248" s="10"/>
      <c r="P248" s="6">
        <v>61317.72</v>
      </c>
      <c r="Q248" s="2"/>
      <c r="R248" s="7">
        <f t="shared" si="101"/>
        <v>8.6054845089540612E-3</v>
      </c>
      <c r="S248" s="2"/>
      <c r="T248" s="6">
        <v>16417.5</v>
      </c>
      <c r="U248" s="2"/>
      <c r="V248" s="7">
        <f t="shared" si="102"/>
        <v>1.4783816820694226E-3</v>
      </c>
      <c r="W248" s="2"/>
      <c r="X248" s="6">
        <f t="shared" si="103"/>
        <v>44900.22</v>
      </c>
      <c r="Y248" s="2"/>
      <c r="Z248" s="7">
        <f t="shared" si="104"/>
        <v>2.73489995431704</v>
      </c>
    </row>
    <row r="249" spans="1:26" s="23" customFormat="1" hidden="1" outlineLevel="2" x14ac:dyDescent="0.25">
      <c r="A249" s="27"/>
      <c r="B249" s="10" t="str">
        <f>CONCATENATE("          ", "6372", " - ", "COMPUTER HARDWARE MAINTENANCE")</f>
        <v xml:space="preserve">          6372 - COMPUTER HARDWARE MAINTENANCE</v>
      </c>
      <c r="C249" s="10"/>
      <c r="D249" s="6"/>
      <c r="E249" s="2"/>
      <c r="F249" s="7">
        <f t="shared" si="97"/>
        <v>0</v>
      </c>
      <c r="G249" s="2"/>
      <c r="H249" s="6"/>
      <c r="I249" s="2"/>
      <c r="J249" s="7">
        <f t="shared" si="98"/>
        <v>0</v>
      </c>
      <c r="K249" s="2"/>
      <c r="L249" s="6">
        <f t="shared" si="99"/>
        <v>0</v>
      </c>
      <c r="M249" s="2"/>
      <c r="N249" s="7">
        <f t="shared" si="100"/>
        <v>0</v>
      </c>
      <c r="O249" s="10"/>
      <c r="P249" s="6">
        <v>-1.1499999999999999</v>
      </c>
      <c r="Q249" s="2"/>
      <c r="R249" s="7">
        <f t="shared" si="101"/>
        <v>-1.6139391982117355E-7</v>
      </c>
      <c r="S249" s="2"/>
      <c r="T249" s="6">
        <v>52.32</v>
      </c>
      <c r="U249" s="2"/>
      <c r="V249" s="7">
        <f t="shared" si="102"/>
        <v>4.7113707693541763E-6</v>
      </c>
      <c r="W249" s="2"/>
      <c r="X249" s="6">
        <f t="shared" si="103"/>
        <v>-53.47</v>
      </c>
      <c r="Y249" s="2"/>
      <c r="Z249" s="7">
        <f t="shared" si="104"/>
        <v>-1.0219801223241589</v>
      </c>
    </row>
    <row r="250" spans="1:26" s="23" customFormat="1" hidden="1" outlineLevel="2" x14ac:dyDescent="0.25">
      <c r="A250" s="27"/>
      <c r="B250" s="10" t="str">
        <f>CONCATENATE("          ", "6373", " - ", "MAINTENANCE CONTRACTS")</f>
        <v xml:space="preserve">          6373 - MAINTENANCE CONTRACTS</v>
      </c>
      <c r="C250" s="10"/>
      <c r="D250" s="6">
        <v>1429</v>
      </c>
      <c r="E250" s="2"/>
      <c r="F250" s="7">
        <f t="shared" si="97"/>
        <v>1.6977673527654629E-3</v>
      </c>
      <c r="G250" s="2"/>
      <c r="H250" s="6">
        <v>5481.56</v>
      </c>
      <c r="I250" s="2"/>
      <c r="J250" s="7">
        <f t="shared" si="98"/>
        <v>1.1702087393430033E-2</v>
      </c>
      <c r="K250" s="2"/>
      <c r="L250" s="6">
        <f t="shared" si="99"/>
        <v>-4052.5600000000004</v>
      </c>
      <c r="M250" s="2"/>
      <c r="N250" s="7">
        <f t="shared" si="100"/>
        <v>-0.73930778829384336</v>
      </c>
      <c r="O250" s="10"/>
      <c r="P250" s="6">
        <v>46118.58</v>
      </c>
      <c r="Q250" s="2"/>
      <c r="R250" s="7">
        <f t="shared" si="101"/>
        <v>6.4723986111185905E-3</v>
      </c>
      <c r="S250" s="2"/>
      <c r="T250" s="6">
        <v>74930.12</v>
      </c>
      <c r="U250" s="2"/>
      <c r="V250" s="7">
        <f t="shared" si="102"/>
        <v>6.7473925289029194E-3</v>
      </c>
      <c r="W250" s="2"/>
      <c r="X250" s="6">
        <f t="shared" si="103"/>
        <v>-28811.539999999994</v>
      </c>
      <c r="Y250" s="2"/>
      <c r="Z250" s="7">
        <f t="shared" si="104"/>
        <v>-0.38451212943473195</v>
      </c>
    </row>
    <row r="251" spans="1:26" s="23" customFormat="1" hidden="1" outlineLevel="2" x14ac:dyDescent="0.25">
      <c r="A251" s="27"/>
      <c r="B251" s="10" t="str">
        <f>CONCATENATE("          ", "6375", " - ", "OUTSIDE REPAIRS &amp; MAINTENANCE")</f>
        <v xml:space="preserve">          6375 - OUTSIDE REPAIRS &amp; MAINTENANCE</v>
      </c>
      <c r="C251" s="10"/>
      <c r="D251" s="6">
        <v>1056.83</v>
      </c>
      <c r="E251" s="2"/>
      <c r="F251" s="7">
        <f t="shared" si="97"/>
        <v>1.2555993501911294E-3</v>
      </c>
      <c r="G251" s="2"/>
      <c r="H251" s="6">
        <v>1184.3</v>
      </c>
      <c r="I251" s="2"/>
      <c r="J251" s="7">
        <f t="shared" si="98"/>
        <v>2.5282551135149827E-3</v>
      </c>
      <c r="K251" s="2"/>
      <c r="L251" s="6">
        <f t="shared" si="99"/>
        <v>-127.47000000000003</v>
      </c>
      <c r="M251" s="2"/>
      <c r="N251" s="7">
        <f t="shared" si="100"/>
        <v>-0.10763320104703203</v>
      </c>
      <c r="O251" s="10"/>
      <c r="P251" s="6">
        <v>27030.54</v>
      </c>
      <c r="Q251" s="2"/>
      <c r="R251" s="7">
        <f t="shared" si="101"/>
        <v>3.7935346134635004E-3</v>
      </c>
      <c r="S251" s="2"/>
      <c r="T251" s="6">
        <v>37151.26</v>
      </c>
      <c r="U251" s="2"/>
      <c r="V251" s="7">
        <f t="shared" si="102"/>
        <v>3.3454388457315951E-3</v>
      </c>
      <c r="W251" s="2"/>
      <c r="X251" s="6">
        <f t="shared" si="103"/>
        <v>-10120.720000000001</v>
      </c>
      <c r="Y251" s="2"/>
      <c r="Z251" s="7">
        <f t="shared" si="104"/>
        <v>-0.27241929345061244</v>
      </c>
    </row>
    <row r="252" spans="1:26" s="26" customFormat="1" outlineLevel="1" collapsed="1" x14ac:dyDescent="0.25">
      <c r="A252" s="25"/>
      <c r="B252" s="12" t="str">
        <f>CONCATENATE("     ","Royalty &amp; Commissions                             ")</f>
        <v xml:space="preserve">     Royalty &amp; Commissions                             </v>
      </c>
      <c r="C252" s="12"/>
      <c r="D252" s="1">
        <f>SUM(OSRRefD22_17x_0)</f>
        <v>11531.75</v>
      </c>
      <c r="E252" s="1"/>
      <c r="F252" s="5">
        <f t="shared" ref="F252:F255" si="105">IF(D$12=0,0,D252/D$12)</f>
        <v>1.3700649874214923E-2</v>
      </c>
      <c r="G252" s="1"/>
      <c r="H252" s="1">
        <f>SUM(OSRRefH22_17x_0)</f>
        <v>20337.45</v>
      </c>
      <c r="I252" s="1"/>
      <c r="J252" s="5">
        <f t="shared" ref="J252:J255" si="106">IF(H$12=0,0,H252/H$12)</f>
        <v>4.3416585289500369E-2</v>
      </c>
      <c r="K252" s="1"/>
      <c r="L252" s="1">
        <f t="shared" ref="L252:L255" si="107">+D252-H252</f>
        <v>-8805.7000000000007</v>
      </c>
      <c r="M252" s="1"/>
      <c r="N252" s="5">
        <f t="shared" ref="N252:N255" si="108">IF(H252=0,0,L252/H252)</f>
        <v>-0.4329795525004364</v>
      </c>
      <c r="O252" s="12"/>
      <c r="P252" s="1">
        <f>SUM(OSRRefP22_17x_0)</f>
        <v>48392.95</v>
      </c>
      <c r="Q252" s="1"/>
      <c r="R252" s="5">
        <f t="shared" ref="R252:R255" si="109">IF(P$12=0,0,P252/P$12)</f>
        <v>6.7915894714870098E-3</v>
      </c>
      <c r="S252" s="1"/>
      <c r="T252" s="1">
        <f>SUM(OSRRefT22_17x_0)</f>
        <v>123449.40000000001</v>
      </c>
      <c r="U252" s="1"/>
      <c r="V252" s="5">
        <f t="shared" ref="V252:V255" si="110">IF(T$12=0,0,T252/T$12)</f>
        <v>1.111651174797996E-2</v>
      </c>
      <c r="W252" s="1"/>
      <c r="X252" s="1">
        <f t="shared" ref="X252:X255" si="111">+P252-T252</f>
        <v>-75056.450000000012</v>
      </c>
      <c r="Y252" s="1"/>
      <c r="Z252" s="5">
        <f t="shared" ref="Z252:Z255" si="112">IF(T252=0,0,X252/T252)</f>
        <v>-0.60799363949926044</v>
      </c>
    </row>
    <row r="253" spans="1:26" s="23" customFormat="1" hidden="1" outlineLevel="2" x14ac:dyDescent="0.25">
      <c r="A253" s="27"/>
      <c r="B253" s="10" t="str">
        <f>CONCATENATE("          ", "6253", " - ", "ROYALTY DUE ATHLETICS-LRG")</f>
        <v xml:space="preserve">          6253 - ROYALTY DUE ATHLETICS-LRG</v>
      </c>
      <c r="C253" s="10"/>
      <c r="D253" s="6">
        <v>8961.48</v>
      </c>
      <c r="E253" s="2"/>
      <c r="F253" s="7">
        <f t="shared" si="105"/>
        <v>1.0646961635031937E-2</v>
      </c>
      <c r="G253" s="2"/>
      <c r="H253" s="6">
        <v>14555.51</v>
      </c>
      <c r="I253" s="2"/>
      <c r="J253" s="7">
        <f t="shared" si="106"/>
        <v>3.1073243761984688E-2</v>
      </c>
      <c r="K253" s="2"/>
      <c r="L253" s="6">
        <f t="shared" si="107"/>
        <v>-5594.0300000000007</v>
      </c>
      <c r="M253" s="2"/>
      <c r="N253" s="7">
        <f t="shared" si="108"/>
        <v>-0.38432387460143963</v>
      </c>
      <c r="O253" s="10"/>
      <c r="P253" s="6">
        <v>35159.06</v>
      </c>
      <c r="Q253" s="2"/>
      <c r="R253" s="7">
        <f t="shared" si="109"/>
        <v>4.9343117483720269E-3</v>
      </c>
      <c r="S253" s="2"/>
      <c r="T253" s="6">
        <v>32870.44</v>
      </c>
      <c r="U253" s="2"/>
      <c r="V253" s="7">
        <f t="shared" si="110"/>
        <v>2.9599547055009614E-3</v>
      </c>
      <c r="W253" s="2"/>
      <c r="X253" s="6">
        <f t="shared" si="111"/>
        <v>2288.6199999999953</v>
      </c>
      <c r="Y253" s="2"/>
      <c r="Z253" s="7">
        <f t="shared" si="112"/>
        <v>6.962547504688088E-2</v>
      </c>
    </row>
    <row r="254" spans="1:26" s="23" customFormat="1" hidden="1" outlineLevel="2" x14ac:dyDescent="0.25">
      <c r="A254" s="27"/>
      <c r="B254" s="10" t="str">
        <f>CONCATENATE("          ", "6254", " - ", "ROYALTY &amp; COMMISSIONS")</f>
        <v xml:space="preserve">          6254 - ROYALTY &amp; COMMISSIONS</v>
      </c>
      <c r="C254" s="10"/>
      <c r="D254" s="6"/>
      <c r="E254" s="2"/>
      <c r="F254" s="7">
        <f t="shared" si="105"/>
        <v>0</v>
      </c>
      <c r="G254" s="2"/>
      <c r="H254" s="6"/>
      <c r="I254" s="2"/>
      <c r="J254" s="7">
        <f t="shared" si="106"/>
        <v>0</v>
      </c>
      <c r="K254" s="2"/>
      <c r="L254" s="6">
        <f t="shared" si="107"/>
        <v>0</v>
      </c>
      <c r="M254" s="2"/>
      <c r="N254" s="7">
        <f t="shared" si="108"/>
        <v>0</v>
      </c>
      <c r="O254" s="10"/>
      <c r="P254" s="6"/>
      <c r="Q254" s="2"/>
      <c r="R254" s="7">
        <f t="shared" si="109"/>
        <v>0</v>
      </c>
      <c r="S254" s="2"/>
      <c r="T254" s="6">
        <v>7971.22</v>
      </c>
      <c r="U254" s="2"/>
      <c r="V254" s="7">
        <f t="shared" si="110"/>
        <v>7.1780146987942281E-4</v>
      </c>
      <c r="W254" s="2"/>
      <c r="X254" s="6">
        <f t="shared" si="111"/>
        <v>-7971.22</v>
      </c>
      <c r="Y254" s="2"/>
      <c r="Z254" s="7">
        <f t="shared" si="112"/>
        <v>-1</v>
      </c>
    </row>
    <row r="255" spans="1:26" s="23" customFormat="1" hidden="1" outlineLevel="2" x14ac:dyDescent="0.25">
      <c r="A255" s="27"/>
      <c r="B255" s="10" t="str">
        <f>CONCATENATE("          ", "6259", " - ", "ROYALTY &amp; COMMISSIONS")</f>
        <v xml:space="preserve">          6259 - ROYALTY &amp; COMMISSIONS</v>
      </c>
      <c r="C255" s="10"/>
      <c r="D255" s="6">
        <v>2570.27</v>
      </c>
      <c r="E255" s="2"/>
      <c r="F255" s="7">
        <f t="shared" si="105"/>
        <v>3.0536882391829852E-3</v>
      </c>
      <c r="G255" s="2"/>
      <c r="H255" s="6">
        <v>5781.94</v>
      </c>
      <c r="I255" s="2"/>
      <c r="J255" s="7">
        <f t="shared" si="106"/>
        <v>1.2343341527515678E-2</v>
      </c>
      <c r="K255" s="2"/>
      <c r="L255" s="6">
        <f t="shared" si="107"/>
        <v>-3211.6699999999996</v>
      </c>
      <c r="M255" s="2"/>
      <c r="N255" s="7">
        <f t="shared" si="108"/>
        <v>-0.55546581251275517</v>
      </c>
      <c r="O255" s="10"/>
      <c r="P255" s="6">
        <v>13233.89</v>
      </c>
      <c r="Q255" s="2"/>
      <c r="R255" s="7">
        <f t="shared" si="109"/>
        <v>1.8572777231149831E-3</v>
      </c>
      <c r="S255" s="2"/>
      <c r="T255" s="6">
        <v>82607.740000000005</v>
      </c>
      <c r="U255" s="2"/>
      <c r="V255" s="7">
        <f t="shared" si="110"/>
        <v>7.4387555725995754E-3</v>
      </c>
      <c r="W255" s="2"/>
      <c r="X255" s="6">
        <f t="shared" si="111"/>
        <v>-69373.850000000006</v>
      </c>
      <c r="Y255" s="2"/>
      <c r="Z255" s="7">
        <f t="shared" si="112"/>
        <v>-0.83979842566810325</v>
      </c>
    </row>
    <row r="256" spans="1:26" s="26" customFormat="1" outlineLevel="1" collapsed="1" x14ac:dyDescent="0.25">
      <c r="A256" s="25"/>
      <c r="B256" s="12" t="str">
        <f>CONCATENATE("     ","Services                                          ")</f>
        <v xml:space="preserve">     Services                                          </v>
      </c>
      <c r="C256" s="12"/>
      <c r="D256" s="1">
        <f>SUM(OSRRefD22_18x_0)</f>
        <v>4006.32</v>
      </c>
      <c r="E256" s="1"/>
      <c r="F256" s="5">
        <f t="shared" ref="F256:F260" si="113">IF(D$12=0,0,D256/D$12)</f>
        <v>4.7598315610436169E-3</v>
      </c>
      <c r="G256" s="1"/>
      <c r="H256" s="1">
        <f>SUM(OSRRefH22_18x_0)</f>
        <v>4655.95</v>
      </c>
      <c r="I256" s="1"/>
      <c r="J256" s="5">
        <f t="shared" ref="J256:J260" si="114">IF(H$12=0,0,H256/H$12)</f>
        <v>9.9395671669087922E-3</v>
      </c>
      <c r="K256" s="1"/>
      <c r="L256" s="1">
        <f t="shared" ref="L256:L260" si="115">+D256-H256</f>
        <v>-649.62999999999965</v>
      </c>
      <c r="M256" s="1"/>
      <c r="N256" s="5">
        <f t="shared" ref="N256:N260" si="116">IF(H256=0,0,L256/H256)</f>
        <v>-0.13952684199787363</v>
      </c>
      <c r="O256" s="12"/>
      <c r="P256" s="1">
        <f>SUM(OSRRefP22_18x_0)</f>
        <v>40143.980000000003</v>
      </c>
      <c r="Q256" s="1"/>
      <c r="R256" s="5">
        <f t="shared" ref="R256:R260" si="117">IF(P$12=0,0,P256/P$12)</f>
        <v>5.6339080777589529E-3</v>
      </c>
      <c r="S256" s="1"/>
      <c r="T256" s="1">
        <f>SUM(OSRRefT22_18x_0)</f>
        <v>46256.869999999995</v>
      </c>
      <c r="U256" s="1"/>
      <c r="V256" s="5">
        <f t="shared" ref="V256:V260" si="118">IF(T$12=0,0,T256/T$12)</f>
        <v>4.1653911544307356E-3</v>
      </c>
      <c r="W256" s="1"/>
      <c r="X256" s="1">
        <f t="shared" ref="X256:X260" si="119">+P256-T256</f>
        <v>-6112.8899999999921</v>
      </c>
      <c r="Y256" s="1"/>
      <c r="Z256" s="5">
        <f t="shared" ref="Z256:Z260" si="120">IF(T256=0,0,X256/T256)</f>
        <v>-0.13215096481884731</v>
      </c>
    </row>
    <row r="257" spans="1:26" s="23" customFormat="1" hidden="1" outlineLevel="2" x14ac:dyDescent="0.25">
      <c r="A257" s="27"/>
      <c r="B257" s="10" t="str">
        <f>CONCATENATE("          ", "6282", " - ", "JANITORIAL/EXTERMINATOR EXPENS")</f>
        <v xml:space="preserve">          6282 - JANITORIAL/EXTERMINATOR EXPENS</v>
      </c>
      <c r="C257" s="10"/>
      <c r="D257" s="6"/>
      <c r="E257" s="2"/>
      <c r="F257" s="7">
        <f t="shared" si="113"/>
        <v>0</v>
      </c>
      <c r="G257" s="2"/>
      <c r="H257" s="6">
        <v>310.5</v>
      </c>
      <c r="I257" s="2"/>
      <c r="J257" s="7">
        <f t="shared" si="114"/>
        <v>6.6285840812834763E-4</v>
      </c>
      <c r="K257" s="2"/>
      <c r="L257" s="6">
        <f t="shared" si="115"/>
        <v>-310.5</v>
      </c>
      <c r="M257" s="2"/>
      <c r="N257" s="7">
        <f t="shared" si="116"/>
        <v>-1</v>
      </c>
      <c r="O257" s="10"/>
      <c r="P257" s="6">
        <v>7406.12</v>
      </c>
      <c r="Q257" s="2"/>
      <c r="R257" s="7">
        <f t="shared" si="117"/>
        <v>1.0393936847530349E-3</v>
      </c>
      <c r="S257" s="2"/>
      <c r="T257" s="6">
        <v>2686.02</v>
      </c>
      <c r="U257" s="2"/>
      <c r="V257" s="7">
        <f t="shared" si="118"/>
        <v>2.4187377893541102E-4</v>
      </c>
      <c r="W257" s="2"/>
      <c r="X257" s="6">
        <f t="shared" si="119"/>
        <v>4720.1000000000004</v>
      </c>
      <c r="Y257" s="2"/>
      <c r="Z257" s="7">
        <f t="shared" si="120"/>
        <v>1.757284011288077</v>
      </c>
    </row>
    <row r="258" spans="1:26" s="23" customFormat="1" hidden="1" outlineLevel="2" x14ac:dyDescent="0.25">
      <c r="A258" s="27"/>
      <c r="B258" s="10" t="str">
        <f>CONCATENATE("          ", "6283", " - ", "PLANT SERVICE")</f>
        <v xml:space="preserve">          6283 - PLANT SERVICE</v>
      </c>
      <c r="C258" s="10"/>
      <c r="D258" s="6"/>
      <c r="E258" s="2"/>
      <c r="F258" s="7">
        <f t="shared" si="113"/>
        <v>0</v>
      </c>
      <c r="G258" s="2"/>
      <c r="H258" s="6"/>
      <c r="I258" s="2"/>
      <c r="J258" s="7">
        <f t="shared" si="114"/>
        <v>0</v>
      </c>
      <c r="K258" s="2"/>
      <c r="L258" s="6">
        <f t="shared" si="115"/>
        <v>0</v>
      </c>
      <c r="M258" s="2"/>
      <c r="N258" s="7">
        <f t="shared" si="116"/>
        <v>0</v>
      </c>
      <c r="O258" s="10"/>
      <c r="P258" s="6">
        <v>171.31</v>
      </c>
      <c r="Q258" s="2"/>
      <c r="R258" s="7">
        <f t="shared" si="117"/>
        <v>2.4042080351795866E-5</v>
      </c>
      <c r="S258" s="2"/>
      <c r="T258" s="6">
        <v>541.98</v>
      </c>
      <c r="U258" s="2"/>
      <c r="V258" s="7">
        <f t="shared" si="118"/>
        <v>4.8804830458229679E-5</v>
      </c>
      <c r="W258" s="2"/>
      <c r="X258" s="6">
        <f t="shared" si="119"/>
        <v>-370.67</v>
      </c>
      <c r="Y258" s="2"/>
      <c r="Z258" s="7">
        <f t="shared" si="120"/>
        <v>-0.68391822576478833</v>
      </c>
    </row>
    <row r="259" spans="1:26" s="23" customFormat="1" hidden="1" outlineLevel="2" x14ac:dyDescent="0.25">
      <c r="A259" s="27"/>
      <c r="B259" s="10" t="str">
        <f>CONCATENATE("          ", "6284", " - ", "TRASH REMOVAL EXPENSE")</f>
        <v xml:space="preserve">          6284 - TRASH REMOVAL EXPENSE</v>
      </c>
      <c r="C259" s="10"/>
      <c r="D259" s="6">
        <v>142.57</v>
      </c>
      <c r="E259" s="2"/>
      <c r="F259" s="7">
        <f t="shared" si="113"/>
        <v>1.69384668638049E-4</v>
      </c>
      <c r="G259" s="2"/>
      <c r="H259" s="6">
        <v>134.82</v>
      </c>
      <c r="I259" s="2"/>
      <c r="J259" s="7">
        <f t="shared" si="114"/>
        <v>2.8781504213804774E-4</v>
      </c>
      <c r="K259" s="2"/>
      <c r="L259" s="6">
        <f t="shared" si="115"/>
        <v>7.75</v>
      </c>
      <c r="M259" s="2"/>
      <c r="N259" s="7">
        <f t="shared" si="116"/>
        <v>5.7484052811155616E-2</v>
      </c>
      <c r="O259" s="10"/>
      <c r="P259" s="6">
        <v>1440.72</v>
      </c>
      <c r="Q259" s="2"/>
      <c r="R259" s="7">
        <f t="shared" si="117"/>
        <v>2.0219430275196626E-4</v>
      </c>
      <c r="S259" s="2"/>
      <c r="T259" s="6">
        <v>1348.2</v>
      </c>
      <c r="U259" s="2"/>
      <c r="V259" s="7">
        <f t="shared" si="118"/>
        <v>1.2140424448094995E-4</v>
      </c>
      <c r="W259" s="2"/>
      <c r="X259" s="6">
        <f t="shared" si="119"/>
        <v>92.519999999999982</v>
      </c>
      <c r="Y259" s="2"/>
      <c r="Z259" s="7">
        <f t="shared" si="120"/>
        <v>6.8624833110814409E-2</v>
      </c>
    </row>
    <row r="260" spans="1:26" s="23" customFormat="1" hidden="1" outlineLevel="2" x14ac:dyDescent="0.25">
      <c r="A260" s="27"/>
      <c r="B260" s="10" t="str">
        <f>CONCATENATE("          ", "6285", " - ", "JANITORIAL SERVICES")</f>
        <v xml:space="preserve">          6285 - JANITORIAL SERVICES</v>
      </c>
      <c r="C260" s="10"/>
      <c r="D260" s="6">
        <v>3863.75</v>
      </c>
      <c r="E260" s="2"/>
      <c r="F260" s="7">
        <f t="shared" si="113"/>
        <v>4.5904468924055685E-3</v>
      </c>
      <c r="G260" s="2"/>
      <c r="H260" s="6">
        <v>4210.63</v>
      </c>
      <c r="I260" s="2"/>
      <c r="J260" s="7">
        <f t="shared" si="114"/>
        <v>8.9888937166423977E-3</v>
      </c>
      <c r="K260" s="2"/>
      <c r="L260" s="6">
        <f t="shared" si="115"/>
        <v>-346.88000000000011</v>
      </c>
      <c r="M260" s="2"/>
      <c r="N260" s="7">
        <f t="shared" si="116"/>
        <v>-8.2381971343955682E-2</v>
      </c>
      <c r="O260" s="10"/>
      <c r="P260" s="6">
        <v>31125.83</v>
      </c>
      <c r="Q260" s="2"/>
      <c r="R260" s="7">
        <f t="shared" si="117"/>
        <v>4.3682780099021561E-3</v>
      </c>
      <c r="S260" s="2"/>
      <c r="T260" s="6">
        <v>41680.67</v>
      </c>
      <c r="U260" s="2"/>
      <c r="V260" s="7">
        <f t="shared" si="118"/>
        <v>3.7533083005561454E-3</v>
      </c>
      <c r="W260" s="2"/>
      <c r="X260" s="6">
        <f t="shared" si="119"/>
        <v>-10554.839999999997</v>
      </c>
      <c r="Y260" s="2"/>
      <c r="Z260" s="7">
        <f t="shared" si="120"/>
        <v>-0.25323105410733554</v>
      </c>
    </row>
    <row r="261" spans="1:26" s="26" customFormat="1" outlineLevel="1" collapsed="1" x14ac:dyDescent="0.25">
      <c r="A261" s="25"/>
      <c r="B261" s="12" t="str">
        <f>CONCATENATE("     ","Subscriptions &amp; Dues                              ")</f>
        <v xml:space="preserve">     Subscriptions &amp; Dues                              </v>
      </c>
      <c r="C261" s="12"/>
      <c r="D261" s="1">
        <f>SUM(OSRRefD22_19x_0)</f>
        <v>2485.8000000000002</v>
      </c>
      <c r="E261" s="1"/>
      <c r="F261" s="5">
        <f t="shared" ref="F261:F263" si="121">IF(D$12=0,0,D261/D$12)</f>
        <v>2.9533310605349109E-3</v>
      </c>
      <c r="G261" s="1"/>
      <c r="H261" s="1">
        <f>SUM(OSRRefH22_19x_0)</f>
        <v>2177.08</v>
      </c>
      <c r="I261" s="1"/>
      <c r="J261" s="5">
        <f t="shared" ref="J261:J263" si="122">IF(H$12=0,0,H261/H$12)</f>
        <v>4.6476514755815239E-3</v>
      </c>
      <c r="K261" s="1"/>
      <c r="L261" s="1">
        <f t="shared" ref="L261:L263" si="123">+D261-H261</f>
        <v>308.72000000000025</v>
      </c>
      <c r="M261" s="1"/>
      <c r="N261" s="5">
        <f t="shared" ref="N261:N263" si="124">IF(H261=0,0,L261/H261)</f>
        <v>0.14180461903099575</v>
      </c>
      <c r="O261" s="12"/>
      <c r="P261" s="1">
        <f>SUM(OSRRefP22_19x_0)</f>
        <v>6820.1299999999992</v>
      </c>
      <c r="Q261" s="1"/>
      <c r="R261" s="5">
        <f t="shared" ref="R261:R263" si="125">IF(P$12=0,0,P261/P$12)</f>
        <v>9.5715436033911336E-4</v>
      </c>
      <c r="S261" s="1"/>
      <c r="T261" s="1">
        <f>SUM(OSRRefT22_19x_0)</f>
        <v>2212.35</v>
      </c>
      <c r="U261" s="1"/>
      <c r="V261" s="5">
        <f t="shared" ref="V261:V263" si="126">IF(T$12=0,0,T261/T$12)</f>
        <v>1.9922020492317875E-4</v>
      </c>
      <c r="W261" s="1"/>
      <c r="X261" s="1">
        <f t="shared" ref="X261:X263" si="127">+P261-T261</f>
        <v>4607.7799999999988</v>
      </c>
      <c r="Y261" s="1"/>
      <c r="Z261" s="5">
        <f t="shared" ref="Z261:Z263" si="128">IF(T261=0,0,X261/T261)</f>
        <v>2.0827536330146672</v>
      </c>
    </row>
    <row r="262" spans="1:26" s="23" customFormat="1" hidden="1" outlineLevel="2" x14ac:dyDescent="0.25">
      <c r="A262" s="27"/>
      <c r="B262" s="10" t="str">
        <f>CONCATENATE("          ", "6258", " - ", "MEMBERSHIP DUES")</f>
        <v xml:space="preserve">          6258 - MEMBERSHIP DUES</v>
      </c>
      <c r="C262" s="10"/>
      <c r="D262" s="6">
        <v>328.71</v>
      </c>
      <c r="E262" s="2"/>
      <c r="F262" s="7">
        <f t="shared" si="121"/>
        <v>3.9053401436496516E-4</v>
      </c>
      <c r="G262" s="2"/>
      <c r="H262" s="6">
        <v>250</v>
      </c>
      <c r="I262" s="2"/>
      <c r="J262" s="7">
        <f t="shared" si="122"/>
        <v>5.3370242200350055E-4</v>
      </c>
      <c r="K262" s="2"/>
      <c r="L262" s="6">
        <f t="shared" si="123"/>
        <v>78.70999999999998</v>
      </c>
      <c r="M262" s="2"/>
      <c r="N262" s="7">
        <f t="shared" si="124"/>
        <v>0.3148399999999999</v>
      </c>
      <c r="O262" s="10"/>
      <c r="P262" s="6">
        <v>2435.23</v>
      </c>
      <c r="Q262" s="2"/>
      <c r="R262" s="7">
        <f t="shared" si="125"/>
        <v>3.4176636118792741E-4</v>
      </c>
      <c r="S262" s="2"/>
      <c r="T262" s="6">
        <v>-580.09</v>
      </c>
      <c r="U262" s="2"/>
      <c r="V262" s="7">
        <f t="shared" si="126"/>
        <v>-5.2236603012130436E-5</v>
      </c>
      <c r="W262" s="2"/>
      <c r="X262" s="6">
        <f t="shared" si="127"/>
        <v>3015.32</v>
      </c>
      <c r="Y262" s="2"/>
      <c r="Z262" s="7">
        <f t="shared" si="128"/>
        <v>-5.1980209967418851</v>
      </c>
    </row>
    <row r="263" spans="1:26" s="23" customFormat="1" hidden="1" outlineLevel="2" x14ac:dyDescent="0.25">
      <c r="A263" s="27"/>
      <c r="B263" s="10" t="str">
        <f>CONCATENATE("          ", "6275", " - ", "SUBSCRIPTIONS")</f>
        <v xml:space="preserve">          6275 - SUBSCRIPTIONS</v>
      </c>
      <c r="C263" s="10"/>
      <c r="D263" s="6">
        <v>2157.09</v>
      </c>
      <c r="E263" s="2"/>
      <c r="F263" s="7">
        <f t="shared" si="121"/>
        <v>2.5627970461699458E-3</v>
      </c>
      <c r="G263" s="2"/>
      <c r="H263" s="6">
        <v>1927.08</v>
      </c>
      <c r="I263" s="2"/>
      <c r="J263" s="7">
        <f t="shared" si="122"/>
        <v>4.1139490535780227E-3</v>
      </c>
      <c r="K263" s="2"/>
      <c r="L263" s="6">
        <f t="shared" si="123"/>
        <v>230.01000000000022</v>
      </c>
      <c r="M263" s="2"/>
      <c r="N263" s="7">
        <f t="shared" si="124"/>
        <v>0.11935674699545439</v>
      </c>
      <c r="O263" s="10"/>
      <c r="P263" s="6">
        <v>4384.8999999999996</v>
      </c>
      <c r="Q263" s="2"/>
      <c r="R263" s="7">
        <f t="shared" si="125"/>
        <v>6.1538799915118606E-4</v>
      </c>
      <c r="S263" s="2"/>
      <c r="T263" s="6">
        <v>2792.44</v>
      </c>
      <c r="U263" s="2"/>
      <c r="V263" s="7">
        <f t="shared" si="126"/>
        <v>2.514568079353092E-4</v>
      </c>
      <c r="W263" s="2"/>
      <c r="X263" s="6">
        <f t="shared" si="127"/>
        <v>1592.4599999999996</v>
      </c>
      <c r="Y263" s="2"/>
      <c r="Z263" s="7">
        <f t="shared" si="128"/>
        <v>0.57027545802237456</v>
      </c>
    </row>
    <row r="264" spans="1:26" s="26" customFormat="1" outlineLevel="1" collapsed="1" x14ac:dyDescent="0.25">
      <c r="A264" s="25"/>
      <c r="B264" s="12" t="str">
        <f>CONCATENATE("     ","Supplies                                          ")</f>
        <v xml:space="preserve">     Supplies                                          </v>
      </c>
      <c r="C264" s="12"/>
      <c r="D264" s="1">
        <f>SUM(OSRRefD22_20x_0)</f>
        <v>8711.98</v>
      </c>
      <c r="E264" s="1"/>
      <c r="F264" s="5">
        <f t="shared" ref="F264:F272" si="129">IF(D$12=0,0,D264/D$12)</f>
        <v>1.0350535494713545E-2</v>
      </c>
      <c r="G264" s="1"/>
      <c r="H264" s="1">
        <f>SUM(OSRRefH22_20x_0)</f>
        <v>5258.59</v>
      </c>
      <c r="I264" s="1"/>
      <c r="J264" s="5">
        <f t="shared" ref="J264:J272" si="130">IF(H$12=0,0,H264/H$12)</f>
        <v>1.1226088877293551E-2</v>
      </c>
      <c r="K264" s="1"/>
      <c r="L264" s="1">
        <f t="shared" ref="L264:L272" si="131">+D264-H264</f>
        <v>3453.3899999999994</v>
      </c>
      <c r="M264" s="1"/>
      <c r="N264" s="5">
        <f t="shared" ref="N264:N272" si="132">IF(H264=0,0,L264/H264)</f>
        <v>0.65671406213452643</v>
      </c>
      <c r="O264" s="12"/>
      <c r="P264" s="1">
        <f>SUM(OSRRefP22_20x_0)</f>
        <v>115528.34</v>
      </c>
      <c r="Q264" s="1"/>
      <c r="R264" s="5">
        <f t="shared" ref="R264:R272" si="133">IF(P$12=0,0,P264/P$12)</f>
        <v>1.6213540559159374E-2</v>
      </c>
      <c r="S264" s="1"/>
      <c r="T264" s="1">
        <f>SUM(OSRRefT22_20x_0)</f>
        <v>91540.22</v>
      </c>
      <c r="U264" s="1"/>
      <c r="V264" s="5">
        <f t="shared" ref="V264:V272" si="134">IF(T$12=0,0,T264/T$12)</f>
        <v>8.243117674469622E-3</v>
      </c>
      <c r="W264" s="1"/>
      <c r="X264" s="1">
        <f t="shared" ref="X264:X272" si="135">+P264-T264</f>
        <v>23988.119999999995</v>
      </c>
      <c r="Y264" s="1"/>
      <c r="Z264" s="5">
        <f t="shared" ref="Z264:Z272" si="136">IF(T264=0,0,X264/T264)</f>
        <v>0.26205005843333123</v>
      </c>
    </row>
    <row r="265" spans="1:26" s="23" customFormat="1" hidden="1" outlineLevel="2" x14ac:dyDescent="0.25">
      <c r="A265" s="27"/>
      <c r="B265" s="10" t="str">
        <f>CONCATENATE("          ", "6234", " - ", "EXPENDABLE SUPPLIES &amp; EQUIPMEN")</f>
        <v xml:space="preserve">          6234 - EXPENDABLE SUPPLIES &amp; EQUIPMEN</v>
      </c>
      <c r="C265" s="10"/>
      <c r="D265" s="6">
        <v>53</v>
      </c>
      <c r="E265" s="2"/>
      <c r="F265" s="7">
        <f t="shared" si="129"/>
        <v>6.2968278304107432E-5</v>
      </c>
      <c r="G265" s="2"/>
      <c r="H265" s="6">
        <v>140.1</v>
      </c>
      <c r="I265" s="2"/>
      <c r="J265" s="7">
        <f t="shared" si="130"/>
        <v>2.9908683729076168E-4</v>
      </c>
      <c r="K265" s="2"/>
      <c r="L265" s="6">
        <f t="shared" si="131"/>
        <v>-87.1</v>
      </c>
      <c r="M265" s="2"/>
      <c r="N265" s="7">
        <f t="shared" si="132"/>
        <v>-0.62169878658101352</v>
      </c>
      <c r="O265" s="10"/>
      <c r="P265" s="6">
        <v>1733.65</v>
      </c>
      <c r="Q265" s="2"/>
      <c r="R265" s="7">
        <f t="shared" si="133"/>
        <v>2.4330484269389355E-4</v>
      </c>
      <c r="S265" s="2"/>
      <c r="T265" s="6">
        <v>3441.8</v>
      </c>
      <c r="U265" s="2"/>
      <c r="V265" s="7">
        <f t="shared" si="134"/>
        <v>3.0993111456351693E-4</v>
      </c>
      <c r="W265" s="2"/>
      <c r="X265" s="6">
        <f t="shared" si="135"/>
        <v>-1708.15</v>
      </c>
      <c r="Y265" s="2"/>
      <c r="Z265" s="7">
        <f t="shared" si="136"/>
        <v>-0.49629554302980999</v>
      </c>
    </row>
    <row r="266" spans="1:26" s="23" customFormat="1" hidden="1" outlineLevel="2" x14ac:dyDescent="0.25">
      <c r="A266" s="27"/>
      <c r="B266" s="10" t="str">
        <f>CONCATENATE("          ", "6235", " - ", "COVID-19 EXPENSES")</f>
        <v xml:space="preserve">          6235 - COVID-19 EXPENSES</v>
      </c>
      <c r="C266" s="10"/>
      <c r="D266" s="6">
        <v>3407.79</v>
      </c>
      <c r="E266" s="2"/>
      <c r="F266" s="7">
        <f t="shared" si="129"/>
        <v>4.0487296060746089E-3</v>
      </c>
      <c r="G266" s="2"/>
      <c r="H266" s="6"/>
      <c r="I266" s="2"/>
      <c r="J266" s="7">
        <f t="shared" si="130"/>
        <v>0</v>
      </c>
      <c r="K266" s="2"/>
      <c r="L266" s="6">
        <f t="shared" si="131"/>
        <v>3407.79</v>
      </c>
      <c r="M266" s="2"/>
      <c r="N266" s="7">
        <f t="shared" si="132"/>
        <v>0</v>
      </c>
      <c r="O266" s="10"/>
      <c r="P266" s="6">
        <v>41737.910000000003</v>
      </c>
      <c r="Q266" s="2"/>
      <c r="R266" s="7">
        <f t="shared" si="133"/>
        <v>5.8576042609072686E-3</v>
      </c>
      <c r="S266" s="2"/>
      <c r="T266" s="6"/>
      <c r="U266" s="2"/>
      <c r="V266" s="7">
        <f t="shared" si="134"/>
        <v>0</v>
      </c>
      <c r="W266" s="2"/>
      <c r="X266" s="6">
        <f t="shared" si="135"/>
        <v>41737.910000000003</v>
      </c>
      <c r="Y266" s="2"/>
      <c r="Z266" s="7">
        <f t="shared" si="136"/>
        <v>0</v>
      </c>
    </row>
    <row r="267" spans="1:26" s="23" customFormat="1" hidden="1" outlineLevel="2" x14ac:dyDescent="0.25">
      <c r="A267" s="27"/>
      <c r="B267" s="10" t="str">
        <f>CONCATENATE("          ", "6237", " - ", "JANITORIAL SUPPLIES")</f>
        <v xml:space="preserve">          6237 - JANITORIAL SUPPLIES</v>
      </c>
      <c r="C267" s="10"/>
      <c r="D267" s="6">
        <v>588.30999999999995</v>
      </c>
      <c r="E267" s="2"/>
      <c r="F267" s="7">
        <f t="shared" si="129"/>
        <v>6.9895976998281966E-4</v>
      </c>
      <c r="G267" s="2"/>
      <c r="H267" s="6">
        <v>482.39</v>
      </c>
      <c r="I267" s="2"/>
      <c r="J267" s="7">
        <f t="shared" si="130"/>
        <v>1.0298108454010744E-3</v>
      </c>
      <c r="K267" s="2"/>
      <c r="L267" s="6">
        <f t="shared" si="131"/>
        <v>105.91999999999996</v>
      </c>
      <c r="M267" s="2"/>
      <c r="N267" s="7">
        <f t="shared" si="132"/>
        <v>0.21957337424075948</v>
      </c>
      <c r="O267" s="10"/>
      <c r="P267" s="6">
        <v>3489.55</v>
      </c>
      <c r="Q267" s="2"/>
      <c r="R267" s="7">
        <f t="shared" si="133"/>
        <v>4.8973230687997932E-4</v>
      </c>
      <c r="S267" s="2"/>
      <c r="T267" s="6">
        <v>5305.04</v>
      </c>
      <c r="U267" s="2"/>
      <c r="V267" s="7">
        <f t="shared" si="134"/>
        <v>4.7771426579232951E-4</v>
      </c>
      <c r="W267" s="2"/>
      <c r="X267" s="6">
        <f t="shared" si="135"/>
        <v>-1815.4899999999998</v>
      </c>
      <c r="Y267" s="2"/>
      <c r="Z267" s="7">
        <f t="shared" si="136"/>
        <v>-0.34221985131120591</v>
      </c>
    </row>
    <row r="268" spans="1:26" s="23" customFormat="1" hidden="1" outlineLevel="2" x14ac:dyDescent="0.25">
      <c r="A268" s="27"/>
      <c r="B268" s="10" t="str">
        <f>CONCATENATE("          ", "6241", " - ", "OFFICE EXPENSE")</f>
        <v xml:space="preserve">          6241 - OFFICE EXPENSE</v>
      </c>
      <c r="C268" s="10"/>
      <c r="D268" s="6">
        <v>534.11</v>
      </c>
      <c r="E268" s="2"/>
      <c r="F268" s="7">
        <f t="shared" si="129"/>
        <v>6.3456579481144953E-4</v>
      </c>
      <c r="G268" s="2"/>
      <c r="H268" s="6">
        <v>674.84</v>
      </c>
      <c r="I268" s="2"/>
      <c r="J268" s="7">
        <f t="shared" si="130"/>
        <v>1.4406549698593692E-3</v>
      </c>
      <c r="K268" s="2"/>
      <c r="L268" s="6">
        <f t="shared" si="131"/>
        <v>-140.73000000000002</v>
      </c>
      <c r="M268" s="2"/>
      <c r="N268" s="7">
        <f t="shared" si="132"/>
        <v>-0.20853832019441648</v>
      </c>
      <c r="O268" s="10"/>
      <c r="P268" s="6">
        <v>12297.75</v>
      </c>
      <c r="Q268" s="2"/>
      <c r="R268" s="7">
        <f t="shared" si="133"/>
        <v>1.725897458678989E-3</v>
      </c>
      <c r="S268" s="2"/>
      <c r="T268" s="6">
        <v>24206.57</v>
      </c>
      <c r="U268" s="2"/>
      <c r="V268" s="7">
        <f t="shared" si="134"/>
        <v>2.1797807019175407E-3</v>
      </c>
      <c r="W268" s="2"/>
      <c r="X268" s="6">
        <f t="shared" si="135"/>
        <v>-11908.82</v>
      </c>
      <c r="Y268" s="2"/>
      <c r="Z268" s="7">
        <f t="shared" si="136"/>
        <v>-0.49196643721105465</v>
      </c>
    </row>
    <row r="269" spans="1:26" s="23" customFormat="1" hidden="1" outlineLevel="2" x14ac:dyDescent="0.25">
      <c r="A269" s="27"/>
      <c r="B269" s="10" t="str">
        <f>CONCATENATE("          ", "6243", " - ", "PAPER SUPPLIES")</f>
        <v xml:space="preserve">          6243 - PAPER SUPPLIES</v>
      </c>
      <c r="C269" s="10"/>
      <c r="D269" s="6">
        <v>199.93</v>
      </c>
      <c r="E269" s="2"/>
      <c r="F269" s="7">
        <f t="shared" si="129"/>
        <v>2.3753297889321132E-4</v>
      </c>
      <c r="G269" s="2"/>
      <c r="H269" s="6">
        <v>791.44</v>
      </c>
      <c r="I269" s="2"/>
      <c r="J269" s="7">
        <f t="shared" si="130"/>
        <v>1.689573779481802E-3</v>
      </c>
      <c r="K269" s="2"/>
      <c r="L269" s="6">
        <f t="shared" si="131"/>
        <v>-591.51</v>
      </c>
      <c r="M269" s="2"/>
      <c r="N269" s="7">
        <f t="shared" si="132"/>
        <v>-0.74738451430304254</v>
      </c>
      <c r="O269" s="10"/>
      <c r="P269" s="6">
        <v>6682.58</v>
      </c>
      <c r="Q269" s="2"/>
      <c r="R269" s="7">
        <f t="shared" si="133"/>
        <v>9.3785024410311137E-4</v>
      </c>
      <c r="S269" s="2"/>
      <c r="T269" s="6">
        <v>17888.36</v>
      </c>
      <c r="U269" s="2"/>
      <c r="V269" s="7">
        <f t="shared" si="134"/>
        <v>1.6108313535107891E-3</v>
      </c>
      <c r="W269" s="2"/>
      <c r="X269" s="6">
        <f t="shared" si="135"/>
        <v>-11205.78</v>
      </c>
      <c r="Y269" s="2"/>
      <c r="Z269" s="7">
        <f t="shared" si="136"/>
        <v>-0.62642858260902623</v>
      </c>
    </row>
    <row r="270" spans="1:26" s="23" customFormat="1" hidden="1" outlineLevel="2" x14ac:dyDescent="0.25">
      <c r="A270" s="27"/>
      <c r="B270" s="10" t="str">
        <f>CONCATENATE("          ", "6245", " - ", "PRINTING")</f>
        <v xml:space="preserve">          6245 - PRINTING</v>
      </c>
      <c r="C270" s="10"/>
      <c r="D270" s="6">
        <v>1766.38</v>
      </c>
      <c r="E270" s="2"/>
      <c r="F270" s="7">
        <f t="shared" si="129"/>
        <v>2.0986020269964018E-3</v>
      </c>
      <c r="G270" s="2"/>
      <c r="H270" s="6">
        <v>485.1</v>
      </c>
      <c r="I270" s="2"/>
      <c r="J270" s="7">
        <f t="shared" si="130"/>
        <v>1.0355961796555924E-3</v>
      </c>
      <c r="K270" s="2"/>
      <c r="L270" s="6">
        <f t="shared" si="131"/>
        <v>1281.2800000000002</v>
      </c>
      <c r="M270" s="2"/>
      <c r="N270" s="7">
        <f t="shared" si="132"/>
        <v>2.6412698412698417</v>
      </c>
      <c r="O270" s="10"/>
      <c r="P270" s="6">
        <v>3120.59</v>
      </c>
      <c r="Q270" s="2"/>
      <c r="R270" s="7">
        <f t="shared" si="133"/>
        <v>4.3795152369978786E-4</v>
      </c>
      <c r="S270" s="2"/>
      <c r="T270" s="6">
        <v>10561.45</v>
      </c>
      <c r="U270" s="2"/>
      <c r="V270" s="7">
        <f t="shared" si="134"/>
        <v>9.5104944212529951E-4</v>
      </c>
      <c r="W270" s="2"/>
      <c r="X270" s="6">
        <f t="shared" si="135"/>
        <v>-7440.8600000000006</v>
      </c>
      <c r="Y270" s="2"/>
      <c r="Z270" s="7">
        <f t="shared" si="136"/>
        <v>-0.70453015447689471</v>
      </c>
    </row>
    <row r="271" spans="1:26" s="23" customFormat="1" hidden="1" outlineLevel="2" x14ac:dyDescent="0.25">
      <c r="A271" s="27"/>
      <c r="B271" s="10" t="str">
        <f>CONCATENATE("          ", "6247", " - ", "STORE SUPPLIES")</f>
        <v xml:space="preserve">          6247 - STORE SUPPLIES</v>
      </c>
      <c r="C271" s="10"/>
      <c r="D271" s="6">
        <v>2162.46</v>
      </c>
      <c r="E271" s="2"/>
      <c r="F271" s="7">
        <f t="shared" si="129"/>
        <v>2.5691770396509468E-3</v>
      </c>
      <c r="G271" s="2"/>
      <c r="H271" s="6">
        <v>2640.81</v>
      </c>
      <c r="I271" s="2"/>
      <c r="J271" s="7">
        <f t="shared" si="130"/>
        <v>5.6376267722042569E-3</v>
      </c>
      <c r="K271" s="2"/>
      <c r="L271" s="6">
        <f t="shared" si="131"/>
        <v>-478.34999999999991</v>
      </c>
      <c r="M271" s="2"/>
      <c r="N271" s="7">
        <f t="shared" si="132"/>
        <v>-0.1811376055074011</v>
      </c>
      <c r="O271" s="10"/>
      <c r="P271" s="6">
        <v>46466.31</v>
      </c>
      <c r="Q271" s="2"/>
      <c r="R271" s="7">
        <f t="shared" si="133"/>
        <v>6.5211999221963437E-3</v>
      </c>
      <c r="S271" s="2"/>
      <c r="T271" s="6">
        <v>30093.09</v>
      </c>
      <c r="U271" s="2"/>
      <c r="V271" s="7">
        <f t="shared" si="134"/>
        <v>2.7098567390203454E-3</v>
      </c>
      <c r="W271" s="2"/>
      <c r="X271" s="6">
        <f t="shared" si="135"/>
        <v>16373.219999999998</v>
      </c>
      <c r="Y271" s="2"/>
      <c r="Z271" s="7">
        <f t="shared" si="136"/>
        <v>0.54408570206648765</v>
      </c>
    </row>
    <row r="272" spans="1:26" s="23" customFormat="1" hidden="1" outlineLevel="2" x14ac:dyDescent="0.25">
      <c r="A272" s="27"/>
      <c r="B272" s="10" t="str">
        <f>CONCATENATE("          ", "6248", " - ", "UNIFORMS")</f>
        <v xml:space="preserve">          6248 - UNIFORMS</v>
      </c>
      <c r="C272" s="10"/>
      <c r="D272" s="6"/>
      <c r="E272" s="2"/>
      <c r="F272" s="7">
        <f t="shared" si="129"/>
        <v>0</v>
      </c>
      <c r="G272" s="2"/>
      <c r="H272" s="6">
        <v>43.91</v>
      </c>
      <c r="I272" s="2"/>
      <c r="J272" s="7">
        <f t="shared" si="130"/>
        <v>9.3739493400694818E-5</v>
      </c>
      <c r="K272" s="2"/>
      <c r="L272" s="6">
        <f t="shared" si="131"/>
        <v>-43.91</v>
      </c>
      <c r="M272" s="2"/>
      <c r="N272" s="7">
        <f t="shared" si="132"/>
        <v>-1</v>
      </c>
      <c r="O272" s="10"/>
      <c r="P272" s="6"/>
      <c r="Q272" s="2"/>
      <c r="R272" s="7">
        <f t="shared" si="133"/>
        <v>0</v>
      </c>
      <c r="S272" s="2"/>
      <c r="T272" s="6">
        <v>43.91</v>
      </c>
      <c r="U272" s="2"/>
      <c r="V272" s="7">
        <f t="shared" si="134"/>
        <v>3.9540575398001126E-6</v>
      </c>
      <c r="W272" s="2"/>
      <c r="X272" s="6">
        <f t="shared" si="135"/>
        <v>-43.91</v>
      </c>
      <c r="Y272" s="2"/>
      <c r="Z272" s="7">
        <f t="shared" si="136"/>
        <v>-1</v>
      </c>
    </row>
    <row r="273" spans="1:26" s="26" customFormat="1" outlineLevel="1" collapsed="1" x14ac:dyDescent="0.25">
      <c r="A273" s="25"/>
      <c r="B273" s="12" t="str">
        <f>CONCATENATE("     ","Telephone/Data Lines                              ")</f>
        <v xml:space="preserve">     Telephone/Data Lines                              </v>
      </c>
      <c r="C273" s="12"/>
      <c r="D273" s="1">
        <f>SUM(OSRRefD22_21x_0)</f>
        <v>2234.06</v>
      </c>
      <c r="E273" s="1"/>
      <c r="F273" s="5">
        <f t="shared" ref="F273:F275" si="137">IF(D$12=0,0,D273/D$12)</f>
        <v>2.6542436193976275E-3</v>
      </c>
      <c r="G273" s="1"/>
      <c r="H273" s="1">
        <f>SUM(OSRRefH22_21x_0)</f>
        <v>2761.68</v>
      </c>
      <c r="I273" s="1"/>
      <c r="J273" s="5">
        <f t="shared" ref="J273:J275" si="138">IF(H$12=0,0,H273/H$12)</f>
        <v>5.8956612191945089E-3</v>
      </c>
      <c r="K273" s="1"/>
      <c r="L273" s="1">
        <f t="shared" ref="L273:L275" si="139">+D273-H273</f>
        <v>-527.61999999999989</v>
      </c>
      <c r="M273" s="1"/>
      <c r="N273" s="5">
        <f t="shared" ref="N273:N275" si="140">IF(H273=0,0,L273/H273)</f>
        <v>-0.19105037513397638</v>
      </c>
      <c r="O273" s="12"/>
      <c r="P273" s="1">
        <f>SUM(OSRRefP22_21x_0)</f>
        <v>24708.98</v>
      </c>
      <c r="Q273" s="1"/>
      <c r="R273" s="5">
        <f t="shared" ref="R273:R275" si="141">IF(P$12=0,0,P273/P$12)</f>
        <v>3.4677209886808534E-3</v>
      </c>
      <c r="S273" s="1"/>
      <c r="T273" s="1">
        <f>SUM(OSRRefT22_21x_0)</f>
        <v>27630.34</v>
      </c>
      <c r="U273" s="1"/>
      <c r="V273" s="5">
        <f t="shared" ref="V273:V275" si="142">IF(T$12=0,0,T273/T$12)</f>
        <v>2.4880882305679947E-3</v>
      </c>
      <c r="W273" s="1"/>
      <c r="X273" s="1">
        <f t="shared" ref="X273:X275" si="143">+P273-T273</f>
        <v>-2921.3600000000006</v>
      </c>
      <c r="Y273" s="1"/>
      <c r="Z273" s="5">
        <f t="shared" ref="Z273:Z275" si="144">IF(T273=0,0,X273/T273)</f>
        <v>-0.10573015026235655</v>
      </c>
    </row>
    <row r="274" spans="1:26" s="23" customFormat="1" hidden="1" outlineLevel="2" x14ac:dyDescent="0.25">
      <c r="A274" s="27"/>
      <c r="B274" s="10" t="str">
        <f>CONCATENATE("          ", "6303", " - ", "DATA PHONE LINES")</f>
        <v xml:space="preserve">          6303 - DATA PHONE LINES</v>
      </c>
      <c r="C274" s="10"/>
      <c r="D274" s="6">
        <v>590</v>
      </c>
      <c r="E274" s="2"/>
      <c r="F274" s="7">
        <f t="shared" si="137"/>
        <v>7.0096762640421489E-4</v>
      </c>
      <c r="G274" s="2"/>
      <c r="H274" s="6"/>
      <c r="I274" s="2"/>
      <c r="J274" s="7">
        <f t="shared" si="138"/>
        <v>0</v>
      </c>
      <c r="K274" s="2"/>
      <c r="L274" s="6">
        <f t="shared" si="139"/>
        <v>590</v>
      </c>
      <c r="M274" s="2"/>
      <c r="N274" s="7">
        <f t="shared" si="140"/>
        <v>0</v>
      </c>
      <c r="O274" s="10"/>
      <c r="P274" s="6">
        <v>3540</v>
      </c>
      <c r="Q274" s="2"/>
      <c r="R274" s="7">
        <f t="shared" si="141"/>
        <v>4.9681258797126479E-4</v>
      </c>
      <c r="S274" s="2"/>
      <c r="T274" s="6">
        <v>2360</v>
      </c>
      <c r="U274" s="2"/>
      <c r="V274" s="7">
        <f t="shared" si="142"/>
        <v>2.1251595977973733E-4</v>
      </c>
      <c r="W274" s="2"/>
      <c r="X274" s="6">
        <f t="shared" si="143"/>
        <v>1180</v>
      </c>
      <c r="Y274" s="2"/>
      <c r="Z274" s="7">
        <f t="shared" si="144"/>
        <v>0.5</v>
      </c>
    </row>
    <row r="275" spans="1:26" s="23" customFormat="1" hidden="1" outlineLevel="2" x14ac:dyDescent="0.25">
      <c r="A275" s="27"/>
      <c r="B275" s="10" t="str">
        <f>CONCATENATE("          ", "6309", " - ", "TELEPHONE")</f>
        <v xml:space="preserve">          6309 - TELEPHONE</v>
      </c>
      <c r="C275" s="10"/>
      <c r="D275" s="6">
        <v>1644.06</v>
      </c>
      <c r="E275" s="2"/>
      <c r="F275" s="7">
        <f t="shared" si="137"/>
        <v>1.9532759929934127E-3</v>
      </c>
      <c r="G275" s="2"/>
      <c r="H275" s="6">
        <v>2761.68</v>
      </c>
      <c r="I275" s="2"/>
      <c r="J275" s="7">
        <f t="shared" si="138"/>
        <v>5.8956612191945089E-3</v>
      </c>
      <c r="K275" s="2"/>
      <c r="L275" s="6">
        <f t="shared" si="139"/>
        <v>-1117.6199999999999</v>
      </c>
      <c r="M275" s="2"/>
      <c r="N275" s="7">
        <f t="shared" si="140"/>
        <v>-0.4046884505083862</v>
      </c>
      <c r="O275" s="10"/>
      <c r="P275" s="6">
        <v>21168.98</v>
      </c>
      <c r="Q275" s="2"/>
      <c r="R275" s="7">
        <f t="shared" si="141"/>
        <v>2.9709084007095887E-3</v>
      </c>
      <c r="S275" s="2"/>
      <c r="T275" s="6">
        <v>25270.34</v>
      </c>
      <c r="U275" s="2"/>
      <c r="V275" s="7">
        <f t="shared" si="142"/>
        <v>2.2755722707882573E-3</v>
      </c>
      <c r="W275" s="2"/>
      <c r="X275" s="6">
        <f t="shared" si="143"/>
        <v>-4101.3600000000006</v>
      </c>
      <c r="Y275" s="2"/>
      <c r="Z275" s="7">
        <f t="shared" si="144"/>
        <v>-0.16229935964454775</v>
      </c>
    </row>
    <row r="276" spans="1:26" s="26" customFormat="1" outlineLevel="1" collapsed="1" x14ac:dyDescent="0.25">
      <c r="A276" s="25"/>
      <c r="B276" s="12" t="str">
        <f>CONCATENATE("     ","Training                                          ")</f>
        <v xml:space="preserve">     Training                                          </v>
      </c>
      <c r="C276" s="12"/>
      <c r="D276" s="1">
        <f>SUM(OSRRefD22_22x_0)</f>
        <v>0</v>
      </c>
      <c r="E276" s="1"/>
      <c r="F276" s="5">
        <f t="shared" ref="F276:F281" si="145">IF(D$12=0,0,D276/D$12)</f>
        <v>0</v>
      </c>
      <c r="G276" s="1"/>
      <c r="H276" s="1">
        <f>SUM(OSRRefH22_22x_0)</f>
        <v>1350</v>
      </c>
      <c r="I276" s="1"/>
      <c r="J276" s="5">
        <f t="shared" ref="J276:J281" si="146">IF(H$12=0,0,H276/H$12)</f>
        <v>2.8819930788189026E-3</v>
      </c>
      <c r="K276" s="1"/>
      <c r="L276" s="1">
        <f t="shared" ref="L276:L281" si="147">+D276-H276</f>
        <v>-1350</v>
      </c>
      <c r="M276" s="1"/>
      <c r="N276" s="5">
        <f t="shared" ref="N276:N281" si="148">IF(H276=0,0,L276/H276)</f>
        <v>-1</v>
      </c>
      <c r="O276" s="12"/>
      <c r="P276" s="1">
        <f>SUM(OSRRefP22_22x_0)</f>
        <v>995.63</v>
      </c>
      <c r="Q276" s="1"/>
      <c r="R276" s="5">
        <f t="shared" ref="R276:R281" si="149">IF(P$12=0,0,P276/P$12)</f>
        <v>1.3972924207961309E-4</v>
      </c>
      <c r="S276" s="1"/>
      <c r="T276" s="1">
        <f>SUM(OSRRefT22_22x_0)</f>
        <v>23592.63</v>
      </c>
      <c r="U276" s="1"/>
      <c r="V276" s="5">
        <f t="shared" ref="V276:V281" si="150">IF(T$12=0,0,T276/T$12)</f>
        <v>2.1244959356687392E-3</v>
      </c>
      <c r="W276" s="1"/>
      <c r="X276" s="1">
        <f t="shared" ref="X276:X281" si="151">+P276-T276</f>
        <v>-22597</v>
      </c>
      <c r="Y276" s="1"/>
      <c r="Z276" s="5">
        <f t="shared" ref="Z276:Z281" si="152">IF(T276=0,0,X276/T276)</f>
        <v>-0.95779910929811551</v>
      </c>
    </row>
    <row r="277" spans="1:26" s="23" customFormat="1" hidden="1" outlineLevel="2" x14ac:dyDescent="0.25">
      <c r="A277" s="27"/>
      <c r="B277" s="10" t="str">
        <f>CONCATENATE("          ", "6376", " - ", "TRAINING")</f>
        <v xml:space="preserve">          6376 - TRAINING</v>
      </c>
      <c r="C277" s="10"/>
      <c r="D277" s="6"/>
      <c r="E277" s="2"/>
      <c r="F277" s="7">
        <f t="shared" si="145"/>
        <v>0</v>
      </c>
      <c r="G277" s="2"/>
      <c r="H277" s="6">
        <v>1350</v>
      </c>
      <c r="I277" s="2"/>
      <c r="J277" s="7">
        <f t="shared" si="146"/>
        <v>2.8819930788189026E-3</v>
      </c>
      <c r="K277" s="2"/>
      <c r="L277" s="6">
        <f t="shared" si="147"/>
        <v>-1350</v>
      </c>
      <c r="M277" s="2"/>
      <c r="N277" s="7">
        <f t="shared" si="148"/>
        <v>-1</v>
      </c>
      <c r="O277" s="10"/>
      <c r="P277" s="6">
        <v>995.63</v>
      </c>
      <c r="Q277" s="2"/>
      <c r="R277" s="7">
        <f t="shared" si="149"/>
        <v>1.3972924207961309E-4</v>
      </c>
      <c r="S277" s="2"/>
      <c r="T277" s="6">
        <v>23592.63</v>
      </c>
      <c r="U277" s="2"/>
      <c r="V277" s="7">
        <f t="shared" si="150"/>
        <v>2.1244959356687392E-3</v>
      </c>
      <c r="W277" s="2"/>
      <c r="X277" s="6">
        <f t="shared" si="151"/>
        <v>-22597</v>
      </c>
      <c r="Y277" s="2"/>
      <c r="Z277" s="7">
        <f t="shared" si="152"/>
        <v>-0.95779910929811551</v>
      </c>
    </row>
    <row r="278" spans="1:26" s="26" customFormat="1" outlineLevel="1" collapsed="1" x14ac:dyDescent="0.25">
      <c r="A278" s="25"/>
      <c r="B278" s="12" t="str">
        <f>CONCATENATE("     ","Travel                                            ")</f>
        <v xml:space="preserve">     Travel                                            </v>
      </c>
      <c r="C278" s="12"/>
      <c r="D278" s="1">
        <f>SUM(OSRRefD22_23x_0)</f>
        <v>69.069999999999993</v>
      </c>
      <c r="E278" s="1"/>
      <c r="F278" s="5">
        <f t="shared" si="145"/>
        <v>8.2060735518201897E-5</v>
      </c>
      <c r="G278" s="1"/>
      <c r="H278" s="1">
        <f>SUM(OSRRefH22_23x_0)</f>
        <v>85.45</v>
      </c>
      <c r="I278" s="1"/>
      <c r="J278" s="5">
        <f t="shared" si="146"/>
        <v>1.8241948784079648E-4</v>
      </c>
      <c r="K278" s="1"/>
      <c r="L278" s="1">
        <f t="shared" si="147"/>
        <v>-16.38000000000001</v>
      </c>
      <c r="M278" s="1"/>
      <c r="N278" s="5">
        <f t="shared" si="148"/>
        <v>-0.19169104739613821</v>
      </c>
      <c r="O278" s="12"/>
      <c r="P278" s="1">
        <f>SUM(OSRRefP22_23x_0)</f>
        <v>972.4</v>
      </c>
      <c r="Q278" s="1"/>
      <c r="R278" s="5">
        <f t="shared" si="149"/>
        <v>1.3646908489922538E-4</v>
      </c>
      <c r="S278" s="1"/>
      <c r="T278" s="1">
        <f>SUM(OSRRefT22_23x_0)</f>
        <v>1139.73</v>
      </c>
      <c r="U278" s="1"/>
      <c r="V278" s="5">
        <f t="shared" si="150"/>
        <v>1.0263170120328814E-4</v>
      </c>
      <c r="W278" s="1"/>
      <c r="X278" s="1">
        <f t="shared" si="151"/>
        <v>-167.33000000000004</v>
      </c>
      <c r="Y278" s="1"/>
      <c r="Z278" s="5">
        <f t="shared" si="152"/>
        <v>-0.14681547384029553</v>
      </c>
    </row>
    <row r="279" spans="1:26" s="23" customFormat="1" hidden="1" outlineLevel="2" x14ac:dyDescent="0.25">
      <c r="A279" s="27"/>
      <c r="B279" s="10" t="str">
        <f>CONCATENATE("          ", "6292", " - ", "TRAVEL/CONFERENCE")</f>
        <v xml:space="preserve">          6292 - TRAVEL/CONFERENCE</v>
      </c>
      <c r="C279" s="10"/>
      <c r="D279" s="6"/>
      <c r="E279" s="2"/>
      <c r="F279" s="7">
        <f t="shared" si="145"/>
        <v>0</v>
      </c>
      <c r="G279" s="2"/>
      <c r="H279" s="6"/>
      <c r="I279" s="2"/>
      <c r="J279" s="7">
        <f t="shared" si="146"/>
        <v>0</v>
      </c>
      <c r="K279" s="2"/>
      <c r="L279" s="6">
        <f t="shared" si="147"/>
        <v>0</v>
      </c>
      <c r="M279" s="2"/>
      <c r="N279" s="7">
        <f t="shared" si="148"/>
        <v>0</v>
      </c>
      <c r="O279" s="10"/>
      <c r="P279" s="6">
        <v>299.16000000000003</v>
      </c>
      <c r="Q279" s="2"/>
      <c r="R279" s="7">
        <f t="shared" si="149"/>
        <v>4.1984873959741121E-5</v>
      </c>
      <c r="S279" s="2"/>
      <c r="T279" s="6">
        <v>326.60000000000002</v>
      </c>
      <c r="U279" s="2"/>
      <c r="V279" s="7">
        <f t="shared" si="150"/>
        <v>2.9410047654263651E-5</v>
      </c>
      <c r="W279" s="2"/>
      <c r="X279" s="6">
        <f t="shared" si="151"/>
        <v>-27.439999999999998</v>
      </c>
      <c r="Y279" s="2"/>
      <c r="Z279" s="7">
        <f t="shared" si="152"/>
        <v>-8.4017146356399258E-2</v>
      </c>
    </row>
    <row r="280" spans="1:26" s="23" customFormat="1" hidden="1" outlineLevel="2" x14ac:dyDescent="0.25">
      <c r="A280" s="27"/>
      <c r="B280" s="10" t="str">
        <f>CONCATENATE("          ", "6294", " - ", "TRAVEL OPERATIONAL")</f>
        <v xml:space="preserve">          6294 - TRAVEL OPERATIONAL</v>
      </c>
      <c r="C280" s="10"/>
      <c r="D280" s="6">
        <v>69.069999999999993</v>
      </c>
      <c r="E280" s="2"/>
      <c r="F280" s="7">
        <f t="shared" si="145"/>
        <v>8.2060735518201897E-5</v>
      </c>
      <c r="G280" s="2"/>
      <c r="H280" s="6"/>
      <c r="I280" s="2"/>
      <c r="J280" s="7">
        <f t="shared" si="146"/>
        <v>0</v>
      </c>
      <c r="K280" s="2"/>
      <c r="L280" s="6">
        <f t="shared" si="147"/>
        <v>69.069999999999993</v>
      </c>
      <c r="M280" s="2"/>
      <c r="N280" s="7">
        <f t="shared" si="148"/>
        <v>0</v>
      </c>
      <c r="O280" s="10"/>
      <c r="P280" s="6">
        <v>613.35</v>
      </c>
      <c r="Q280" s="2"/>
      <c r="R280" s="7">
        <f t="shared" si="149"/>
        <v>8.6079096280275487E-5</v>
      </c>
      <c r="S280" s="2"/>
      <c r="T280" s="6">
        <v>361.61</v>
      </c>
      <c r="U280" s="2"/>
      <c r="V280" s="7">
        <f t="shared" si="150"/>
        <v>3.2562667888114752E-5</v>
      </c>
      <c r="W280" s="2"/>
      <c r="X280" s="6">
        <f t="shared" si="151"/>
        <v>251.74</v>
      </c>
      <c r="Y280" s="2"/>
      <c r="Z280" s="7">
        <f t="shared" si="152"/>
        <v>0.69616437598517744</v>
      </c>
    </row>
    <row r="281" spans="1:26" s="23" customFormat="1" hidden="1" outlineLevel="2" x14ac:dyDescent="0.25">
      <c r="A281" s="27"/>
      <c r="B281" s="10" t="str">
        <f>CONCATENATE("          ", "6298", " - ", "VEHICLE MILEAGE")</f>
        <v xml:space="preserve">          6298 - VEHICLE MILEAGE</v>
      </c>
      <c r="C281" s="10"/>
      <c r="D281" s="6"/>
      <c r="E281" s="2"/>
      <c r="F281" s="7">
        <f t="shared" si="145"/>
        <v>0</v>
      </c>
      <c r="G281" s="2"/>
      <c r="H281" s="6">
        <v>85.45</v>
      </c>
      <c r="I281" s="2"/>
      <c r="J281" s="7">
        <f t="shared" si="146"/>
        <v>1.8241948784079648E-4</v>
      </c>
      <c r="K281" s="2"/>
      <c r="L281" s="6">
        <f t="shared" si="147"/>
        <v>-85.45</v>
      </c>
      <c r="M281" s="2"/>
      <c r="N281" s="7">
        <f t="shared" si="148"/>
        <v>-1</v>
      </c>
      <c r="O281" s="10"/>
      <c r="P281" s="6">
        <v>59.89</v>
      </c>
      <c r="Q281" s="2"/>
      <c r="R281" s="7">
        <f t="shared" si="149"/>
        <v>8.40511465920877E-6</v>
      </c>
      <c r="S281" s="2"/>
      <c r="T281" s="6">
        <v>451.52</v>
      </c>
      <c r="U281" s="2"/>
      <c r="V281" s="7">
        <f t="shared" si="150"/>
        <v>4.065898566090974E-5</v>
      </c>
      <c r="W281" s="2"/>
      <c r="X281" s="6">
        <f t="shared" si="151"/>
        <v>-391.63</v>
      </c>
      <c r="Y281" s="2"/>
      <c r="Z281" s="7">
        <f t="shared" si="152"/>
        <v>-0.86735914245216161</v>
      </c>
    </row>
    <row r="282" spans="1:26" s="26" customFormat="1" outlineLevel="1" collapsed="1" x14ac:dyDescent="0.25">
      <c r="A282" s="25"/>
      <c r="B282" s="12" t="str">
        <f>CONCATENATE("     ","Utilities                                         ")</f>
        <v xml:space="preserve">     Utilities                                         </v>
      </c>
      <c r="C282" s="12"/>
      <c r="D282" s="1">
        <f>SUM(OSRRefD22_24x_0)</f>
        <v>6161.93</v>
      </c>
      <c r="E282" s="1"/>
      <c r="F282" s="5">
        <f t="shared" ref="F282:F283" si="153">IF(D$12=0,0,D282/D$12)</f>
        <v>7.3208702477439392E-3</v>
      </c>
      <c r="G282" s="1"/>
      <c r="H282" s="1">
        <f>SUM(OSRRefH22_24x_0)</f>
        <v>6201.05</v>
      </c>
      <c r="I282" s="1"/>
      <c r="J282" s="5">
        <f t="shared" ref="J282:J283" si="154">IF(H$12=0,0,H282/H$12)</f>
        <v>1.3238061615859227E-2</v>
      </c>
      <c r="K282" s="1"/>
      <c r="L282" s="1">
        <f t="shared" ref="L282:L283" si="155">+D282-H282</f>
        <v>-39.119999999999891</v>
      </c>
      <c r="M282" s="1"/>
      <c r="N282" s="5">
        <f t="shared" ref="N282:N283" si="156">IF(H282=0,0,L282/H282)</f>
        <v>-6.3086090258907589E-3</v>
      </c>
      <c r="O282" s="12"/>
      <c r="P282" s="1">
        <f>SUM(OSRRefP22_24x_0)</f>
        <v>58679.55</v>
      </c>
      <c r="Q282" s="1"/>
      <c r="R282" s="5">
        <f t="shared" ref="R282:R283" si="157">IF(P$12=0,0,P282/P$12)</f>
        <v>8.2352370329065623E-3</v>
      </c>
      <c r="S282" s="1"/>
      <c r="T282" s="1">
        <f>SUM(OSRRefT22_24x_0)</f>
        <v>59205.35</v>
      </c>
      <c r="U282" s="1"/>
      <c r="V282" s="5">
        <f t="shared" ref="V282:V283" si="158">IF(T$12=0,0,T282/T$12)</f>
        <v>5.3313905844683349E-3</v>
      </c>
      <c r="W282" s="1"/>
      <c r="X282" s="1">
        <f t="shared" ref="X282:X283" si="159">+P282-T282</f>
        <v>-525.79999999999563</v>
      </c>
      <c r="Y282" s="1"/>
      <c r="Z282" s="5">
        <f t="shared" ref="Z282:Z283" si="160">IF(T282=0,0,X282/T282)</f>
        <v>-8.8809541705267454E-3</v>
      </c>
    </row>
    <row r="283" spans="1:26" s="23" customFormat="1" hidden="1" outlineLevel="2" x14ac:dyDescent="0.25">
      <c r="A283" s="27"/>
      <c r="B283" s="10" t="str">
        <f>CONCATENATE("          ", "6274", " - ", "UTILITIES")</f>
        <v xml:space="preserve">          6274 - UTILITIES</v>
      </c>
      <c r="C283" s="10"/>
      <c r="D283" s="6">
        <v>6161.93</v>
      </c>
      <c r="E283" s="2"/>
      <c r="F283" s="7">
        <f t="shared" si="153"/>
        <v>7.3208702477439392E-3</v>
      </c>
      <c r="G283" s="2"/>
      <c r="H283" s="6">
        <v>6201.05</v>
      </c>
      <c r="I283" s="2"/>
      <c r="J283" s="7">
        <f t="shared" si="154"/>
        <v>1.3238061615859227E-2</v>
      </c>
      <c r="K283" s="2"/>
      <c r="L283" s="6">
        <f t="shared" si="155"/>
        <v>-39.119999999999891</v>
      </c>
      <c r="M283" s="2"/>
      <c r="N283" s="7">
        <f t="shared" si="156"/>
        <v>-6.3086090258907589E-3</v>
      </c>
      <c r="O283" s="10"/>
      <c r="P283" s="6">
        <v>58679.55</v>
      </c>
      <c r="Q283" s="2"/>
      <c r="R283" s="7">
        <f t="shared" si="157"/>
        <v>8.2352370329065623E-3</v>
      </c>
      <c r="S283" s="2"/>
      <c r="T283" s="6">
        <v>59205.35</v>
      </c>
      <c r="U283" s="2"/>
      <c r="V283" s="7">
        <f t="shared" si="158"/>
        <v>5.3313905844683349E-3</v>
      </c>
      <c r="W283" s="2"/>
      <c r="X283" s="6">
        <f t="shared" si="159"/>
        <v>-525.79999999999563</v>
      </c>
      <c r="Y283" s="2"/>
      <c r="Z283" s="7">
        <f t="shared" si="160"/>
        <v>-8.8809541705267454E-3</v>
      </c>
    </row>
    <row r="284" spans="1:26" s="62" customFormat="1" x14ac:dyDescent="0.25">
      <c r="A284" s="37"/>
      <c r="B284" s="37"/>
      <c r="C284" s="37"/>
      <c r="D284" s="1"/>
      <c r="E284" s="1"/>
      <c r="F284" s="5"/>
      <c r="G284" s="1"/>
      <c r="H284" s="1"/>
      <c r="I284" s="1"/>
      <c r="J284" s="5"/>
      <c r="K284" s="1"/>
      <c r="L284" s="1"/>
      <c r="M284" s="1"/>
      <c r="N284" s="5"/>
      <c r="O284" s="37"/>
      <c r="P284" s="1"/>
      <c r="Q284" s="1"/>
      <c r="R284" s="5"/>
      <c r="S284" s="1"/>
      <c r="T284" s="1"/>
      <c r="U284" s="1"/>
      <c r="V284" s="5"/>
      <c r="W284" s="1"/>
      <c r="X284" s="1"/>
      <c r="Y284" s="1"/>
      <c r="Z284" s="5"/>
    </row>
    <row r="285" spans="1:26" s="24" customFormat="1" collapsed="1" x14ac:dyDescent="0.25">
      <c r="A285" s="11"/>
      <c r="B285" s="28" t="s">
        <v>292</v>
      </c>
      <c r="C285" s="11"/>
      <c r="D285" s="4">
        <f>SUM(OSRRefD25x_0)</f>
        <v>7587.3200000000006</v>
      </c>
      <c r="E285" s="4"/>
      <c r="F285" s="13">
        <f t="shared" ref="F285:F297" si="161">IF(D$12=0,0,D285/D$12)</f>
        <v>9.0143486291003865E-3</v>
      </c>
      <c r="G285" s="4"/>
      <c r="H285" s="4">
        <f>SUM(OSRRefH25x_0)</f>
        <v>391075.35</v>
      </c>
      <c r="I285" s="4"/>
      <c r="J285" s="13">
        <f t="shared" ref="J285:J297" si="162">IF(H$12=0,0,H285/H$12)</f>
        <v>0.83487144592346663</v>
      </c>
      <c r="K285" s="4"/>
      <c r="L285" s="4">
        <f t="shared" ref="L285:L297" si="163">+D285-H285</f>
        <v>-383488.02999999997</v>
      </c>
      <c r="M285" s="4"/>
      <c r="N285" s="13">
        <f t="shared" ref="N285:N297" si="164">IF(H285=0,0,L285/H285)</f>
        <v>-0.98059882833320988</v>
      </c>
      <c r="O285" s="11"/>
      <c r="P285" s="4">
        <f>SUM(OSRRefP25x_0)</f>
        <v>996729.42999999993</v>
      </c>
      <c r="Q285" s="4"/>
      <c r="R285" s="13">
        <f t="shared" ref="R285:R297" si="165">IF(P$12=0,0,P285/P$12)</f>
        <v>0.13988353887723828</v>
      </c>
      <c r="S285" s="4"/>
      <c r="T285" s="4">
        <f>SUM(OSRRefT25x_0)</f>
        <v>1074685.3700000001</v>
      </c>
      <c r="U285" s="4"/>
      <c r="V285" s="13">
        <f t="shared" ref="V285:V297" si="166">IF(T$12=0,0,T285/T$12)</f>
        <v>9.6774488502878023E-2</v>
      </c>
      <c r="W285" s="4"/>
      <c r="X285" s="4">
        <f t="shared" ref="X285:X297" si="167">+P285-T285</f>
        <v>-77955.940000000177</v>
      </c>
      <c r="Y285" s="4"/>
      <c r="Z285" s="13">
        <f t="shared" ref="Z285:Z297" si="168">IF(T285=0,0,X285/T285)</f>
        <v>-7.2538383955110669E-2</v>
      </c>
    </row>
    <row r="286" spans="1:26" s="23" customFormat="1" hidden="1" outlineLevel="1" x14ac:dyDescent="0.25">
      <c r="A286" s="44"/>
      <c r="B286" s="10" t="str">
        <f>CONCATENATE("          ", "4098", " - ", "TAXABLE SALES-GRAD RENTALS")</f>
        <v xml:space="preserve">          4098 - TAXABLE SALES-GRAD RENTALS</v>
      </c>
      <c r="C286" s="10"/>
      <c r="D286" s="2">
        <f>--49.95</f>
        <v>49.95</v>
      </c>
      <c r="E286" s="2"/>
      <c r="F286" s="19">
        <f t="shared" si="161"/>
        <v>5.9344632099814466E-5</v>
      </c>
      <c r="G286" s="2"/>
      <c r="H286" s="2">
        <f>0</f>
        <v>0</v>
      </c>
      <c r="I286" s="2"/>
      <c r="J286" s="19">
        <f t="shared" si="162"/>
        <v>0</v>
      </c>
      <c r="K286" s="2"/>
      <c r="L286" s="2">
        <f t="shared" si="163"/>
        <v>49.95</v>
      </c>
      <c r="M286" s="2"/>
      <c r="N286" s="19">
        <f t="shared" si="164"/>
        <v>0</v>
      </c>
      <c r="O286" s="10"/>
      <c r="P286" s="2">
        <f>--49.95</f>
        <v>49.95</v>
      </c>
      <c r="Q286" s="2"/>
      <c r="R286" s="19">
        <f t="shared" si="165"/>
        <v>7.0101098217979304E-6</v>
      </c>
      <c r="S286" s="2"/>
      <c r="T286" s="2">
        <f>--2098.85</f>
        <v>2098.85</v>
      </c>
      <c r="U286" s="2"/>
      <c r="V286" s="19">
        <f t="shared" si="166"/>
        <v>1.8899962804394137E-4</v>
      </c>
      <c r="W286" s="2"/>
      <c r="X286" s="2">
        <f t="shared" si="167"/>
        <v>-2048.9</v>
      </c>
      <c r="Y286" s="2"/>
      <c r="Z286" s="19">
        <f t="shared" si="168"/>
        <v>-0.97620125306715588</v>
      </c>
    </row>
    <row r="287" spans="1:26" s="23" customFormat="1" hidden="1" outlineLevel="1" x14ac:dyDescent="0.25">
      <c r="A287" s="44"/>
      <c r="B287" s="10" t="str">
        <f>CONCATENATE("          ", "4187", " - ", "NON-TAXABLE SALES-COMPUTER REP")</f>
        <v xml:space="preserve">          4187 - NON-TAXABLE SALES-COMPUTER REP</v>
      </c>
      <c r="C287" s="10"/>
      <c r="D287" s="2">
        <f>--1700.99</f>
        <v>1700.99</v>
      </c>
      <c r="E287" s="2"/>
      <c r="F287" s="19">
        <f t="shared" si="161"/>
        <v>2.020913428537806E-3</v>
      </c>
      <c r="G287" s="2"/>
      <c r="H287" s="2">
        <f>--603.69</f>
        <v>603.69000000000005</v>
      </c>
      <c r="I287" s="2"/>
      <c r="J287" s="19">
        <f t="shared" si="162"/>
        <v>1.2887632605571731E-3</v>
      </c>
      <c r="K287" s="2"/>
      <c r="L287" s="2">
        <f t="shared" si="163"/>
        <v>1097.3</v>
      </c>
      <c r="M287" s="2"/>
      <c r="N287" s="19">
        <f t="shared" si="164"/>
        <v>1.8176547565803638</v>
      </c>
      <c r="O287" s="10"/>
      <c r="P287" s="2">
        <f>--3315.96</f>
        <v>3315.96</v>
      </c>
      <c r="Q287" s="2"/>
      <c r="R287" s="19">
        <f t="shared" si="165"/>
        <v>4.6537024553932064E-4</v>
      </c>
      <c r="S287" s="2"/>
      <c r="T287" s="2">
        <f>--16183.2</f>
        <v>16183.2</v>
      </c>
      <c r="U287" s="2"/>
      <c r="V287" s="19">
        <f t="shared" si="166"/>
        <v>1.4572831696217988E-3</v>
      </c>
      <c r="W287" s="2"/>
      <c r="X287" s="2">
        <f t="shared" si="167"/>
        <v>-12867.240000000002</v>
      </c>
      <c r="Y287" s="2"/>
      <c r="Z287" s="19">
        <f t="shared" si="168"/>
        <v>-0.79509862079193239</v>
      </c>
    </row>
    <row r="288" spans="1:26" s="23" customFormat="1" hidden="1" outlineLevel="1" x14ac:dyDescent="0.25">
      <c r="A288" s="44"/>
      <c r="B288" s="10" t="str">
        <f>CONCATENATE("          ", "4197", " - ", "NON-TAXABLE SALES-RETURNED CHE")</f>
        <v xml:space="preserve">          4197 - NON-TAXABLE SALES-RETURNED CHE</v>
      </c>
      <c r="C288" s="10"/>
      <c r="D288" s="2">
        <f t="shared" ref="D288:D291" si="169">0</f>
        <v>0</v>
      </c>
      <c r="E288" s="2"/>
      <c r="F288" s="19">
        <f t="shared" si="161"/>
        <v>0</v>
      </c>
      <c r="G288" s="2"/>
      <c r="H288" s="2">
        <f>0</f>
        <v>0</v>
      </c>
      <c r="I288" s="2"/>
      <c r="J288" s="19">
        <f t="shared" si="162"/>
        <v>0</v>
      </c>
      <c r="K288" s="2"/>
      <c r="L288" s="2">
        <f t="shared" si="163"/>
        <v>0</v>
      </c>
      <c r="M288" s="2"/>
      <c r="N288" s="19">
        <f t="shared" si="164"/>
        <v>0</v>
      </c>
      <c r="O288" s="10"/>
      <c r="P288" s="2">
        <f t="shared" ref="P288:P291" si="170">0</f>
        <v>0</v>
      </c>
      <c r="Q288" s="2"/>
      <c r="R288" s="19">
        <f t="shared" si="165"/>
        <v>0</v>
      </c>
      <c r="S288" s="2"/>
      <c r="T288" s="2">
        <f>--30</f>
        <v>30</v>
      </c>
      <c r="U288" s="2"/>
      <c r="V288" s="19">
        <f t="shared" si="166"/>
        <v>2.7014740649966607E-6</v>
      </c>
      <c r="W288" s="2"/>
      <c r="X288" s="2">
        <f t="shared" si="167"/>
        <v>-30</v>
      </c>
      <c r="Y288" s="2"/>
      <c r="Z288" s="19">
        <f t="shared" si="168"/>
        <v>-1</v>
      </c>
    </row>
    <row r="289" spans="1:26" s="23" customFormat="1" hidden="1" outlineLevel="1" x14ac:dyDescent="0.25">
      <c r="A289" s="44"/>
      <c r="B289" s="10" t="str">
        <f>CONCATENATE("          ", "4198", " - ", "NON-TAXABLE SALES-GRAD RENTALS")</f>
        <v xml:space="preserve">          4198 - NON-TAXABLE SALES-GRAD RENTALS</v>
      </c>
      <c r="C289" s="10"/>
      <c r="D289" s="2">
        <f t="shared" si="169"/>
        <v>0</v>
      </c>
      <c r="E289" s="2"/>
      <c r="F289" s="19">
        <f t="shared" si="161"/>
        <v>0</v>
      </c>
      <c r="G289" s="2"/>
      <c r="H289" s="2">
        <f>-98.64</f>
        <v>-98.64</v>
      </c>
      <c r="I289" s="2"/>
      <c r="J289" s="19">
        <f t="shared" si="162"/>
        <v>-2.1057762762570115E-4</v>
      </c>
      <c r="K289" s="2"/>
      <c r="L289" s="2">
        <f t="shared" si="163"/>
        <v>98.64</v>
      </c>
      <c r="M289" s="2"/>
      <c r="N289" s="19">
        <f t="shared" si="164"/>
        <v>-1</v>
      </c>
      <c r="O289" s="10"/>
      <c r="P289" s="2">
        <f t="shared" si="170"/>
        <v>0</v>
      </c>
      <c r="Q289" s="2"/>
      <c r="R289" s="19">
        <f t="shared" si="165"/>
        <v>0</v>
      </c>
      <c r="S289" s="2"/>
      <c r="T289" s="2">
        <f>--3633.46</f>
        <v>3633.46</v>
      </c>
      <c r="U289" s="2"/>
      <c r="V289" s="19">
        <f t="shared" si="166"/>
        <v>3.2718993187342557E-4</v>
      </c>
      <c r="W289" s="2"/>
      <c r="X289" s="2">
        <f t="shared" si="167"/>
        <v>-3633.46</v>
      </c>
      <c r="Y289" s="2"/>
      <c r="Z289" s="19">
        <f t="shared" si="168"/>
        <v>-1</v>
      </c>
    </row>
    <row r="290" spans="1:26" s="23" customFormat="1" hidden="1" outlineLevel="1" x14ac:dyDescent="0.25">
      <c r="A290" s="44"/>
      <c r="B290" s="10" t="str">
        <f>CONCATENATE("          ", "4387", " - ", "SALES RETURN NON TAXABLE-COMPU")</f>
        <v xml:space="preserve">          4387 - SALES RETURN NON TAXABLE-COMPU</v>
      </c>
      <c r="C290" s="10"/>
      <c r="D290" s="2">
        <f t="shared" si="169"/>
        <v>0</v>
      </c>
      <c r="E290" s="2"/>
      <c r="F290" s="19">
        <f t="shared" si="161"/>
        <v>0</v>
      </c>
      <c r="G290" s="2"/>
      <c r="H290" s="2">
        <f t="shared" ref="H290:H291" si="171">0</f>
        <v>0</v>
      </c>
      <c r="I290" s="2"/>
      <c r="J290" s="19">
        <f t="shared" si="162"/>
        <v>0</v>
      </c>
      <c r="K290" s="2"/>
      <c r="L290" s="2">
        <f t="shared" si="163"/>
        <v>0</v>
      </c>
      <c r="M290" s="2"/>
      <c r="N290" s="19">
        <f t="shared" si="164"/>
        <v>0</v>
      </c>
      <c r="O290" s="10"/>
      <c r="P290" s="2">
        <f t="shared" si="170"/>
        <v>0</v>
      </c>
      <c r="Q290" s="2"/>
      <c r="R290" s="19">
        <f t="shared" si="165"/>
        <v>0</v>
      </c>
      <c r="S290" s="2"/>
      <c r="T290" s="2">
        <f>-7889</f>
        <v>-7889</v>
      </c>
      <c r="U290" s="2"/>
      <c r="V290" s="19">
        <f t="shared" si="166"/>
        <v>-7.1039762995862192E-4</v>
      </c>
      <c r="W290" s="2"/>
      <c r="X290" s="2">
        <f t="shared" si="167"/>
        <v>7889</v>
      </c>
      <c r="Y290" s="2"/>
      <c r="Z290" s="19">
        <f t="shared" si="168"/>
        <v>-1</v>
      </c>
    </row>
    <row r="291" spans="1:26" s="23" customFormat="1" hidden="1" outlineLevel="1" x14ac:dyDescent="0.25">
      <c r="A291" s="44"/>
      <c r="B291" s="10" t="str">
        <f>CONCATENATE("          ", "5087", " - ", "PURCHASES @ COST-COMPUTER REPA")</f>
        <v xml:space="preserve">          5087 - PURCHASES @ COST-COMPUTER REPA</v>
      </c>
      <c r="C291" s="10"/>
      <c r="D291" s="2">
        <f t="shared" si="169"/>
        <v>0</v>
      </c>
      <c r="E291" s="2"/>
      <c r="F291" s="19">
        <f t="shared" si="161"/>
        <v>0</v>
      </c>
      <c r="G291" s="2"/>
      <c r="H291" s="2">
        <f t="shared" si="171"/>
        <v>0</v>
      </c>
      <c r="I291" s="2"/>
      <c r="J291" s="19">
        <f t="shared" si="162"/>
        <v>0</v>
      </c>
      <c r="K291" s="2"/>
      <c r="L291" s="2">
        <f t="shared" si="163"/>
        <v>0</v>
      </c>
      <c r="M291" s="2"/>
      <c r="N291" s="19">
        <f t="shared" si="164"/>
        <v>0</v>
      </c>
      <c r="O291" s="10"/>
      <c r="P291" s="2">
        <f t="shared" si="170"/>
        <v>0</v>
      </c>
      <c r="Q291" s="2"/>
      <c r="R291" s="19">
        <f t="shared" si="165"/>
        <v>0</v>
      </c>
      <c r="S291" s="2"/>
      <c r="T291" s="2">
        <f>-104.76</f>
        <v>-104.76</v>
      </c>
      <c r="U291" s="2"/>
      <c r="V291" s="19">
        <f t="shared" si="166"/>
        <v>-9.4335474349683394E-6</v>
      </c>
      <c r="W291" s="2"/>
      <c r="X291" s="2">
        <f t="shared" si="167"/>
        <v>104.76</v>
      </c>
      <c r="Y291" s="2"/>
      <c r="Z291" s="19">
        <f t="shared" si="168"/>
        <v>-1</v>
      </c>
    </row>
    <row r="292" spans="1:26" s="23" customFormat="1" hidden="1" outlineLevel="1" x14ac:dyDescent="0.25">
      <c r="A292" s="44"/>
      <c r="B292" s="10" t="str">
        <f>CONCATENATE("          ", "9150", " - ", "MISC. INCOME")</f>
        <v xml:space="preserve">          9150 - MISC. INCOME</v>
      </c>
      <c r="C292" s="10"/>
      <c r="D292" s="2">
        <f>--5286.34</f>
        <v>5286.34</v>
      </c>
      <c r="E292" s="2"/>
      <c r="F292" s="19">
        <f t="shared" si="161"/>
        <v>6.2805986477384021E-3</v>
      </c>
      <c r="G292" s="2"/>
      <c r="H292" s="2">
        <f>--44527.49</f>
        <v>44527.49</v>
      </c>
      <c r="I292" s="2"/>
      <c r="J292" s="19">
        <f t="shared" si="162"/>
        <v>9.5057717034946587E-2</v>
      </c>
      <c r="K292" s="2"/>
      <c r="L292" s="2">
        <f t="shared" si="163"/>
        <v>-39241.149999999994</v>
      </c>
      <c r="M292" s="2"/>
      <c r="N292" s="19">
        <f t="shared" si="164"/>
        <v>-0.88127918281493067</v>
      </c>
      <c r="O292" s="10"/>
      <c r="P292" s="2">
        <f>--347040</f>
        <v>347040</v>
      </c>
      <c r="Q292" s="2"/>
      <c r="R292" s="19">
        <f t="shared" si="165"/>
        <v>4.8704474725860938E-2</v>
      </c>
      <c r="S292" s="2"/>
      <c r="T292" s="2">
        <f>--433233.37</f>
        <v>433233.37</v>
      </c>
      <c r="U292" s="2"/>
      <c r="V292" s="19">
        <f t="shared" si="166"/>
        <v>3.9012290438203416E-2</v>
      </c>
      <c r="W292" s="2"/>
      <c r="X292" s="2">
        <f t="shared" si="167"/>
        <v>-86193.37</v>
      </c>
      <c r="Y292" s="2"/>
      <c r="Z292" s="19">
        <f t="shared" si="168"/>
        <v>-0.19895367247449106</v>
      </c>
    </row>
    <row r="293" spans="1:26" s="23" customFormat="1" hidden="1" outlineLevel="1" x14ac:dyDescent="0.25">
      <c r="A293" s="44"/>
      <c r="B293" s="10" t="str">
        <f>CONCATENATE("          ", "9151", " - ", "MISC. INCOME")</f>
        <v xml:space="preserve">          9151 - MISC. INCOME</v>
      </c>
      <c r="C293" s="10"/>
      <c r="D293" s="2">
        <f>0</f>
        <v>0</v>
      </c>
      <c r="E293" s="2"/>
      <c r="F293" s="19">
        <f t="shared" si="161"/>
        <v>0</v>
      </c>
      <c r="G293" s="2"/>
      <c r="H293" s="2">
        <f>0</f>
        <v>0</v>
      </c>
      <c r="I293" s="2"/>
      <c r="J293" s="19">
        <f t="shared" si="162"/>
        <v>0</v>
      </c>
      <c r="K293" s="2"/>
      <c r="L293" s="2">
        <f t="shared" si="163"/>
        <v>0</v>
      </c>
      <c r="M293" s="2"/>
      <c r="N293" s="19">
        <f t="shared" si="164"/>
        <v>0</v>
      </c>
      <c r="O293" s="10"/>
      <c r="P293" s="2">
        <f>--295628.46</f>
        <v>295628.46000000002</v>
      </c>
      <c r="Q293" s="2"/>
      <c r="R293" s="19">
        <f t="shared" si="165"/>
        <v>4.1489248669649585E-2</v>
      </c>
      <c r="S293" s="2"/>
      <c r="T293" s="2">
        <f>--169392.7</f>
        <v>169392.7</v>
      </c>
      <c r="U293" s="2"/>
      <c r="V293" s="19">
        <f t="shared" si="166"/>
        <v>1.5253666194991997E-2</v>
      </c>
      <c r="W293" s="2"/>
      <c r="X293" s="2">
        <f t="shared" si="167"/>
        <v>126235.76000000001</v>
      </c>
      <c r="Y293" s="2"/>
      <c r="Z293" s="19">
        <f t="shared" si="168"/>
        <v>0.7452255026338207</v>
      </c>
    </row>
    <row r="294" spans="1:26" s="23" customFormat="1" hidden="1" outlineLevel="1" x14ac:dyDescent="0.25">
      <c r="A294" s="44"/>
      <c r="B294" s="10" t="str">
        <f>CONCATENATE("          ", "9152", " - ", "MISC. INCOME")</f>
        <v xml:space="preserve">          9152 - MISC. INCOME</v>
      </c>
      <c r="C294" s="10"/>
      <c r="D294" s="2">
        <f>--505.94</f>
        <v>505.94</v>
      </c>
      <c r="E294" s="2"/>
      <c r="F294" s="19">
        <f t="shared" si="161"/>
        <v>6.0109756085245506E-4</v>
      </c>
      <c r="G294" s="2"/>
      <c r="H294" s="2">
        <f>--82.19</f>
        <v>82.19</v>
      </c>
      <c r="I294" s="2"/>
      <c r="J294" s="19">
        <f t="shared" si="162"/>
        <v>1.7546000825787082E-4</v>
      </c>
      <c r="K294" s="2"/>
      <c r="L294" s="2">
        <f t="shared" si="163"/>
        <v>423.75</v>
      </c>
      <c r="M294" s="2"/>
      <c r="N294" s="19">
        <f t="shared" si="164"/>
        <v>5.1557367076286651</v>
      </c>
      <c r="O294" s="10"/>
      <c r="P294" s="2">
        <f>--4216.5</f>
        <v>4216.5</v>
      </c>
      <c r="Q294" s="2"/>
      <c r="R294" s="19">
        <f t="shared" si="165"/>
        <v>5.917543155878073E-4</v>
      </c>
      <c r="S294" s="2"/>
      <c r="T294" s="2">
        <f>--4782.05</f>
        <v>4782.05</v>
      </c>
      <c r="U294" s="2"/>
      <c r="V294" s="19">
        <f t="shared" si="166"/>
        <v>4.3061946841724274E-4</v>
      </c>
      <c r="W294" s="2"/>
      <c r="X294" s="2">
        <f t="shared" si="167"/>
        <v>-565.55000000000018</v>
      </c>
      <c r="Y294" s="2"/>
      <c r="Z294" s="19">
        <f t="shared" si="168"/>
        <v>-0.1182651791595655</v>
      </c>
    </row>
    <row r="295" spans="1:26" s="23" customFormat="1" hidden="1" outlineLevel="1" x14ac:dyDescent="0.25">
      <c r="A295" s="44"/>
      <c r="B295" s="10" t="str">
        <f>CONCATENATE("          ", "9153", " - ", "MISC. INCOME")</f>
        <v xml:space="preserve">          9153 - MISC. INCOME</v>
      </c>
      <c r="C295" s="10"/>
      <c r="D295" s="2">
        <f t="shared" ref="D295:D296" si="172">0</f>
        <v>0</v>
      </c>
      <c r="E295" s="2"/>
      <c r="F295" s="19">
        <f t="shared" si="161"/>
        <v>0</v>
      </c>
      <c r="G295" s="2"/>
      <c r="H295" s="2">
        <f t="shared" ref="H295:H296" si="173">0</f>
        <v>0</v>
      </c>
      <c r="I295" s="2"/>
      <c r="J295" s="19">
        <f t="shared" si="162"/>
        <v>0</v>
      </c>
      <c r="K295" s="2"/>
      <c r="L295" s="2">
        <f t="shared" si="163"/>
        <v>0</v>
      </c>
      <c r="M295" s="2"/>
      <c r="N295" s="19">
        <f t="shared" si="164"/>
        <v>0</v>
      </c>
      <c r="O295" s="10"/>
      <c r="P295" s="2">
        <f t="shared" ref="P295:P296" si="174">0</f>
        <v>0</v>
      </c>
      <c r="Q295" s="2"/>
      <c r="R295" s="19">
        <f t="shared" si="165"/>
        <v>0</v>
      </c>
      <c r="S295" s="2"/>
      <c r="T295" s="2">
        <f>--450</f>
        <v>450</v>
      </c>
      <c r="U295" s="2"/>
      <c r="V295" s="19">
        <f t="shared" si="166"/>
        <v>4.0522110974949915E-5</v>
      </c>
      <c r="W295" s="2"/>
      <c r="X295" s="2">
        <f t="shared" si="167"/>
        <v>-450</v>
      </c>
      <c r="Y295" s="2"/>
      <c r="Z295" s="19">
        <f t="shared" si="168"/>
        <v>-1</v>
      </c>
    </row>
    <row r="296" spans="1:26" s="23" customFormat="1" hidden="1" outlineLevel="1" x14ac:dyDescent="0.25">
      <c r="A296" s="44"/>
      <c r="B296" s="10" t="str">
        <f>CONCATENATE("          ", "9160", " - ", "MISC. INCOME")</f>
        <v xml:space="preserve">          9160 - MISC. INCOME</v>
      </c>
      <c r="C296" s="10"/>
      <c r="D296" s="2">
        <f t="shared" si="172"/>
        <v>0</v>
      </c>
      <c r="E296" s="2"/>
      <c r="F296" s="19">
        <f t="shared" si="161"/>
        <v>0</v>
      </c>
      <c r="G296" s="2"/>
      <c r="H296" s="2">
        <f t="shared" si="173"/>
        <v>0</v>
      </c>
      <c r="I296" s="2"/>
      <c r="J296" s="19">
        <f t="shared" si="162"/>
        <v>0</v>
      </c>
      <c r="K296" s="2"/>
      <c r="L296" s="2">
        <f t="shared" si="163"/>
        <v>0</v>
      </c>
      <c r="M296" s="2"/>
      <c r="N296" s="19">
        <f t="shared" si="164"/>
        <v>0</v>
      </c>
      <c r="O296" s="10"/>
      <c r="P296" s="2">
        <f t="shared" si="174"/>
        <v>0</v>
      </c>
      <c r="Q296" s="2"/>
      <c r="R296" s="19">
        <f t="shared" si="165"/>
        <v>0</v>
      </c>
      <c r="S296" s="2"/>
      <c r="T296" s="2">
        <f>--22475</f>
        <v>22475</v>
      </c>
      <c r="U296" s="2"/>
      <c r="V296" s="19">
        <f t="shared" si="166"/>
        <v>2.0238543203599984E-3</v>
      </c>
      <c r="W296" s="2"/>
      <c r="X296" s="2">
        <f t="shared" si="167"/>
        <v>-22475</v>
      </c>
      <c r="Y296" s="2"/>
      <c r="Z296" s="19">
        <f t="shared" si="168"/>
        <v>-1</v>
      </c>
    </row>
    <row r="297" spans="1:26" s="23" customFormat="1" hidden="1" outlineLevel="1" x14ac:dyDescent="0.25">
      <c r="A297" s="44"/>
      <c r="B297" s="10" t="str">
        <f>CONCATENATE("          ", "9163", " - ", "MISC. INCOME")</f>
        <v xml:space="preserve">          9163 - MISC. INCOME</v>
      </c>
      <c r="C297" s="10"/>
      <c r="D297" s="2">
        <f>--44.1</f>
        <v>44.1</v>
      </c>
      <c r="E297" s="2"/>
      <c r="F297" s="19">
        <f t="shared" si="161"/>
        <v>5.2394359871908267E-5</v>
      </c>
      <c r="G297" s="2"/>
      <c r="H297" s="2">
        <f>--345960.62</f>
        <v>345960.62</v>
      </c>
      <c r="I297" s="2"/>
      <c r="J297" s="19">
        <f t="shared" si="162"/>
        <v>0.73856008324733069</v>
      </c>
      <c r="K297" s="2"/>
      <c r="L297" s="2">
        <f t="shared" si="163"/>
        <v>-345916.52</v>
      </c>
      <c r="M297" s="2"/>
      <c r="N297" s="19">
        <f t="shared" si="164"/>
        <v>-0.99987252884446798</v>
      </c>
      <c r="O297" s="10"/>
      <c r="P297" s="2">
        <f>--346478.56</f>
        <v>346478.56</v>
      </c>
      <c r="Q297" s="2"/>
      <c r="R297" s="19">
        <f t="shared" si="165"/>
        <v>4.8625680810778851E-2</v>
      </c>
      <c r="S297" s="2"/>
      <c r="T297" s="2">
        <f>--430400.5</f>
        <v>430400.5</v>
      </c>
      <c r="U297" s="2"/>
      <c r="V297" s="19">
        <f t="shared" si="166"/>
        <v>3.8757192943719841E-2</v>
      </c>
      <c r="W297" s="2"/>
      <c r="X297" s="2">
        <f t="shared" si="167"/>
        <v>-83921.94</v>
      </c>
      <c r="Y297" s="2"/>
      <c r="Z297" s="19">
        <f t="shared" si="168"/>
        <v>-0.19498569355751214</v>
      </c>
    </row>
    <row r="298" spans="1:26" x14ac:dyDescent="0.25">
      <c r="A298" s="9"/>
      <c r="B298" s="11"/>
      <c r="C298" s="11"/>
      <c r="D298" s="3"/>
      <c r="E298" s="3"/>
      <c r="F298" s="8"/>
      <c r="G298" s="3"/>
      <c r="H298" s="3"/>
      <c r="I298" s="3"/>
      <c r="J298" s="8"/>
      <c r="K298" s="3"/>
      <c r="L298" s="3"/>
      <c r="M298" s="3"/>
      <c r="N298" s="8"/>
      <c r="O298" s="11"/>
      <c r="P298" s="3"/>
      <c r="Q298" s="3"/>
      <c r="R298" s="8"/>
      <c r="S298" s="3"/>
      <c r="T298" s="3"/>
      <c r="U298" s="3"/>
      <c r="V298" s="8"/>
      <c r="W298" s="3"/>
      <c r="X298" s="3"/>
      <c r="Y298" s="3"/>
      <c r="Z298" s="8"/>
    </row>
    <row r="299" spans="1:26" s="24" customFormat="1" x14ac:dyDescent="0.25">
      <c r="A299" s="11"/>
      <c r="B299" s="29" t="s">
        <v>276</v>
      </c>
      <c r="C299" s="29"/>
      <c r="D299" s="20">
        <f>+D190-D192+D285</f>
        <v>-12527.7599999999</v>
      </c>
      <c r="E299" s="14"/>
      <c r="F299" s="22">
        <f>IF(D$12=0,0,D299/D$12)</f>
        <v>-1.4883990154850164E-2</v>
      </c>
      <c r="G299" s="14"/>
      <c r="H299" s="20">
        <f>+H190-H192+H285</f>
        <v>247068.85000000015</v>
      </c>
      <c r="I299" s="14"/>
      <c r="J299" s="22">
        <f>IF(H$12=0,0,H299/H$12)</f>
        <v>0.52744497458647854</v>
      </c>
      <c r="K299" s="16"/>
      <c r="L299" s="20">
        <f>+D299-H299</f>
        <v>-259596.61000000004</v>
      </c>
      <c r="M299" s="16"/>
      <c r="N299" s="22">
        <f>IF(H299=0,0,L299/H299)</f>
        <v>-1.0507055422000786</v>
      </c>
      <c r="O299" s="28"/>
      <c r="P299" s="20">
        <f>+P190-P192+P285</f>
        <v>168032.72999999695</v>
      </c>
      <c r="Q299" s="14"/>
      <c r="R299" s="22">
        <f>IF(P$12=0,0,P299/P$12)</f>
        <v>2.3582139959089057E-2</v>
      </c>
      <c r="S299" s="14"/>
      <c r="T299" s="20">
        <f>+T190-T192+T285</f>
        <v>1208402.2100000004</v>
      </c>
      <c r="U299" s="14"/>
      <c r="V299" s="22">
        <f>IF(T$12=0,0,T299/T$12)</f>
        <v>0.10881557434665499</v>
      </c>
      <c r="W299" s="16"/>
      <c r="X299" s="20">
        <f>+P299-T299</f>
        <v>-1040369.4800000035</v>
      </c>
      <c r="Y299" s="16"/>
      <c r="Z299" s="22">
        <f>IF(T299=0,0,X299/T299)</f>
        <v>-0.86094635659430241</v>
      </c>
    </row>
    <row r="300" spans="1:26" x14ac:dyDescent="0.25">
      <c r="A300" s="9"/>
      <c r="B300" s="11"/>
      <c r="C300" s="9"/>
      <c r="D300" s="3"/>
      <c r="E300" s="3"/>
      <c r="F300" s="8"/>
      <c r="G300" s="3"/>
      <c r="H300" s="3"/>
      <c r="I300" s="3"/>
      <c r="J300" s="8"/>
      <c r="K300" s="3"/>
      <c r="L300" s="3"/>
      <c r="M300" s="3"/>
      <c r="N300" s="8"/>
      <c r="P300" s="3"/>
      <c r="Q300" s="3"/>
      <c r="R300" s="8"/>
      <c r="S300" s="3"/>
      <c r="T300" s="3"/>
      <c r="U300" s="3"/>
      <c r="V300" s="8"/>
      <c r="W300" s="3"/>
      <c r="X300" s="3"/>
      <c r="Y300" s="3"/>
      <c r="Z300" s="8"/>
    </row>
    <row r="301" spans="1:26" s="24" customFormat="1" x14ac:dyDescent="0.25">
      <c r="A301" s="51"/>
      <c r="B301" s="11" t="s">
        <v>127</v>
      </c>
      <c r="C301" s="11"/>
      <c r="D301" s="4">
        <v>195644.15</v>
      </c>
      <c r="E301" s="4"/>
      <c r="F301" s="13">
        <f>IF(D$12=0,0,D301/D$12)</f>
        <v>0.23244104312774605</v>
      </c>
      <c r="G301" s="4"/>
      <c r="H301" s="4">
        <v>121158.88</v>
      </c>
      <c r="I301" s="4"/>
      <c r="J301" s="13">
        <f>IF(H$12=0,0,H301/H$12)</f>
        <v>0.25865115081292595</v>
      </c>
      <c r="K301" s="4"/>
      <c r="L301" s="4">
        <f>+D301-H301</f>
        <v>74485.26999999999</v>
      </c>
      <c r="M301" s="4"/>
      <c r="N301" s="13">
        <f>IF(H301=0,0,L301/H301)</f>
        <v>0.61477351061680319</v>
      </c>
      <c r="O301" s="11"/>
      <c r="P301" s="4">
        <v>1490667.48</v>
      </c>
      <c r="Q301" s="4"/>
      <c r="R301" s="13">
        <f>IF(P$12=0,0,P301/P$12)</f>
        <v>0.20920405891056595</v>
      </c>
      <c r="S301" s="4"/>
      <c r="T301" s="4">
        <v>1260898.76</v>
      </c>
      <c r="U301" s="4"/>
      <c r="V301" s="13">
        <f>IF(T$12=0,0,T301/T$12)</f>
        <v>0.11354284329088164</v>
      </c>
      <c r="W301" s="4"/>
      <c r="X301" s="4">
        <f>+P301-T301</f>
        <v>229768.71999999997</v>
      </c>
      <c r="Y301" s="4"/>
      <c r="Z301" s="13">
        <f>IF(T301=0,0,X301/T301)</f>
        <v>0.1822261447858034</v>
      </c>
    </row>
    <row r="302" spans="1:26" x14ac:dyDescent="0.25">
      <c r="A302" s="9"/>
      <c r="B302" s="11"/>
      <c r="C302" s="11"/>
      <c r="D302" s="3"/>
      <c r="E302" s="3"/>
      <c r="F302" s="8"/>
      <c r="G302" s="3"/>
      <c r="H302" s="3"/>
      <c r="I302" s="3"/>
      <c r="J302" s="8"/>
      <c r="K302" s="3"/>
      <c r="L302" s="3"/>
      <c r="M302" s="3"/>
      <c r="N302" s="8"/>
      <c r="O302" s="11"/>
      <c r="P302" s="3"/>
      <c r="Q302" s="3"/>
      <c r="R302" s="8"/>
      <c r="S302" s="3"/>
      <c r="T302" s="3"/>
      <c r="U302" s="3"/>
      <c r="V302" s="8"/>
      <c r="W302" s="3"/>
      <c r="X302" s="3"/>
      <c r="Y302" s="3"/>
      <c r="Z302" s="8"/>
    </row>
    <row r="303" spans="1:26" s="24" customFormat="1" ht="15.75" thickBot="1" x14ac:dyDescent="0.3">
      <c r="A303" s="11"/>
      <c r="B303" s="29" t="s">
        <v>125</v>
      </c>
      <c r="C303" s="29"/>
      <c r="D303" s="30">
        <f>+D299-D301</f>
        <v>-208171.90999999989</v>
      </c>
      <c r="E303" s="14"/>
      <c r="F303" s="34">
        <f>IF(D$12=0,0,D303/D$12)</f>
        <v>-0.2473250332825962</v>
      </c>
      <c r="G303" s="14"/>
      <c r="H303" s="30">
        <f>+H299-H301</f>
        <v>125909.97000000015</v>
      </c>
      <c r="I303" s="14"/>
      <c r="J303" s="34">
        <f>IF(H$12=0,0,H303/H$12)</f>
        <v>0.26879382377355265</v>
      </c>
      <c r="K303" s="16"/>
      <c r="L303" s="30">
        <f>D303-H303</f>
        <v>-334081.88</v>
      </c>
      <c r="M303" s="16"/>
      <c r="N303" s="34">
        <f>IF(H303=0,0,L303/H303)</f>
        <v>-2.6533393662153966</v>
      </c>
      <c r="O303" s="28"/>
      <c r="P303" s="30">
        <f>+P299-P301</f>
        <v>-1322634.750000003</v>
      </c>
      <c r="Q303" s="14"/>
      <c r="R303" s="34">
        <f>IF(P$12=0,0,P303/P$12)</f>
        <v>-0.18562191895147689</v>
      </c>
      <c r="S303" s="14"/>
      <c r="T303" s="30">
        <f>+T299-T301</f>
        <v>-52496.549999999581</v>
      </c>
      <c r="U303" s="14"/>
      <c r="V303" s="34">
        <f>IF(T$12=0,0,T303/T$12)</f>
        <v>-4.7272689442266445E-3</v>
      </c>
      <c r="W303" s="16"/>
      <c r="X303" s="30">
        <f>P303-T303</f>
        <v>-1270138.2000000034</v>
      </c>
      <c r="Y303" s="16"/>
      <c r="Z303" s="34">
        <f>IF(T303=0,0,X303/T303)</f>
        <v>24.194698508759405</v>
      </c>
    </row>
    <row r="304" spans="1:26" ht="15.75" thickTop="1" x14ac:dyDescent="0.25">
      <c r="A304" s="9"/>
      <c r="B304" s="9"/>
      <c r="C304" s="9"/>
      <c r="D304" s="3"/>
      <c r="E304" s="3"/>
      <c r="F304" s="8"/>
      <c r="G304" s="3"/>
      <c r="H304" s="3"/>
      <c r="I304" s="3"/>
      <c r="J304" s="8"/>
      <c r="K304" s="3"/>
      <c r="L304" s="3"/>
      <c r="M304" s="3"/>
      <c r="N304" s="8"/>
      <c r="P304" s="3"/>
      <c r="Q304" s="3"/>
      <c r="R304" s="8"/>
      <c r="S304" s="3"/>
      <c r="T304" s="3"/>
      <c r="U304" s="3"/>
      <c r="V304" s="8"/>
      <c r="W304" s="3"/>
      <c r="X304" s="3"/>
      <c r="Y304" s="3"/>
      <c r="Z304" s="8"/>
    </row>
    <row r="305" spans="1:26" x14ac:dyDescent="0.25">
      <c r="A305" s="9"/>
      <c r="B305" s="9"/>
      <c r="C305" s="9"/>
      <c r="D305" s="3"/>
      <c r="E305" s="3"/>
      <c r="F305" s="8"/>
      <c r="G305" s="3"/>
      <c r="H305" s="3"/>
      <c r="I305" s="3"/>
      <c r="J305" s="8"/>
      <c r="K305" s="3"/>
      <c r="L305" s="3"/>
      <c r="M305" s="3"/>
      <c r="N305" s="8"/>
      <c r="P305" s="3"/>
      <c r="Q305" s="3"/>
      <c r="R305" s="8"/>
      <c r="S305" s="3"/>
      <c r="T305" s="3"/>
      <c r="U305" s="3"/>
      <c r="V305" s="8"/>
      <c r="W305" s="3"/>
      <c r="X305" s="3"/>
      <c r="Y305" s="3"/>
      <c r="Z305" s="8"/>
    </row>
    <row r="306" spans="1:26" s="24" customFormat="1" ht="15.75" thickBot="1" x14ac:dyDescent="0.3">
      <c r="A306" s="11"/>
      <c r="B306" s="29" t="s">
        <v>293</v>
      </c>
      <c r="C306" s="29"/>
      <c r="D306" s="32">
        <f>SUM(D303:D305)</f>
        <v>-208171.90999999989</v>
      </c>
      <c r="E306" s="14"/>
      <c r="F306" s="35">
        <f>IF(D$12=0,0,D306/D$12)</f>
        <v>-0.2473250332825962</v>
      </c>
      <c r="G306" s="14"/>
      <c r="H306" s="32">
        <f>SUM(H303:H305)</f>
        <v>125909.97000000015</v>
      </c>
      <c r="I306" s="14"/>
      <c r="J306" s="35">
        <f>IF(H$12=0,0,H306/H$12)</f>
        <v>0.26879382377355265</v>
      </c>
      <c r="K306" s="16"/>
      <c r="L306" s="32">
        <f>+D306-H306</f>
        <v>-334081.88</v>
      </c>
      <c r="M306" s="16"/>
      <c r="N306" s="35">
        <f>IF(H306=0,0,L306/H306)</f>
        <v>-2.6533393662153966</v>
      </c>
      <c r="O306" s="28"/>
      <c r="P306" s="32">
        <f>SUM(P303:P305)</f>
        <v>-1322634.750000003</v>
      </c>
      <c r="Q306" s="14"/>
      <c r="R306" s="35">
        <f>IF(P$12=0,0,P306/P$12)</f>
        <v>-0.18562191895147689</v>
      </c>
      <c r="S306" s="14"/>
      <c r="T306" s="32">
        <f>SUM(T303:T305)</f>
        <v>-52496.549999999581</v>
      </c>
      <c r="U306" s="14"/>
      <c r="V306" s="35">
        <f>IF(T$12=0,0,T306/T$12)</f>
        <v>-4.7272689442266445E-3</v>
      </c>
      <c r="W306" s="16"/>
      <c r="X306" s="32">
        <f>+P306-T306</f>
        <v>-1270138.2000000034</v>
      </c>
      <c r="Y306" s="16"/>
      <c r="Z306" s="35">
        <f>IF(T306=0,0,X306/T306)</f>
        <v>24.194698508759405</v>
      </c>
    </row>
    <row r="307" spans="1:26" ht="15.75" thickTop="1" x14ac:dyDescent="0.25">
      <c r="A307" s="9"/>
      <c r="C307" s="9"/>
      <c r="D307" s="17"/>
      <c r="E307" s="17"/>
      <c r="G307" s="17"/>
      <c r="H307" s="17"/>
      <c r="I307" s="17"/>
      <c r="J307" s="42"/>
      <c r="K307" s="17"/>
      <c r="L307" s="17"/>
      <c r="M307" s="17"/>
      <c r="P307" s="17"/>
      <c r="Q307" s="17"/>
      <c r="R307" s="42"/>
      <c r="S307" s="17"/>
      <c r="T307" s="17"/>
      <c r="U307" s="17"/>
      <c r="V307" s="42"/>
      <c r="W307" s="17"/>
      <c r="X307" s="17"/>
    </row>
    <row r="308" spans="1:26" x14ac:dyDescent="0.25">
      <c r="A308" s="9"/>
      <c r="B308" s="59">
        <v>44330.008846759258</v>
      </c>
      <c r="D308" s="17"/>
      <c r="E308" s="17"/>
      <c r="G308" s="17"/>
      <c r="H308" s="17"/>
      <c r="I308" s="17"/>
      <c r="J308" s="42"/>
      <c r="K308" s="17"/>
      <c r="L308" s="17"/>
      <c r="M308" s="17"/>
      <c r="P308" s="17"/>
      <c r="Q308" s="17"/>
      <c r="R308" s="42"/>
      <c r="S308" s="17"/>
      <c r="T308" s="17"/>
      <c r="U308" s="17"/>
      <c r="V308" s="42"/>
      <c r="W308" s="17"/>
      <c r="X308" s="17"/>
    </row>
    <row r="309" spans="1:26" x14ac:dyDescent="0.25">
      <c r="A309" s="9"/>
      <c r="B309" s="52" t="s">
        <v>56</v>
      </c>
      <c r="D309" s="17"/>
      <c r="E309" s="17"/>
      <c r="G309" s="17"/>
      <c r="H309" s="17"/>
      <c r="I309" s="17"/>
      <c r="J309" s="42"/>
      <c r="K309" s="17"/>
      <c r="L309" s="17"/>
      <c r="M309" s="17"/>
      <c r="P309" s="17"/>
      <c r="Q309" s="17"/>
      <c r="R309" s="42"/>
      <c r="S309" s="17"/>
      <c r="T309" s="17"/>
      <c r="U309" s="17"/>
      <c r="V309" s="42"/>
      <c r="W309" s="17"/>
      <c r="X309" s="17"/>
    </row>
    <row r="310" spans="1:26" x14ac:dyDescent="0.25">
      <c r="A310" s="9"/>
      <c r="B310" s="55"/>
      <c r="D310" s="17"/>
      <c r="E310" s="17"/>
      <c r="G310" s="17"/>
      <c r="H310" s="17"/>
      <c r="I310" s="17"/>
      <c r="J310" s="42"/>
      <c r="K310" s="17"/>
      <c r="L310" s="17"/>
      <c r="M310" s="17"/>
      <c r="P310" s="17"/>
      <c r="Q310" s="17"/>
      <c r="R310" s="42"/>
      <c r="S310" s="17"/>
      <c r="T310" s="17"/>
      <c r="U310" s="17"/>
      <c r="V310" s="42"/>
      <c r="W310" s="17"/>
      <c r="X310" s="17"/>
    </row>
    <row r="311" spans="1:26" x14ac:dyDescent="0.25">
      <c r="D311" s="17"/>
      <c r="E311" s="17"/>
      <c r="G311" s="17"/>
      <c r="H311" s="17"/>
      <c r="I311" s="17"/>
      <c r="J311" s="42"/>
      <c r="K311" s="17"/>
      <c r="L311" s="17"/>
      <c r="M311" s="17"/>
      <c r="P311" s="17"/>
      <c r="Q311" s="17"/>
      <c r="R311" s="42"/>
      <c r="S311" s="17"/>
      <c r="T311" s="17"/>
      <c r="U311" s="17"/>
      <c r="V311" s="42"/>
      <c r="W311" s="17"/>
      <c r="X311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1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","301", " - ", "Bookstore Operations")</f>
        <v>Department 301 - Bookstore Operations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collapsed="1" x14ac:dyDescent="0.25">
      <c r="A14" s="11"/>
      <c r="B14" s="28" t="s">
        <v>256</v>
      </c>
      <c r="C14" s="11"/>
      <c r="D14" s="4">
        <f>SUM(OSRRefD16x_0)</f>
        <v>0</v>
      </c>
      <c r="E14" s="4"/>
      <c r="F14" s="13">
        <f t="shared" ref="F14:F15" si="0">IF(D$12=0,0,D14/D$12)</f>
        <v>0</v>
      </c>
      <c r="G14" s="4"/>
      <c r="H14" s="4">
        <f>SUM(OSRRefH16x_0)</f>
        <v>0</v>
      </c>
      <c r="I14" s="4"/>
      <c r="J14" s="13">
        <f t="shared" ref="J14:J15" si="1">IF(H$12=0,0,H14/H$12)</f>
        <v>0</v>
      </c>
      <c r="K14" s="4"/>
      <c r="L14" s="4">
        <f t="shared" ref="L14:L15" si="2">+D14-H14</f>
        <v>0</v>
      </c>
      <c r="M14" s="4"/>
      <c r="N14" s="13">
        <f t="shared" ref="N14:N15" si="3">IF(H14=0,0,L14/H14)</f>
        <v>0</v>
      </c>
      <c r="O14" s="11"/>
      <c r="P14" s="4">
        <f>SUM(OSRRefP16x_0)</f>
        <v>0</v>
      </c>
      <c r="Q14" s="4"/>
      <c r="R14" s="13">
        <f t="shared" ref="R14:R15" si="4">IF(P$12=0,0,P14/P$12)</f>
        <v>0</v>
      </c>
      <c r="S14" s="4"/>
      <c r="T14" s="4">
        <f>SUM(OSRRefT16x_0)</f>
        <v>0</v>
      </c>
      <c r="U14" s="4"/>
      <c r="V14" s="13">
        <f t="shared" ref="V14:V15" si="5">IF(T$12=0,0,T14/T$12)</f>
        <v>0</v>
      </c>
      <c r="W14" s="4"/>
      <c r="X14" s="4">
        <f t="shared" ref="X14:X15" si="6">+P14-T14</f>
        <v>0</v>
      </c>
      <c r="Y14" s="4"/>
      <c r="Z14" s="13">
        <f t="shared" ref="Z14:Z15" si="7">IF(T14=0,0,X14/T14)</f>
        <v>0</v>
      </c>
    </row>
    <row r="15" spans="1:26" s="23" customFormat="1" hidden="1" outlineLevel="1" x14ac:dyDescent="0.25">
      <c r="A15" s="44"/>
      <c r="B15" s="10" t="str">
        <f>CONCATENATE("          ", "5501", " - ", "FREIGHT-IN-NEW TEXT")</f>
        <v xml:space="preserve">          5501 - FREIGHT-IN-NEW TEXT</v>
      </c>
      <c r="C15" s="10"/>
      <c r="D15" s="2">
        <v>0</v>
      </c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0"/>
      <c r="P15" s="2">
        <v>0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0</v>
      </c>
      <c r="Y15" s="2"/>
      <c r="Z15" s="19">
        <f t="shared" si="7"/>
        <v>0</v>
      </c>
    </row>
    <row r="16" spans="1:26" x14ac:dyDescent="0.25">
      <c r="A16" s="9"/>
      <c r="B16" s="11"/>
      <c r="C16" s="11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1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x14ac:dyDescent="0.25">
      <c r="A17" s="11"/>
      <c r="B17" s="29" t="s">
        <v>107</v>
      </c>
      <c r="C17" s="29"/>
      <c r="D17" s="20">
        <f>D12-D14</f>
        <v>0</v>
      </c>
      <c r="E17" s="14"/>
      <c r="F17" s="22">
        <f>IF(D$12=0,0,D17/D$12)</f>
        <v>0</v>
      </c>
      <c r="G17" s="14"/>
      <c r="H17" s="20">
        <f>H12-H14</f>
        <v>0</v>
      </c>
      <c r="I17" s="14"/>
      <c r="J17" s="22">
        <f>IF(H$12=0,0,H17/H$12)</f>
        <v>0</v>
      </c>
      <c r="K17" s="16"/>
      <c r="L17" s="20">
        <f>+D17-H17</f>
        <v>0</v>
      </c>
      <c r="M17" s="16"/>
      <c r="N17" s="22">
        <f>IF(H17=0,0,L17/H17)</f>
        <v>0</v>
      </c>
      <c r="O17" s="28"/>
      <c r="P17" s="20">
        <f>P12-P14</f>
        <v>0</v>
      </c>
      <c r="Q17" s="14"/>
      <c r="R17" s="22">
        <f>IF(P$12=0,0,P17/P$12)</f>
        <v>0</v>
      </c>
      <c r="S17" s="14"/>
      <c r="T17" s="20">
        <f>T12-T14</f>
        <v>0</v>
      </c>
      <c r="U17" s="14"/>
      <c r="V17" s="22">
        <f>IF(T$12=0,0,T17/T$12)</f>
        <v>0</v>
      </c>
      <c r="W17" s="16"/>
      <c r="X17" s="20">
        <f>+P17-T17</f>
        <v>0</v>
      </c>
      <c r="Y17" s="16"/>
      <c r="Z17" s="22">
        <f>IF(T17=0,0,X17/T17)</f>
        <v>0</v>
      </c>
    </row>
    <row r="18" spans="1:26" x14ac:dyDescent="0.25">
      <c r="A18" s="9"/>
      <c r="B18" s="11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4" customFormat="1" x14ac:dyDescent="0.25">
      <c r="A19" s="11"/>
      <c r="B19" s="28" t="s">
        <v>294</v>
      </c>
      <c r="C19" s="11"/>
      <c r="D19" s="21">
        <f>SUM(OSRRefD22x_0)</f>
        <v>106222.93</v>
      </c>
      <c r="E19" s="21"/>
      <c r="F19" s="31">
        <f t="shared" ref="F19:F30" si="8">IF(D$12=0,0,D19/D$12)</f>
        <v>0</v>
      </c>
      <c r="G19" s="21"/>
      <c r="H19" s="21">
        <f>SUM(OSRRefH22x_0)</f>
        <v>57532.04</v>
      </c>
      <c r="I19" s="21"/>
      <c r="J19" s="31">
        <f t="shared" ref="J19:J30" si="9">IF(H$12=0,0,H19/H$12)</f>
        <v>0</v>
      </c>
      <c r="K19" s="4"/>
      <c r="L19" s="21">
        <f t="shared" ref="L19:L30" si="10">+D19-H19</f>
        <v>48690.889999999992</v>
      </c>
      <c r="M19" s="4"/>
      <c r="N19" s="31">
        <f t="shared" ref="N19:N30" si="11">IF(H19=0,0,L19/H19)</f>
        <v>0.84632649911249436</v>
      </c>
      <c r="O19" s="11"/>
      <c r="P19" s="21">
        <f>SUM(OSRRefP22x_0)</f>
        <v>1201638.8499999999</v>
      </c>
      <c r="Q19" s="21"/>
      <c r="R19" s="31">
        <f t="shared" ref="R19:R30" si="12">IF(P$12=0,0,P19/P$12)</f>
        <v>0</v>
      </c>
      <c r="S19" s="21"/>
      <c r="T19" s="21">
        <f>SUM(OSRRefT22x_0)</f>
        <v>1154168.8599999999</v>
      </c>
      <c r="U19" s="21"/>
      <c r="V19" s="31">
        <f t="shared" ref="V19:V30" si="13">IF(T$12=0,0,T19/T$12)</f>
        <v>0</v>
      </c>
      <c r="W19" s="4"/>
      <c r="X19" s="21">
        <f t="shared" ref="X19:X30" si="14">+P19-T19</f>
        <v>47469.989999999991</v>
      </c>
      <c r="Y19" s="4"/>
      <c r="Z19" s="31">
        <f t="shared" ref="Z19:Z30" si="15">IF(T19=0,0,X19/T19)</f>
        <v>4.1129155052753719E-2</v>
      </c>
    </row>
    <row r="20" spans="1:26" s="26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13022.909999999998</v>
      </c>
      <c r="E20" s="1"/>
      <c r="F20" s="5">
        <f t="shared" si="8"/>
        <v>0</v>
      </c>
      <c r="G20" s="1"/>
      <c r="H20" s="1">
        <f>SUM(OSRRefH22_0x_0)</f>
        <v>2543.85</v>
      </c>
      <c r="I20" s="1"/>
      <c r="J20" s="5">
        <f t="shared" si="9"/>
        <v>0</v>
      </c>
      <c r="K20" s="1"/>
      <c r="L20" s="1">
        <f t="shared" si="10"/>
        <v>10479.059999999998</v>
      </c>
      <c r="M20" s="1"/>
      <c r="N20" s="5">
        <f t="shared" si="11"/>
        <v>4.1193702458871391</v>
      </c>
      <c r="O20" s="12"/>
      <c r="P20" s="1">
        <f>SUM(OSRRefP22_0x_0)</f>
        <v>98326.489999999976</v>
      </c>
      <c r="Q20" s="1"/>
      <c r="R20" s="5">
        <f t="shared" si="12"/>
        <v>0</v>
      </c>
      <c r="S20" s="1"/>
      <c r="T20" s="1">
        <f>SUM(OSRRefT22_0x_0)</f>
        <v>93917.180000000008</v>
      </c>
      <c r="U20" s="1"/>
      <c r="V20" s="5">
        <f t="shared" si="13"/>
        <v>0</v>
      </c>
      <c r="W20" s="1"/>
      <c r="X20" s="1">
        <f t="shared" si="14"/>
        <v>4409.3099999999686</v>
      </c>
      <c r="Y20" s="1"/>
      <c r="Z20" s="5">
        <f t="shared" si="15"/>
        <v>4.6948918185149596E-2</v>
      </c>
    </row>
    <row r="21" spans="1:26" s="23" customFormat="1" hidden="1" outlineLevel="2" x14ac:dyDescent="0.25">
      <c r="A21" s="27"/>
      <c r="B21" s="10" t="str">
        <f>CONCATENATE("          ", "6111", " - ", "F.I.C.A.")</f>
        <v xml:space="preserve">          6111 - F.I.C.A.</v>
      </c>
      <c r="C21" s="10"/>
      <c r="D21" s="6">
        <v>2383.34</v>
      </c>
      <c r="E21" s="2"/>
      <c r="F21" s="7">
        <f t="shared" si="8"/>
        <v>0</v>
      </c>
      <c r="G21" s="2"/>
      <c r="H21" s="6">
        <v>431.01</v>
      </c>
      <c r="I21" s="2"/>
      <c r="J21" s="7">
        <f t="shared" si="9"/>
        <v>0</v>
      </c>
      <c r="K21" s="2"/>
      <c r="L21" s="6">
        <f t="shared" si="10"/>
        <v>1952.3300000000002</v>
      </c>
      <c r="M21" s="2"/>
      <c r="N21" s="7">
        <f t="shared" si="11"/>
        <v>4.5296628848518603</v>
      </c>
      <c r="O21" s="10"/>
      <c r="P21" s="6">
        <v>23262.799999999999</v>
      </c>
      <c r="Q21" s="2"/>
      <c r="R21" s="7">
        <f t="shared" si="12"/>
        <v>0</v>
      </c>
      <c r="S21" s="2"/>
      <c r="T21" s="6">
        <v>24353.69</v>
      </c>
      <c r="U21" s="2"/>
      <c r="V21" s="7">
        <f t="shared" si="13"/>
        <v>0</v>
      </c>
      <c r="W21" s="2"/>
      <c r="X21" s="6">
        <f t="shared" si="14"/>
        <v>-1090.8899999999994</v>
      </c>
      <c r="Y21" s="2"/>
      <c r="Z21" s="7">
        <f t="shared" si="15"/>
        <v>-4.4793622650202064E-2</v>
      </c>
    </row>
    <row r="22" spans="1:26" s="23" customFormat="1" hidden="1" outlineLevel="2" x14ac:dyDescent="0.25">
      <c r="A22" s="27"/>
      <c r="B22" s="10" t="str">
        <f>CONCATENATE("          ", "6112", " - ", "COMPENSATION INSURANCE")</f>
        <v xml:space="preserve">          6112 - COMPENSATION INSURANCE</v>
      </c>
      <c r="C22" s="10"/>
      <c r="D22" s="6">
        <v>459.67</v>
      </c>
      <c r="E22" s="2"/>
      <c r="F22" s="7">
        <f t="shared" si="8"/>
        <v>0</v>
      </c>
      <c r="G22" s="2"/>
      <c r="H22" s="6">
        <v>12.77</v>
      </c>
      <c r="I22" s="2"/>
      <c r="J22" s="7">
        <f t="shared" si="9"/>
        <v>0</v>
      </c>
      <c r="K22" s="2"/>
      <c r="L22" s="6">
        <f t="shared" si="10"/>
        <v>446.90000000000003</v>
      </c>
      <c r="M22" s="2"/>
      <c r="N22" s="7">
        <f t="shared" si="11"/>
        <v>34.996084573218482</v>
      </c>
      <c r="O22" s="10"/>
      <c r="P22" s="6">
        <v>6874.05</v>
      </c>
      <c r="Q22" s="2"/>
      <c r="R22" s="7">
        <f t="shared" si="12"/>
        <v>0</v>
      </c>
      <c r="S22" s="2"/>
      <c r="T22" s="6">
        <v>6233.03</v>
      </c>
      <c r="U22" s="2"/>
      <c r="V22" s="7">
        <f t="shared" si="13"/>
        <v>0</v>
      </c>
      <c r="W22" s="2"/>
      <c r="X22" s="6">
        <f t="shared" si="14"/>
        <v>641.02000000000044</v>
      </c>
      <c r="Y22" s="2"/>
      <c r="Z22" s="7">
        <f t="shared" si="15"/>
        <v>0.10284243778707955</v>
      </c>
    </row>
    <row r="23" spans="1:26" s="23" customFormat="1" hidden="1" outlineLevel="2" x14ac:dyDescent="0.25">
      <c r="A23" s="27"/>
      <c r="B23" s="10" t="str">
        <f>CONCATENATE("          ", "6113", " - ", "GROUP INSURANCE")</f>
        <v xml:space="preserve">          6113 - GROUP INSURANCE</v>
      </c>
      <c r="C23" s="10"/>
      <c r="D23" s="6">
        <v>5096.28</v>
      </c>
      <c r="E23" s="2"/>
      <c r="F23" s="7">
        <f t="shared" si="8"/>
        <v>0</v>
      </c>
      <c r="G23" s="2"/>
      <c r="H23" s="6">
        <v>905.2</v>
      </c>
      <c r="I23" s="2"/>
      <c r="J23" s="7">
        <f t="shared" si="9"/>
        <v>0</v>
      </c>
      <c r="K23" s="2"/>
      <c r="L23" s="6">
        <f t="shared" si="10"/>
        <v>4191.08</v>
      </c>
      <c r="M23" s="2"/>
      <c r="N23" s="7">
        <f t="shared" si="11"/>
        <v>4.6300044189129475</v>
      </c>
      <c r="O23" s="10"/>
      <c r="P23" s="6">
        <v>30236.85</v>
      </c>
      <c r="Q23" s="2"/>
      <c r="R23" s="7">
        <f t="shared" si="12"/>
        <v>0</v>
      </c>
      <c r="S23" s="2"/>
      <c r="T23" s="6">
        <v>37884.300000000003</v>
      </c>
      <c r="U23" s="2"/>
      <c r="V23" s="7">
        <f t="shared" si="13"/>
        <v>0</v>
      </c>
      <c r="W23" s="2"/>
      <c r="X23" s="6">
        <f t="shared" si="14"/>
        <v>-7647.4500000000044</v>
      </c>
      <c r="Y23" s="2"/>
      <c r="Z23" s="7">
        <f t="shared" si="15"/>
        <v>-0.20186330485187806</v>
      </c>
    </row>
    <row r="24" spans="1:26" s="23" customFormat="1" hidden="1" outlineLevel="2" x14ac:dyDescent="0.25">
      <c r="A24" s="27"/>
      <c r="B24" s="10" t="str">
        <f>CONCATENATE("          ", "6114", " - ", "STATE UNEMPLOYMENT INSURANCE")</f>
        <v xml:space="preserve">          6114 - STATE UNEMPLOYMENT INSURANCE</v>
      </c>
      <c r="C24" s="10"/>
      <c r="D24" s="6">
        <v>64.599999999999994</v>
      </c>
      <c r="E24" s="2"/>
      <c r="F24" s="7">
        <f t="shared" si="8"/>
        <v>0</v>
      </c>
      <c r="G24" s="2"/>
      <c r="H24" s="6">
        <v>9.77</v>
      </c>
      <c r="I24" s="2"/>
      <c r="J24" s="7">
        <f t="shared" si="9"/>
        <v>0</v>
      </c>
      <c r="K24" s="2"/>
      <c r="L24" s="6">
        <f t="shared" si="10"/>
        <v>54.83</v>
      </c>
      <c r="M24" s="2"/>
      <c r="N24" s="7">
        <f t="shared" si="11"/>
        <v>5.6120777891504607</v>
      </c>
      <c r="O24" s="10"/>
      <c r="P24" s="6">
        <v>1069</v>
      </c>
      <c r="Q24" s="2"/>
      <c r="R24" s="7">
        <f t="shared" si="12"/>
        <v>0</v>
      </c>
      <c r="S24" s="2"/>
      <c r="T24" s="6">
        <v>1302.07</v>
      </c>
      <c r="U24" s="2"/>
      <c r="V24" s="7">
        <f t="shared" si="13"/>
        <v>0</v>
      </c>
      <c r="W24" s="2"/>
      <c r="X24" s="6">
        <f t="shared" si="14"/>
        <v>-233.06999999999994</v>
      </c>
      <c r="Y24" s="2"/>
      <c r="Z24" s="7">
        <f t="shared" si="15"/>
        <v>-0.17899959295583182</v>
      </c>
    </row>
    <row r="25" spans="1:26" s="23" customFormat="1" hidden="1" outlineLevel="2" x14ac:dyDescent="0.25">
      <c r="A25" s="27"/>
      <c r="B25" s="10" t="str">
        <f>CONCATENATE("          ", "6115", " - ", "P.E.R.S.")</f>
        <v xml:space="preserve">          6115 - P.E.R.S.</v>
      </c>
      <c r="C25" s="10"/>
      <c r="D25" s="6">
        <v>1012.09</v>
      </c>
      <c r="E25" s="2"/>
      <c r="F25" s="7">
        <f t="shared" si="8"/>
        <v>0</v>
      </c>
      <c r="G25" s="2"/>
      <c r="H25" s="6">
        <v>390.79</v>
      </c>
      <c r="I25" s="2"/>
      <c r="J25" s="7">
        <f t="shared" si="9"/>
        <v>0</v>
      </c>
      <c r="K25" s="2"/>
      <c r="L25" s="6">
        <f t="shared" si="10"/>
        <v>621.29999999999995</v>
      </c>
      <c r="M25" s="2"/>
      <c r="N25" s="7">
        <f t="shared" si="11"/>
        <v>1.5898564446377847</v>
      </c>
      <c r="O25" s="10"/>
      <c r="P25" s="6">
        <v>12562.86</v>
      </c>
      <c r="Q25" s="2"/>
      <c r="R25" s="7">
        <f t="shared" si="12"/>
        <v>0</v>
      </c>
      <c r="S25" s="2"/>
      <c r="T25" s="6">
        <v>20460.419999999998</v>
      </c>
      <c r="U25" s="2"/>
      <c r="V25" s="7">
        <f t="shared" si="13"/>
        <v>0</v>
      </c>
      <c r="W25" s="2"/>
      <c r="X25" s="6">
        <f t="shared" si="14"/>
        <v>-7897.5599999999977</v>
      </c>
      <c r="Y25" s="2"/>
      <c r="Z25" s="7">
        <f t="shared" si="15"/>
        <v>-0.38599207640898858</v>
      </c>
    </row>
    <row r="26" spans="1:26" s="23" customFormat="1" hidden="1" outlineLevel="2" x14ac:dyDescent="0.25">
      <c r="A26" s="27"/>
      <c r="B26" s="10" t="str">
        <f>CONCATENATE("          ", "6116", " - ", "EDUCATIONAL BENEFITS")</f>
        <v xml:space="preserve">          6116 - EDUCATIONAL BENEFITS</v>
      </c>
      <c r="C26" s="10"/>
      <c r="D26" s="6"/>
      <c r="E26" s="2"/>
      <c r="F26" s="7">
        <f t="shared" si="8"/>
        <v>0</v>
      </c>
      <c r="G26" s="2"/>
      <c r="H26" s="6"/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0"/>
      <c r="P26" s="6">
        <v>401.9</v>
      </c>
      <c r="Q26" s="2"/>
      <c r="R26" s="7">
        <f t="shared" si="12"/>
        <v>0</v>
      </c>
      <c r="S26" s="2"/>
      <c r="T26" s="6"/>
      <c r="U26" s="2"/>
      <c r="V26" s="7">
        <f t="shared" si="13"/>
        <v>0</v>
      </c>
      <c r="W26" s="2"/>
      <c r="X26" s="6">
        <f t="shared" si="14"/>
        <v>401.9</v>
      </c>
      <c r="Y26" s="2"/>
      <c r="Z26" s="7">
        <f t="shared" si="15"/>
        <v>0</v>
      </c>
    </row>
    <row r="27" spans="1:26" s="23" customFormat="1" hidden="1" outlineLevel="2" x14ac:dyDescent="0.25">
      <c r="A27" s="27"/>
      <c r="B27" s="10" t="str">
        <f>CONCATENATE("          ", "6117", " - ", "RETIREMENT STAFF HOURLY")</f>
        <v xml:space="preserve">          6117 - RETIREMENT STAFF HOURLY</v>
      </c>
      <c r="C27" s="10"/>
      <c r="D27" s="6">
        <v>113.47</v>
      </c>
      <c r="E27" s="2"/>
      <c r="F27" s="7">
        <f t="shared" si="8"/>
        <v>0</v>
      </c>
      <c r="G27" s="2"/>
      <c r="H27" s="6"/>
      <c r="I27" s="2"/>
      <c r="J27" s="7">
        <f t="shared" si="9"/>
        <v>0</v>
      </c>
      <c r="K27" s="2"/>
      <c r="L27" s="6">
        <f t="shared" si="10"/>
        <v>113.47</v>
      </c>
      <c r="M27" s="2"/>
      <c r="N27" s="7">
        <f t="shared" si="11"/>
        <v>0</v>
      </c>
      <c r="O27" s="10"/>
      <c r="P27" s="6">
        <v>1005.15</v>
      </c>
      <c r="Q27" s="2"/>
      <c r="R27" s="7">
        <f t="shared" si="12"/>
        <v>0</v>
      </c>
      <c r="S27" s="2"/>
      <c r="T27" s="6"/>
      <c r="U27" s="2"/>
      <c r="V27" s="7">
        <f t="shared" si="13"/>
        <v>0</v>
      </c>
      <c r="W27" s="2"/>
      <c r="X27" s="6">
        <f t="shared" si="14"/>
        <v>1005.15</v>
      </c>
      <c r="Y27" s="2"/>
      <c r="Z27" s="7">
        <f t="shared" si="15"/>
        <v>0</v>
      </c>
    </row>
    <row r="28" spans="1:26" s="23" customFormat="1" hidden="1" outlineLevel="2" x14ac:dyDescent="0.25">
      <c r="A28" s="27"/>
      <c r="B28" s="10" t="str">
        <f>CONCATENATE("          ", "6118", " - ", "VACATION")</f>
        <v xml:space="preserve">          6118 - VACATION</v>
      </c>
      <c r="C28" s="10"/>
      <c r="D28" s="6">
        <v>1868.38</v>
      </c>
      <c r="E28" s="2"/>
      <c r="F28" s="7">
        <f t="shared" si="8"/>
        <v>0</v>
      </c>
      <c r="G28" s="2"/>
      <c r="H28" s="6">
        <v>529.79</v>
      </c>
      <c r="I28" s="2"/>
      <c r="J28" s="7">
        <f t="shared" si="9"/>
        <v>0</v>
      </c>
      <c r="K28" s="2"/>
      <c r="L28" s="6">
        <f t="shared" si="10"/>
        <v>1338.5900000000001</v>
      </c>
      <c r="M28" s="2"/>
      <c r="N28" s="7">
        <f t="shared" si="11"/>
        <v>2.5266426319862592</v>
      </c>
      <c r="O28" s="10"/>
      <c r="P28" s="6">
        <v>12201.42</v>
      </c>
      <c r="Q28" s="2"/>
      <c r="R28" s="7">
        <f t="shared" si="12"/>
        <v>0</v>
      </c>
      <c r="S28" s="2"/>
      <c r="T28" s="6">
        <v>15416.52</v>
      </c>
      <c r="U28" s="2"/>
      <c r="V28" s="7">
        <f t="shared" si="13"/>
        <v>0</v>
      </c>
      <c r="W28" s="2"/>
      <c r="X28" s="6">
        <f t="shared" si="14"/>
        <v>-3215.1000000000004</v>
      </c>
      <c r="Y28" s="2"/>
      <c r="Z28" s="7">
        <f t="shared" si="15"/>
        <v>-0.20854901106086199</v>
      </c>
    </row>
    <row r="29" spans="1:26" s="23" customFormat="1" hidden="1" outlineLevel="2" x14ac:dyDescent="0.25">
      <c r="A29" s="27"/>
      <c r="B29" s="10" t="str">
        <f>CONCATENATE("          ", "6119", " - ", "SICK LEAVE")</f>
        <v xml:space="preserve">          6119 - SICK LEAVE</v>
      </c>
      <c r="C29" s="10"/>
      <c r="D29" s="6">
        <v>1679.98</v>
      </c>
      <c r="E29" s="2"/>
      <c r="F29" s="7">
        <f t="shared" si="8"/>
        <v>0</v>
      </c>
      <c r="G29" s="2"/>
      <c r="H29" s="6">
        <v>264.52</v>
      </c>
      <c r="I29" s="2"/>
      <c r="J29" s="7">
        <f t="shared" si="9"/>
        <v>0</v>
      </c>
      <c r="K29" s="2"/>
      <c r="L29" s="6">
        <f t="shared" si="10"/>
        <v>1415.46</v>
      </c>
      <c r="M29" s="2"/>
      <c r="N29" s="7">
        <f t="shared" si="11"/>
        <v>5.3510509602298511</v>
      </c>
      <c r="O29" s="10"/>
      <c r="P29" s="6">
        <v>8615.06</v>
      </c>
      <c r="Q29" s="2"/>
      <c r="R29" s="7">
        <f t="shared" si="12"/>
        <v>0</v>
      </c>
      <c r="S29" s="2"/>
      <c r="T29" s="6">
        <v>-14725.46</v>
      </c>
      <c r="U29" s="2"/>
      <c r="V29" s="7">
        <f t="shared" si="13"/>
        <v>0</v>
      </c>
      <c r="W29" s="2"/>
      <c r="X29" s="6">
        <f t="shared" si="14"/>
        <v>23340.519999999997</v>
      </c>
      <c r="Y29" s="2"/>
      <c r="Z29" s="7">
        <f t="shared" si="15"/>
        <v>-1.5850452209981893</v>
      </c>
    </row>
    <row r="30" spans="1:26" s="23" customFormat="1" hidden="1" outlineLevel="2" x14ac:dyDescent="0.25">
      <c r="A30" s="27"/>
      <c r="B30" s="10" t="str">
        <f>CONCATENATE("          ", "6156", " - ", "EMPLOYEE MEALS")</f>
        <v xml:space="preserve">          6156 - EMPLOYEE MEALS</v>
      </c>
      <c r="C30" s="10"/>
      <c r="D30" s="6">
        <v>345.1</v>
      </c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345.1</v>
      </c>
      <c r="M30" s="2"/>
      <c r="N30" s="7">
        <f t="shared" si="11"/>
        <v>0</v>
      </c>
      <c r="O30" s="10"/>
      <c r="P30" s="6">
        <v>2097.4</v>
      </c>
      <c r="Q30" s="2"/>
      <c r="R30" s="7">
        <f t="shared" si="12"/>
        <v>0</v>
      </c>
      <c r="S30" s="2"/>
      <c r="T30" s="6">
        <v>2992.61</v>
      </c>
      <c r="U30" s="2"/>
      <c r="V30" s="7">
        <f t="shared" si="13"/>
        <v>0</v>
      </c>
      <c r="W30" s="2"/>
      <c r="X30" s="6">
        <f t="shared" si="14"/>
        <v>-895.21</v>
      </c>
      <c r="Y30" s="2"/>
      <c r="Z30" s="7">
        <f t="shared" si="15"/>
        <v>-0.29914021539726193</v>
      </c>
    </row>
    <row r="31" spans="1:26" s="26" customFormat="1" outlineLevel="1" collapsed="1" x14ac:dyDescent="0.25">
      <c r="A31" s="25"/>
      <c r="B31" s="12" t="str">
        <f>CONCATENATE("     ","*Payroll                                          ")</f>
        <v xml:space="preserve">     *Payroll                                          </v>
      </c>
      <c r="C31" s="12"/>
      <c r="D31" s="1">
        <f>SUM(OSRRefD22_1x_0)</f>
        <v>36731.760000000002</v>
      </c>
      <c r="E31" s="1"/>
      <c r="F31" s="5">
        <f t="shared" ref="F31:F38" si="16">IF(D$12=0,0,D31/D$12)</f>
        <v>0</v>
      </c>
      <c r="G31" s="1"/>
      <c r="H31" s="1">
        <f>SUM(OSRRefH22_1x_0)</f>
        <v>3823.25</v>
      </c>
      <c r="I31" s="1"/>
      <c r="J31" s="5">
        <f t="shared" ref="J31:J38" si="17">IF(H$12=0,0,H31/H$12)</f>
        <v>0</v>
      </c>
      <c r="K31" s="1"/>
      <c r="L31" s="1">
        <f t="shared" ref="L31:L38" si="18">+D31-H31</f>
        <v>32908.51</v>
      </c>
      <c r="M31" s="1"/>
      <c r="N31" s="5">
        <f t="shared" ref="N31:N38" si="19">IF(H31=0,0,L31/H31)</f>
        <v>8.6074700843523182</v>
      </c>
      <c r="O31" s="12"/>
      <c r="P31" s="1">
        <f>SUM(OSRRefP22_1x_0)</f>
        <v>414704.38</v>
      </c>
      <c r="Q31" s="1"/>
      <c r="R31" s="5">
        <f t="shared" ref="R31:R38" si="20">IF(P$12=0,0,P31/P$12)</f>
        <v>0</v>
      </c>
      <c r="S31" s="1"/>
      <c r="T31" s="1">
        <f>SUM(OSRRefT22_1x_0)</f>
        <v>385974.95</v>
      </c>
      <c r="U31" s="1"/>
      <c r="V31" s="5">
        <f t="shared" ref="V31:V38" si="21">IF(T$12=0,0,T31/T$12)</f>
        <v>0</v>
      </c>
      <c r="W31" s="1"/>
      <c r="X31" s="1">
        <f t="shared" ref="X31:X38" si="22">+P31-T31</f>
        <v>28729.429999999993</v>
      </c>
      <c r="Y31" s="1"/>
      <c r="Z31" s="5">
        <f t="shared" ref="Z31:Z38" si="23">IF(T31=0,0,X31/T31)</f>
        <v>7.4433405587590568E-2</v>
      </c>
    </row>
    <row r="32" spans="1:26" s="23" customFormat="1" hidden="1" outlineLevel="2" x14ac:dyDescent="0.25">
      <c r="A32" s="27"/>
      <c r="B32" s="10" t="str">
        <f>CONCATENATE("          ", "6001", " - ", "ADMINISTRATIVE SALARIES")</f>
        <v xml:space="preserve">          6001 - ADMINISTRATIVE SALARIES</v>
      </c>
      <c r="C32" s="10"/>
      <c r="D32" s="6">
        <v>4416.46</v>
      </c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4416.46</v>
      </c>
      <c r="M32" s="2"/>
      <c r="N32" s="7">
        <f t="shared" si="19"/>
        <v>0</v>
      </c>
      <c r="O32" s="10"/>
      <c r="P32" s="6">
        <v>43504.11</v>
      </c>
      <c r="Q32" s="2"/>
      <c r="R32" s="7">
        <f t="shared" si="20"/>
        <v>0</v>
      </c>
      <c r="S32" s="2"/>
      <c r="T32" s="6">
        <v>93238.31</v>
      </c>
      <c r="U32" s="2"/>
      <c r="V32" s="7">
        <f t="shared" si="21"/>
        <v>0</v>
      </c>
      <c r="W32" s="2"/>
      <c r="X32" s="6">
        <f t="shared" si="22"/>
        <v>-49734.2</v>
      </c>
      <c r="Y32" s="2"/>
      <c r="Z32" s="7">
        <f t="shared" si="23"/>
        <v>-0.53340949658997461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>
        <v>11599.1</v>
      </c>
      <c r="E33" s="2"/>
      <c r="F33" s="7">
        <f t="shared" si="16"/>
        <v>0</v>
      </c>
      <c r="G33" s="2"/>
      <c r="H33" s="6">
        <v>3823.25</v>
      </c>
      <c r="I33" s="2"/>
      <c r="J33" s="7">
        <f t="shared" si="17"/>
        <v>0</v>
      </c>
      <c r="K33" s="2"/>
      <c r="L33" s="6">
        <f t="shared" si="18"/>
        <v>7775.85</v>
      </c>
      <c r="M33" s="2"/>
      <c r="N33" s="7">
        <f t="shared" si="19"/>
        <v>2.033832472372981</v>
      </c>
      <c r="O33" s="10"/>
      <c r="P33" s="6">
        <v>94263.09</v>
      </c>
      <c r="Q33" s="2"/>
      <c r="R33" s="7">
        <f t="shared" si="20"/>
        <v>0</v>
      </c>
      <c r="S33" s="2"/>
      <c r="T33" s="6">
        <v>61010.2</v>
      </c>
      <c r="U33" s="2"/>
      <c r="V33" s="7">
        <f t="shared" si="21"/>
        <v>0</v>
      </c>
      <c r="W33" s="2"/>
      <c r="X33" s="6">
        <f t="shared" si="22"/>
        <v>33252.89</v>
      </c>
      <c r="Y33" s="2"/>
      <c r="Z33" s="7">
        <f t="shared" si="23"/>
        <v>0.54503820672608849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>
        <v>3582.6</v>
      </c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3582.6</v>
      </c>
      <c r="M34" s="2"/>
      <c r="N34" s="7">
        <f t="shared" si="19"/>
        <v>0</v>
      </c>
      <c r="O34" s="10"/>
      <c r="P34" s="6">
        <v>28945.25</v>
      </c>
      <c r="Q34" s="2"/>
      <c r="R34" s="7">
        <f t="shared" si="20"/>
        <v>0</v>
      </c>
      <c r="S34" s="2"/>
      <c r="T34" s="6">
        <v>-1647.01</v>
      </c>
      <c r="U34" s="2"/>
      <c r="V34" s="7">
        <f t="shared" si="21"/>
        <v>0</v>
      </c>
      <c r="W34" s="2"/>
      <c r="X34" s="6">
        <f t="shared" si="22"/>
        <v>30592.26</v>
      </c>
      <c r="Y34" s="2"/>
      <c r="Z34" s="7">
        <f t="shared" si="23"/>
        <v>-18.574422741816988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>
        <v>6095.59</v>
      </c>
      <c r="E35" s="2"/>
      <c r="F35" s="7">
        <f t="shared" si="16"/>
        <v>0</v>
      </c>
      <c r="G35" s="2"/>
      <c r="H35" s="6"/>
      <c r="I35" s="2"/>
      <c r="J35" s="7">
        <f t="shared" si="17"/>
        <v>0</v>
      </c>
      <c r="K35" s="2"/>
      <c r="L35" s="6">
        <f t="shared" si="18"/>
        <v>6095.59</v>
      </c>
      <c r="M35" s="2"/>
      <c r="N35" s="7">
        <f t="shared" si="19"/>
        <v>0</v>
      </c>
      <c r="O35" s="10"/>
      <c r="P35" s="6">
        <v>71402.38</v>
      </c>
      <c r="Q35" s="2"/>
      <c r="R35" s="7">
        <f t="shared" si="20"/>
        <v>0</v>
      </c>
      <c r="S35" s="2"/>
      <c r="T35" s="6">
        <v>59852.88</v>
      </c>
      <c r="U35" s="2"/>
      <c r="V35" s="7">
        <f t="shared" si="21"/>
        <v>0</v>
      </c>
      <c r="W35" s="2"/>
      <c r="X35" s="6">
        <f t="shared" si="22"/>
        <v>11549.500000000007</v>
      </c>
      <c r="Y35" s="2"/>
      <c r="Z35" s="7">
        <f t="shared" si="23"/>
        <v>0.19296481639647095</v>
      </c>
    </row>
    <row r="36" spans="1:26" s="23" customFormat="1" hidden="1" outlineLevel="2" x14ac:dyDescent="0.25">
      <c r="A36" s="27"/>
      <c r="B36" s="10" t="str">
        <f>CONCATENATE("          ", "6006", " - ", "TEMPORARY PART TIME")</f>
        <v xml:space="preserve">          6006 - TEMPORARY PART TIME</v>
      </c>
      <c r="C36" s="10"/>
      <c r="D36" s="6">
        <v>686</v>
      </c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686</v>
      </c>
      <c r="M36" s="2"/>
      <c r="N36" s="7">
        <f t="shared" si="19"/>
        <v>0</v>
      </c>
      <c r="O36" s="10"/>
      <c r="P36" s="6">
        <v>11466.39</v>
      </c>
      <c r="Q36" s="2"/>
      <c r="R36" s="7">
        <f t="shared" si="20"/>
        <v>0</v>
      </c>
      <c r="S36" s="2"/>
      <c r="T36" s="6">
        <v>11923.01</v>
      </c>
      <c r="U36" s="2"/>
      <c r="V36" s="7">
        <f t="shared" si="21"/>
        <v>0</v>
      </c>
      <c r="W36" s="2"/>
      <c r="X36" s="6">
        <f t="shared" si="22"/>
        <v>-456.6200000000008</v>
      </c>
      <c r="Y36" s="2"/>
      <c r="Z36" s="7">
        <f t="shared" si="23"/>
        <v>-3.8297376249789336E-2</v>
      </c>
    </row>
    <row r="37" spans="1:26" s="23" customFormat="1" hidden="1" outlineLevel="2" x14ac:dyDescent="0.25">
      <c r="A37" s="27"/>
      <c r="B37" s="10" t="str">
        <f>CONCATENATE("          ", "6007", " - ", "STUDENT HOURLY")</f>
        <v xml:space="preserve">          6007 - STUDENT HOURLY</v>
      </c>
      <c r="C37" s="10"/>
      <c r="D37" s="6">
        <v>10352.01</v>
      </c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10352.01</v>
      </c>
      <c r="M37" s="2"/>
      <c r="N37" s="7">
        <f t="shared" si="19"/>
        <v>0</v>
      </c>
      <c r="O37" s="10"/>
      <c r="P37" s="6">
        <v>165123.16</v>
      </c>
      <c r="Q37" s="2"/>
      <c r="R37" s="7">
        <f t="shared" si="20"/>
        <v>0</v>
      </c>
      <c r="S37" s="2"/>
      <c r="T37" s="6">
        <v>159329.82</v>
      </c>
      <c r="U37" s="2"/>
      <c r="V37" s="7">
        <f t="shared" si="21"/>
        <v>0</v>
      </c>
      <c r="W37" s="2"/>
      <c r="X37" s="6">
        <f t="shared" si="22"/>
        <v>5793.3399999999965</v>
      </c>
      <c r="Y37" s="2"/>
      <c r="Z37" s="7">
        <f t="shared" si="23"/>
        <v>3.6360676237505295E-2</v>
      </c>
    </row>
    <row r="38" spans="1:26" s="23" customFormat="1" hidden="1" outlineLevel="2" x14ac:dyDescent="0.25">
      <c r="A38" s="27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0"/>
      <c r="P38" s="6"/>
      <c r="Q38" s="2"/>
      <c r="R38" s="7">
        <f t="shared" si="20"/>
        <v>0</v>
      </c>
      <c r="S38" s="2"/>
      <c r="T38" s="6">
        <v>2267.7399999999998</v>
      </c>
      <c r="U38" s="2"/>
      <c r="V38" s="7">
        <f t="shared" si="21"/>
        <v>0</v>
      </c>
      <c r="W38" s="2"/>
      <c r="X38" s="6">
        <f t="shared" si="22"/>
        <v>-2267.7399999999998</v>
      </c>
      <c r="Y38" s="2"/>
      <c r="Z38" s="7">
        <f t="shared" si="23"/>
        <v>-1</v>
      </c>
    </row>
    <row r="39" spans="1:26" s="26" customFormat="1" outlineLevel="1" collapsed="1" x14ac:dyDescent="0.25">
      <c r="A39" s="25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300</v>
      </c>
      <c r="E39" s="1"/>
      <c r="F39" s="5">
        <f t="shared" ref="F39:F43" si="24">IF(D$12=0,0,D39/D$12)</f>
        <v>0</v>
      </c>
      <c r="G39" s="1"/>
      <c r="H39" s="1">
        <f>SUM(OSRRefH22_2x_0)</f>
        <v>0</v>
      </c>
      <c r="I39" s="1"/>
      <c r="J39" s="5">
        <f t="shared" ref="J39:J43" si="25">IF(H$12=0,0,H39/H$12)</f>
        <v>0</v>
      </c>
      <c r="K39" s="1"/>
      <c r="L39" s="1">
        <f t="shared" ref="L39:L43" si="26">+D39-H39</f>
        <v>300</v>
      </c>
      <c r="M39" s="1"/>
      <c r="N39" s="5">
        <f t="shared" ref="N39:N43" si="27">IF(H39=0,0,L39/H39)</f>
        <v>0</v>
      </c>
      <c r="O39" s="12"/>
      <c r="P39" s="1">
        <f>SUM(OSRRefP22_2x_0)</f>
        <v>525</v>
      </c>
      <c r="Q39" s="1"/>
      <c r="R39" s="5">
        <f t="shared" ref="R39:R43" si="28">IF(P$12=0,0,P39/P$12)</f>
        <v>0</v>
      </c>
      <c r="S39" s="1"/>
      <c r="T39" s="1">
        <f>SUM(OSRRefT22_2x_0)</f>
        <v>14215.07</v>
      </c>
      <c r="U39" s="1"/>
      <c r="V39" s="5">
        <f t="shared" ref="V39:V43" si="29">IF(T$12=0,0,T39/T$12)</f>
        <v>0</v>
      </c>
      <c r="W39" s="1"/>
      <c r="X39" s="1">
        <f t="shared" ref="X39:X43" si="30">+P39-T39</f>
        <v>-13690.07</v>
      </c>
      <c r="Y39" s="1"/>
      <c r="Z39" s="5">
        <f t="shared" ref="Z39:Z43" si="31">IF(T39=0,0,X39/T39)</f>
        <v>-0.96306736442381224</v>
      </c>
    </row>
    <row r="40" spans="1:26" s="23" customFormat="1" hidden="1" outlineLevel="2" x14ac:dyDescent="0.25">
      <c r="A40" s="27"/>
      <c r="B40" s="10" t="str">
        <f>CONCATENATE("          ", "6362", " - ", "ADVERTISING EXPENSE")</f>
        <v xml:space="preserve">          6362 - ADVERTISING EXPENSE</v>
      </c>
      <c r="C40" s="10"/>
      <c r="D40" s="6">
        <v>300</v>
      </c>
      <c r="E40" s="2"/>
      <c r="F40" s="7">
        <f t="shared" si="24"/>
        <v>0</v>
      </c>
      <c r="G40" s="2"/>
      <c r="H40" s="6"/>
      <c r="I40" s="2"/>
      <c r="J40" s="7">
        <f t="shared" si="25"/>
        <v>0</v>
      </c>
      <c r="K40" s="2"/>
      <c r="L40" s="6">
        <f t="shared" si="26"/>
        <v>300</v>
      </c>
      <c r="M40" s="2"/>
      <c r="N40" s="7">
        <f t="shared" si="27"/>
        <v>0</v>
      </c>
      <c r="O40" s="10"/>
      <c r="P40" s="6">
        <v>525</v>
      </c>
      <c r="Q40" s="2"/>
      <c r="R40" s="7">
        <f t="shared" si="28"/>
        <v>0</v>
      </c>
      <c r="S40" s="2"/>
      <c r="T40" s="6">
        <v>14215.07</v>
      </c>
      <c r="U40" s="2"/>
      <c r="V40" s="7">
        <f t="shared" si="29"/>
        <v>0</v>
      </c>
      <c r="W40" s="2"/>
      <c r="X40" s="6">
        <f t="shared" si="30"/>
        <v>-13690.07</v>
      </c>
      <c r="Y40" s="2"/>
      <c r="Z40" s="7">
        <f t="shared" si="31"/>
        <v>-0.96306736442381224</v>
      </c>
    </row>
    <row r="41" spans="1:26" s="26" customFormat="1" outlineLevel="1" collapsed="1" x14ac:dyDescent="0.25">
      <c r="A41" s="25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-1.51</v>
      </c>
      <c r="E41" s="1"/>
      <c r="F41" s="5">
        <f t="shared" si="24"/>
        <v>0</v>
      </c>
      <c r="G41" s="1"/>
      <c r="H41" s="1">
        <f>SUM(OSRRefH22_3x_0)</f>
        <v>4.6500000000000004</v>
      </c>
      <c r="I41" s="1"/>
      <c r="J41" s="5">
        <f t="shared" si="25"/>
        <v>0</v>
      </c>
      <c r="K41" s="1"/>
      <c r="L41" s="1">
        <f t="shared" si="26"/>
        <v>-6.16</v>
      </c>
      <c r="M41" s="1"/>
      <c r="N41" s="5">
        <f t="shared" si="27"/>
        <v>-1.3247311827956989</v>
      </c>
      <c r="O41" s="12"/>
      <c r="P41" s="1">
        <f>SUM(OSRRefP22_3x_0)</f>
        <v>5204.7</v>
      </c>
      <c r="Q41" s="1"/>
      <c r="R41" s="5">
        <f t="shared" si="28"/>
        <v>0</v>
      </c>
      <c r="S41" s="1"/>
      <c r="T41" s="1">
        <f>SUM(OSRRefT22_3x_0)</f>
        <v>-14.980000000000004</v>
      </c>
      <c r="U41" s="1"/>
      <c r="V41" s="5">
        <f t="shared" si="29"/>
        <v>0</v>
      </c>
      <c r="W41" s="1"/>
      <c r="X41" s="1">
        <f t="shared" si="30"/>
        <v>5219.6799999999994</v>
      </c>
      <c r="Y41" s="1"/>
      <c r="Z41" s="5">
        <f t="shared" si="31"/>
        <v>-348.44325767690242</v>
      </c>
    </row>
    <row r="42" spans="1:26" s="23" customFormat="1" hidden="1" outlineLevel="2" x14ac:dyDescent="0.25">
      <c r="A42" s="27"/>
      <c r="B42" s="10" t="str">
        <f>CONCATENATE("          ", "6272", " - ", "CASH (OVER/SHORT)")</f>
        <v xml:space="preserve">          6272 - CASH (OVER/SHORT)</v>
      </c>
      <c r="C42" s="10"/>
      <c r="D42" s="6">
        <v>-1.51</v>
      </c>
      <c r="E42" s="2"/>
      <c r="F42" s="7">
        <f t="shared" si="24"/>
        <v>0</v>
      </c>
      <c r="G42" s="2"/>
      <c r="H42" s="6">
        <v>4.6500000000000004</v>
      </c>
      <c r="I42" s="2"/>
      <c r="J42" s="7">
        <f t="shared" si="25"/>
        <v>0</v>
      </c>
      <c r="K42" s="2"/>
      <c r="L42" s="6">
        <f t="shared" si="26"/>
        <v>-6.16</v>
      </c>
      <c r="M42" s="2"/>
      <c r="N42" s="7">
        <f t="shared" si="27"/>
        <v>-1.3247311827956989</v>
      </c>
      <c r="O42" s="10"/>
      <c r="P42" s="6">
        <v>-144.72</v>
      </c>
      <c r="Q42" s="2"/>
      <c r="R42" s="7">
        <f t="shared" si="28"/>
        <v>0</v>
      </c>
      <c r="S42" s="2"/>
      <c r="T42" s="6">
        <v>-59.78</v>
      </c>
      <c r="U42" s="2"/>
      <c r="V42" s="7">
        <f t="shared" si="29"/>
        <v>0</v>
      </c>
      <c r="W42" s="2"/>
      <c r="X42" s="6">
        <f t="shared" si="30"/>
        <v>-84.94</v>
      </c>
      <c r="Y42" s="2"/>
      <c r="Z42" s="7">
        <f t="shared" si="31"/>
        <v>1.4208765473402476</v>
      </c>
    </row>
    <row r="43" spans="1:26" s="23" customFormat="1" hidden="1" outlineLevel="2" x14ac:dyDescent="0.25">
      <c r="A43" s="27"/>
      <c r="B43" s="10" t="str">
        <f>CONCATENATE("          ", "6342", " - ", "BAD DEBT")</f>
        <v xml:space="preserve">          6342 - BAD DEBT</v>
      </c>
      <c r="C43" s="10"/>
      <c r="D43" s="6"/>
      <c r="E43" s="2"/>
      <c r="F43" s="7">
        <f t="shared" si="24"/>
        <v>0</v>
      </c>
      <c r="G43" s="2"/>
      <c r="H43" s="6"/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0"/>
      <c r="P43" s="6">
        <v>5349.42</v>
      </c>
      <c r="Q43" s="2"/>
      <c r="R43" s="7">
        <f t="shared" si="28"/>
        <v>0</v>
      </c>
      <c r="S43" s="2"/>
      <c r="T43" s="6">
        <v>44.8</v>
      </c>
      <c r="U43" s="2"/>
      <c r="V43" s="7">
        <f t="shared" si="29"/>
        <v>0</v>
      </c>
      <c r="W43" s="2"/>
      <c r="X43" s="6">
        <f t="shared" si="30"/>
        <v>5304.62</v>
      </c>
      <c r="Y43" s="2"/>
      <c r="Z43" s="7">
        <f t="shared" si="31"/>
        <v>118.40669642857144</v>
      </c>
    </row>
    <row r="44" spans="1:26" s="26" customFormat="1" outlineLevel="1" collapsed="1" x14ac:dyDescent="0.25">
      <c r="A44" s="25"/>
      <c r="B44" s="12" t="str">
        <f>CONCATENATE("     ","Bank/card Fees                                    ")</f>
        <v xml:space="preserve">     Bank/card Fees                                    </v>
      </c>
      <c r="C44" s="12"/>
      <c r="D44" s="1">
        <f>SUM(OSRRefD22_4x_0)</f>
        <v>4816.3999999999996</v>
      </c>
      <c r="E44" s="1"/>
      <c r="F44" s="5">
        <f t="shared" ref="F44:F49" si="32">IF(D$12=0,0,D44/D$12)</f>
        <v>0</v>
      </c>
      <c r="G44" s="1"/>
      <c r="H44" s="1">
        <f>SUM(OSRRefH22_4x_0)</f>
        <v>2670.74</v>
      </c>
      <c r="I44" s="1"/>
      <c r="J44" s="5">
        <f t="shared" ref="J44:J49" si="33">IF(H$12=0,0,H44/H$12)</f>
        <v>0</v>
      </c>
      <c r="K44" s="1"/>
      <c r="L44" s="1">
        <f t="shared" ref="L44:L49" si="34">+D44-H44</f>
        <v>2145.66</v>
      </c>
      <c r="M44" s="1"/>
      <c r="N44" s="5">
        <f t="shared" ref="N44:N49" si="35">IF(H44=0,0,L44/H44)</f>
        <v>0.80339531365838679</v>
      </c>
      <c r="O44" s="12"/>
      <c r="P44" s="1">
        <f>SUM(OSRRefP22_4x_0)</f>
        <v>70803.509999999995</v>
      </c>
      <c r="Q44" s="1"/>
      <c r="R44" s="5">
        <f t="shared" ref="R44:R49" si="36">IF(P$12=0,0,P44/P$12)</f>
        <v>0</v>
      </c>
      <c r="S44" s="1"/>
      <c r="T44" s="1">
        <f>SUM(OSRRefT22_4x_0)</f>
        <v>133670.76999999999</v>
      </c>
      <c r="U44" s="1"/>
      <c r="V44" s="5">
        <f t="shared" ref="V44:V49" si="37">IF(T$12=0,0,T44/T$12)</f>
        <v>0</v>
      </c>
      <c r="W44" s="1"/>
      <c r="X44" s="1">
        <f t="shared" ref="X44:X49" si="38">+P44-T44</f>
        <v>-62867.259999999995</v>
      </c>
      <c r="Y44" s="1"/>
      <c r="Z44" s="5">
        <f t="shared" ref="Z44:Z49" si="39">IF(T44=0,0,X44/T44)</f>
        <v>-0.47031419060427349</v>
      </c>
    </row>
    <row r="45" spans="1:26" s="23" customFormat="1" hidden="1" outlineLevel="2" x14ac:dyDescent="0.25">
      <c r="A45" s="27"/>
      <c r="B45" s="10" t="str">
        <f>CONCATENATE("          ", "6381", " - ", "BANK/CREDIT CARD FEES")</f>
        <v xml:space="preserve">          6381 - BANK/CREDIT CARD FEES</v>
      </c>
      <c r="C45" s="10"/>
      <c r="D45" s="6">
        <v>4816.3999999999996</v>
      </c>
      <c r="E45" s="2"/>
      <c r="F45" s="7">
        <f t="shared" si="32"/>
        <v>0</v>
      </c>
      <c r="G45" s="2"/>
      <c r="H45" s="6">
        <v>2670.74</v>
      </c>
      <c r="I45" s="2"/>
      <c r="J45" s="7">
        <f t="shared" si="33"/>
        <v>0</v>
      </c>
      <c r="K45" s="2"/>
      <c r="L45" s="6">
        <f t="shared" si="34"/>
        <v>2145.66</v>
      </c>
      <c r="M45" s="2"/>
      <c r="N45" s="7">
        <f t="shared" si="35"/>
        <v>0.80339531365838679</v>
      </c>
      <c r="O45" s="10"/>
      <c r="P45" s="6">
        <v>70803.509999999995</v>
      </c>
      <c r="Q45" s="2"/>
      <c r="R45" s="7">
        <f t="shared" si="36"/>
        <v>0</v>
      </c>
      <c r="S45" s="2"/>
      <c r="T45" s="6">
        <v>133670.76999999999</v>
      </c>
      <c r="U45" s="2"/>
      <c r="V45" s="7">
        <f t="shared" si="37"/>
        <v>0</v>
      </c>
      <c r="W45" s="2"/>
      <c r="X45" s="6">
        <f t="shared" si="38"/>
        <v>-62867.259999999995</v>
      </c>
      <c r="Y45" s="2"/>
      <c r="Z45" s="7">
        <f t="shared" si="39"/>
        <v>-0.47031419060427349</v>
      </c>
    </row>
    <row r="46" spans="1:26" s="26" customFormat="1" outlineLevel="1" collapsed="1" x14ac:dyDescent="0.25">
      <c r="A46" s="25"/>
      <c r="B46" s="12" t="str">
        <f>CONCATENATE("     ","Depreciation                                      ")</f>
        <v xml:space="preserve">     Depreciation                                      </v>
      </c>
      <c r="C46" s="12"/>
      <c r="D46" s="1">
        <f>SUM(OSRRefD22_5x_0)</f>
        <v>30565.97</v>
      </c>
      <c r="E46" s="1"/>
      <c r="F46" s="5">
        <f t="shared" si="32"/>
        <v>0</v>
      </c>
      <c r="G46" s="1"/>
      <c r="H46" s="1">
        <f>SUM(OSRRefH22_5x_0)</f>
        <v>30179.599999999999</v>
      </c>
      <c r="I46" s="1"/>
      <c r="J46" s="5">
        <f t="shared" si="33"/>
        <v>0</v>
      </c>
      <c r="K46" s="1"/>
      <c r="L46" s="1">
        <f t="shared" si="34"/>
        <v>386.37000000000262</v>
      </c>
      <c r="M46" s="1"/>
      <c r="N46" s="5">
        <f t="shared" si="35"/>
        <v>1.2802356558735127E-2</v>
      </c>
      <c r="O46" s="12"/>
      <c r="P46" s="1">
        <f>SUM(OSRRefP22_5x_0)</f>
        <v>305955.19</v>
      </c>
      <c r="Q46" s="1"/>
      <c r="R46" s="5">
        <f t="shared" si="36"/>
        <v>0</v>
      </c>
      <c r="S46" s="1"/>
      <c r="T46" s="1">
        <f>SUM(OSRRefT22_5x_0)</f>
        <v>297833.54000000004</v>
      </c>
      <c r="U46" s="1"/>
      <c r="V46" s="5">
        <f t="shared" si="37"/>
        <v>0</v>
      </c>
      <c r="W46" s="1"/>
      <c r="X46" s="1">
        <f t="shared" si="38"/>
        <v>8121.6499999999651</v>
      </c>
      <c r="Y46" s="1"/>
      <c r="Z46" s="5">
        <f t="shared" si="39"/>
        <v>2.726909131859348E-2</v>
      </c>
    </row>
    <row r="47" spans="1:26" s="23" customFormat="1" hidden="1" outlineLevel="2" x14ac:dyDescent="0.25">
      <c r="A47" s="27"/>
      <c r="B47" s="10" t="str">
        <f>CONCATENATE("          ", "6321", " - ", "BUILDING DEPRECIATION")</f>
        <v xml:space="preserve">          6321 - BUILDING DEPRECIATION</v>
      </c>
      <c r="C47" s="10"/>
      <c r="D47" s="6">
        <v>16396.52</v>
      </c>
      <c r="E47" s="2"/>
      <c r="F47" s="7">
        <f t="shared" si="32"/>
        <v>0</v>
      </c>
      <c r="G47" s="2"/>
      <c r="H47" s="6">
        <v>16396.52</v>
      </c>
      <c r="I47" s="2"/>
      <c r="J47" s="7">
        <f t="shared" si="33"/>
        <v>0</v>
      </c>
      <c r="K47" s="2"/>
      <c r="L47" s="6">
        <f t="shared" si="34"/>
        <v>0</v>
      </c>
      <c r="M47" s="2"/>
      <c r="N47" s="7">
        <f t="shared" si="35"/>
        <v>0</v>
      </c>
      <c r="O47" s="10"/>
      <c r="P47" s="6">
        <v>163965.20000000001</v>
      </c>
      <c r="Q47" s="2"/>
      <c r="R47" s="7">
        <f t="shared" si="36"/>
        <v>0</v>
      </c>
      <c r="S47" s="2"/>
      <c r="T47" s="6">
        <v>163965.20000000001</v>
      </c>
      <c r="U47" s="2"/>
      <c r="V47" s="7">
        <f t="shared" si="37"/>
        <v>0</v>
      </c>
      <c r="W47" s="2"/>
      <c r="X47" s="6">
        <f t="shared" si="38"/>
        <v>0</v>
      </c>
      <c r="Y47" s="2"/>
      <c r="Z47" s="7">
        <f t="shared" si="39"/>
        <v>0</v>
      </c>
    </row>
    <row r="48" spans="1:26" s="23" customFormat="1" hidden="1" outlineLevel="2" x14ac:dyDescent="0.25">
      <c r="A48" s="27"/>
      <c r="B48" s="10" t="str">
        <f>CONCATENATE("          ", "6322", " - ", "EQUIPMENT DEPRECIATION EXPENSE")</f>
        <v xml:space="preserve">          6322 - EQUIPMENT DEPRECIATION EXPENSE</v>
      </c>
      <c r="C48" s="10"/>
      <c r="D48" s="6">
        <v>14169.45</v>
      </c>
      <c r="E48" s="2"/>
      <c r="F48" s="7">
        <f t="shared" si="32"/>
        <v>0</v>
      </c>
      <c r="G48" s="2"/>
      <c r="H48" s="6">
        <v>13783.08</v>
      </c>
      <c r="I48" s="2"/>
      <c r="J48" s="7">
        <f t="shared" si="33"/>
        <v>0</v>
      </c>
      <c r="K48" s="2"/>
      <c r="L48" s="6">
        <f t="shared" si="34"/>
        <v>386.3700000000008</v>
      </c>
      <c r="M48" s="2"/>
      <c r="N48" s="7">
        <f t="shared" si="35"/>
        <v>2.8032195996830954E-2</v>
      </c>
      <c r="O48" s="10"/>
      <c r="P48" s="6">
        <v>141989.99</v>
      </c>
      <c r="Q48" s="2"/>
      <c r="R48" s="7">
        <f t="shared" si="36"/>
        <v>0</v>
      </c>
      <c r="S48" s="2"/>
      <c r="T48" s="6">
        <v>133868.34</v>
      </c>
      <c r="U48" s="2"/>
      <c r="V48" s="7">
        <f t="shared" si="37"/>
        <v>0</v>
      </c>
      <c r="W48" s="2"/>
      <c r="X48" s="6">
        <f t="shared" si="38"/>
        <v>8121.6499999999942</v>
      </c>
      <c r="Y48" s="2"/>
      <c r="Z48" s="7">
        <f t="shared" si="39"/>
        <v>6.0668937853416233E-2</v>
      </c>
    </row>
    <row r="49" spans="1:26" s="23" customFormat="1" hidden="1" outlineLevel="2" x14ac:dyDescent="0.25">
      <c r="A49" s="27"/>
      <c r="B49" s="10" t="str">
        <f>CONCATENATE("          ", "6324", " - ", "FURNITURE + FIXT DEPRECIATION")</f>
        <v xml:space="preserve">          6324 - FURNITURE + FIXT DEPRECIATION</v>
      </c>
      <c r="C49" s="10"/>
      <c r="D49" s="6"/>
      <c r="E49" s="2"/>
      <c r="F49" s="7">
        <f t="shared" si="32"/>
        <v>0</v>
      </c>
      <c r="G49" s="2"/>
      <c r="H49" s="6"/>
      <c r="I49" s="2"/>
      <c r="J49" s="7">
        <f t="shared" si="33"/>
        <v>0</v>
      </c>
      <c r="K49" s="2"/>
      <c r="L49" s="6">
        <f t="shared" si="34"/>
        <v>0</v>
      </c>
      <c r="M49" s="2"/>
      <c r="N49" s="7">
        <f t="shared" si="35"/>
        <v>0</v>
      </c>
      <c r="O49" s="10"/>
      <c r="P49" s="6"/>
      <c r="Q49" s="2"/>
      <c r="R49" s="7">
        <f t="shared" si="36"/>
        <v>0</v>
      </c>
      <c r="S49" s="2"/>
      <c r="T49" s="6">
        <v>0</v>
      </c>
      <c r="U49" s="2"/>
      <c r="V49" s="7">
        <f t="shared" si="37"/>
        <v>0</v>
      </c>
      <c r="W49" s="2"/>
      <c r="X49" s="6">
        <f t="shared" si="38"/>
        <v>0</v>
      </c>
      <c r="Y49" s="2"/>
      <c r="Z49" s="7">
        <f t="shared" si="39"/>
        <v>0</v>
      </c>
    </row>
    <row r="50" spans="1:26" s="26" customFormat="1" outlineLevel="1" collapsed="1" x14ac:dyDescent="0.25">
      <c r="A50" s="25"/>
      <c r="B50" s="12" t="str">
        <f>CONCATENATE("     ","Discounts and Markdowns                           ")</f>
        <v xml:space="preserve">     Discounts and Markdowns                           </v>
      </c>
      <c r="C50" s="12"/>
      <c r="D50" s="1">
        <f>SUM(OSRRefD22_6x_0)</f>
        <v>-15.43</v>
      </c>
      <c r="E50" s="1"/>
      <c r="F50" s="5">
        <f t="shared" ref="F50:F52" si="40">IF(D$12=0,0,D50/D$12)</f>
        <v>0</v>
      </c>
      <c r="G50" s="1"/>
      <c r="H50" s="1">
        <f>SUM(OSRRefH22_6x_0)</f>
        <v>3.86</v>
      </c>
      <c r="I50" s="1"/>
      <c r="J50" s="5">
        <f t="shared" ref="J50:J52" si="41">IF(H$12=0,0,H50/H$12)</f>
        <v>0</v>
      </c>
      <c r="K50" s="1"/>
      <c r="L50" s="1">
        <f t="shared" ref="L50:L52" si="42">+D50-H50</f>
        <v>-19.29</v>
      </c>
      <c r="M50" s="1"/>
      <c r="N50" s="5">
        <f t="shared" ref="N50:N52" si="43">IF(H50=0,0,L50/H50)</f>
        <v>-4.9974093264248705</v>
      </c>
      <c r="O50" s="12"/>
      <c r="P50" s="1">
        <f>SUM(OSRRefP22_6x_0)</f>
        <v>-15.43</v>
      </c>
      <c r="Q50" s="1"/>
      <c r="R50" s="5">
        <f t="shared" ref="R50:R52" si="44">IF(P$12=0,0,P50/P$12)</f>
        <v>0</v>
      </c>
      <c r="S50" s="1"/>
      <c r="T50" s="1">
        <f>SUM(OSRRefT22_6x_0)</f>
        <v>-2402.56</v>
      </c>
      <c r="U50" s="1"/>
      <c r="V50" s="5">
        <f t="shared" ref="V50:V52" si="45">IF(T$12=0,0,T50/T$12)</f>
        <v>0</v>
      </c>
      <c r="W50" s="1"/>
      <c r="X50" s="1">
        <f t="shared" ref="X50:X52" si="46">+P50-T50</f>
        <v>2387.13</v>
      </c>
      <c r="Y50" s="1"/>
      <c r="Z50" s="5">
        <f t="shared" ref="Z50:Z52" si="47">IF(T50=0,0,X50/T50)</f>
        <v>-0.99357768380394251</v>
      </c>
    </row>
    <row r="51" spans="1:26" s="23" customFormat="1" hidden="1" outlineLevel="2" x14ac:dyDescent="0.25">
      <c r="A51" s="27"/>
      <c r="B51" s="10" t="str">
        <f>CONCATENATE("          ", "6382", " - ", "DISCOUNTS/MARK DOWNS")</f>
        <v xml:space="preserve">          6382 - DISCOUNTS/MARK DOWNS</v>
      </c>
      <c r="C51" s="10"/>
      <c r="D51" s="6"/>
      <c r="E51" s="2"/>
      <c r="F51" s="7">
        <f t="shared" si="40"/>
        <v>0</v>
      </c>
      <c r="G51" s="2"/>
      <c r="H51" s="6">
        <v>4</v>
      </c>
      <c r="I51" s="2"/>
      <c r="J51" s="7">
        <f t="shared" si="41"/>
        <v>0</v>
      </c>
      <c r="K51" s="2"/>
      <c r="L51" s="6">
        <f t="shared" si="42"/>
        <v>-4</v>
      </c>
      <c r="M51" s="2"/>
      <c r="N51" s="7">
        <f t="shared" si="43"/>
        <v>-1</v>
      </c>
      <c r="O51" s="10"/>
      <c r="P51" s="6"/>
      <c r="Q51" s="2"/>
      <c r="R51" s="7">
        <f t="shared" si="44"/>
        <v>0</v>
      </c>
      <c r="S51" s="2"/>
      <c r="T51" s="6">
        <v>357.4</v>
      </c>
      <c r="U51" s="2"/>
      <c r="V51" s="7">
        <f t="shared" si="45"/>
        <v>0</v>
      </c>
      <c r="W51" s="2"/>
      <c r="X51" s="6">
        <f t="shared" si="46"/>
        <v>-357.4</v>
      </c>
      <c r="Y51" s="2"/>
      <c r="Z51" s="7">
        <f t="shared" si="47"/>
        <v>-1</v>
      </c>
    </row>
    <row r="52" spans="1:26" s="23" customFormat="1" hidden="1" outlineLevel="2" x14ac:dyDescent="0.25">
      <c r="A52" s="27"/>
      <c r="B52" s="10" t="str">
        <f>CONCATENATE("          ", "9175", " - ", "EARNED DISCOUNTS")</f>
        <v xml:space="preserve">          9175 - EARNED DISCOUNTS</v>
      </c>
      <c r="C52" s="10"/>
      <c r="D52" s="6">
        <v>-15.43</v>
      </c>
      <c r="E52" s="2"/>
      <c r="F52" s="7">
        <f t="shared" si="40"/>
        <v>0</v>
      </c>
      <c r="G52" s="2"/>
      <c r="H52" s="6">
        <v>-0.14000000000000001</v>
      </c>
      <c r="I52" s="2"/>
      <c r="J52" s="7">
        <f t="shared" si="41"/>
        <v>0</v>
      </c>
      <c r="K52" s="2"/>
      <c r="L52" s="6">
        <f t="shared" si="42"/>
        <v>-15.29</v>
      </c>
      <c r="M52" s="2"/>
      <c r="N52" s="7">
        <f t="shared" si="43"/>
        <v>109.21428571428569</v>
      </c>
      <c r="O52" s="10"/>
      <c r="P52" s="6">
        <v>-15.43</v>
      </c>
      <c r="Q52" s="2"/>
      <c r="R52" s="7">
        <f t="shared" si="44"/>
        <v>0</v>
      </c>
      <c r="S52" s="2"/>
      <c r="T52" s="6">
        <v>-2759.96</v>
      </c>
      <c r="U52" s="2"/>
      <c r="V52" s="7">
        <f t="shared" si="45"/>
        <v>0</v>
      </c>
      <c r="W52" s="2"/>
      <c r="X52" s="6">
        <f t="shared" si="46"/>
        <v>2744.53</v>
      </c>
      <c r="Y52" s="2"/>
      <c r="Z52" s="7">
        <f t="shared" si="47"/>
        <v>-0.99440933926578656</v>
      </c>
    </row>
    <row r="53" spans="1:26" s="26" customFormat="1" outlineLevel="1" collapsed="1" x14ac:dyDescent="0.25">
      <c r="A53" s="25"/>
      <c r="B53" s="12" t="str">
        <f>CONCATENATE("     ","Donations                                         ")</f>
        <v xml:space="preserve">     Donations                                         </v>
      </c>
      <c r="C53" s="12"/>
      <c r="D53" s="1">
        <f>SUM(OSRRefD22_7x_0)</f>
        <v>360.9</v>
      </c>
      <c r="E53" s="1"/>
      <c r="F53" s="5">
        <f t="shared" ref="F53:F73" si="48">IF(D$12=0,0,D53/D$12)</f>
        <v>0</v>
      </c>
      <c r="G53" s="1"/>
      <c r="H53" s="1">
        <f>SUM(OSRRefH22_7x_0)</f>
        <v>0</v>
      </c>
      <c r="I53" s="1"/>
      <c r="J53" s="5">
        <f t="shared" ref="J53:J73" si="49">IF(H$12=0,0,H53/H$12)</f>
        <v>0</v>
      </c>
      <c r="K53" s="1"/>
      <c r="L53" s="1">
        <f t="shared" ref="L53:L73" si="50">+D53-H53</f>
        <v>360.9</v>
      </c>
      <c r="M53" s="1"/>
      <c r="N53" s="5">
        <f t="shared" ref="N53:N73" si="51">IF(H53=0,0,L53/H53)</f>
        <v>0</v>
      </c>
      <c r="O53" s="12"/>
      <c r="P53" s="1">
        <f>SUM(OSRRefP22_7x_0)</f>
        <v>360.9</v>
      </c>
      <c r="Q53" s="1"/>
      <c r="R53" s="5">
        <f t="shared" ref="R53:R73" si="52">IF(P$12=0,0,P53/P$12)</f>
        <v>0</v>
      </c>
      <c r="S53" s="1"/>
      <c r="T53" s="1">
        <f>SUM(OSRRefT22_7x_0)</f>
        <v>12371.45</v>
      </c>
      <c r="U53" s="1"/>
      <c r="V53" s="5">
        <f t="shared" ref="V53:V73" si="53">IF(T$12=0,0,T53/T$12)</f>
        <v>0</v>
      </c>
      <c r="W53" s="1"/>
      <c r="X53" s="1">
        <f t="shared" ref="X53:X73" si="54">+P53-T53</f>
        <v>-12010.550000000001</v>
      </c>
      <c r="Y53" s="1"/>
      <c r="Z53" s="5">
        <f t="shared" ref="Z53:Z73" si="55">IF(T53=0,0,X53/T53)</f>
        <v>-0.9708279951016251</v>
      </c>
    </row>
    <row r="54" spans="1:26" s="23" customFormat="1" hidden="1" outlineLevel="2" x14ac:dyDescent="0.25">
      <c r="A54" s="27"/>
      <c r="B54" s="10" t="str">
        <f>CONCATENATE("          ", "6399", " - ", "DONATION-ON CAMPUS")</f>
        <v xml:space="preserve">          6399 - DONATION-ON CAMPUS</v>
      </c>
      <c r="C54" s="10"/>
      <c r="D54" s="6">
        <v>360.9</v>
      </c>
      <c r="E54" s="2"/>
      <c r="F54" s="7">
        <f t="shared" si="48"/>
        <v>0</v>
      </c>
      <c r="G54" s="2"/>
      <c r="H54" s="6"/>
      <c r="I54" s="2"/>
      <c r="J54" s="7">
        <f t="shared" si="49"/>
        <v>0</v>
      </c>
      <c r="K54" s="2"/>
      <c r="L54" s="6">
        <f t="shared" si="50"/>
        <v>360.9</v>
      </c>
      <c r="M54" s="2"/>
      <c r="N54" s="7">
        <f t="shared" si="51"/>
        <v>0</v>
      </c>
      <c r="O54" s="10"/>
      <c r="P54" s="6">
        <v>360.9</v>
      </c>
      <c r="Q54" s="2"/>
      <c r="R54" s="7">
        <f t="shared" si="52"/>
        <v>0</v>
      </c>
      <c r="S54" s="2"/>
      <c r="T54" s="6">
        <v>12371.45</v>
      </c>
      <c r="U54" s="2"/>
      <c r="V54" s="7">
        <f t="shared" si="53"/>
        <v>0</v>
      </c>
      <c r="W54" s="2"/>
      <c r="X54" s="6">
        <f t="shared" si="54"/>
        <v>-12010.550000000001</v>
      </c>
      <c r="Y54" s="2"/>
      <c r="Z54" s="7">
        <f t="shared" si="55"/>
        <v>-0.9708279951016251</v>
      </c>
    </row>
    <row r="55" spans="1:26" s="26" customFormat="1" outlineLevel="1" collapsed="1" x14ac:dyDescent="0.25">
      <c r="A55" s="25"/>
      <c r="B55" s="12" t="str">
        <f>CONCATENATE("     ","Employees' Appreciation                           ")</f>
        <v xml:space="preserve">     Employees' Appreciation                           </v>
      </c>
      <c r="C55" s="12"/>
      <c r="D55" s="1">
        <f>SUM(OSRRefD22_8x_0)</f>
        <v>0</v>
      </c>
      <c r="E55" s="1"/>
      <c r="F55" s="5">
        <f t="shared" si="48"/>
        <v>0</v>
      </c>
      <c r="G55" s="1"/>
      <c r="H55" s="1">
        <f>SUM(OSRRefH22_8x_0)</f>
        <v>30.15</v>
      </c>
      <c r="I55" s="1"/>
      <c r="J55" s="5">
        <f t="shared" si="49"/>
        <v>0</v>
      </c>
      <c r="K55" s="1"/>
      <c r="L55" s="1">
        <f t="shared" si="50"/>
        <v>-30.15</v>
      </c>
      <c r="M55" s="1"/>
      <c r="N55" s="5">
        <f t="shared" si="51"/>
        <v>-1</v>
      </c>
      <c r="O55" s="12"/>
      <c r="P55" s="1">
        <f>SUM(OSRRefP22_8x_0)</f>
        <v>78.33</v>
      </c>
      <c r="Q55" s="1"/>
      <c r="R55" s="5">
        <f t="shared" si="52"/>
        <v>0</v>
      </c>
      <c r="S55" s="1"/>
      <c r="T55" s="1">
        <f>SUM(OSRRefT22_8x_0)</f>
        <v>1057.72</v>
      </c>
      <c r="U55" s="1"/>
      <c r="V55" s="5">
        <f t="shared" si="53"/>
        <v>0</v>
      </c>
      <c r="W55" s="1"/>
      <c r="X55" s="1">
        <f t="shared" si="54"/>
        <v>-979.39</v>
      </c>
      <c r="Y55" s="1"/>
      <c r="Z55" s="5">
        <f t="shared" si="55"/>
        <v>-0.92594448436259125</v>
      </c>
    </row>
    <row r="56" spans="1:26" s="23" customFormat="1" hidden="1" outlineLevel="2" x14ac:dyDescent="0.25">
      <c r="A56" s="27"/>
      <c r="B56" s="10" t="str">
        <f>CONCATENATE("          ", "6277", " - ", "EMPLOYEE APPRECIATION")</f>
        <v xml:space="preserve">          6277 - EMPLOYEE APPRECIATION</v>
      </c>
      <c r="C56" s="10"/>
      <c r="D56" s="6"/>
      <c r="E56" s="2"/>
      <c r="F56" s="7">
        <f t="shared" si="48"/>
        <v>0</v>
      </c>
      <c r="G56" s="2"/>
      <c r="H56" s="6">
        <v>30.15</v>
      </c>
      <c r="I56" s="2"/>
      <c r="J56" s="7">
        <f t="shared" si="49"/>
        <v>0</v>
      </c>
      <c r="K56" s="2"/>
      <c r="L56" s="6">
        <f t="shared" si="50"/>
        <v>-30.15</v>
      </c>
      <c r="M56" s="2"/>
      <c r="N56" s="7">
        <f t="shared" si="51"/>
        <v>-1</v>
      </c>
      <c r="O56" s="10"/>
      <c r="P56" s="6">
        <v>78.33</v>
      </c>
      <c r="Q56" s="2"/>
      <c r="R56" s="7">
        <f t="shared" si="52"/>
        <v>0</v>
      </c>
      <c r="S56" s="2"/>
      <c r="T56" s="6">
        <v>1057.72</v>
      </c>
      <c r="U56" s="2"/>
      <c r="V56" s="7">
        <f t="shared" si="53"/>
        <v>0</v>
      </c>
      <c r="W56" s="2"/>
      <c r="X56" s="6">
        <f t="shared" si="54"/>
        <v>-979.39</v>
      </c>
      <c r="Y56" s="2"/>
      <c r="Z56" s="7">
        <f t="shared" si="55"/>
        <v>-0.92594448436259125</v>
      </c>
    </row>
    <row r="57" spans="1:26" s="26" customFormat="1" outlineLevel="1" collapsed="1" x14ac:dyDescent="0.25">
      <c r="A57" s="25"/>
      <c r="B57" s="12" t="str">
        <f>CONCATENATE("     ","Equipment Rental                                  ")</f>
        <v xml:space="preserve">     Equipment Rental                                  </v>
      </c>
      <c r="C57" s="12"/>
      <c r="D57" s="1">
        <f>SUM(OSRRefD22_9x_0)</f>
        <v>91.26</v>
      </c>
      <c r="E57" s="1"/>
      <c r="F57" s="5">
        <f t="shared" si="48"/>
        <v>0</v>
      </c>
      <c r="G57" s="1"/>
      <c r="H57" s="1">
        <f>SUM(OSRRefH22_9x_0)</f>
        <v>0</v>
      </c>
      <c r="I57" s="1"/>
      <c r="J57" s="5">
        <f t="shared" si="49"/>
        <v>0</v>
      </c>
      <c r="K57" s="1"/>
      <c r="L57" s="1">
        <f t="shared" si="50"/>
        <v>91.26</v>
      </c>
      <c r="M57" s="1"/>
      <c r="N57" s="5">
        <f t="shared" si="51"/>
        <v>0</v>
      </c>
      <c r="O57" s="12"/>
      <c r="P57" s="1">
        <f>SUM(OSRRefP22_9x_0)</f>
        <v>1865.17</v>
      </c>
      <c r="Q57" s="1"/>
      <c r="R57" s="5">
        <f t="shared" si="52"/>
        <v>0</v>
      </c>
      <c r="S57" s="1"/>
      <c r="T57" s="1">
        <f>SUM(OSRRefT22_9x_0)</f>
        <v>0</v>
      </c>
      <c r="U57" s="1"/>
      <c r="V57" s="5">
        <f t="shared" si="53"/>
        <v>0</v>
      </c>
      <c r="W57" s="1"/>
      <c r="X57" s="1">
        <f t="shared" si="54"/>
        <v>1865.17</v>
      </c>
      <c r="Y57" s="1"/>
      <c r="Z57" s="5">
        <f t="shared" si="55"/>
        <v>0</v>
      </c>
    </row>
    <row r="58" spans="1:26" s="23" customFormat="1" hidden="1" outlineLevel="2" x14ac:dyDescent="0.25">
      <c r="A58" s="27"/>
      <c r="B58" s="10" t="str">
        <f>CONCATENATE("          ", "6351", " - ", "EQUIPMENT RENTAL")</f>
        <v xml:space="preserve">          6351 - EQUIPMENT RENTAL</v>
      </c>
      <c r="C58" s="10"/>
      <c r="D58" s="6">
        <v>91.26</v>
      </c>
      <c r="E58" s="2"/>
      <c r="F58" s="7">
        <f t="shared" si="48"/>
        <v>0</v>
      </c>
      <c r="G58" s="2"/>
      <c r="H58" s="6"/>
      <c r="I58" s="2"/>
      <c r="J58" s="7">
        <f t="shared" si="49"/>
        <v>0</v>
      </c>
      <c r="K58" s="2"/>
      <c r="L58" s="6">
        <f t="shared" si="50"/>
        <v>91.26</v>
      </c>
      <c r="M58" s="2"/>
      <c r="N58" s="7">
        <f t="shared" si="51"/>
        <v>0</v>
      </c>
      <c r="O58" s="10"/>
      <c r="P58" s="6">
        <v>1865.17</v>
      </c>
      <c r="Q58" s="2"/>
      <c r="R58" s="7">
        <f t="shared" si="52"/>
        <v>0</v>
      </c>
      <c r="S58" s="2"/>
      <c r="T58" s="6"/>
      <c r="U58" s="2"/>
      <c r="V58" s="7">
        <f t="shared" si="53"/>
        <v>0</v>
      </c>
      <c r="W58" s="2"/>
      <c r="X58" s="6">
        <f t="shared" si="54"/>
        <v>1865.17</v>
      </c>
      <c r="Y58" s="2"/>
      <c r="Z58" s="7">
        <f t="shared" si="55"/>
        <v>0</v>
      </c>
    </row>
    <row r="59" spans="1:26" s="26" customFormat="1" outlineLevel="1" collapsed="1" x14ac:dyDescent="0.25">
      <c r="A59" s="25"/>
      <c r="B59" s="12" t="str">
        <f>CONCATENATE("     ","Freight out/Postage                               ")</f>
        <v xml:space="preserve">     Freight out/Postage                               </v>
      </c>
      <c r="C59" s="12"/>
      <c r="D59" s="1">
        <f>SUM(OSRRefD22_10x_0)</f>
        <v>16.46</v>
      </c>
      <c r="E59" s="1"/>
      <c r="F59" s="5">
        <f t="shared" si="48"/>
        <v>0</v>
      </c>
      <c r="G59" s="1"/>
      <c r="H59" s="1">
        <f>SUM(OSRRefH22_10x_0)</f>
        <v>0</v>
      </c>
      <c r="I59" s="1"/>
      <c r="J59" s="5">
        <f t="shared" si="49"/>
        <v>0</v>
      </c>
      <c r="K59" s="1"/>
      <c r="L59" s="1">
        <f t="shared" si="50"/>
        <v>16.46</v>
      </c>
      <c r="M59" s="1"/>
      <c r="N59" s="5">
        <f t="shared" si="51"/>
        <v>0</v>
      </c>
      <c r="O59" s="12"/>
      <c r="P59" s="1">
        <f>SUM(OSRRefP22_10x_0)</f>
        <v>2050.06</v>
      </c>
      <c r="Q59" s="1"/>
      <c r="R59" s="5">
        <f t="shared" si="52"/>
        <v>0</v>
      </c>
      <c r="S59" s="1"/>
      <c r="T59" s="1">
        <f>SUM(OSRRefT22_10x_0)</f>
        <v>29</v>
      </c>
      <c r="U59" s="1"/>
      <c r="V59" s="5">
        <f t="shared" si="53"/>
        <v>0</v>
      </c>
      <c r="W59" s="1"/>
      <c r="X59" s="1">
        <f t="shared" si="54"/>
        <v>2021.06</v>
      </c>
      <c r="Y59" s="1"/>
      <c r="Z59" s="5">
        <f t="shared" si="55"/>
        <v>69.691724137931033</v>
      </c>
    </row>
    <row r="60" spans="1:26" s="23" customFormat="1" hidden="1" outlineLevel="2" x14ac:dyDescent="0.25">
      <c r="A60" s="27"/>
      <c r="B60" s="10" t="str">
        <f>CONCATENATE("          ", "6307", " - ", "POSTAGE")</f>
        <v xml:space="preserve">          6307 - POSTAGE</v>
      </c>
      <c r="C60" s="10"/>
      <c r="D60" s="6">
        <v>16.46</v>
      </c>
      <c r="E60" s="2"/>
      <c r="F60" s="7">
        <f t="shared" si="48"/>
        <v>0</v>
      </c>
      <c r="G60" s="2"/>
      <c r="H60" s="6"/>
      <c r="I60" s="2"/>
      <c r="J60" s="7">
        <f t="shared" si="49"/>
        <v>0</v>
      </c>
      <c r="K60" s="2"/>
      <c r="L60" s="6">
        <f t="shared" si="50"/>
        <v>16.46</v>
      </c>
      <c r="M60" s="2"/>
      <c r="N60" s="7">
        <f t="shared" si="51"/>
        <v>0</v>
      </c>
      <c r="O60" s="10"/>
      <c r="P60" s="6">
        <v>2050.06</v>
      </c>
      <c r="Q60" s="2"/>
      <c r="R60" s="7">
        <f t="shared" si="52"/>
        <v>0</v>
      </c>
      <c r="S60" s="2"/>
      <c r="T60" s="6">
        <v>29</v>
      </c>
      <c r="U60" s="2"/>
      <c r="V60" s="7">
        <f t="shared" si="53"/>
        <v>0</v>
      </c>
      <c r="W60" s="2"/>
      <c r="X60" s="6">
        <f t="shared" si="54"/>
        <v>2021.06</v>
      </c>
      <c r="Y60" s="2"/>
      <c r="Z60" s="7">
        <f t="shared" si="55"/>
        <v>69.691724137931033</v>
      </c>
    </row>
    <row r="61" spans="1:26" s="26" customFormat="1" outlineLevel="1" collapsed="1" x14ac:dyDescent="0.25">
      <c r="A61" s="25"/>
      <c r="B61" s="12" t="str">
        <f>CONCATENATE("     ","General                                           ")</f>
        <v xml:space="preserve">     General                                           </v>
      </c>
      <c r="C61" s="12"/>
      <c r="D61" s="1">
        <f>SUM(OSRRefD22_11x_0)</f>
        <v>0</v>
      </c>
      <c r="E61" s="1"/>
      <c r="F61" s="5">
        <f t="shared" si="48"/>
        <v>0</v>
      </c>
      <c r="G61" s="1"/>
      <c r="H61" s="1">
        <f>SUM(OSRRefH22_11x_0)</f>
        <v>0</v>
      </c>
      <c r="I61" s="1"/>
      <c r="J61" s="5">
        <f t="shared" si="49"/>
        <v>0</v>
      </c>
      <c r="K61" s="1"/>
      <c r="L61" s="1">
        <f t="shared" si="50"/>
        <v>0</v>
      </c>
      <c r="M61" s="1"/>
      <c r="N61" s="5">
        <f t="shared" si="51"/>
        <v>0</v>
      </c>
      <c r="O61" s="12"/>
      <c r="P61" s="1">
        <f>SUM(OSRRefP22_11x_0)</f>
        <v>1386.81</v>
      </c>
      <c r="Q61" s="1"/>
      <c r="R61" s="5">
        <f t="shared" si="52"/>
        <v>0</v>
      </c>
      <c r="S61" s="1"/>
      <c r="T61" s="1">
        <f>SUM(OSRRefT22_11x_0)</f>
        <v>-11754.76</v>
      </c>
      <c r="U61" s="1"/>
      <c r="V61" s="5">
        <f t="shared" si="53"/>
        <v>0</v>
      </c>
      <c r="W61" s="1"/>
      <c r="X61" s="1">
        <f t="shared" si="54"/>
        <v>13141.57</v>
      </c>
      <c r="Y61" s="1"/>
      <c r="Z61" s="5">
        <f t="shared" si="55"/>
        <v>-1.1179785890992244</v>
      </c>
    </row>
    <row r="62" spans="1:26" s="23" customFormat="1" hidden="1" outlineLevel="2" x14ac:dyDescent="0.25">
      <c r="A62" s="27"/>
      <c r="B62" s="10" t="str">
        <f>CONCATENATE("          ", "6279", " - ", "GENERAL EXPENSE")</f>
        <v xml:space="preserve">          6279 - GENERAL EXPENSE</v>
      </c>
      <c r="C62" s="10"/>
      <c r="D62" s="6"/>
      <c r="E62" s="2"/>
      <c r="F62" s="7">
        <f t="shared" si="48"/>
        <v>0</v>
      </c>
      <c r="G62" s="2"/>
      <c r="H62" s="6"/>
      <c r="I62" s="2"/>
      <c r="J62" s="7">
        <f t="shared" si="49"/>
        <v>0</v>
      </c>
      <c r="K62" s="2"/>
      <c r="L62" s="6">
        <f t="shared" si="50"/>
        <v>0</v>
      </c>
      <c r="M62" s="2"/>
      <c r="N62" s="7">
        <f t="shared" si="51"/>
        <v>0</v>
      </c>
      <c r="O62" s="10"/>
      <c r="P62" s="6">
        <v>1386.81</v>
      </c>
      <c r="Q62" s="2"/>
      <c r="R62" s="7">
        <f t="shared" si="52"/>
        <v>0</v>
      </c>
      <c r="S62" s="2"/>
      <c r="T62" s="6">
        <v>-11754.76</v>
      </c>
      <c r="U62" s="2"/>
      <c r="V62" s="7">
        <f t="shared" si="53"/>
        <v>0</v>
      </c>
      <c r="W62" s="2"/>
      <c r="X62" s="6">
        <f t="shared" si="54"/>
        <v>13141.57</v>
      </c>
      <c r="Y62" s="2"/>
      <c r="Z62" s="7">
        <f t="shared" si="55"/>
        <v>-1.1179785890992244</v>
      </c>
    </row>
    <row r="63" spans="1:26" s="26" customFormat="1" outlineLevel="1" collapsed="1" x14ac:dyDescent="0.25">
      <c r="A63" s="25"/>
      <c r="B63" s="12" t="str">
        <f>CONCATENATE("     ","Insurance                                         ")</f>
        <v xml:space="preserve">     Insurance                                         </v>
      </c>
      <c r="C63" s="12"/>
      <c r="D63" s="1">
        <f>SUM(OSRRefD22_12x_0)</f>
        <v>3883.56</v>
      </c>
      <c r="E63" s="1"/>
      <c r="F63" s="5">
        <f t="shared" si="48"/>
        <v>0</v>
      </c>
      <c r="G63" s="1"/>
      <c r="H63" s="1">
        <f>SUM(OSRRefH22_12x_0)</f>
        <v>3883.56</v>
      </c>
      <c r="I63" s="1"/>
      <c r="J63" s="5">
        <f t="shared" si="49"/>
        <v>0</v>
      </c>
      <c r="K63" s="1"/>
      <c r="L63" s="1">
        <f t="shared" si="50"/>
        <v>0</v>
      </c>
      <c r="M63" s="1"/>
      <c r="N63" s="5">
        <f t="shared" si="51"/>
        <v>0</v>
      </c>
      <c r="O63" s="12"/>
      <c r="P63" s="1">
        <f>SUM(OSRRefP22_12x_0)</f>
        <v>38835.599999999999</v>
      </c>
      <c r="Q63" s="1"/>
      <c r="R63" s="5">
        <f t="shared" si="52"/>
        <v>0</v>
      </c>
      <c r="S63" s="1"/>
      <c r="T63" s="1">
        <f>SUM(OSRRefT22_12x_0)</f>
        <v>38835.599999999999</v>
      </c>
      <c r="U63" s="1"/>
      <c r="V63" s="5">
        <f t="shared" si="53"/>
        <v>0</v>
      </c>
      <c r="W63" s="1"/>
      <c r="X63" s="1">
        <f t="shared" si="54"/>
        <v>0</v>
      </c>
      <c r="Y63" s="1"/>
      <c r="Z63" s="5">
        <f t="shared" si="55"/>
        <v>0</v>
      </c>
    </row>
    <row r="64" spans="1:26" s="23" customFormat="1" hidden="1" outlineLevel="2" x14ac:dyDescent="0.25">
      <c r="A64" s="27"/>
      <c r="B64" s="10" t="str">
        <f>CONCATENATE("          ", "6314", " - ", "LIABILITY INSURANCE")</f>
        <v xml:space="preserve">          6314 - LIABILITY INSURANCE</v>
      </c>
      <c r="C64" s="10"/>
      <c r="D64" s="6">
        <v>3883.56</v>
      </c>
      <c r="E64" s="2"/>
      <c r="F64" s="7">
        <f t="shared" si="48"/>
        <v>0</v>
      </c>
      <c r="G64" s="2"/>
      <c r="H64" s="6">
        <v>3883.56</v>
      </c>
      <c r="I64" s="2"/>
      <c r="J64" s="7">
        <f t="shared" si="49"/>
        <v>0</v>
      </c>
      <c r="K64" s="2"/>
      <c r="L64" s="6">
        <f t="shared" si="50"/>
        <v>0</v>
      </c>
      <c r="M64" s="2"/>
      <c r="N64" s="7">
        <f t="shared" si="51"/>
        <v>0</v>
      </c>
      <c r="O64" s="10"/>
      <c r="P64" s="6">
        <v>38835.599999999999</v>
      </c>
      <c r="Q64" s="2"/>
      <c r="R64" s="7">
        <f t="shared" si="52"/>
        <v>0</v>
      </c>
      <c r="S64" s="2"/>
      <c r="T64" s="6">
        <v>38835.599999999999</v>
      </c>
      <c r="U64" s="2"/>
      <c r="V64" s="7">
        <f t="shared" si="53"/>
        <v>0</v>
      </c>
      <c r="W64" s="2"/>
      <c r="X64" s="6">
        <f t="shared" si="54"/>
        <v>0</v>
      </c>
      <c r="Y64" s="2"/>
      <c r="Z64" s="7">
        <f t="shared" si="55"/>
        <v>0</v>
      </c>
    </row>
    <row r="65" spans="1:26" s="26" customFormat="1" outlineLevel="1" collapsed="1" x14ac:dyDescent="0.25">
      <c r="A65" s="25"/>
      <c r="B65" s="12" t="str">
        <f>CONCATENATE("     ","Professional Services                             ")</f>
        <v xml:space="preserve">     Professional Services                             </v>
      </c>
      <c r="C65" s="12"/>
      <c r="D65" s="1">
        <f>SUM(OSRRefD22_13x_0)</f>
        <v>0</v>
      </c>
      <c r="E65" s="1"/>
      <c r="F65" s="5">
        <f t="shared" si="48"/>
        <v>0</v>
      </c>
      <c r="G65" s="1"/>
      <c r="H65" s="1">
        <f>SUM(OSRRefH22_13x_0)</f>
        <v>0</v>
      </c>
      <c r="I65" s="1"/>
      <c r="J65" s="5">
        <f t="shared" si="49"/>
        <v>0</v>
      </c>
      <c r="K65" s="1"/>
      <c r="L65" s="1">
        <f t="shared" si="50"/>
        <v>0</v>
      </c>
      <c r="M65" s="1"/>
      <c r="N65" s="5">
        <f t="shared" si="51"/>
        <v>0</v>
      </c>
      <c r="O65" s="12"/>
      <c r="P65" s="1">
        <f>SUM(OSRRefP22_13x_0)</f>
        <v>0</v>
      </c>
      <c r="Q65" s="1"/>
      <c r="R65" s="5">
        <f t="shared" si="52"/>
        <v>0</v>
      </c>
      <c r="S65" s="1"/>
      <c r="T65" s="1">
        <f>SUM(OSRRefT22_13x_0)</f>
        <v>4658.41</v>
      </c>
      <c r="U65" s="1"/>
      <c r="V65" s="5">
        <f t="shared" si="53"/>
        <v>0</v>
      </c>
      <c r="W65" s="1"/>
      <c r="X65" s="1">
        <f t="shared" si="54"/>
        <v>-4658.41</v>
      </c>
      <c r="Y65" s="1"/>
      <c r="Z65" s="5">
        <f t="shared" si="55"/>
        <v>-1</v>
      </c>
    </row>
    <row r="66" spans="1:26" s="23" customFormat="1" hidden="1" outlineLevel="2" x14ac:dyDescent="0.25">
      <c r="A66" s="27"/>
      <c r="B66" s="10" t="str">
        <f>CONCATENATE("          ", "6336", " - ", "PROFESSIONAL SERVICES")</f>
        <v xml:space="preserve">          6336 - PROFESSIONAL SERVICES</v>
      </c>
      <c r="C66" s="10"/>
      <c r="D66" s="6"/>
      <c r="E66" s="2"/>
      <c r="F66" s="7">
        <f t="shared" si="48"/>
        <v>0</v>
      </c>
      <c r="G66" s="2"/>
      <c r="H66" s="6"/>
      <c r="I66" s="2"/>
      <c r="J66" s="7">
        <f t="shared" si="49"/>
        <v>0</v>
      </c>
      <c r="K66" s="2"/>
      <c r="L66" s="6">
        <f t="shared" si="50"/>
        <v>0</v>
      </c>
      <c r="M66" s="2"/>
      <c r="N66" s="7">
        <f t="shared" si="51"/>
        <v>0</v>
      </c>
      <c r="O66" s="10"/>
      <c r="P66" s="6"/>
      <c r="Q66" s="2"/>
      <c r="R66" s="7">
        <f t="shared" si="52"/>
        <v>0</v>
      </c>
      <c r="S66" s="2"/>
      <c r="T66" s="6">
        <v>4658.41</v>
      </c>
      <c r="U66" s="2"/>
      <c r="V66" s="7">
        <f t="shared" si="53"/>
        <v>0</v>
      </c>
      <c r="W66" s="2"/>
      <c r="X66" s="6">
        <f t="shared" si="54"/>
        <v>-4658.41</v>
      </c>
      <c r="Y66" s="2"/>
      <c r="Z66" s="7">
        <f t="shared" si="55"/>
        <v>-1</v>
      </c>
    </row>
    <row r="67" spans="1:26" s="26" customFormat="1" outlineLevel="1" collapsed="1" x14ac:dyDescent="0.25">
      <c r="A67" s="25"/>
      <c r="B67" s="12" t="str">
        <f>CONCATENATE("     ","Rent                                              ")</f>
        <v xml:space="preserve">     Rent                                              </v>
      </c>
      <c r="C67" s="12"/>
      <c r="D67" s="1">
        <f>SUM(OSRRefD22_14x_0)</f>
        <v>-800</v>
      </c>
      <c r="E67" s="1"/>
      <c r="F67" s="5">
        <f t="shared" si="48"/>
        <v>0</v>
      </c>
      <c r="G67" s="1"/>
      <c r="H67" s="1">
        <f>SUM(OSRRefH22_14x_0)</f>
        <v>-800</v>
      </c>
      <c r="I67" s="1"/>
      <c r="J67" s="5">
        <f t="shared" si="49"/>
        <v>0</v>
      </c>
      <c r="K67" s="1"/>
      <c r="L67" s="1">
        <f t="shared" si="50"/>
        <v>0</v>
      </c>
      <c r="M67" s="1"/>
      <c r="N67" s="5">
        <f t="shared" si="51"/>
        <v>0</v>
      </c>
      <c r="O67" s="12"/>
      <c r="P67" s="1">
        <f>SUM(OSRRefP22_14x_0)</f>
        <v>-8000</v>
      </c>
      <c r="Q67" s="1"/>
      <c r="R67" s="5">
        <f t="shared" si="52"/>
        <v>0</v>
      </c>
      <c r="S67" s="1"/>
      <c r="T67" s="1">
        <f>SUM(OSRRefT22_14x_0)</f>
        <v>-6400</v>
      </c>
      <c r="U67" s="1"/>
      <c r="V67" s="5">
        <f t="shared" si="53"/>
        <v>0</v>
      </c>
      <c r="W67" s="1"/>
      <c r="X67" s="1">
        <f t="shared" si="54"/>
        <v>-1600</v>
      </c>
      <c r="Y67" s="1"/>
      <c r="Z67" s="5">
        <f t="shared" si="55"/>
        <v>0.25</v>
      </c>
    </row>
    <row r="68" spans="1:26" s="23" customFormat="1" hidden="1" outlineLevel="2" x14ac:dyDescent="0.25">
      <c r="A68" s="27"/>
      <c r="B68" s="10" t="str">
        <f>CONCATENATE("          ", "6273", " - ", "RENT")</f>
        <v xml:space="preserve">          6273 - RENT</v>
      </c>
      <c r="C68" s="10"/>
      <c r="D68" s="6">
        <v>-800</v>
      </c>
      <c r="E68" s="2"/>
      <c r="F68" s="7">
        <f t="shared" si="48"/>
        <v>0</v>
      </c>
      <c r="G68" s="2"/>
      <c r="H68" s="6">
        <v>-800</v>
      </c>
      <c r="I68" s="2"/>
      <c r="J68" s="7">
        <f t="shared" si="49"/>
        <v>0</v>
      </c>
      <c r="K68" s="2"/>
      <c r="L68" s="6">
        <f t="shared" si="50"/>
        <v>0</v>
      </c>
      <c r="M68" s="2"/>
      <c r="N68" s="7">
        <f t="shared" si="51"/>
        <v>0</v>
      </c>
      <c r="O68" s="10"/>
      <c r="P68" s="6">
        <v>-8000</v>
      </c>
      <c r="Q68" s="2"/>
      <c r="R68" s="7">
        <f t="shared" si="52"/>
        <v>0</v>
      </c>
      <c r="S68" s="2"/>
      <c r="T68" s="6">
        <v>-6400</v>
      </c>
      <c r="U68" s="2"/>
      <c r="V68" s="7">
        <f t="shared" si="53"/>
        <v>0</v>
      </c>
      <c r="W68" s="2"/>
      <c r="X68" s="6">
        <f t="shared" si="54"/>
        <v>-1600</v>
      </c>
      <c r="Y68" s="2"/>
      <c r="Z68" s="7">
        <f t="shared" si="55"/>
        <v>0.25</v>
      </c>
    </row>
    <row r="69" spans="1:26" s="26" customFormat="1" outlineLevel="1" collapsed="1" x14ac:dyDescent="0.25">
      <c r="A69" s="25"/>
      <c r="B69" s="12" t="str">
        <f>CONCATENATE("     ","Repair and Maintenance                            ")</f>
        <v xml:space="preserve">     Repair and Maintenance                            </v>
      </c>
      <c r="C69" s="12"/>
      <c r="D69" s="1">
        <f>SUM(OSRRefD22_15x_0)</f>
        <v>2128.54</v>
      </c>
      <c r="E69" s="1"/>
      <c r="F69" s="5">
        <f t="shared" si="48"/>
        <v>0</v>
      </c>
      <c r="G69" s="1"/>
      <c r="H69" s="1">
        <f>SUM(OSRRefH22_15x_0)</f>
        <v>2111.65</v>
      </c>
      <c r="I69" s="1"/>
      <c r="J69" s="5">
        <f t="shared" si="49"/>
        <v>0</v>
      </c>
      <c r="K69" s="1"/>
      <c r="L69" s="1">
        <f t="shared" si="50"/>
        <v>16.889999999999873</v>
      </c>
      <c r="M69" s="1"/>
      <c r="N69" s="5">
        <f t="shared" si="51"/>
        <v>7.9984845973527195E-3</v>
      </c>
      <c r="O69" s="12"/>
      <c r="P69" s="1">
        <f>SUM(OSRRefP22_15x_0)</f>
        <v>100788.09999999999</v>
      </c>
      <c r="Q69" s="1"/>
      <c r="R69" s="5">
        <f t="shared" si="52"/>
        <v>0</v>
      </c>
      <c r="S69" s="1"/>
      <c r="T69" s="1">
        <f>SUM(OSRRefT22_15x_0)</f>
        <v>60894.53</v>
      </c>
      <c r="U69" s="1"/>
      <c r="V69" s="5">
        <f t="shared" si="53"/>
        <v>0</v>
      </c>
      <c r="W69" s="1"/>
      <c r="X69" s="1">
        <f t="shared" si="54"/>
        <v>39893.569999999992</v>
      </c>
      <c r="Y69" s="1"/>
      <c r="Z69" s="5">
        <f t="shared" si="55"/>
        <v>0.65512567384952303</v>
      </c>
    </row>
    <row r="70" spans="1:26" s="23" customFormat="1" hidden="1" outlineLevel="2" x14ac:dyDescent="0.25">
      <c r="A70" s="27"/>
      <c r="B70" s="10" t="str">
        <f>CONCATENATE("          ", "6371", " - ", "COMPUTER SOFTWARE MAINTENANCE")</f>
        <v xml:space="preserve">          6371 - COMPUTER SOFTWARE MAINTENANCE</v>
      </c>
      <c r="C70" s="10"/>
      <c r="D70" s="6"/>
      <c r="E70" s="2"/>
      <c r="F70" s="7">
        <f t="shared" si="48"/>
        <v>0</v>
      </c>
      <c r="G70" s="2"/>
      <c r="H70" s="6">
        <v>631.04999999999995</v>
      </c>
      <c r="I70" s="2"/>
      <c r="J70" s="7">
        <f t="shared" si="49"/>
        <v>0</v>
      </c>
      <c r="K70" s="2"/>
      <c r="L70" s="6">
        <f t="shared" si="50"/>
        <v>-631.04999999999995</v>
      </c>
      <c r="M70" s="2"/>
      <c r="N70" s="7">
        <f t="shared" si="51"/>
        <v>-1</v>
      </c>
      <c r="O70" s="10"/>
      <c r="P70" s="6">
        <v>59760.03</v>
      </c>
      <c r="Q70" s="2"/>
      <c r="R70" s="7">
        <f t="shared" si="52"/>
        <v>0</v>
      </c>
      <c r="S70" s="2"/>
      <c r="T70" s="6">
        <v>16417.5</v>
      </c>
      <c r="U70" s="2"/>
      <c r="V70" s="7">
        <f t="shared" si="53"/>
        <v>0</v>
      </c>
      <c r="W70" s="2"/>
      <c r="X70" s="6">
        <f t="shared" si="54"/>
        <v>43342.53</v>
      </c>
      <c r="Y70" s="2"/>
      <c r="Z70" s="7">
        <f t="shared" si="55"/>
        <v>2.6400201005025123</v>
      </c>
    </row>
    <row r="71" spans="1:26" s="23" customFormat="1" hidden="1" outlineLevel="2" x14ac:dyDescent="0.25">
      <c r="A71" s="27"/>
      <c r="B71" s="10" t="str">
        <f>CONCATENATE("          ", "6372", " - ", "COMPUTER HARDWARE MAINTENANCE")</f>
        <v xml:space="preserve">          6372 - COMPUTER HARDWARE MAINTENANCE</v>
      </c>
      <c r="C71" s="10"/>
      <c r="D71" s="6"/>
      <c r="E71" s="2"/>
      <c r="F71" s="7">
        <f t="shared" si="48"/>
        <v>0</v>
      </c>
      <c r="G71" s="2"/>
      <c r="H71" s="6"/>
      <c r="I71" s="2"/>
      <c r="J71" s="7">
        <f t="shared" si="49"/>
        <v>0</v>
      </c>
      <c r="K71" s="2"/>
      <c r="L71" s="6">
        <f t="shared" si="50"/>
        <v>0</v>
      </c>
      <c r="M71" s="2"/>
      <c r="N71" s="7">
        <f t="shared" si="51"/>
        <v>0</v>
      </c>
      <c r="O71" s="10"/>
      <c r="P71" s="6">
        <v>-0.63</v>
      </c>
      <c r="Q71" s="2"/>
      <c r="R71" s="7">
        <f t="shared" si="52"/>
        <v>0</v>
      </c>
      <c r="S71" s="2"/>
      <c r="T71" s="6">
        <v>52.32</v>
      </c>
      <c r="U71" s="2"/>
      <c r="V71" s="7">
        <f t="shared" si="53"/>
        <v>0</v>
      </c>
      <c r="W71" s="2"/>
      <c r="X71" s="6">
        <f t="shared" si="54"/>
        <v>-52.95</v>
      </c>
      <c r="Y71" s="2"/>
      <c r="Z71" s="7">
        <f t="shared" si="55"/>
        <v>-1.0120412844036697</v>
      </c>
    </row>
    <row r="72" spans="1:26" s="23" customFormat="1" hidden="1" outlineLevel="2" x14ac:dyDescent="0.25">
      <c r="A72" s="27"/>
      <c r="B72" s="10" t="str">
        <f>CONCATENATE("          ", "6373", " - ", "MAINTENANCE CONTRACTS")</f>
        <v xml:space="preserve">          6373 - MAINTENANCE CONTRACTS</v>
      </c>
      <c r="C72" s="10"/>
      <c r="D72" s="6">
        <v>1308.71</v>
      </c>
      <c r="E72" s="2"/>
      <c r="F72" s="7">
        <f t="shared" si="48"/>
        <v>0</v>
      </c>
      <c r="G72" s="2"/>
      <c r="H72" s="6">
        <v>775</v>
      </c>
      <c r="I72" s="2"/>
      <c r="J72" s="7">
        <f t="shared" si="49"/>
        <v>0</v>
      </c>
      <c r="K72" s="2"/>
      <c r="L72" s="6">
        <f t="shared" si="50"/>
        <v>533.71</v>
      </c>
      <c r="M72" s="2"/>
      <c r="N72" s="7">
        <f t="shared" si="51"/>
        <v>0.6886580645161291</v>
      </c>
      <c r="O72" s="10"/>
      <c r="P72" s="6">
        <v>14425.83</v>
      </c>
      <c r="Q72" s="2"/>
      <c r="R72" s="7">
        <f t="shared" si="52"/>
        <v>0</v>
      </c>
      <c r="S72" s="2"/>
      <c r="T72" s="6">
        <v>9377.0499999999993</v>
      </c>
      <c r="U72" s="2"/>
      <c r="V72" s="7">
        <f t="shared" si="53"/>
        <v>0</v>
      </c>
      <c r="W72" s="2"/>
      <c r="X72" s="6">
        <f t="shared" si="54"/>
        <v>5048.7800000000007</v>
      </c>
      <c r="Y72" s="2"/>
      <c r="Z72" s="7">
        <f t="shared" si="55"/>
        <v>0.53841879908926593</v>
      </c>
    </row>
    <row r="73" spans="1:26" s="23" customFormat="1" hidden="1" outlineLevel="2" x14ac:dyDescent="0.25">
      <c r="A73" s="27"/>
      <c r="B73" s="10" t="str">
        <f>CONCATENATE("          ", "6375", " - ", "OUTSIDE REPAIRS &amp; MAINTENANCE")</f>
        <v xml:space="preserve">          6375 - OUTSIDE REPAIRS &amp; MAINTENANCE</v>
      </c>
      <c r="C73" s="10"/>
      <c r="D73" s="6">
        <v>819.83</v>
      </c>
      <c r="E73" s="2"/>
      <c r="F73" s="7">
        <f t="shared" si="48"/>
        <v>0</v>
      </c>
      <c r="G73" s="2"/>
      <c r="H73" s="6">
        <v>705.6</v>
      </c>
      <c r="I73" s="2"/>
      <c r="J73" s="7">
        <f t="shared" si="49"/>
        <v>0</v>
      </c>
      <c r="K73" s="2"/>
      <c r="L73" s="6">
        <f t="shared" si="50"/>
        <v>114.23000000000002</v>
      </c>
      <c r="M73" s="2"/>
      <c r="N73" s="7">
        <f t="shared" si="51"/>
        <v>0.16189058956916103</v>
      </c>
      <c r="O73" s="10"/>
      <c r="P73" s="6">
        <v>26602.87</v>
      </c>
      <c r="Q73" s="2"/>
      <c r="R73" s="7">
        <f t="shared" si="52"/>
        <v>0</v>
      </c>
      <c r="S73" s="2"/>
      <c r="T73" s="6">
        <v>35047.660000000003</v>
      </c>
      <c r="U73" s="2"/>
      <c r="V73" s="7">
        <f t="shared" si="53"/>
        <v>0</v>
      </c>
      <c r="W73" s="2"/>
      <c r="X73" s="6">
        <f t="shared" si="54"/>
        <v>-8444.7900000000045</v>
      </c>
      <c r="Y73" s="2"/>
      <c r="Z73" s="7">
        <f t="shared" si="55"/>
        <v>-0.24095160704024188</v>
      </c>
    </row>
    <row r="74" spans="1:26" s="26" customFormat="1" outlineLevel="1" collapsed="1" x14ac:dyDescent="0.25">
      <c r="A74" s="25"/>
      <c r="B74" s="12" t="str">
        <f>CONCATENATE("     ","Services                                          ")</f>
        <v xml:space="preserve">     Services                                          </v>
      </c>
      <c r="C74" s="12"/>
      <c r="D74" s="1">
        <f>SUM(OSRRefD22_16x_0)</f>
        <v>3850.73</v>
      </c>
      <c r="E74" s="1"/>
      <c r="F74" s="5">
        <f t="shared" ref="F74:F77" si="56">IF(D$12=0,0,D74/D$12)</f>
        <v>0</v>
      </c>
      <c r="G74" s="1"/>
      <c r="H74" s="1">
        <f>SUM(OSRRefH22_16x_0)</f>
        <v>4330.68</v>
      </c>
      <c r="I74" s="1"/>
      <c r="J74" s="5">
        <f t="shared" ref="J74:J77" si="57">IF(H$12=0,0,H74/H$12)</f>
        <v>0</v>
      </c>
      <c r="K74" s="1"/>
      <c r="L74" s="1">
        <f t="shared" ref="L74:L77" si="58">+D74-H74</f>
        <v>-479.95000000000027</v>
      </c>
      <c r="M74" s="1"/>
      <c r="N74" s="5">
        <f t="shared" ref="N74:N77" si="59">IF(H74=0,0,L74/H74)</f>
        <v>-0.11082555164546913</v>
      </c>
      <c r="O74" s="12"/>
      <c r="P74" s="1">
        <f>SUM(OSRRefP22_16x_0)</f>
        <v>39362.550000000003</v>
      </c>
      <c r="Q74" s="1"/>
      <c r="R74" s="5">
        <f t="shared" ref="R74:R77" si="60">IF(P$12=0,0,P74/P$12)</f>
        <v>0</v>
      </c>
      <c r="S74" s="1"/>
      <c r="T74" s="1">
        <f>SUM(OSRRefT22_16x_0)</f>
        <v>41481.630000000005</v>
      </c>
      <c r="U74" s="1"/>
      <c r="V74" s="5">
        <f t="shared" ref="V74:V77" si="61">IF(T$12=0,0,T74/T$12)</f>
        <v>0</v>
      </c>
      <c r="W74" s="1"/>
      <c r="X74" s="1">
        <f t="shared" ref="X74:X77" si="62">+P74-T74</f>
        <v>-2119.0800000000017</v>
      </c>
      <c r="Y74" s="1"/>
      <c r="Z74" s="5">
        <f t="shared" ref="Z74:Z77" si="63">IF(T74=0,0,X74/T74)</f>
        <v>-5.10847813839524E-2</v>
      </c>
    </row>
    <row r="75" spans="1:26" s="23" customFormat="1" hidden="1" outlineLevel="2" x14ac:dyDescent="0.25">
      <c r="A75" s="27"/>
      <c r="B75" s="10" t="str">
        <f>CONCATENATE("          ", "6282", " - ", "JANITORIAL/EXTERMINATOR EXPENS")</f>
        <v xml:space="preserve">          6282 - JANITORIAL/EXTERMINATOR EXPENS</v>
      </c>
      <c r="C75" s="10"/>
      <c r="D75" s="6"/>
      <c r="E75" s="2"/>
      <c r="F75" s="7">
        <f t="shared" si="56"/>
        <v>0</v>
      </c>
      <c r="G75" s="2"/>
      <c r="H75" s="6">
        <v>222.5</v>
      </c>
      <c r="I75" s="2"/>
      <c r="J75" s="7">
        <f t="shared" si="57"/>
        <v>0</v>
      </c>
      <c r="K75" s="2"/>
      <c r="L75" s="6">
        <f t="shared" si="58"/>
        <v>-222.5</v>
      </c>
      <c r="M75" s="2"/>
      <c r="N75" s="7">
        <f t="shared" si="59"/>
        <v>-1</v>
      </c>
      <c r="O75" s="10"/>
      <c r="P75" s="6">
        <v>7230.12</v>
      </c>
      <c r="Q75" s="2"/>
      <c r="R75" s="7">
        <f t="shared" si="60"/>
        <v>0</v>
      </c>
      <c r="S75" s="2"/>
      <c r="T75" s="6">
        <v>2225</v>
      </c>
      <c r="U75" s="2"/>
      <c r="V75" s="7">
        <f t="shared" si="61"/>
        <v>0</v>
      </c>
      <c r="W75" s="2"/>
      <c r="X75" s="6">
        <f t="shared" si="62"/>
        <v>5005.12</v>
      </c>
      <c r="Y75" s="2"/>
      <c r="Z75" s="7">
        <f t="shared" si="63"/>
        <v>2.2494921348314607</v>
      </c>
    </row>
    <row r="76" spans="1:26" s="23" customFormat="1" hidden="1" outlineLevel="2" x14ac:dyDescent="0.25">
      <c r="A76" s="27"/>
      <c r="B76" s="10" t="str">
        <f>CONCATENATE("          ", "6283", " - ", "PLANT SERVICE")</f>
        <v xml:space="preserve">          6283 - PLANT SERVICE</v>
      </c>
      <c r="C76" s="10"/>
      <c r="D76" s="6"/>
      <c r="E76" s="2"/>
      <c r="F76" s="7">
        <f t="shared" si="56"/>
        <v>0</v>
      </c>
      <c r="G76" s="2"/>
      <c r="H76" s="6"/>
      <c r="I76" s="2"/>
      <c r="J76" s="7">
        <f t="shared" si="57"/>
        <v>0</v>
      </c>
      <c r="K76" s="2"/>
      <c r="L76" s="6">
        <f t="shared" si="58"/>
        <v>0</v>
      </c>
      <c r="M76" s="2"/>
      <c r="N76" s="7">
        <f t="shared" si="59"/>
        <v>0</v>
      </c>
      <c r="O76" s="10"/>
      <c r="P76" s="6">
        <v>130</v>
      </c>
      <c r="Q76" s="2"/>
      <c r="R76" s="7">
        <f t="shared" si="60"/>
        <v>0</v>
      </c>
      <c r="S76" s="2"/>
      <c r="T76" s="6">
        <v>363.33</v>
      </c>
      <c r="U76" s="2"/>
      <c r="V76" s="7">
        <f t="shared" si="61"/>
        <v>0</v>
      </c>
      <c r="W76" s="2"/>
      <c r="X76" s="6">
        <f t="shared" si="62"/>
        <v>-233.32999999999998</v>
      </c>
      <c r="Y76" s="2"/>
      <c r="Z76" s="7">
        <f t="shared" si="63"/>
        <v>-0.6421985522802961</v>
      </c>
    </row>
    <row r="77" spans="1:26" s="23" customFormat="1" hidden="1" outlineLevel="2" x14ac:dyDescent="0.25">
      <c r="A77" s="27"/>
      <c r="B77" s="10" t="str">
        <f>CONCATENATE("          ", "6285", " - ", "JANITORIAL SERVICES")</f>
        <v xml:space="preserve">          6285 - JANITORIAL SERVICES</v>
      </c>
      <c r="C77" s="10"/>
      <c r="D77" s="6">
        <v>3850.73</v>
      </c>
      <c r="E77" s="2"/>
      <c r="F77" s="7">
        <f t="shared" si="56"/>
        <v>0</v>
      </c>
      <c r="G77" s="2"/>
      <c r="H77" s="6">
        <v>4108.18</v>
      </c>
      <c r="I77" s="2"/>
      <c r="J77" s="7">
        <f t="shared" si="57"/>
        <v>0</v>
      </c>
      <c r="K77" s="2"/>
      <c r="L77" s="6">
        <f t="shared" si="58"/>
        <v>-257.45000000000027</v>
      </c>
      <c r="M77" s="2"/>
      <c r="N77" s="7">
        <f t="shared" si="59"/>
        <v>-6.2667653316067037E-2</v>
      </c>
      <c r="O77" s="10"/>
      <c r="P77" s="6">
        <v>32002.43</v>
      </c>
      <c r="Q77" s="2"/>
      <c r="R77" s="7">
        <f t="shared" si="60"/>
        <v>0</v>
      </c>
      <c r="S77" s="2"/>
      <c r="T77" s="6">
        <v>38893.300000000003</v>
      </c>
      <c r="U77" s="2"/>
      <c r="V77" s="7">
        <f t="shared" si="61"/>
        <v>0</v>
      </c>
      <c r="W77" s="2"/>
      <c r="X77" s="6">
        <f t="shared" si="62"/>
        <v>-6890.8700000000026</v>
      </c>
      <c r="Y77" s="2"/>
      <c r="Z77" s="7">
        <f t="shared" si="63"/>
        <v>-0.17717370343992414</v>
      </c>
    </row>
    <row r="78" spans="1:26" s="26" customFormat="1" outlineLevel="1" collapsed="1" x14ac:dyDescent="0.25">
      <c r="A78" s="25"/>
      <c r="B78" s="12" t="str">
        <f>CONCATENATE("     ","Subscriptions &amp; Dues                              ")</f>
        <v xml:space="preserve">     Subscriptions &amp; Dues                              </v>
      </c>
      <c r="C78" s="12"/>
      <c r="D78" s="1">
        <f>SUM(OSRRefD22_17x_0)</f>
        <v>0</v>
      </c>
      <c r="E78" s="1"/>
      <c r="F78" s="5">
        <f t="shared" ref="F78:F80" si="64">IF(D$12=0,0,D78/D$12)</f>
        <v>0</v>
      </c>
      <c r="G78" s="1"/>
      <c r="H78" s="1">
        <f>SUM(OSRRefH22_17x_0)</f>
        <v>0</v>
      </c>
      <c r="I78" s="1"/>
      <c r="J78" s="5">
        <f t="shared" ref="J78:J80" si="65">IF(H$12=0,0,H78/H$12)</f>
        <v>0</v>
      </c>
      <c r="K78" s="1"/>
      <c r="L78" s="1">
        <f t="shared" ref="L78:L80" si="66">+D78-H78</f>
        <v>0</v>
      </c>
      <c r="M78" s="1"/>
      <c r="N78" s="5">
        <f t="shared" ref="N78:N80" si="67">IF(H78=0,0,L78/H78)</f>
        <v>0</v>
      </c>
      <c r="O78" s="12"/>
      <c r="P78" s="1">
        <f>SUM(OSRRefP22_17x_0)</f>
        <v>0</v>
      </c>
      <c r="Q78" s="1"/>
      <c r="R78" s="5">
        <f t="shared" ref="R78:R80" si="68">IF(P$12=0,0,P78/P$12)</f>
        <v>0</v>
      </c>
      <c r="S78" s="1"/>
      <c r="T78" s="1">
        <f>SUM(OSRRefT22_17x_0)</f>
        <v>1280.3</v>
      </c>
      <c r="U78" s="1"/>
      <c r="V78" s="5">
        <f t="shared" ref="V78:V80" si="69">IF(T$12=0,0,T78/T$12)</f>
        <v>0</v>
      </c>
      <c r="W78" s="1"/>
      <c r="X78" s="1">
        <f t="shared" ref="X78:X80" si="70">+P78-T78</f>
        <v>-1280.3</v>
      </c>
      <c r="Y78" s="1"/>
      <c r="Z78" s="5">
        <f t="shared" ref="Z78:Z80" si="71">IF(T78=0,0,X78/T78)</f>
        <v>-1</v>
      </c>
    </row>
    <row r="79" spans="1:26" s="23" customFormat="1" hidden="1" outlineLevel="2" x14ac:dyDescent="0.25">
      <c r="A79" s="27"/>
      <c r="B79" s="10" t="str">
        <f>CONCATENATE("          ", "6258", " - ", "MEMBERSHIP DUES")</f>
        <v xml:space="preserve">          6258 - MEMBERSHIP DUES</v>
      </c>
      <c r="C79" s="10"/>
      <c r="D79" s="6"/>
      <c r="E79" s="2"/>
      <c r="F79" s="7">
        <f t="shared" si="64"/>
        <v>0</v>
      </c>
      <c r="G79" s="2"/>
      <c r="H79" s="6"/>
      <c r="I79" s="2"/>
      <c r="J79" s="7">
        <f t="shared" si="65"/>
        <v>0</v>
      </c>
      <c r="K79" s="2"/>
      <c r="L79" s="6">
        <f t="shared" si="66"/>
        <v>0</v>
      </c>
      <c r="M79" s="2"/>
      <c r="N79" s="7">
        <f t="shared" si="67"/>
        <v>0</v>
      </c>
      <c r="O79" s="10"/>
      <c r="P79" s="6"/>
      <c r="Q79" s="2"/>
      <c r="R79" s="7">
        <f t="shared" si="68"/>
        <v>0</v>
      </c>
      <c r="S79" s="2"/>
      <c r="T79" s="6">
        <v>875</v>
      </c>
      <c r="U79" s="2"/>
      <c r="V79" s="7">
        <f t="shared" si="69"/>
        <v>0</v>
      </c>
      <c r="W79" s="2"/>
      <c r="X79" s="6">
        <f t="shared" si="70"/>
        <v>-875</v>
      </c>
      <c r="Y79" s="2"/>
      <c r="Z79" s="7">
        <f t="shared" si="71"/>
        <v>-1</v>
      </c>
    </row>
    <row r="80" spans="1:26" s="23" customFormat="1" hidden="1" outlineLevel="2" x14ac:dyDescent="0.25">
      <c r="A80" s="27"/>
      <c r="B80" s="10" t="str">
        <f>CONCATENATE("          ", "6275", " - ", "SUBSCRIPTIONS")</f>
        <v xml:space="preserve">          6275 - SUBSCRIPTIONS</v>
      </c>
      <c r="C80" s="10"/>
      <c r="D80" s="6"/>
      <c r="E80" s="2"/>
      <c r="F80" s="7">
        <f t="shared" si="64"/>
        <v>0</v>
      </c>
      <c r="G80" s="2"/>
      <c r="H80" s="6"/>
      <c r="I80" s="2"/>
      <c r="J80" s="7">
        <f t="shared" si="65"/>
        <v>0</v>
      </c>
      <c r="K80" s="2"/>
      <c r="L80" s="6">
        <f t="shared" si="66"/>
        <v>0</v>
      </c>
      <c r="M80" s="2"/>
      <c r="N80" s="7">
        <f t="shared" si="67"/>
        <v>0</v>
      </c>
      <c r="O80" s="10"/>
      <c r="P80" s="6"/>
      <c r="Q80" s="2"/>
      <c r="R80" s="7">
        <f t="shared" si="68"/>
        <v>0</v>
      </c>
      <c r="S80" s="2"/>
      <c r="T80" s="6">
        <v>405.3</v>
      </c>
      <c r="U80" s="2"/>
      <c r="V80" s="7">
        <f t="shared" si="69"/>
        <v>0</v>
      </c>
      <c r="W80" s="2"/>
      <c r="X80" s="6">
        <f t="shared" si="70"/>
        <v>-405.3</v>
      </c>
      <c r="Y80" s="2"/>
      <c r="Z80" s="7">
        <f t="shared" si="71"/>
        <v>-1</v>
      </c>
    </row>
    <row r="81" spans="1:26" s="26" customFormat="1" outlineLevel="1" collapsed="1" x14ac:dyDescent="0.25">
      <c r="A81" s="25"/>
      <c r="B81" s="12" t="str">
        <f>CONCATENATE("     ","Supplies                                          ")</f>
        <v xml:space="preserve">     Supplies                                          </v>
      </c>
      <c r="C81" s="12"/>
      <c r="D81" s="1">
        <f>SUM(OSRRefD22_18x_0)</f>
        <v>4644.67</v>
      </c>
      <c r="E81" s="1"/>
      <c r="F81" s="5">
        <f t="shared" ref="F81:F88" si="72">IF(D$12=0,0,D81/D$12)</f>
        <v>0</v>
      </c>
      <c r="G81" s="1"/>
      <c r="H81" s="1">
        <f>SUM(OSRRefH22_18x_0)</f>
        <v>573.82999999999993</v>
      </c>
      <c r="I81" s="1"/>
      <c r="J81" s="5">
        <f t="shared" ref="J81:J88" si="73">IF(H$12=0,0,H81/H$12)</f>
        <v>0</v>
      </c>
      <c r="K81" s="1"/>
      <c r="L81" s="1">
        <f t="shared" ref="L81:L88" si="74">+D81-H81</f>
        <v>4070.84</v>
      </c>
      <c r="M81" s="1"/>
      <c r="N81" s="5">
        <f t="shared" ref="N81:N88" si="75">IF(H81=0,0,L81/H81)</f>
        <v>7.0941568060226912</v>
      </c>
      <c r="O81" s="12"/>
      <c r="P81" s="1">
        <f>SUM(OSRRefP22_18x_0)</f>
        <v>64043.72</v>
      </c>
      <c r="Q81" s="1"/>
      <c r="R81" s="5">
        <f t="shared" ref="R81:R88" si="76">IF(P$12=0,0,P81/P$12)</f>
        <v>0</v>
      </c>
      <c r="S81" s="1"/>
      <c r="T81" s="1">
        <f>SUM(OSRRefT22_18x_0)</f>
        <v>14121.070000000002</v>
      </c>
      <c r="U81" s="1"/>
      <c r="V81" s="5">
        <f t="shared" ref="V81:V88" si="77">IF(T$12=0,0,T81/T$12)</f>
        <v>0</v>
      </c>
      <c r="W81" s="1"/>
      <c r="X81" s="1">
        <f t="shared" ref="X81:X88" si="78">+P81-T81</f>
        <v>49922.65</v>
      </c>
      <c r="Y81" s="1"/>
      <c r="Z81" s="5">
        <f t="shared" ref="Z81:Z88" si="79">IF(T81=0,0,X81/T81)</f>
        <v>3.5353305379833113</v>
      </c>
    </row>
    <row r="82" spans="1:26" s="23" customFormat="1" hidden="1" outlineLevel="2" x14ac:dyDescent="0.25">
      <c r="A82" s="27"/>
      <c r="B82" s="10" t="str">
        <f>CONCATENATE("          ", "6234", " - ", "EXPENDABLE SUPPLIES &amp; EQUIPMEN")</f>
        <v xml:space="preserve">          6234 - EXPENDABLE SUPPLIES &amp; EQUIPMEN</v>
      </c>
      <c r="C82" s="10"/>
      <c r="D82" s="6"/>
      <c r="E82" s="2"/>
      <c r="F82" s="7">
        <f t="shared" si="72"/>
        <v>0</v>
      </c>
      <c r="G82" s="2"/>
      <c r="H82" s="6"/>
      <c r="I82" s="2"/>
      <c r="J82" s="7">
        <f t="shared" si="73"/>
        <v>0</v>
      </c>
      <c r="K82" s="2"/>
      <c r="L82" s="6">
        <f t="shared" si="74"/>
        <v>0</v>
      </c>
      <c r="M82" s="2"/>
      <c r="N82" s="7">
        <f t="shared" si="75"/>
        <v>0</v>
      </c>
      <c r="O82" s="10"/>
      <c r="P82" s="6">
        <v>-449.34</v>
      </c>
      <c r="Q82" s="2"/>
      <c r="R82" s="7">
        <f t="shared" si="76"/>
        <v>0</v>
      </c>
      <c r="S82" s="2"/>
      <c r="T82" s="6">
        <v>1448.29</v>
      </c>
      <c r="U82" s="2"/>
      <c r="V82" s="7">
        <f t="shared" si="77"/>
        <v>0</v>
      </c>
      <c r="W82" s="2"/>
      <c r="X82" s="6">
        <f t="shared" si="78"/>
        <v>-1897.6299999999999</v>
      </c>
      <c r="Y82" s="2"/>
      <c r="Z82" s="7">
        <f t="shared" si="79"/>
        <v>-1.3102555427435112</v>
      </c>
    </row>
    <row r="83" spans="1:26" s="23" customFormat="1" hidden="1" outlineLevel="2" x14ac:dyDescent="0.25">
      <c r="A83" s="27"/>
      <c r="B83" s="10" t="str">
        <f>CONCATENATE("          ", "6235", " - ", "COVID-19 EXPENSES")</f>
        <v xml:space="preserve">          6235 - COVID-19 EXPENSES</v>
      </c>
      <c r="C83" s="10"/>
      <c r="D83" s="6">
        <v>3407.79</v>
      </c>
      <c r="E83" s="2"/>
      <c r="F83" s="7">
        <f t="shared" si="72"/>
        <v>0</v>
      </c>
      <c r="G83" s="2"/>
      <c r="H83" s="6"/>
      <c r="I83" s="2"/>
      <c r="J83" s="7">
        <f t="shared" si="73"/>
        <v>0</v>
      </c>
      <c r="K83" s="2"/>
      <c r="L83" s="6">
        <f t="shared" si="74"/>
        <v>3407.79</v>
      </c>
      <c r="M83" s="2"/>
      <c r="N83" s="7">
        <f t="shared" si="75"/>
        <v>0</v>
      </c>
      <c r="O83" s="10"/>
      <c r="P83" s="6">
        <v>39022.449999999997</v>
      </c>
      <c r="Q83" s="2"/>
      <c r="R83" s="7">
        <f t="shared" si="76"/>
        <v>0</v>
      </c>
      <c r="S83" s="2"/>
      <c r="T83" s="6"/>
      <c r="U83" s="2"/>
      <c r="V83" s="7">
        <f t="shared" si="77"/>
        <v>0</v>
      </c>
      <c r="W83" s="2"/>
      <c r="X83" s="6">
        <f t="shared" si="78"/>
        <v>39022.449999999997</v>
      </c>
      <c r="Y83" s="2"/>
      <c r="Z83" s="7">
        <f t="shared" si="79"/>
        <v>0</v>
      </c>
    </row>
    <row r="84" spans="1:26" s="23" customFormat="1" hidden="1" outlineLevel="2" x14ac:dyDescent="0.25">
      <c r="A84" s="27"/>
      <c r="B84" s="10" t="str">
        <f>CONCATENATE("          ", "6237", " - ", "JANITORIAL SUPPLIES")</f>
        <v xml:space="preserve">          6237 - JANITORIAL SUPPLIES</v>
      </c>
      <c r="C84" s="10"/>
      <c r="D84" s="6">
        <v>588.30999999999995</v>
      </c>
      <c r="E84" s="2"/>
      <c r="F84" s="7">
        <f t="shared" si="72"/>
        <v>0</v>
      </c>
      <c r="G84" s="2"/>
      <c r="H84" s="6">
        <v>482.39</v>
      </c>
      <c r="I84" s="2"/>
      <c r="J84" s="7">
        <f t="shared" si="73"/>
        <v>0</v>
      </c>
      <c r="K84" s="2"/>
      <c r="L84" s="6">
        <f t="shared" si="74"/>
        <v>105.91999999999996</v>
      </c>
      <c r="M84" s="2"/>
      <c r="N84" s="7">
        <f t="shared" si="75"/>
        <v>0.21957337424075948</v>
      </c>
      <c r="O84" s="10"/>
      <c r="P84" s="6">
        <v>3297.81</v>
      </c>
      <c r="Q84" s="2"/>
      <c r="R84" s="7">
        <f t="shared" si="76"/>
        <v>0</v>
      </c>
      <c r="S84" s="2"/>
      <c r="T84" s="6">
        <v>4407.67</v>
      </c>
      <c r="U84" s="2"/>
      <c r="V84" s="7">
        <f t="shared" si="77"/>
        <v>0</v>
      </c>
      <c r="W84" s="2"/>
      <c r="X84" s="6">
        <f t="shared" si="78"/>
        <v>-1109.8600000000001</v>
      </c>
      <c r="Y84" s="2"/>
      <c r="Z84" s="7">
        <f t="shared" si="79"/>
        <v>-0.25180197247071584</v>
      </c>
    </row>
    <row r="85" spans="1:26" s="23" customFormat="1" hidden="1" outlineLevel="2" x14ac:dyDescent="0.25">
      <c r="A85" s="27"/>
      <c r="B85" s="10" t="str">
        <f>CONCATENATE("          ", "6241", " - ", "OFFICE EXPENSE")</f>
        <v xml:space="preserve">          6241 - OFFICE EXPENSE</v>
      </c>
      <c r="C85" s="10"/>
      <c r="D85" s="6">
        <v>9.68</v>
      </c>
      <c r="E85" s="2"/>
      <c r="F85" s="7">
        <f t="shared" si="72"/>
        <v>0</v>
      </c>
      <c r="G85" s="2"/>
      <c r="H85" s="6">
        <v>47.53</v>
      </c>
      <c r="I85" s="2"/>
      <c r="J85" s="7">
        <f t="shared" si="73"/>
        <v>0</v>
      </c>
      <c r="K85" s="2"/>
      <c r="L85" s="6">
        <f t="shared" si="74"/>
        <v>-37.85</v>
      </c>
      <c r="M85" s="2"/>
      <c r="N85" s="7">
        <f t="shared" si="75"/>
        <v>-0.79633915421838841</v>
      </c>
      <c r="O85" s="10"/>
      <c r="P85" s="6">
        <v>2872.57</v>
      </c>
      <c r="Q85" s="2"/>
      <c r="R85" s="7">
        <f t="shared" si="76"/>
        <v>0</v>
      </c>
      <c r="S85" s="2"/>
      <c r="T85" s="6">
        <v>8655.1200000000008</v>
      </c>
      <c r="U85" s="2"/>
      <c r="V85" s="7">
        <f t="shared" si="77"/>
        <v>0</v>
      </c>
      <c r="W85" s="2"/>
      <c r="X85" s="6">
        <f t="shared" si="78"/>
        <v>-5782.5500000000011</v>
      </c>
      <c r="Y85" s="2"/>
      <c r="Z85" s="7">
        <f t="shared" si="79"/>
        <v>-0.66810743236373393</v>
      </c>
    </row>
    <row r="86" spans="1:26" s="23" customFormat="1" hidden="1" outlineLevel="2" x14ac:dyDescent="0.25">
      <c r="A86" s="27"/>
      <c r="B86" s="10" t="str">
        <f>CONCATENATE("          ", "6245", " - ", "PRINTING")</f>
        <v xml:space="preserve">          6245 - PRINTING</v>
      </c>
      <c r="C86" s="10"/>
      <c r="D86" s="6"/>
      <c r="E86" s="2"/>
      <c r="F86" s="7">
        <f t="shared" si="72"/>
        <v>0</v>
      </c>
      <c r="G86" s="2"/>
      <c r="H86" s="6"/>
      <c r="I86" s="2"/>
      <c r="J86" s="7">
        <f t="shared" si="73"/>
        <v>0</v>
      </c>
      <c r="K86" s="2"/>
      <c r="L86" s="6">
        <f t="shared" si="74"/>
        <v>0</v>
      </c>
      <c r="M86" s="2"/>
      <c r="N86" s="7">
        <f t="shared" si="75"/>
        <v>0</v>
      </c>
      <c r="O86" s="10"/>
      <c r="P86" s="6">
        <v>68.66</v>
      </c>
      <c r="Q86" s="2"/>
      <c r="R86" s="7">
        <f t="shared" si="76"/>
        <v>0</v>
      </c>
      <c r="S86" s="2"/>
      <c r="T86" s="6">
        <v>19.73</v>
      </c>
      <c r="U86" s="2"/>
      <c r="V86" s="7">
        <f t="shared" si="77"/>
        <v>0</v>
      </c>
      <c r="W86" s="2"/>
      <c r="X86" s="6">
        <f t="shared" si="78"/>
        <v>48.929999999999993</v>
      </c>
      <c r="Y86" s="2"/>
      <c r="Z86" s="7">
        <f t="shared" si="79"/>
        <v>2.4799797263051189</v>
      </c>
    </row>
    <row r="87" spans="1:26" s="23" customFormat="1" hidden="1" outlineLevel="2" x14ac:dyDescent="0.25">
      <c r="A87" s="27"/>
      <c r="B87" s="10" t="str">
        <f>CONCATENATE("          ", "6247", " - ", "STORE SUPPLIES")</f>
        <v xml:space="preserve">          6247 - STORE SUPPLIES</v>
      </c>
      <c r="C87" s="10"/>
      <c r="D87" s="6">
        <v>638.89</v>
      </c>
      <c r="E87" s="2"/>
      <c r="F87" s="7">
        <f t="shared" si="72"/>
        <v>0</v>
      </c>
      <c r="G87" s="2"/>
      <c r="H87" s="6"/>
      <c r="I87" s="2"/>
      <c r="J87" s="7">
        <f t="shared" si="73"/>
        <v>0</v>
      </c>
      <c r="K87" s="2"/>
      <c r="L87" s="6">
        <f t="shared" si="74"/>
        <v>638.89</v>
      </c>
      <c r="M87" s="2"/>
      <c r="N87" s="7">
        <f t="shared" si="75"/>
        <v>0</v>
      </c>
      <c r="O87" s="10"/>
      <c r="P87" s="6">
        <v>19231.57</v>
      </c>
      <c r="Q87" s="2"/>
      <c r="R87" s="7">
        <f t="shared" si="76"/>
        <v>0</v>
      </c>
      <c r="S87" s="2"/>
      <c r="T87" s="6">
        <v>-453.65</v>
      </c>
      <c r="U87" s="2"/>
      <c r="V87" s="7">
        <f t="shared" si="77"/>
        <v>0</v>
      </c>
      <c r="W87" s="2"/>
      <c r="X87" s="6">
        <f t="shared" si="78"/>
        <v>19685.22</v>
      </c>
      <c r="Y87" s="2"/>
      <c r="Z87" s="7">
        <f t="shared" si="79"/>
        <v>-43.392968147250087</v>
      </c>
    </row>
    <row r="88" spans="1:26" s="23" customFormat="1" hidden="1" outlineLevel="2" x14ac:dyDescent="0.25">
      <c r="A88" s="27"/>
      <c r="B88" s="10" t="str">
        <f>CONCATENATE("          ", "6248", " - ", "UNIFORMS")</f>
        <v xml:space="preserve">          6248 - UNIFORMS</v>
      </c>
      <c r="C88" s="10"/>
      <c r="D88" s="6"/>
      <c r="E88" s="2"/>
      <c r="F88" s="7">
        <f t="shared" si="72"/>
        <v>0</v>
      </c>
      <c r="G88" s="2"/>
      <c r="H88" s="6">
        <v>43.91</v>
      </c>
      <c r="I88" s="2"/>
      <c r="J88" s="7">
        <f t="shared" si="73"/>
        <v>0</v>
      </c>
      <c r="K88" s="2"/>
      <c r="L88" s="6">
        <f t="shared" si="74"/>
        <v>-43.91</v>
      </c>
      <c r="M88" s="2"/>
      <c r="N88" s="7">
        <f t="shared" si="75"/>
        <v>-1</v>
      </c>
      <c r="O88" s="10"/>
      <c r="P88" s="6"/>
      <c r="Q88" s="2"/>
      <c r="R88" s="7">
        <f t="shared" si="76"/>
        <v>0</v>
      </c>
      <c r="S88" s="2"/>
      <c r="T88" s="6">
        <v>43.91</v>
      </c>
      <c r="U88" s="2"/>
      <c r="V88" s="7">
        <f t="shared" si="77"/>
        <v>0</v>
      </c>
      <c r="W88" s="2"/>
      <c r="X88" s="6">
        <f t="shared" si="78"/>
        <v>-43.91</v>
      </c>
      <c r="Y88" s="2"/>
      <c r="Z88" s="7">
        <f t="shared" si="79"/>
        <v>-1</v>
      </c>
    </row>
    <row r="89" spans="1:26" s="26" customFormat="1" outlineLevel="1" collapsed="1" x14ac:dyDescent="0.25">
      <c r="A89" s="25"/>
      <c r="B89" s="12" t="str">
        <f>CONCATENATE("     ","Telephone/Data Lines                              ")</f>
        <v xml:space="preserve">     Telephone/Data Lines                              </v>
      </c>
      <c r="C89" s="12"/>
      <c r="D89" s="1">
        <f>SUM(OSRRefD22_19x_0)</f>
        <v>493.71</v>
      </c>
      <c r="E89" s="1"/>
      <c r="F89" s="5">
        <f t="shared" ref="F89:F96" si="80">IF(D$12=0,0,D89/D$12)</f>
        <v>0</v>
      </c>
      <c r="G89" s="1"/>
      <c r="H89" s="1">
        <f>SUM(OSRRefH22_19x_0)</f>
        <v>606.77</v>
      </c>
      <c r="I89" s="1"/>
      <c r="J89" s="5">
        <f t="shared" ref="J89:J96" si="81">IF(H$12=0,0,H89/H$12)</f>
        <v>0</v>
      </c>
      <c r="K89" s="1"/>
      <c r="L89" s="1">
        <f t="shared" ref="L89:L96" si="82">+D89-H89</f>
        <v>-113.06</v>
      </c>
      <c r="M89" s="1"/>
      <c r="N89" s="5">
        <f t="shared" ref="N89:N96" si="83">IF(H89=0,0,L89/H89)</f>
        <v>-0.18633089968192232</v>
      </c>
      <c r="O89" s="12"/>
      <c r="P89" s="1">
        <f>SUM(OSRRefP22_19x_0)</f>
        <v>5723.25</v>
      </c>
      <c r="Q89" s="1"/>
      <c r="R89" s="5">
        <f t="shared" ref="R89:R96" si="84">IF(P$12=0,0,P89/P$12)</f>
        <v>0</v>
      </c>
      <c r="S89" s="1"/>
      <c r="T89" s="1">
        <f>SUM(OSRRefT22_19x_0)</f>
        <v>5381.37</v>
      </c>
      <c r="U89" s="1"/>
      <c r="V89" s="5">
        <f t="shared" ref="V89:V96" si="85">IF(T$12=0,0,T89/T$12)</f>
        <v>0</v>
      </c>
      <c r="W89" s="1"/>
      <c r="X89" s="1">
        <f t="shared" ref="X89:X96" si="86">+P89-T89</f>
        <v>341.88000000000011</v>
      </c>
      <c r="Y89" s="1"/>
      <c r="Z89" s="5">
        <f t="shared" ref="Z89:Z96" si="87">IF(T89=0,0,X89/T89)</f>
        <v>6.3530290613728502E-2</v>
      </c>
    </row>
    <row r="90" spans="1:26" s="23" customFormat="1" hidden="1" outlineLevel="2" x14ac:dyDescent="0.25">
      <c r="A90" s="27"/>
      <c r="B90" s="10" t="str">
        <f>CONCATENATE("          ", "6309", " - ", "TELEPHONE")</f>
        <v xml:space="preserve">          6309 - TELEPHONE</v>
      </c>
      <c r="C90" s="10"/>
      <c r="D90" s="6">
        <v>493.71</v>
      </c>
      <c r="E90" s="2"/>
      <c r="F90" s="7">
        <f t="shared" si="80"/>
        <v>0</v>
      </c>
      <c r="G90" s="2"/>
      <c r="H90" s="6">
        <v>606.77</v>
      </c>
      <c r="I90" s="2"/>
      <c r="J90" s="7">
        <f t="shared" si="81"/>
        <v>0</v>
      </c>
      <c r="K90" s="2"/>
      <c r="L90" s="6">
        <f t="shared" si="82"/>
        <v>-113.06</v>
      </c>
      <c r="M90" s="2"/>
      <c r="N90" s="7">
        <f t="shared" si="83"/>
        <v>-0.18633089968192232</v>
      </c>
      <c r="O90" s="10"/>
      <c r="P90" s="6">
        <v>5723.25</v>
      </c>
      <c r="Q90" s="2"/>
      <c r="R90" s="7">
        <f t="shared" si="84"/>
        <v>0</v>
      </c>
      <c r="S90" s="2"/>
      <c r="T90" s="6">
        <v>5381.37</v>
      </c>
      <c r="U90" s="2"/>
      <c r="V90" s="7">
        <f t="shared" si="85"/>
        <v>0</v>
      </c>
      <c r="W90" s="2"/>
      <c r="X90" s="6">
        <f t="shared" si="86"/>
        <v>341.88000000000011</v>
      </c>
      <c r="Y90" s="2"/>
      <c r="Z90" s="7">
        <f t="shared" si="87"/>
        <v>6.3530290613728502E-2</v>
      </c>
    </row>
    <row r="91" spans="1:26" s="26" customFormat="1" outlineLevel="1" collapsed="1" x14ac:dyDescent="0.25">
      <c r="A91" s="25"/>
      <c r="B91" s="12" t="str">
        <f>CONCATENATE("     ","Training                                          ")</f>
        <v xml:space="preserve">     Training                                          </v>
      </c>
      <c r="C91" s="12"/>
      <c r="D91" s="1">
        <f>SUM(OSRRefD22_20x_0)</f>
        <v>0</v>
      </c>
      <c r="E91" s="1"/>
      <c r="F91" s="5">
        <f t="shared" si="80"/>
        <v>0</v>
      </c>
      <c r="G91" s="1"/>
      <c r="H91" s="1">
        <f>SUM(OSRRefH22_20x_0)</f>
        <v>1350</v>
      </c>
      <c r="I91" s="1"/>
      <c r="J91" s="5">
        <f t="shared" si="81"/>
        <v>0</v>
      </c>
      <c r="K91" s="1"/>
      <c r="L91" s="1">
        <f t="shared" si="82"/>
        <v>-1350</v>
      </c>
      <c r="M91" s="1"/>
      <c r="N91" s="5">
        <f t="shared" si="83"/>
        <v>-1</v>
      </c>
      <c r="O91" s="12"/>
      <c r="P91" s="1">
        <f>SUM(OSRRefP22_20x_0)</f>
        <v>881.63</v>
      </c>
      <c r="Q91" s="1"/>
      <c r="R91" s="5">
        <f t="shared" si="84"/>
        <v>0</v>
      </c>
      <c r="S91" s="1"/>
      <c r="T91" s="1">
        <f>SUM(OSRRefT22_20x_0)</f>
        <v>11802.68</v>
      </c>
      <c r="U91" s="1"/>
      <c r="V91" s="5">
        <f t="shared" si="85"/>
        <v>0</v>
      </c>
      <c r="W91" s="1"/>
      <c r="X91" s="1">
        <f t="shared" si="86"/>
        <v>-10921.050000000001</v>
      </c>
      <c r="Y91" s="1"/>
      <c r="Z91" s="5">
        <f t="shared" si="87"/>
        <v>-0.92530255840199016</v>
      </c>
    </row>
    <row r="92" spans="1:26" s="23" customFormat="1" hidden="1" outlineLevel="2" x14ac:dyDescent="0.25">
      <c r="A92" s="27"/>
      <c r="B92" s="10" t="str">
        <f>CONCATENATE("          ", "6376", " - ", "TRAINING")</f>
        <v xml:space="preserve">          6376 - TRAINING</v>
      </c>
      <c r="C92" s="10"/>
      <c r="D92" s="6"/>
      <c r="E92" s="2"/>
      <c r="F92" s="7">
        <f t="shared" si="80"/>
        <v>0</v>
      </c>
      <c r="G92" s="2"/>
      <c r="H92" s="6">
        <v>1350</v>
      </c>
      <c r="I92" s="2"/>
      <c r="J92" s="7">
        <f t="shared" si="81"/>
        <v>0</v>
      </c>
      <c r="K92" s="2"/>
      <c r="L92" s="6">
        <f t="shared" si="82"/>
        <v>-1350</v>
      </c>
      <c r="M92" s="2"/>
      <c r="N92" s="7">
        <f t="shared" si="83"/>
        <v>-1</v>
      </c>
      <c r="O92" s="10"/>
      <c r="P92" s="6">
        <v>881.63</v>
      </c>
      <c r="Q92" s="2"/>
      <c r="R92" s="7">
        <f t="shared" si="84"/>
        <v>0</v>
      </c>
      <c r="S92" s="2"/>
      <c r="T92" s="6">
        <v>11802.68</v>
      </c>
      <c r="U92" s="2"/>
      <c r="V92" s="7">
        <f t="shared" si="85"/>
        <v>0</v>
      </c>
      <c r="W92" s="2"/>
      <c r="X92" s="6">
        <f t="shared" si="86"/>
        <v>-10921.050000000001</v>
      </c>
      <c r="Y92" s="2"/>
      <c r="Z92" s="7">
        <f t="shared" si="87"/>
        <v>-0.92530255840199016</v>
      </c>
    </row>
    <row r="93" spans="1:26" s="26" customFormat="1" outlineLevel="1" collapsed="1" x14ac:dyDescent="0.25">
      <c r="A93" s="25"/>
      <c r="B93" s="12" t="str">
        <f>CONCATENATE("     ","Travel                                            ")</f>
        <v xml:space="preserve">     Travel                                            </v>
      </c>
      <c r="C93" s="12"/>
      <c r="D93" s="1">
        <f>SUM(OSRRefD22_21x_0)</f>
        <v>0</v>
      </c>
      <c r="E93" s="1"/>
      <c r="F93" s="5">
        <f t="shared" si="80"/>
        <v>0</v>
      </c>
      <c r="G93" s="1"/>
      <c r="H93" s="1">
        <f>SUM(OSRRefH22_21x_0)</f>
        <v>85.45</v>
      </c>
      <c r="I93" s="1"/>
      <c r="J93" s="5">
        <f t="shared" si="81"/>
        <v>0</v>
      </c>
      <c r="K93" s="1"/>
      <c r="L93" s="1">
        <f t="shared" si="82"/>
        <v>-85.45</v>
      </c>
      <c r="M93" s="1"/>
      <c r="N93" s="5">
        <f t="shared" si="83"/>
        <v>-1</v>
      </c>
      <c r="O93" s="12"/>
      <c r="P93" s="1">
        <f>SUM(OSRRefP22_21x_0)</f>
        <v>358.89</v>
      </c>
      <c r="Q93" s="1"/>
      <c r="R93" s="5">
        <f t="shared" si="84"/>
        <v>0</v>
      </c>
      <c r="S93" s="1"/>
      <c r="T93" s="1">
        <f>SUM(OSRRefT22_21x_0)</f>
        <v>943.89</v>
      </c>
      <c r="U93" s="1"/>
      <c r="V93" s="5">
        <f t="shared" si="85"/>
        <v>0</v>
      </c>
      <c r="W93" s="1"/>
      <c r="X93" s="1">
        <f t="shared" si="86"/>
        <v>-585</v>
      </c>
      <c r="Y93" s="1"/>
      <c r="Z93" s="5">
        <f t="shared" si="87"/>
        <v>-0.61977560944601595</v>
      </c>
    </row>
    <row r="94" spans="1:26" s="23" customFormat="1" hidden="1" outlineLevel="2" x14ac:dyDescent="0.25">
      <c r="A94" s="27"/>
      <c r="B94" s="10" t="str">
        <f>CONCATENATE("          ", "6292", " - ", "TRAVEL/CONFERENCE")</f>
        <v xml:space="preserve">          6292 - TRAVEL/CONFERENCE</v>
      </c>
      <c r="C94" s="10"/>
      <c r="D94" s="6"/>
      <c r="E94" s="2"/>
      <c r="F94" s="7">
        <f t="shared" si="80"/>
        <v>0</v>
      </c>
      <c r="G94" s="2"/>
      <c r="H94" s="6"/>
      <c r="I94" s="2"/>
      <c r="J94" s="7">
        <f t="shared" si="81"/>
        <v>0</v>
      </c>
      <c r="K94" s="2"/>
      <c r="L94" s="6">
        <f t="shared" si="82"/>
        <v>0</v>
      </c>
      <c r="M94" s="2"/>
      <c r="N94" s="7">
        <f t="shared" si="83"/>
        <v>0</v>
      </c>
      <c r="O94" s="10"/>
      <c r="P94" s="6">
        <v>299</v>
      </c>
      <c r="Q94" s="2"/>
      <c r="R94" s="7">
        <f t="shared" si="84"/>
        <v>0</v>
      </c>
      <c r="S94" s="2"/>
      <c r="T94" s="6">
        <v>636.70000000000005</v>
      </c>
      <c r="U94" s="2"/>
      <c r="V94" s="7">
        <f t="shared" si="85"/>
        <v>0</v>
      </c>
      <c r="W94" s="2"/>
      <c r="X94" s="6">
        <f t="shared" si="86"/>
        <v>-337.70000000000005</v>
      </c>
      <c r="Y94" s="2"/>
      <c r="Z94" s="7">
        <f t="shared" si="87"/>
        <v>-0.5303910790010995</v>
      </c>
    </row>
    <row r="95" spans="1:26" s="23" customFormat="1" hidden="1" outlineLevel="2" x14ac:dyDescent="0.25">
      <c r="A95" s="27"/>
      <c r="B95" s="10" t="str">
        <f>CONCATENATE("          ", "6294", " - ", "TRAVEL OPERATIONAL")</f>
        <v xml:space="preserve">          6294 - TRAVEL OPERATIONAL</v>
      </c>
      <c r="C95" s="10"/>
      <c r="D95" s="6"/>
      <c r="E95" s="2"/>
      <c r="F95" s="7">
        <f t="shared" si="80"/>
        <v>0</v>
      </c>
      <c r="G95" s="2"/>
      <c r="H95" s="6"/>
      <c r="I95" s="2"/>
      <c r="J95" s="7">
        <f t="shared" si="81"/>
        <v>0</v>
      </c>
      <c r="K95" s="2"/>
      <c r="L95" s="6">
        <f t="shared" si="82"/>
        <v>0</v>
      </c>
      <c r="M95" s="2"/>
      <c r="N95" s="7">
        <f t="shared" si="83"/>
        <v>0</v>
      </c>
      <c r="O95" s="10"/>
      <c r="P95" s="6"/>
      <c r="Q95" s="2"/>
      <c r="R95" s="7">
        <f t="shared" si="84"/>
        <v>0</v>
      </c>
      <c r="S95" s="2"/>
      <c r="T95" s="6">
        <v>-144.33000000000001</v>
      </c>
      <c r="U95" s="2"/>
      <c r="V95" s="7">
        <f t="shared" si="85"/>
        <v>0</v>
      </c>
      <c r="W95" s="2"/>
      <c r="X95" s="6">
        <f t="shared" si="86"/>
        <v>144.33000000000001</v>
      </c>
      <c r="Y95" s="2"/>
      <c r="Z95" s="7">
        <f t="shared" si="87"/>
        <v>-1</v>
      </c>
    </row>
    <row r="96" spans="1:26" s="23" customFormat="1" hidden="1" outlineLevel="2" x14ac:dyDescent="0.25">
      <c r="A96" s="27"/>
      <c r="B96" s="10" t="str">
        <f>CONCATENATE("          ", "6298", " - ", "VEHICLE MILEAGE")</f>
        <v xml:space="preserve">          6298 - VEHICLE MILEAGE</v>
      </c>
      <c r="C96" s="10"/>
      <c r="D96" s="6"/>
      <c r="E96" s="2"/>
      <c r="F96" s="7">
        <f t="shared" si="80"/>
        <v>0</v>
      </c>
      <c r="G96" s="2"/>
      <c r="H96" s="6">
        <v>85.45</v>
      </c>
      <c r="I96" s="2"/>
      <c r="J96" s="7">
        <f t="shared" si="81"/>
        <v>0</v>
      </c>
      <c r="K96" s="2"/>
      <c r="L96" s="6">
        <f t="shared" si="82"/>
        <v>-85.45</v>
      </c>
      <c r="M96" s="2"/>
      <c r="N96" s="7">
        <f t="shared" si="83"/>
        <v>-1</v>
      </c>
      <c r="O96" s="10"/>
      <c r="P96" s="6">
        <v>59.89</v>
      </c>
      <c r="Q96" s="2"/>
      <c r="R96" s="7">
        <f t="shared" si="84"/>
        <v>0</v>
      </c>
      <c r="S96" s="2"/>
      <c r="T96" s="6">
        <v>451.52</v>
      </c>
      <c r="U96" s="2"/>
      <c r="V96" s="7">
        <f t="shared" si="85"/>
        <v>0</v>
      </c>
      <c r="W96" s="2"/>
      <c r="X96" s="6">
        <f t="shared" si="86"/>
        <v>-391.63</v>
      </c>
      <c r="Y96" s="2"/>
      <c r="Z96" s="7">
        <f t="shared" si="87"/>
        <v>-0.86735914245216161</v>
      </c>
    </row>
    <row r="97" spans="1:26" s="26" customFormat="1" outlineLevel="1" collapsed="1" x14ac:dyDescent="0.25">
      <c r="A97" s="25"/>
      <c r="B97" s="12" t="str">
        <f>CONCATENATE("     ","Utilities                                         ")</f>
        <v xml:space="preserve">     Utilities                                         </v>
      </c>
      <c r="C97" s="12"/>
      <c r="D97" s="1">
        <f>SUM(OSRRefD22_22x_0)</f>
        <v>6133</v>
      </c>
      <c r="E97" s="1"/>
      <c r="F97" s="5">
        <f t="shared" ref="F97:F98" si="88">IF(D$12=0,0,D97/D$12)</f>
        <v>0</v>
      </c>
      <c r="G97" s="1"/>
      <c r="H97" s="1">
        <f>SUM(OSRRefH22_22x_0)</f>
        <v>6134</v>
      </c>
      <c r="I97" s="1"/>
      <c r="J97" s="5">
        <f t="shared" ref="J97:J98" si="89">IF(H$12=0,0,H97/H$12)</f>
        <v>0</v>
      </c>
      <c r="K97" s="1"/>
      <c r="L97" s="1">
        <f t="shared" ref="L97:L98" si="90">+D97-H97</f>
        <v>-1</v>
      </c>
      <c r="M97" s="1"/>
      <c r="N97" s="5">
        <f t="shared" ref="N97:N98" si="91">IF(H97=0,0,L97/H97)</f>
        <v>-1.6302575806977502E-4</v>
      </c>
      <c r="O97" s="12"/>
      <c r="P97" s="1">
        <f>SUM(OSRRefP22_22x_0)</f>
        <v>58400</v>
      </c>
      <c r="Q97" s="1"/>
      <c r="R97" s="5">
        <f t="shared" ref="R97:R98" si="92">IF(P$12=0,0,P97/P$12)</f>
        <v>0</v>
      </c>
      <c r="S97" s="1"/>
      <c r="T97" s="1">
        <f>SUM(OSRRefT22_22x_0)</f>
        <v>56272</v>
      </c>
      <c r="U97" s="1"/>
      <c r="V97" s="5">
        <f t="shared" ref="V97:V98" si="93">IF(T$12=0,0,T97/T$12)</f>
        <v>0</v>
      </c>
      <c r="W97" s="1"/>
      <c r="X97" s="1">
        <f t="shared" ref="X97:X98" si="94">+P97-T97</f>
        <v>2128</v>
      </c>
      <c r="Y97" s="1"/>
      <c r="Z97" s="5">
        <f t="shared" ref="Z97:Z98" si="95">IF(T97=0,0,X97/T97)</f>
        <v>3.7816320727893094E-2</v>
      </c>
    </row>
    <row r="98" spans="1:26" s="23" customFormat="1" hidden="1" outlineLevel="2" x14ac:dyDescent="0.25">
      <c r="A98" s="27"/>
      <c r="B98" s="10" t="str">
        <f>CONCATENATE("          ", "6274", " - ", "UTILITIES")</f>
        <v xml:space="preserve">          6274 - UTILITIES</v>
      </c>
      <c r="C98" s="10"/>
      <c r="D98" s="6">
        <v>6133</v>
      </c>
      <c r="E98" s="2"/>
      <c r="F98" s="7">
        <f t="shared" si="88"/>
        <v>0</v>
      </c>
      <c r="G98" s="2"/>
      <c r="H98" s="6">
        <v>6134</v>
      </c>
      <c r="I98" s="2"/>
      <c r="J98" s="7">
        <f t="shared" si="89"/>
        <v>0</v>
      </c>
      <c r="K98" s="2"/>
      <c r="L98" s="6">
        <f t="shared" si="90"/>
        <v>-1</v>
      </c>
      <c r="M98" s="2"/>
      <c r="N98" s="7">
        <f t="shared" si="91"/>
        <v>-1.6302575806977502E-4</v>
      </c>
      <c r="O98" s="10"/>
      <c r="P98" s="6">
        <v>58400</v>
      </c>
      <c r="Q98" s="2"/>
      <c r="R98" s="7">
        <f t="shared" si="92"/>
        <v>0</v>
      </c>
      <c r="S98" s="2"/>
      <c r="T98" s="6">
        <v>56272</v>
      </c>
      <c r="U98" s="2"/>
      <c r="V98" s="7">
        <f t="shared" si="93"/>
        <v>0</v>
      </c>
      <c r="W98" s="2"/>
      <c r="X98" s="6">
        <f t="shared" si="94"/>
        <v>2128</v>
      </c>
      <c r="Y98" s="2"/>
      <c r="Z98" s="7">
        <f t="shared" si="95"/>
        <v>3.7816320727893094E-2</v>
      </c>
    </row>
    <row r="99" spans="1:26" s="62" customFormat="1" x14ac:dyDescent="0.25">
      <c r="A99" s="37"/>
      <c r="B99" s="37"/>
      <c r="C99" s="37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7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4" customFormat="1" collapsed="1" x14ac:dyDescent="0.25">
      <c r="A100" s="11"/>
      <c r="B100" s="28" t="s">
        <v>292</v>
      </c>
      <c r="C100" s="11"/>
      <c r="D100" s="4">
        <f>SUM(OSRRefD25x_0)</f>
        <v>5385.99</v>
      </c>
      <c r="E100" s="4"/>
      <c r="F100" s="13">
        <f t="shared" ref="F100:F103" si="96">IF(D$12=0,0,D100/D$12)</f>
        <v>0</v>
      </c>
      <c r="G100" s="4"/>
      <c r="H100" s="4">
        <f>SUM(OSRRefH25x_0)</f>
        <v>-22866.720000000001</v>
      </c>
      <c r="I100" s="4"/>
      <c r="J100" s="13">
        <f t="shared" ref="J100:J103" si="97">IF(H$12=0,0,H100/H$12)</f>
        <v>0</v>
      </c>
      <c r="K100" s="4"/>
      <c r="L100" s="4">
        <f t="shared" ref="L100:L103" si="98">+D100-H100</f>
        <v>28252.71</v>
      </c>
      <c r="M100" s="4"/>
      <c r="N100" s="13">
        <f t="shared" ref="N100:N103" si="99">IF(H100=0,0,L100/H100)</f>
        <v>-1.2355383719221644</v>
      </c>
      <c r="O100" s="11"/>
      <c r="P100" s="4">
        <f>SUM(OSRRefP25x_0)</f>
        <v>183040.32</v>
      </c>
      <c r="Q100" s="4"/>
      <c r="R100" s="13">
        <f t="shared" ref="R100:R103" si="100">IF(P$12=0,0,P100/P$12)</f>
        <v>0</v>
      </c>
      <c r="S100" s="4"/>
      <c r="T100" s="4">
        <f>SUM(OSRRefT25x_0)</f>
        <v>186010.69999999998</v>
      </c>
      <c r="U100" s="4"/>
      <c r="V100" s="13">
        <f t="shared" ref="V100:V103" si="101">IF(T$12=0,0,T100/T$12)</f>
        <v>0</v>
      </c>
      <c r="W100" s="4"/>
      <c r="X100" s="4">
        <f t="shared" ref="X100:X103" si="102">+P100-T100</f>
        <v>-2970.3799999999756</v>
      </c>
      <c r="Y100" s="4"/>
      <c r="Z100" s="13">
        <f t="shared" ref="Z100:Z103" si="103">IF(T100=0,0,X100/T100)</f>
        <v>-1.5968866307153169E-2</v>
      </c>
    </row>
    <row r="101" spans="1:26" s="23" customFormat="1" hidden="1" outlineLevel="1" x14ac:dyDescent="0.25">
      <c r="A101" s="44"/>
      <c r="B101" s="10" t="str">
        <f>CONCATENATE("          ", "9150", " - ", "MISC. INCOME")</f>
        <v xml:space="preserve">          9150 - MISC. INCOME</v>
      </c>
      <c r="C101" s="10"/>
      <c r="D101" s="2">
        <f>--5385.99</f>
        <v>5385.99</v>
      </c>
      <c r="E101" s="2"/>
      <c r="F101" s="19">
        <f t="shared" si="96"/>
        <v>0</v>
      </c>
      <c r="G101" s="2"/>
      <c r="H101" s="2">
        <f>-22866.72</f>
        <v>-22866.720000000001</v>
      </c>
      <c r="I101" s="2"/>
      <c r="J101" s="19">
        <f t="shared" si="97"/>
        <v>0</v>
      </c>
      <c r="K101" s="2"/>
      <c r="L101" s="2">
        <f t="shared" si="98"/>
        <v>28252.71</v>
      </c>
      <c r="M101" s="2"/>
      <c r="N101" s="19">
        <f t="shared" si="99"/>
        <v>-1.2355383719221644</v>
      </c>
      <c r="O101" s="10"/>
      <c r="P101" s="2">
        <f>--183040.32</f>
        <v>183040.32</v>
      </c>
      <c r="Q101" s="2"/>
      <c r="R101" s="19">
        <f t="shared" si="100"/>
        <v>0</v>
      </c>
      <c r="S101" s="2"/>
      <c r="T101" s="2">
        <f>--178912.3</f>
        <v>178912.3</v>
      </c>
      <c r="U101" s="2"/>
      <c r="V101" s="19">
        <f t="shared" si="101"/>
        <v>0</v>
      </c>
      <c r="W101" s="2"/>
      <c r="X101" s="2">
        <f t="shared" si="102"/>
        <v>4128.0200000000186</v>
      </c>
      <c r="Y101" s="2"/>
      <c r="Z101" s="19">
        <f t="shared" si="103"/>
        <v>2.3072868662467695E-2</v>
      </c>
    </row>
    <row r="102" spans="1:26" s="23" customFormat="1" hidden="1" outlineLevel="1" x14ac:dyDescent="0.25">
      <c r="A102" s="44"/>
      <c r="B102" s="10" t="str">
        <f>CONCATENATE("          ", "9151", " - ", "MISC. INCOME")</f>
        <v xml:space="preserve">          9151 - MISC. INCOME</v>
      </c>
      <c r="C102" s="10"/>
      <c r="D102" s="2">
        <f t="shared" ref="D102:D103" si="104">0</f>
        <v>0</v>
      </c>
      <c r="E102" s="2"/>
      <c r="F102" s="19">
        <f t="shared" si="96"/>
        <v>0</v>
      </c>
      <c r="G102" s="2"/>
      <c r="H102" s="2">
        <f t="shared" ref="H102:H103" si="105">0</f>
        <v>0</v>
      </c>
      <c r="I102" s="2"/>
      <c r="J102" s="19">
        <f t="shared" si="97"/>
        <v>0</v>
      </c>
      <c r="K102" s="2"/>
      <c r="L102" s="2">
        <f t="shared" si="98"/>
        <v>0</v>
      </c>
      <c r="M102" s="2"/>
      <c r="N102" s="19">
        <f t="shared" si="99"/>
        <v>0</v>
      </c>
      <c r="O102" s="10"/>
      <c r="P102" s="2">
        <f t="shared" ref="P102:P103" si="106">0</f>
        <v>0</v>
      </c>
      <c r="Q102" s="2"/>
      <c r="R102" s="19">
        <f t="shared" si="100"/>
        <v>0</v>
      </c>
      <c r="S102" s="2"/>
      <c r="T102" s="2">
        <f>--6648.4</f>
        <v>6648.4</v>
      </c>
      <c r="U102" s="2"/>
      <c r="V102" s="19">
        <f t="shared" si="101"/>
        <v>0</v>
      </c>
      <c r="W102" s="2"/>
      <c r="X102" s="2">
        <f t="shared" si="102"/>
        <v>-6648.4</v>
      </c>
      <c r="Y102" s="2"/>
      <c r="Z102" s="19">
        <f t="shared" si="103"/>
        <v>-1</v>
      </c>
    </row>
    <row r="103" spans="1:26" s="23" customFormat="1" hidden="1" outlineLevel="1" x14ac:dyDescent="0.25">
      <c r="A103" s="44"/>
      <c r="B103" s="10" t="str">
        <f>CONCATENATE("          ", "9153", " - ", "MISC. INCOME")</f>
        <v xml:space="preserve">          9153 - MISC. INCOME</v>
      </c>
      <c r="C103" s="10"/>
      <c r="D103" s="2">
        <f t="shared" si="104"/>
        <v>0</v>
      </c>
      <c r="E103" s="2"/>
      <c r="F103" s="19">
        <f t="shared" si="96"/>
        <v>0</v>
      </c>
      <c r="G103" s="2"/>
      <c r="H103" s="2">
        <f t="shared" si="105"/>
        <v>0</v>
      </c>
      <c r="I103" s="2"/>
      <c r="J103" s="19">
        <f t="shared" si="97"/>
        <v>0</v>
      </c>
      <c r="K103" s="2"/>
      <c r="L103" s="2">
        <f t="shared" si="98"/>
        <v>0</v>
      </c>
      <c r="M103" s="2"/>
      <c r="N103" s="19">
        <f t="shared" si="99"/>
        <v>0</v>
      </c>
      <c r="O103" s="10"/>
      <c r="P103" s="2">
        <f t="shared" si="106"/>
        <v>0</v>
      </c>
      <c r="Q103" s="2"/>
      <c r="R103" s="19">
        <f t="shared" si="100"/>
        <v>0</v>
      </c>
      <c r="S103" s="2"/>
      <c r="T103" s="2">
        <f>--450</f>
        <v>450</v>
      </c>
      <c r="U103" s="2"/>
      <c r="V103" s="19">
        <f t="shared" si="101"/>
        <v>0</v>
      </c>
      <c r="W103" s="2"/>
      <c r="X103" s="2">
        <f t="shared" si="102"/>
        <v>-450</v>
      </c>
      <c r="Y103" s="2"/>
      <c r="Z103" s="19">
        <f t="shared" si="103"/>
        <v>-1</v>
      </c>
    </row>
    <row r="104" spans="1:26" x14ac:dyDescent="0.25">
      <c r="A104" s="9"/>
      <c r="B104" s="11"/>
      <c r="C104" s="11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1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4" customFormat="1" x14ac:dyDescent="0.25">
      <c r="A105" s="11"/>
      <c r="B105" s="29" t="s">
        <v>276</v>
      </c>
      <c r="C105" s="29"/>
      <c r="D105" s="20">
        <f>+D17-D19+D100</f>
        <v>-100836.93999999999</v>
      </c>
      <c r="E105" s="14"/>
      <c r="F105" s="22">
        <f>IF(D$12=0,0,D105/D$12)</f>
        <v>0</v>
      </c>
      <c r="G105" s="14"/>
      <c r="H105" s="20">
        <f>+H17-H19+H100</f>
        <v>-80398.760000000009</v>
      </c>
      <c r="I105" s="14"/>
      <c r="J105" s="22">
        <f>IF(H$12=0,0,H105/H$12)</f>
        <v>0</v>
      </c>
      <c r="K105" s="16"/>
      <c r="L105" s="20">
        <f>+D105-H105</f>
        <v>-20438.179999999978</v>
      </c>
      <c r="M105" s="16"/>
      <c r="N105" s="22">
        <f>IF(H105=0,0,L105/H105)</f>
        <v>0.25421013955936606</v>
      </c>
      <c r="O105" s="28"/>
      <c r="P105" s="20">
        <f>+P17-P19+P100</f>
        <v>-1018598.5299999998</v>
      </c>
      <c r="Q105" s="14"/>
      <c r="R105" s="22">
        <f>IF(P$12=0,0,P105/P$12)</f>
        <v>0</v>
      </c>
      <c r="S105" s="14"/>
      <c r="T105" s="20">
        <f>+T17-T19+T100</f>
        <v>-968158.15999999992</v>
      </c>
      <c r="U105" s="14"/>
      <c r="V105" s="22">
        <f>IF(T$12=0,0,T105/T$12)</f>
        <v>0</v>
      </c>
      <c r="W105" s="16"/>
      <c r="X105" s="20">
        <f>+P105-T105</f>
        <v>-50440.369999999879</v>
      </c>
      <c r="Y105" s="16"/>
      <c r="Z105" s="22">
        <f>IF(T105=0,0,X105/T105)</f>
        <v>5.209930782383726E-2</v>
      </c>
    </row>
    <row r="106" spans="1:26" x14ac:dyDescent="0.25">
      <c r="A106" s="9"/>
      <c r="B106" s="11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4" customFormat="1" x14ac:dyDescent="0.25">
      <c r="A107" s="51"/>
      <c r="B107" s="11" t="s">
        <v>127</v>
      </c>
      <c r="C107" s="11"/>
      <c r="D107" s="4"/>
      <c r="E107" s="4"/>
      <c r="F107" s="13">
        <f>IF(D$12=0,0,D107/D$12)</f>
        <v>0</v>
      </c>
      <c r="G107" s="4"/>
      <c r="H107" s="4"/>
      <c r="I107" s="4"/>
      <c r="J107" s="13">
        <f>IF(H$12=0,0,H107/H$12)</f>
        <v>0</v>
      </c>
      <c r="K107" s="4"/>
      <c r="L107" s="4">
        <f>+D107-H107</f>
        <v>0</v>
      </c>
      <c r="M107" s="4"/>
      <c r="N107" s="13">
        <f>IF(H107=0,0,L107/H107)</f>
        <v>0</v>
      </c>
      <c r="O107" s="11"/>
      <c r="P107" s="4"/>
      <c r="Q107" s="4"/>
      <c r="R107" s="13">
        <f>IF(P$12=0,0,P107/P$12)</f>
        <v>0</v>
      </c>
      <c r="S107" s="4"/>
      <c r="T107" s="4"/>
      <c r="U107" s="4"/>
      <c r="V107" s="13">
        <f>IF(T$12=0,0,T107/T$12)</f>
        <v>0</v>
      </c>
      <c r="W107" s="4"/>
      <c r="X107" s="4">
        <f>+P107-T107</f>
        <v>0</v>
      </c>
      <c r="Y107" s="4"/>
      <c r="Z107" s="13">
        <f>IF(T107=0,0,X107/T107)</f>
        <v>0</v>
      </c>
    </row>
    <row r="108" spans="1:26" x14ac:dyDescent="0.25">
      <c r="A108" s="9"/>
      <c r="B108" s="11"/>
      <c r="C108" s="11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1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4" customFormat="1" ht="15.75" thickBot="1" x14ac:dyDescent="0.3">
      <c r="A109" s="11"/>
      <c r="B109" s="29" t="s">
        <v>125</v>
      </c>
      <c r="C109" s="29"/>
      <c r="D109" s="30">
        <f>+D105-D107</f>
        <v>-100836.93999999999</v>
      </c>
      <c r="E109" s="14"/>
      <c r="F109" s="34">
        <f>IF(D$12=0,0,D109/D$12)</f>
        <v>0</v>
      </c>
      <c r="G109" s="14"/>
      <c r="H109" s="30">
        <f>+H105-H107</f>
        <v>-80398.760000000009</v>
      </c>
      <c r="I109" s="14"/>
      <c r="J109" s="34">
        <f>IF(H$12=0,0,H109/H$12)</f>
        <v>0</v>
      </c>
      <c r="K109" s="16"/>
      <c r="L109" s="30">
        <f>D109-H109</f>
        <v>-20438.179999999978</v>
      </c>
      <c r="M109" s="16"/>
      <c r="N109" s="34">
        <f>IF(H109=0,0,L109/H109)</f>
        <v>0.25421013955936606</v>
      </c>
      <c r="O109" s="28"/>
      <c r="P109" s="30">
        <f>+P105-P107</f>
        <v>-1018598.5299999998</v>
      </c>
      <c r="Q109" s="14"/>
      <c r="R109" s="34">
        <f>IF(P$12=0,0,P109/P$12)</f>
        <v>0</v>
      </c>
      <c r="S109" s="14"/>
      <c r="T109" s="30">
        <f>+T105-T107</f>
        <v>-968158.15999999992</v>
      </c>
      <c r="U109" s="14"/>
      <c r="V109" s="34">
        <f>IF(T$12=0,0,T109/T$12)</f>
        <v>0</v>
      </c>
      <c r="W109" s="16"/>
      <c r="X109" s="30">
        <f>P109-T109</f>
        <v>-50440.369999999879</v>
      </c>
      <c r="Y109" s="16"/>
      <c r="Z109" s="34">
        <f>IF(T109=0,0,X109/T109)</f>
        <v>5.209930782383726E-2</v>
      </c>
    </row>
    <row r="110" spans="1:26" ht="15.75" thickTop="1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4" customFormat="1" ht="15.75" thickBot="1" x14ac:dyDescent="0.3">
      <c r="A112" s="11"/>
      <c r="B112" s="29" t="s">
        <v>293</v>
      </c>
      <c r="C112" s="29"/>
      <c r="D112" s="32">
        <f>SUM(D109:D111)</f>
        <v>-100836.93999999999</v>
      </c>
      <c r="E112" s="14"/>
      <c r="F112" s="35">
        <f>IF(D$12=0,0,D112/D$12)</f>
        <v>0</v>
      </c>
      <c r="G112" s="14"/>
      <c r="H112" s="32">
        <f>SUM(H109:H111)</f>
        <v>-80398.760000000009</v>
      </c>
      <c r="I112" s="14"/>
      <c r="J112" s="35">
        <f>IF(H$12=0,0,H112/H$12)</f>
        <v>0</v>
      </c>
      <c r="K112" s="16"/>
      <c r="L112" s="32">
        <f>+D112-H112</f>
        <v>-20438.179999999978</v>
      </c>
      <c r="M112" s="16"/>
      <c r="N112" s="35">
        <f>IF(H112=0,0,L112/H112)</f>
        <v>0.25421013955936606</v>
      </c>
      <c r="O112" s="28"/>
      <c r="P112" s="32">
        <f>SUM(P109:P111)</f>
        <v>-1018598.5299999998</v>
      </c>
      <c r="Q112" s="14"/>
      <c r="R112" s="35">
        <f>IF(P$12=0,0,P112/P$12)</f>
        <v>0</v>
      </c>
      <c r="S112" s="14"/>
      <c r="T112" s="32">
        <f>SUM(T109:T111)</f>
        <v>-968158.15999999992</v>
      </c>
      <c r="U112" s="14"/>
      <c r="V112" s="35">
        <f>IF(T$12=0,0,T112/T$12)</f>
        <v>0</v>
      </c>
      <c r="W112" s="16"/>
      <c r="X112" s="32">
        <f>+P112-T112</f>
        <v>-50440.369999999879</v>
      </c>
      <c r="Y112" s="16"/>
      <c r="Z112" s="35">
        <f>IF(T112=0,0,X112/T112)</f>
        <v>5.209930782383726E-2</v>
      </c>
    </row>
    <row r="113" spans="1:24" ht="15.75" thickTop="1" x14ac:dyDescent="0.25">
      <c r="A113" s="9"/>
      <c r="C113" s="9"/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25">
      <c r="A114" s="9"/>
      <c r="B114" s="59">
        <v>44330.00886898148</v>
      </c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4" x14ac:dyDescent="0.25">
      <c r="A115" s="9"/>
      <c r="B115" s="52" t="s">
        <v>56</v>
      </c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4" x14ac:dyDescent="0.25">
      <c r="A116" s="9"/>
      <c r="B116" s="55"/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4" x14ac:dyDescent="0.25"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","306", " - ", "Warehouse")</f>
        <v>Department 306 - Warehouse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0</v>
      </c>
      <c r="E18" s="21"/>
      <c r="F18" s="31">
        <f t="shared" ref="F18:F28" si="0">IF(D$12=0,0,D18/D$12)</f>
        <v>0</v>
      </c>
      <c r="G18" s="21"/>
      <c r="H18" s="21">
        <f>SUM(OSRRefH22x_0)</f>
        <v>15739.560000000001</v>
      </c>
      <c r="I18" s="21"/>
      <c r="J18" s="31">
        <f t="shared" ref="J18:J28" si="1">IF(H$12=0,0,H18/H$12)</f>
        <v>0</v>
      </c>
      <c r="K18" s="4"/>
      <c r="L18" s="21">
        <f t="shared" ref="L18:L28" si="2">+D18-H18</f>
        <v>-15739.560000000001</v>
      </c>
      <c r="M18" s="4"/>
      <c r="N18" s="31">
        <f t="shared" ref="N18:N28" si="3">IF(H18=0,0,L18/H18)</f>
        <v>-1</v>
      </c>
      <c r="O18" s="11"/>
      <c r="P18" s="21">
        <f>SUM(OSRRefP22x_0)</f>
        <v>0.37000000000004318</v>
      </c>
      <c r="Q18" s="21"/>
      <c r="R18" s="31">
        <f t="shared" ref="R18:R28" si="4">IF(P$12=0,0,P18/P$12)</f>
        <v>0</v>
      </c>
      <c r="S18" s="21"/>
      <c r="T18" s="21">
        <f>SUM(OSRRefT22x_0)</f>
        <v>439122.72000000009</v>
      </c>
      <c r="U18" s="21"/>
      <c r="V18" s="31">
        <f t="shared" ref="V18:V28" si="5">IF(T$12=0,0,T18/T$12)</f>
        <v>0</v>
      </c>
      <c r="W18" s="4"/>
      <c r="X18" s="21">
        <f t="shared" ref="X18:X28" si="6">+P18-T18</f>
        <v>-439122.35000000009</v>
      </c>
      <c r="Y18" s="4"/>
      <c r="Z18" s="31">
        <f t="shared" ref="Z18:Z28" si="7">IF(T18=0,0,X18/T18)</f>
        <v>-0.9999991574109397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-11416.619999999999</v>
      </c>
      <c r="I19" s="1"/>
      <c r="J19" s="5">
        <f t="shared" si="1"/>
        <v>0</v>
      </c>
      <c r="K19" s="1"/>
      <c r="L19" s="1">
        <f t="shared" si="2"/>
        <v>11416.619999999999</v>
      </c>
      <c r="M19" s="1"/>
      <c r="N19" s="5">
        <f t="shared" si="3"/>
        <v>-1</v>
      </c>
      <c r="O19" s="12"/>
      <c r="P19" s="1">
        <f>SUM(OSRRefP22_0x_0)</f>
        <v>0.1400000000000432</v>
      </c>
      <c r="Q19" s="1"/>
      <c r="R19" s="5">
        <f t="shared" si="4"/>
        <v>0</v>
      </c>
      <c r="S19" s="1"/>
      <c r="T19" s="1">
        <f>SUM(OSRRefT22_0x_0)</f>
        <v>44203.660000000011</v>
      </c>
      <c r="U19" s="1"/>
      <c r="V19" s="5">
        <f t="shared" si="5"/>
        <v>0</v>
      </c>
      <c r="W19" s="1"/>
      <c r="X19" s="1">
        <f t="shared" si="6"/>
        <v>-44203.520000000011</v>
      </c>
      <c r="Y19" s="1"/>
      <c r="Z19" s="5">
        <f t="shared" si="7"/>
        <v>-0.99999683284144347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/>
      <c r="E20" s="2"/>
      <c r="F20" s="7">
        <f t="shared" si="0"/>
        <v>0</v>
      </c>
      <c r="G20" s="2"/>
      <c r="H20" s="6">
        <v>1425.05</v>
      </c>
      <c r="I20" s="2"/>
      <c r="J20" s="7">
        <f t="shared" si="1"/>
        <v>0</v>
      </c>
      <c r="K20" s="2"/>
      <c r="L20" s="6">
        <f t="shared" si="2"/>
        <v>-1425.05</v>
      </c>
      <c r="M20" s="2"/>
      <c r="N20" s="7">
        <f t="shared" si="3"/>
        <v>-1</v>
      </c>
      <c r="O20" s="10"/>
      <c r="P20" s="6">
        <v>402.04</v>
      </c>
      <c r="Q20" s="2"/>
      <c r="R20" s="7">
        <f t="shared" si="4"/>
        <v>0</v>
      </c>
      <c r="S20" s="2"/>
      <c r="T20" s="6">
        <v>14754.15</v>
      </c>
      <c r="U20" s="2"/>
      <c r="V20" s="7">
        <f t="shared" si="5"/>
        <v>0</v>
      </c>
      <c r="W20" s="2"/>
      <c r="X20" s="6">
        <f t="shared" si="6"/>
        <v>-14352.109999999999</v>
      </c>
      <c r="Y20" s="2"/>
      <c r="Z20" s="7">
        <f t="shared" si="7"/>
        <v>-0.97275071759471055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/>
      <c r="E21" s="2"/>
      <c r="F21" s="7">
        <f t="shared" si="0"/>
        <v>0</v>
      </c>
      <c r="G21" s="2"/>
      <c r="H21" s="6">
        <v>409.05</v>
      </c>
      <c r="I21" s="2"/>
      <c r="J21" s="7">
        <f t="shared" si="1"/>
        <v>0</v>
      </c>
      <c r="K21" s="2"/>
      <c r="L21" s="6">
        <f t="shared" si="2"/>
        <v>-409.05</v>
      </c>
      <c r="M21" s="2"/>
      <c r="N21" s="7">
        <f t="shared" si="3"/>
        <v>-1</v>
      </c>
      <c r="O21" s="10"/>
      <c r="P21" s="6"/>
      <c r="Q21" s="2"/>
      <c r="R21" s="7">
        <f t="shared" si="4"/>
        <v>0</v>
      </c>
      <c r="S21" s="2"/>
      <c r="T21" s="6">
        <v>6705.75</v>
      </c>
      <c r="U21" s="2"/>
      <c r="V21" s="7">
        <f t="shared" si="5"/>
        <v>0</v>
      </c>
      <c r="W21" s="2"/>
      <c r="X21" s="6">
        <f t="shared" si="6"/>
        <v>-6705.75</v>
      </c>
      <c r="Y21" s="2"/>
      <c r="Z21" s="7">
        <f t="shared" si="7"/>
        <v>-1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/>
      <c r="E22" s="2"/>
      <c r="F22" s="7">
        <f t="shared" si="0"/>
        <v>0</v>
      </c>
      <c r="G22" s="2"/>
      <c r="H22" s="6">
        <v>696.78</v>
      </c>
      <c r="I22" s="2"/>
      <c r="J22" s="7">
        <f t="shared" si="1"/>
        <v>0</v>
      </c>
      <c r="K22" s="2"/>
      <c r="L22" s="6">
        <f t="shared" si="2"/>
        <v>-696.78</v>
      </c>
      <c r="M22" s="2"/>
      <c r="N22" s="7">
        <f t="shared" si="3"/>
        <v>-1</v>
      </c>
      <c r="O22" s="10"/>
      <c r="P22" s="6">
        <v>0</v>
      </c>
      <c r="Q22" s="2"/>
      <c r="R22" s="7">
        <f t="shared" si="4"/>
        <v>0</v>
      </c>
      <c r="S22" s="2"/>
      <c r="T22" s="6">
        <v>18585.45</v>
      </c>
      <c r="U22" s="2"/>
      <c r="V22" s="7">
        <f t="shared" si="5"/>
        <v>0</v>
      </c>
      <c r="W22" s="2"/>
      <c r="X22" s="6">
        <f t="shared" si="6"/>
        <v>-18585.45</v>
      </c>
      <c r="Y22" s="2"/>
      <c r="Z22" s="7">
        <f t="shared" si="7"/>
        <v>-1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/>
      <c r="E23" s="2"/>
      <c r="F23" s="7">
        <f t="shared" si="0"/>
        <v>0</v>
      </c>
      <c r="G23" s="2"/>
      <c r="H23" s="6">
        <v>61.83</v>
      </c>
      <c r="I23" s="2"/>
      <c r="J23" s="7">
        <f t="shared" si="1"/>
        <v>0</v>
      </c>
      <c r="K23" s="2"/>
      <c r="L23" s="6">
        <f t="shared" si="2"/>
        <v>-61.83</v>
      </c>
      <c r="M23" s="2"/>
      <c r="N23" s="7">
        <f t="shared" si="3"/>
        <v>-1</v>
      </c>
      <c r="O23" s="10"/>
      <c r="P23" s="6"/>
      <c r="Q23" s="2"/>
      <c r="R23" s="7">
        <f t="shared" si="4"/>
        <v>0</v>
      </c>
      <c r="S23" s="2"/>
      <c r="T23" s="6">
        <v>1016.98</v>
      </c>
      <c r="U23" s="2"/>
      <c r="V23" s="7">
        <f t="shared" si="5"/>
        <v>0</v>
      </c>
      <c r="W23" s="2"/>
      <c r="X23" s="6">
        <f t="shared" si="6"/>
        <v>-1016.98</v>
      </c>
      <c r="Y23" s="2"/>
      <c r="Z23" s="7">
        <f t="shared" si="7"/>
        <v>-1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/>
      <c r="E24" s="2"/>
      <c r="F24" s="7">
        <f t="shared" si="0"/>
        <v>0</v>
      </c>
      <c r="G24" s="2"/>
      <c r="H24" s="6">
        <v>400.51</v>
      </c>
      <c r="I24" s="2"/>
      <c r="J24" s="7">
        <f t="shared" si="1"/>
        <v>0</v>
      </c>
      <c r="K24" s="2"/>
      <c r="L24" s="6">
        <f t="shared" si="2"/>
        <v>-400.51</v>
      </c>
      <c r="M24" s="2"/>
      <c r="N24" s="7">
        <f t="shared" si="3"/>
        <v>-1</v>
      </c>
      <c r="O24" s="10"/>
      <c r="P24" s="6">
        <v>0</v>
      </c>
      <c r="Q24" s="2"/>
      <c r="R24" s="7">
        <f t="shared" si="4"/>
        <v>0</v>
      </c>
      <c r="S24" s="2"/>
      <c r="T24" s="6">
        <v>7279.28</v>
      </c>
      <c r="U24" s="2"/>
      <c r="V24" s="7">
        <f t="shared" si="5"/>
        <v>0</v>
      </c>
      <c r="W24" s="2"/>
      <c r="X24" s="6">
        <f t="shared" si="6"/>
        <v>-7279.28</v>
      </c>
      <c r="Y24" s="2"/>
      <c r="Z24" s="7">
        <f t="shared" si="7"/>
        <v>-1</v>
      </c>
    </row>
    <row r="25" spans="1:26" s="23" customFormat="1" hidden="1" outlineLevel="2" x14ac:dyDescent="0.25">
      <c r="A25" s="27"/>
      <c r="B25" s="10" t="str">
        <f>CONCATENATE("          ", "6116", " - ", "EDUCATIONAL BENEFITS")</f>
        <v xml:space="preserve">          6116 - EDUCATIONAL BENEFITS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>
        <v>-401.9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-401.9</v>
      </c>
      <c r="Y25" s="2"/>
      <c r="Z25" s="7">
        <f t="shared" si="7"/>
        <v>0</v>
      </c>
    </row>
    <row r="26" spans="1:26" s="23" customFormat="1" hidden="1" outlineLevel="2" x14ac:dyDescent="0.25">
      <c r="A26" s="27"/>
      <c r="B26" s="10" t="str">
        <f>CONCATENATE("          ", "6118", " - ", "VACATION")</f>
        <v xml:space="preserve">          6118 - VACATION</v>
      </c>
      <c r="C26" s="10"/>
      <c r="D26" s="6"/>
      <c r="E26" s="2"/>
      <c r="F26" s="7">
        <f t="shared" si="0"/>
        <v>0</v>
      </c>
      <c r="G26" s="2"/>
      <c r="H26" s="6">
        <v>312.82</v>
      </c>
      <c r="I26" s="2"/>
      <c r="J26" s="7">
        <f t="shared" si="1"/>
        <v>0</v>
      </c>
      <c r="K26" s="2"/>
      <c r="L26" s="6">
        <f t="shared" si="2"/>
        <v>-312.82</v>
      </c>
      <c r="M26" s="2"/>
      <c r="N26" s="7">
        <f t="shared" si="3"/>
        <v>-1</v>
      </c>
      <c r="O26" s="10"/>
      <c r="P26" s="6"/>
      <c r="Q26" s="2"/>
      <c r="R26" s="7">
        <f t="shared" si="4"/>
        <v>0</v>
      </c>
      <c r="S26" s="2"/>
      <c r="T26" s="6">
        <v>3299.15</v>
      </c>
      <c r="U26" s="2"/>
      <c r="V26" s="7">
        <f t="shared" si="5"/>
        <v>0</v>
      </c>
      <c r="W26" s="2"/>
      <c r="X26" s="6">
        <f t="shared" si="6"/>
        <v>-3299.15</v>
      </c>
      <c r="Y26" s="2"/>
      <c r="Z26" s="7">
        <f t="shared" si="7"/>
        <v>-1</v>
      </c>
    </row>
    <row r="27" spans="1:26" s="23" customFormat="1" hidden="1" outlineLevel="2" x14ac:dyDescent="0.25">
      <c r="A27" s="27"/>
      <c r="B27" s="10" t="str">
        <f>CONCATENATE("          ", "6119", " - ", "SICK LEAVE")</f>
        <v xml:space="preserve">          6119 - SICK LEAVE</v>
      </c>
      <c r="C27" s="10"/>
      <c r="D27" s="6"/>
      <c r="E27" s="2"/>
      <c r="F27" s="7">
        <f t="shared" si="0"/>
        <v>0</v>
      </c>
      <c r="G27" s="2"/>
      <c r="H27" s="6">
        <v>-14722.66</v>
      </c>
      <c r="I27" s="2"/>
      <c r="J27" s="7">
        <f t="shared" si="1"/>
        <v>0</v>
      </c>
      <c r="K27" s="2"/>
      <c r="L27" s="6">
        <f t="shared" si="2"/>
        <v>14722.66</v>
      </c>
      <c r="M27" s="2"/>
      <c r="N27" s="7">
        <f t="shared" si="3"/>
        <v>-1</v>
      </c>
      <c r="O27" s="10"/>
      <c r="P27" s="6"/>
      <c r="Q27" s="2"/>
      <c r="R27" s="7">
        <f t="shared" si="4"/>
        <v>0</v>
      </c>
      <c r="S27" s="2"/>
      <c r="T27" s="6">
        <v>-10242.57</v>
      </c>
      <c r="U27" s="2"/>
      <c r="V27" s="7">
        <f t="shared" si="5"/>
        <v>0</v>
      </c>
      <c r="W27" s="2"/>
      <c r="X27" s="6">
        <f t="shared" si="6"/>
        <v>10242.57</v>
      </c>
      <c r="Y27" s="2"/>
      <c r="Z27" s="7">
        <f t="shared" si="7"/>
        <v>-1</v>
      </c>
    </row>
    <row r="28" spans="1:26" s="23" customFormat="1" hidden="1" outlineLevel="2" x14ac:dyDescent="0.25">
      <c r="A28" s="27"/>
      <c r="B28" s="10" t="str">
        <f>CONCATENATE("          ", "6156", " - ", "EMPLOYEE MEALS")</f>
        <v xml:space="preserve">          6156 - EMPLOYEE MEALS</v>
      </c>
      <c r="C28" s="10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0"/>
      <c r="P28" s="6"/>
      <c r="Q28" s="2"/>
      <c r="R28" s="7">
        <f t="shared" si="4"/>
        <v>0</v>
      </c>
      <c r="S28" s="2"/>
      <c r="T28" s="6">
        <v>2805.47</v>
      </c>
      <c r="U28" s="2"/>
      <c r="V28" s="7">
        <f t="shared" si="5"/>
        <v>0</v>
      </c>
      <c r="W28" s="2"/>
      <c r="X28" s="6">
        <f t="shared" si="6"/>
        <v>-2805.47</v>
      </c>
      <c r="Y28" s="2"/>
      <c r="Z28" s="7">
        <f t="shared" si="7"/>
        <v>-1</v>
      </c>
    </row>
    <row r="29" spans="1:26" s="26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0</v>
      </c>
      <c r="E29" s="1"/>
      <c r="F29" s="5">
        <f t="shared" ref="F29:F35" si="8">IF(D$12=0,0,D29/D$12)</f>
        <v>0</v>
      </c>
      <c r="G29" s="1"/>
      <c r="H29" s="1">
        <f>SUM(OSRRefH22_1x_0)</f>
        <v>25865.96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-25865.96</v>
      </c>
      <c r="M29" s="1"/>
      <c r="N29" s="5">
        <f t="shared" ref="N29:N35" si="11">IF(H29=0,0,L29/H29)</f>
        <v>-1</v>
      </c>
      <c r="O29" s="12"/>
      <c r="P29" s="1">
        <f>SUM(OSRRefP22_1x_0)</f>
        <v>0.23</v>
      </c>
      <c r="Q29" s="1"/>
      <c r="R29" s="5">
        <f t="shared" ref="R29:R35" si="12">IF(P$12=0,0,P29/P$12)</f>
        <v>0</v>
      </c>
      <c r="S29" s="1"/>
      <c r="T29" s="1">
        <f>SUM(OSRRefT22_1x_0)</f>
        <v>383571.18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-383570.95</v>
      </c>
      <c r="Y29" s="1"/>
      <c r="Z29" s="5">
        <f t="shared" ref="Z29:Z35" si="15">IF(T29=0,0,X29/T29)</f>
        <v>-0.99999940037205093</v>
      </c>
    </row>
    <row r="30" spans="1:26" s="23" customFormat="1" hidden="1" outlineLevel="2" x14ac:dyDescent="0.25">
      <c r="A30" s="27"/>
      <c r="B30" s="10" t="str">
        <f>CONCATENATE("          ", "6002", " - ", "STAFF SALARIES")</f>
        <v xml:space="preserve">          6002 - STAFF SALARIES</v>
      </c>
      <c r="C30" s="10"/>
      <c r="D30" s="6"/>
      <c r="E30" s="2"/>
      <c r="F30" s="7">
        <f t="shared" si="8"/>
        <v>0</v>
      </c>
      <c r="G30" s="2"/>
      <c r="H30" s="6">
        <v>3636.62</v>
      </c>
      <c r="I30" s="2"/>
      <c r="J30" s="7">
        <f t="shared" si="9"/>
        <v>0</v>
      </c>
      <c r="K30" s="2"/>
      <c r="L30" s="6">
        <f t="shared" si="10"/>
        <v>-3636.62</v>
      </c>
      <c r="M30" s="2"/>
      <c r="N30" s="7">
        <f t="shared" si="11"/>
        <v>-1</v>
      </c>
      <c r="O30" s="10"/>
      <c r="P30" s="6"/>
      <c r="Q30" s="2"/>
      <c r="R30" s="7">
        <f t="shared" si="12"/>
        <v>0</v>
      </c>
      <c r="S30" s="2"/>
      <c r="T30" s="6">
        <v>86098.72</v>
      </c>
      <c r="U30" s="2"/>
      <c r="V30" s="7">
        <f t="shared" si="13"/>
        <v>0</v>
      </c>
      <c r="W30" s="2"/>
      <c r="X30" s="6">
        <f t="shared" si="14"/>
        <v>-86098.72</v>
      </c>
      <c r="Y30" s="2"/>
      <c r="Z30" s="7">
        <f t="shared" si="15"/>
        <v>-1</v>
      </c>
    </row>
    <row r="31" spans="1:26" s="23" customFormat="1" hidden="1" outlineLevel="2" x14ac:dyDescent="0.25">
      <c r="A31" s="27"/>
      <c r="B31" s="10" t="str">
        <f>CONCATENATE("          ", "6004", " - ", "STAFF HOURLY")</f>
        <v xml:space="preserve">          6004 - STAFF HOURLY</v>
      </c>
      <c r="C31" s="10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0"/>
      <c r="P31" s="6">
        <v>0.23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0.23</v>
      </c>
      <c r="Y31" s="2"/>
      <c r="Z31" s="7">
        <f t="shared" si="15"/>
        <v>0</v>
      </c>
    </row>
    <row r="32" spans="1:26" s="23" customFormat="1" hidden="1" outlineLevel="2" x14ac:dyDescent="0.25">
      <c r="A32" s="27"/>
      <c r="B32" s="10" t="str">
        <f>CONCATENATE("          ", "6005", " - ", "TEMPORARY WAGES-HOURLY")</f>
        <v xml:space="preserve">          6005 - TEMPORARY WAGES-HOURLY</v>
      </c>
      <c r="C32" s="10"/>
      <c r="D32" s="6"/>
      <c r="E32" s="2"/>
      <c r="F32" s="7">
        <f t="shared" si="8"/>
        <v>0</v>
      </c>
      <c r="G32" s="2"/>
      <c r="H32" s="6">
        <v>10741.89</v>
      </c>
      <c r="I32" s="2"/>
      <c r="J32" s="7">
        <f t="shared" si="9"/>
        <v>0</v>
      </c>
      <c r="K32" s="2"/>
      <c r="L32" s="6">
        <f t="shared" si="10"/>
        <v>-10741.89</v>
      </c>
      <c r="M32" s="2"/>
      <c r="N32" s="7">
        <f t="shared" si="11"/>
        <v>-1</v>
      </c>
      <c r="O32" s="10"/>
      <c r="P32" s="6">
        <v>0</v>
      </c>
      <c r="Q32" s="2"/>
      <c r="R32" s="7">
        <f t="shared" si="12"/>
        <v>0</v>
      </c>
      <c r="S32" s="2"/>
      <c r="T32" s="6">
        <v>28564.78</v>
      </c>
      <c r="U32" s="2"/>
      <c r="V32" s="7">
        <f t="shared" si="13"/>
        <v>0</v>
      </c>
      <c r="W32" s="2"/>
      <c r="X32" s="6">
        <f t="shared" si="14"/>
        <v>-28564.78</v>
      </c>
      <c r="Y32" s="2"/>
      <c r="Z32" s="7">
        <f t="shared" si="15"/>
        <v>-1</v>
      </c>
    </row>
    <row r="33" spans="1:26" s="23" customFormat="1" hidden="1" outlineLevel="2" x14ac:dyDescent="0.25">
      <c r="A33" s="27"/>
      <c r="B33" s="10" t="str">
        <f>CONCATENATE("          ", "6006", " - ", "TEMPORARY PART TIME")</f>
        <v xml:space="preserve">          6006 - TEMPORARY PART TIME</v>
      </c>
      <c r="C33" s="10"/>
      <c r="D33" s="6"/>
      <c r="E33" s="2"/>
      <c r="F33" s="7">
        <f t="shared" si="8"/>
        <v>0</v>
      </c>
      <c r="G33" s="2"/>
      <c r="H33" s="6">
        <v>1491.52</v>
      </c>
      <c r="I33" s="2"/>
      <c r="J33" s="7">
        <f t="shared" si="9"/>
        <v>0</v>
      </c>
      <c r="K33" s="2"/>
      <c r="L33" s="6">
        <f t="shared" si="10"/>
        <v>-1491.52</v>
      </c>
      <c r="M33" s="2"/>
      <c r="N33" s="7">
        <f t="shared" si="11"/>
        <v>-1</v>
      </c>
      <c r="O33" s="10"/>
      <c r="P33" s="6"/>
      <c r="Q33" s="2"/>
      <c r="R33" s="7">
        <f t="shared" si="12"/>
        <v>0</v>
      </c>
      <c r="S33" s="2"/>
      <c r="T33" s="6">
        <v>13281.49</v>
      </c>
      <c r="U33" s="2"/>
      <c r="V33" s="7">
        <f t="shared" si="13"/>
        <v>0</v>
      </c>
      <c r="W33" s="2"/>
      <c r="X33" s="6">
        <f t="shared" si="14"/>
        <v>-13281.49</v>
      </c>
      <c r="Y33" s="2"/>
      <c r="Z33" s="7">
        <f t="shared" si="15"/>
        <v>-1</v>
      </c>
    </row>
    <row r="34" spans="1:26" s="23" customFormat="1" hidden="1" outlineLevel="2" x14ac:dyDescent="0.25">
      <c r="A34" s="27"/>
      <c r="B34" s="10" t="str">
        <f>CONCATENATE("          ", "6007", " - ", "STUDENT HOURLY")</f>
        <v xml:space="preserve">          6007 - STUDENT HOURLY</v>
      </c>
      <c r="C34" s="10"/>
      <c r="D34" s="6"/>
      <c r="E34" s="2"/>
      <c r="F34" s="7">
        <f t="shared" si="8"/>
        <v>0</v>
      </c>
      <c r="G34" s="2"/>
      <c r="H34" s="6">
        <v>9839.93</v>
      </c>
      <c r="I34" s="2"/>
      <c r="J34" s="7">
        <f t="shared" si="9"/>
        <v>0</v>
      </c>
      <c r="K34" s="2"/>
      <c r="L34" s="6">
        <f t="shared" si="10"/>
        <v>-9839.93</v>
      </c>
      <c r="M34" s="2"/>
      <c r="N34" s="7">
        <f t="shared" si="11"/>
        <v>-1</v>
      </c>
      <c r="O34" s="10"/>
      <c r="P34" s="6"/>
      <c r="Q34" s="2"/>
      <c r="R34" s="7">
        <f t="shared" si="12"/>
        <v>0</v>
      </c>
      <c r="S34" s="2"/>
      <c r="T34" s="6">
        <v>242609.01</v>
      </c>
      <c r="U34" s="2"/>
      <c r="V34" s="7">
        <f t="shared" si="13"/>
        <v>0</v>
      </c>
      <c r="W34" s="2"/>
      <c r="X34" s="6">
        <f t="shared" si="14"/>
        <v>-242609.01</v>
      </c>
      <c r="Y34" s="2"/>
      <c r="Z34" s="7">
        <f t="shared" si="15"/>
        <v>-1</v>
      </c>
    </row>
    <row r="35" spans="1:26" s="23" customFormat="1" hidden="1" outlineLevel="2" x14ac:dyDescent="0.25">
      <c r="A35" s="27"/>
      <c r="B35" s="10" t="str">
        <f>CONCATENATE("          ", "6008", " - ", "STUDENT HOURLY-FICA EXEMPT")</f>
        <v xml:space="preserve">          6008 - STUDENT HOURLY-FICA EXEMPT</v>
      </c>
      <c r="C35" s="10"/>
      <c r="D35" s="6"/>
      <c r="E35" s="2"/>
      <c r="F35" s="7">
        <f t="shared" si="8"/>
        <v>0</v>
      </c>
      <c r="G35" s="2"/>
      <c r="H35" s="6">
        <v>156</v>
      </c>
      <c r="I35" s="2"/>
      <c r="J35" s="7">
        <f t="shared" si="9"/>
        <v>0</v>
      </c>
      <c r="K35" s="2"/>
      <c r="L35" s="6">
        <f t="shared" si="10"/>
        <v>-156</v>
      </c>
      <c r="M35" s="2"/>
      <c r="N35" s="7">
        <f t="shared" si="11"/>
        <v>-1</v>
      </c>
      <c r="O35" s="10"/>
      <c r="P35" s="6"/>
      <c r="Q35" s="2"/>
      <c r="R35" s="7">
        <f t="shared" si="12"/>
        <v>0</v>
      </c>
      <c r="S35" s="2"/>
      <c r="T35" s="6">
        <v>13017.18</v>
      </c>
      <c r="U35" s="2"/>
      <c r="V35" s="7">
        <f t="shared" si="13"/>
        <v>0</v>
      </c>
      <c r="W35" s="2"/>
      <c r="X35" s="6">
        <f t="shared" si="14"/>
        <v>-13017.18</v>
      </c>
      <c r="Y35" s="2"/>
      <c r="Z35" s="7">
        <f t="shared" si="15"/>
        <v>-1</v>
      </c>
    </row>
    <row r="36" spans="1:26" s="26" customFormat="1" outlineLevel="1" collapsed="1" x14ac:dyDescent="0.25">
      <c r="A36" s="25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6" si="16">IF(D$12=0,0,D36/D$12)</f>
        <v>0</v>
      </c>
      <c r="G36" s="1"/>
      <c r="H36" s="1">
        <f>SUM(OSRRefH22_2x_0)</f>
        <v>0</v>
      </c>
      <c r="I36" s="1"/>
      <c r="J36" s="5">
        <f t="shared" ref="J36:J46" si="17">IF(H$12=0,0,H36/H$12)</f>
        <v>0</v>
      </c>
      <c r="K36" s="1"/>
      <c r="L36" s="1">
        <f t="shared" ref="L36:L46" si="18">+D36-H36</f>
        <v>0</v>
      </c>
      <c r="M36" s="1"/>
      <c r="N36" s="5">
        <f t="shared" ref="N36:N46" si="19">IF(H36=0,0,L36/H36)</f>
        <v>0</v>
      </c>
      <c r="O36" s="12"/>
      <c r="P36" s="1">
        <f>SUM(OSRRefP22_2x_0)</f>
        <v>0</v>
      </c>
      <c r="Q36" s="1"/>
      <c r="R36" s="5">
        <f t="shared" ref="R36:R46" si="20">IF(P$12=0,0,P36/P$12)</f>
        <v>0</v>
      </c>
      <c r="S36" s="1"/>
      <c r="T36" s="1">
        <f>SUM(OSRRefT22_2x_0)</f>
        <v>360</v>
      </c>
      <c r="U36" s="1"/>
      <c r="V36" s="5">
        <f t="shared" ref="V36:V46" si="21">IF(T$12=0,0,T36/T$12)</f>
        <v>0</v>
      </c>
      <c r="W36" s="1"/>
      <c r="X36" s="1">
        <f t="shared" ref="X36:X46" si="22">+P36-T36</f>
        <v>-360</v>
      </c>
      <c r="Y36" s="1"/>
      <c r="Z36" s="5">
        <f t="shared" ref="Z36:Z46" si="23">IF(T36=0,0,X36/T36)</f>
        <v>-1</v>
      </c>
    </row>
    <row r="37" spans="1:26" s="23" customFormat="1" hidden="1" outlineLevel="2" x14ac:dyDescent="0.25">
      <c r="A37" s="27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0"/>
      <c r="P37" s="6"/>
      <c r="Q37" s="2"/>
      <c r="R37" s="7">
        <f t="shared" si="20"/>
        <v>0</v>
      </c>
      <c r="S37" s="2"/>
      <c r="T37" s="6">
        <v>360</v>
      </c>
      <c r="U37" s="2"/>
      <c r="V37" s="7">
        <f t="shared" si="21"/>
        <v>0</v>
      </c>
      <c r="W37" s="2"/>
      <c r="X37" s="6">
        <f t="shared" si="22"/>
        <v>-360</v>
      </c>
      <c r="Y37" s="2"/>
      <c r="Z37" s="7">
        <f t="shared" si="23"/>
        <v>-1</v>
      </c>
    </row>
    <row r="38" spans="1:26" s="26" customFormat="1" outlineLevel="1" collapsed="1" x14ac:dyDescent="0.25">
      <c r="A38" s="25"/>
      <c r="B38" s="12" t="str">
        <f>CONCATENATE("     ","Equipment Rental                                  ")</f>
        <v xml:space="preserve">     Equipment Rental                                  </v>
      </c>
      <c r="C38" s="12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91.26</v>
      </c>
      <c r="I38" s="1"/>
      <c r="J38" s="5">
        <f t="shared" si="17"/>
        <v>0</v>
      </c>
      <c r="K38" s="1"/>
      <c r="L38" s="1">
        <f t="shared" si="18"/>
        <v>-91.26</v>
      </c>
      <c r="M38" s="1"/>
      <c r="N38" s="5">
        <f t="shared" si="19"/>
        <v>-1</v>
      </c>
      <c r="O38" s="12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975.46</v>
      </c>
      <c r="U38" s="1"/>
      <c r="V38" s="5">
        <f t="shared" si="21"/>
        <v>0</v>
      </c>
      <c r="W38" s="1"/>
      <c r="X38" s="1">
        <f t="shared" si="22"/>
        <v>-975.46</v>
      </c>
      <c r="Y38" s="1"/>
      <c r="Z38" s="5">
        <f t="shared" si="23"/>
        <v>-1</v>
      </c>
    </row>
    <row r="39" spans="1:26" s="23" customFormat="1" hidden="1" outlineLevel="2" x14ac:dyDescent="0.25">
      <c r="A39" s="27"/>
      <c r="B39" s="10" t="str">
        <f>CONCATENATE("          ", "6351", " - ", "EQUIPMENT RENTAL")</f>
        <v xml:space="preserve">          6351 - EQUIPMENT RENTAL</v>
      </c>
      <c r="C39" s="10"/>
      <c r="D39" s="6"/>
      <c r="E39" s="2"/>
      <c r="F39" s="7">
        <f t="shared" si="16"/>
        <v>0</v>
      </c>
      <c r="G39" s="2"/>
      <c r="H39" s="6">
        <v>91.26</v>
      </c>
      <c r="I39" s="2"/>
      <c r="J39" s="7">
        <f t="shared" si="17"/>
        <v>0</v>
      </c>
      <c r="K39" s="2"/>
      <c r="L39" s="6">
        <f t="shared" si="18"/>
        <v>-91.26</v>
      </c>
      <c r="M39" s="2"/>
      <c r="N39" s="7">
        <f t="shared" si="19"/>
        <v>-1</v>
      </c>
      <c r="O39" s="10"/>
      <c r="P39" s="6">
        <v>0</v>
      </c>
      <c r="Q39" s="2"/>
      <c r="R39" s="7">
        <f t="shared" si="20"/>
        <v>0</v>
      </c>
      <c r="S39" s="2"/>
      <c r="T39" s="6">
        <v>975.46</v>
      </c>
      <c r="U39" s="2"/>
      <c r="V39" s="7">
        <f t="shared" si="21"/>
        <v>0</v>
      </c>
      <c r="W39" s="2"/>
      <c r="X39" s="6">
        <f t="shared" si="22"/>
        <v>-975.46</v>
      </c>
      <c r="Y39" s="2"/>
      <c r="Z39" s="7">
        <f t="shared" si="23"/>
        <v>-1</v>
      </c>
    </row>
    <row r="40" spans="1:26" s="26" customFormat="1" outlineLevel="1" collapsed="1" x14ac:dyDescent="0.25">
      <c r="A40" s="25"/>
      <c r="B40" s="12" t="str">
        <f>CONCATENATE("     ","Freight out/Postage                               ")</f>
        <v xml:space="preserve">     Freight out/Postage                               </v>
      </c>
      <c r="C40" s="12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415.95</v>
      </c>
      <c r="I40" s="1"/>
      <c r="J40" s="5">
        <f t="shared" si="17"/>
        <v>0</v>
      </c>
      <c r="K40" s="1"/>
      <c r="L40" s="1">
        <f t="shared" si="18"/>
        <v>-415.95</v>
      </c>
      <c r="M40" s="1"/>
      <c r="N40" s="5">
        <f t="shared" si="19"/>
        <v>-1</v>
      </c>
      <c r="O40" s="12"/>
      <c r="P40" s="1">
        <f>SUM(OSRRefP22_4x_0)</f>
        <v>0</v>
      </c>
      <c r="Q40" s="1"/>
      <c r="R40" s="5">
        <f t="shared" si="20"/>
        <v>0</v>
      </c>
      <c r="S40" s="1"/>
      <c r="T40" s="1">
        <f>SUM(OSRRefT22_4x_0)</f>
        <v>4213.8</v>
      </c>
      <c r="U40" s="1"/>
      <c r="V40" s="5">
        <f t="shared" si="21"/>
        <v>0</v>
      </c>
      <c r="W40" s="1"/>
      <c r="X40" s="1">
        <f t="shared" si="22"/>
        <v>-4213.8</v>
      </c>
      <c r="Y40" s="1"/>
      <c r="Z40" s="5">
        <f t="shared" si="23"/>
        <v>-1</v>
      </c>
    </row>
    <row r="41" spans="1:26" s="23" customFormat="1" hidden="1" outlineLevel="2" x14ac:dyDescent="0.25">
      <c r="A41" s="27"/>
      <c r="B41" s="10" t="str">
        <f>CONCATENATE("          ", "6307", " - ", "POSTAGE")</f>
        <v xml:space="preserve">          6307 - POSTAGE</v>
      </c>
      <c r="C41" s="10"/>
      <c r="D41" s="6"/>
      <c r="E41" s="2"/>
      <c r="F41" s="7">
        <f t="shared" si="16"/>
        <v>0</v>
      </c>
      <c r="G41" s="2"/>
      <c r="H41" s="6">
        <v>415.95</v>
      </c>
      <c r="I41" s="2"/>
      <c r="J41" s="7">
        <f t="shared" si="17"/>
        <v>0</v>
      </c>
      <c r="K41" s="2"/>
      <c r="L41" s="6">
        <f t="shared" si="18"/>
        <v>-415.95</v>
      </c>
      <c r="M41" s="2"/>
      <c r="N41" s="7">
        <f t="shared" si="19"/>
        <v>-1</v>
      </c>
      <c r="O41" s="10"/>
      <c r="P41" s="6">
        <v>0</v>
      </c>
      <c r="Q41" s="2"/>
      <c r="R41" s="7">
        <f t="shared" si="20"/>
        <v>0</v>
      </c>
      <c r="S41" s="2"/>
      <c r="T41" s="6">
        <v>4213.8</v>
      </c>
      <c r="U41" s="2"/>
      <c r="V41" s="7">
        <f t="shared" si="21"/>
        <v>0</v>
      </c>
      <c r="W41" s="2"/>
      <c r="X41" s="6">
        <f t="shared" si="22"/>
        <v>-4213.8</v>
      </c>
      <c r="Y41" s="2"/>
      <c r="Z41" s="7">
        <f t="shared" si="23"/>
        <v>-1</v>
      </c>
    </row>
    <row r="42" spans="1:26" s="26" customFormat="1" outlineLevel="1" collapsed="1" x14ac:dyDescent="0.25">
      <c r="A42" s="25"/>
      <c r="B42" s="12" t="str">
        <f>CONCATENATE("     ","General                                           ")</f>
        <v xml:space="preserve">     General                                           </v>
      </c>
      <c r="C42" s="12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2"/>
      <c r="P42" s="1">
        <f>SUM(OSRRefP22_5x_0)</f>
        <v>0</v>
      </c>
      <c r="Q42" s="1"/>
      <c r="R42" s="5">
        <f t="shared" si="20"/>
        <v>0</v>
      </c>
      <c r="S42" s="1"/>
      <c r="T42" s="1">
        <f>SUM(OSRRefT22_5x_0)</f>
        <v>89.45</v>
      </c>
      <c r="U42" s="1"/>
      <c r="V42" s="5">
        <f t="shared" si="21"/>
        <v>0</v>
      </c>
      <c r="W42" s="1"/>
      <c r="X42" s="1">
        <f t="shared" si="22"/>
        <v>-89.45</v>
      </c>
      <c r="Y42" s="1"/>
      <c r="Z42" s="5">
        <f t="shared" si="23"/>
        <v>-1</v>
      </c>
    </row>
    <row r="43" spans="1:26" s="23" customFormat="1" hidden="1" outlineLevel="2" x14ac:dyDescent="0.25">
      <c r="A43" s="27"/>
      <c r="B43" s="10" t="str">
        <f>CONCATENATE("          ", "6279", " - ", "GENERAL EXPENSE")</f>
        <v xml:space="preserve">          6279 - GENERAL EXPENSE</v>
      </c>
      <c r="C43" s="10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0"/>
      <c r="P43" s="6"/>
      <c r="Q43" s="2"/>
      <c r="R43" s="7">
        <f t="shared" si="20"/>
        <v>0</v>
      </c>
      <c r="S43" s="2"/>
      <c r="T43" s="6">
        <v>89.45</v>
      </c>
      <c r="U43" s="2"/>
      <c r="V43" s="7">
        <f t="shared" si="21"/>
        <v>0</v>
      </c>
      <c r="W43" s="2"/>
      <c r="X43" s="6">
        <f t="shared" si="22"/>
        <v>-89.45</v>
      </c>
      <c r="Y43" s="2"/>
      <c r="Z43" s="7">
        <f t="shared" si="23"/>
        <v>-1</v>
      </c>
    </row>
    <row r="44" spans="1:26" s="26" customFormat="1" outlineLevel="1" collapsed="1" x14ac:dyDescent="0.25">
      <c r="A44" s="25"/>
      <c r="B44" s="12" t="str">
        <f>CONCATENATE("     ","Repair and Maintenance                            ")</f>
        <v xml:space="preserve">     Repair and Maintenance                            </v>
      </c>
      <c r="C44" s="12"/>
      <c r="D44" s="1">
        <f>SUM(OSRRefD22_6x_0)</f>
        <v>0</v>
      </c>
      <c r="E44" s="1"/>
      <c r="F44" s="5">
        <f t="shared" si="16"/>
        <v>0</v>
      </c>
      <c r="G44" s="1"/>
      <c r="H44" s="1">
        <f>SUM(OSRRefH22_6x_0)</f>
        <v>9.1300000000000008</v>
      </c>
      <c r="I44" s="1"/>
      <c r="J44" s="5">
        <f t="shared" si="17"/>
        <v>0</v>
      </c>
      <c r="K44" s="1"/>
      <c r="L44" s="1">
        <f t="shared" si="18"/>
        <v>-9.1300000000000008</v>
      </c>
      <c r="M44" s="1"/>
      <c r="N44" s="5">
        <f t="shared" si="19"/>
        <v>-1</v>
      </c>
      <c r="O44" s="12"/>
      <c r="P44" s="1">
        <f>SUM(OSRRefP22_6x_0)</f>
        <v>0</v>
      </c>
      <c r="Q44" s="1"/>
      <c r="R44" s="5">
        <f t="shared" si="20"/>
        <v>0</v>
      </c>
      <c r="S44" s="1"/>
      <c r="T44" s="1">
        <f>SUM(OSRRefT22_6x_0)</f>
        <v>478.33</v>
      </c>
      <c r="U44" s="1"/>
      <c r="V44" s="5">
        <f t="shared" si="21"/>
        <v>0</v>
      </c>
      <c r="W44" s="1"/>
      <c r="X44" s="1">
        <f t="shared" si="22"/>
        <v>-478.33</v>
      </c>
      <c r="Y44" s="1"/>
      <c r="Z44" s="5">
        <f t="shared" si="23"/>
        <v>-1</v>
      </c>
    </row>
    <row r="45" spans="1:26" s="23" customFormat="1" hidden="1" outlineLevel="2" x14ac:dyDescent="0.25">
      <c r="A45" s="27"/>
      <c r="B45" s="10" t="str">
        <f>CONCATENATE("          ", "6373", " - ", "MAINTENANCE CONTRACTS")</f>
        <v xml:space="preserve">          6373 - MAINTENANCE CONTRACTS</v>
      </c>
      <c r="C45" s="10"/>
      <c r="D45" s="6"/>
      <c r="E45" s="2"/>
      <c r="F45" s="7">
        <f t="shared" si="16"/>
        <v>0</v>
      </c>
      <c r="G45" s="2"/>
      <c r="H45" s="6">
        <v>9.1300000000000008</v>
      </c>
      <c r="I45" s="2"/>
      <c r="J45" s="7">
        <f t="shared" si="17"/>
        <v>0</v>
      </c>
      <c r="K45" s="2"/>
      <c r="L45" s="6">
        <f t="shared" si="18"/>
        <v>-9.1300000000000008</v>
      </c>
      <c r="M45" s="2"/>
      <c r="N45" s="7">
        <f t="shared" si="19"/>
        <v>-1</v>
      </c>
      <c r="O45" s="10"/>
      <c r="P45" s="6">
        <v>0</v>
      </c>
      <c r="Q45" s="2"/>
      <c r="R45" s="7">
        <f t="shared" si="20"/>
        <v>0</v>
      </c>
      <c r="S45" s="2"/>
      <c r="T45" s="6">
        <v>166</v>
      </c>
      <c r="U45" s="2"/>
      <c r="V45" s="7">
        <f t="shared" si="21"/>
        <v>0</v>
      </c>
      <c r="W45" s="2"/>
      <c r="X45" s="6">
        <f t="shared" si="22"/>
        <v>-166</v>
      </c>
      <c r="Y45" s="2"/>
      <c r="Z45" s="7">
        <f t="shared" si="23"/>
        <v>-1</v>
      </c>
    </row>
    <row r="46" spans="1:26" s="23" customFormat="1" hidden="1" outlineLevel="2" x14ac:dyDescent="0.25">
      <c r="A46" s="27"/>
      <c r="B46" s="10" t="str">
        <f>CONCATENATE("          ", "6375", " - ", "OUTSIDE REPAIRS &amp; MAINTENANCE")</f>
        <v xml:space="preserve">          6375 - OUTSIDE REPAIRS &amp; MAINTENANCE</v>
      </c>
      <c r="C46" s="10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0"/>
      <c r="P46" s="6"/>
      <c r="Q46" s="2"/>
      <c r="R46" s="7">
        <f t="shared" si="20"/>
        <v>0</v>
      </c>
      <c r="S46" s="2"/>
      <c r="T46" s="6">
        <v>312.33</v>
      </c>
      <c r="U46" s="2"/>
      <c r="V46" s="7">
        <f t="shared" si="21"/>
        <v>0</v>
      </c>
      <c r="W46" s="2"/>
      <c r="X46" s="6">
        <f t="shared" si="22"/>
        <v>-312.33</v>
      </c>
      <c r="Y46" s="2"/>
      <c r="Z46" s="7">
        <f t="shared" si="23"/>
        <v>-1</v>
      </c>
    </row>
    <row r="47" spans="1:26" s="26" customFormat="1" outlineLevel="1" collapsed="1" x14ac:dyDescent="0.25">
      <c r="A47" s="25"/>
      <c r="B47" s="12" t="str">
        <f>CONCATENATE("     ","Supplies                                          ")</f>
        <v xml:space="preserve">     Supplies                                          </v>
      </c>
      <c r="C47" s="12"/>
      <c r="D47" s="1">
        <f>SUM(OSRRefD22_7x_0)</f>
        <v>0</v>
      </c>
      <c r="E47" s="1"/>
      <c r="F47" s="5">
        <f t="shared" ref="F47:F50" si="24">IF(D$12=0,0,D47/D$12)</f>
        <v>0</v>
      </c>
      <c r="G47" s="1"/>
      <c r="H47" s="1">
        <f>SUM(OSRRefH22_7x_0)</f>
        <v>625.73</v>
      </c>
      <c r="I47" s="1"/>
      <c r="J47" s="5">
        <f t="shared" ref="J47:J50" si="25">IF(H$12=0,0,H47/H$12)</f>
        <v>0</v>
      </c>
      <c r="K47" s="1"/>
      <c r="L47" s="1">
        <f t="shared" ref="L47:L50" si="26">+D47-H47</f>
        <v>-625.73</v>
      </c>
      <c r="M47" s="1"/>
      <c r="N47" s="5">
        <f t="shared" ref="N47:N50" si="27">IF(H47=0,0,L47/H47)</f>
        <v>-1</v>
      </c>
      <c r="O47" s="12"/>
      <c r="P47" s="1">
        <f>SUM(OSRRefP22_7x_0)</f>
        <v>0</v>
      </c>
      <c r="Q47" s="1"/>
      <c r="R47" s="5">
        <f t="shared" ref="R47:R50" si="28">IF(P$12=0,0,P47/P$12)</f>
        <v>0</v>
      </c>
      <c r="S47" s="1"/>
      <c r="T47" s="1">
        <f>SUM(OSRRefT22_7x_0)</f>
        <v>3604.19</v>
      </c>
      <c r="U47" s="1"/>
      <c r="V47" s="5">
        <f t="shared" ref="V47:V50" si="29">IF(T$12=0,0,T47/T$12)</f>
        <v>0</v>
      </c>
      <c r="W47" s="1"/>
      <c r="X47" s="1">
        <f t="shared" ref="X47:X50" si="30">+P47-T47</f>
        <v>-3604.19</v>
      </c>
      <c r="Y47" s="1"/>
      <c r="Z47" s="5">
        <f t="shared" ref="Z47:Z50" si="31">IF(T47=0,0,X47/T47)</f>
        <v>-1</v>
      </c>
    </row>
    <row r="48" spans="1:26" s="23" customFormat="1" hidden="1" outlineLevel="2" x14ac:dyDescent="0.25">
      <c r="A48" s="27"/>
      <c r="B48" s="10" t="str">
        <f>CONCATENATE("          ", "6237", " - ", "JANITORIAL SUPPLIES")</f>
        <v xml:space="preserve">          6237 - JANITORIAL SUPPLIES</v>
      </c>
      <c r="C48" s="10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0"/>
      <c r="P48" s="6"/>
      <c r="Q48" s="2"/>
      <c r="R48" s="7">
        <f t="shared" si="28"/>
        <v>0</v>
      </c>
      <c r="S48" s="2"/>
      <c r="T48" s="6">
        <v>226.95</v>
      </c>
      <c r="U48" s="2"/>
      <c r="V48" s="7">
        <f t="shared" si="29"/>
        <v>0</v>
      </c>
      <c r="W48" s="2"/>
      <c r="X48" s="6">
        <f t="shared" si="30"/>
        <v>-226.95</v>
      </c>
      <c r="Y48" s="2"/>
      <c r="Z48" s="7">
        <f t="shared" si="31"/>
        <v>-1</v>
      </c>
    </row>
    <row r="49" spans="1:26" s="23" customFormat="1" hidden="1" outlineLevel="2" x14ac:dyDescent="0.25">
      <c r="A49" s="27"/>
      <c r="B49" s="10" t="str">
        <f>CONCATENATE("          ", "6241", " - ", "OFFICE EXPENSE")</f>
        <v xml:space="preserve">          6241 - OFFICE EXPENSE</v>
      </c>
      <c r="C49" s="10"/>
      <c r="D49" s="6"/>
      <c r="E49" s="2"/>
      <c r="F49" s="7">
        <f t="shared" si="24"/>
        <v>0</v>
      </c>
      <c r="G49" s="2"/>
      <c r="H49" s="6">
        <v>417.94</v>
      </c>
      <c r="I49" s="2"/>
      <c r="J49" s="7">
        <f t="shared" si="25"/>
        <v>0</v>
      </c>
      <c r="K49" s="2"/>
      <c r="L49" s="6">
        <f t="shared" si="26"/>
        <v>-417.94</v>
      </c>
      <c r="M49" s="2"/>
      <c r="N49" s="7">
        <f t="shared" si="27"/>
        <v>-1</v>
      </c>
      <c r="O49" s="10"/>
      <c r="P49" s="6"/>
      <c r="Q49" s="2"/>
      <c r="R49" s="7">
        <f t="shared" si="28"/>
        <v>0</v>
      </c>
      <c r="S49" s="2"/>
      <c r="T49" s="6">
        <v>2023.01</v>
      </c>
      <c r="U49" s="2"/>
      <c r="V49" s="7">
        <f t="shared" si="29"/>
        <v>0</v>
      </c>
      <c r="W49" s="2"/>
      <c r="X49" s="6">
        <f t="shared" si="30"/>
        <v>-2023.01</v>
      </c>
      <c r="Y49" s="2"/>
      <c r="Z49" s="7">
        <f t="shared" si="31"/>
        <v>-1</v>
      </c>
    </row>
    <row r="50" spans="1:26" s="23" customFormat="1" hidden="1" outlineLevel="2" x14ac:dyDescent="0.25">
      <c r="A50" s="27"/>
      <c r="B50" s="10" t="str">
        <f>CONCATENATE("          ", "6247", " - ", "STORE SUPPLIES")</f>
        <v xml:space="preserve">          6247 - STORE SUPPLIES</v>
      </c>
      <c r="C50" s="10"/>
      <c r="D50" s="6"/>
      <c r="E50" s="2"/>
      <c r="F50" s="7">
        <f t="shared" si="24"/>
        <v>0</v>
      </c>
      <c r="G50" s="2"/>
      <c r="H50" s="6">
        <v>207.79</v>
      </c>
      <c r="I50" s="2"/>
      <c r="J50" s="7">
        <f t="shared" si="25"/>
        <v>0</v>
      </c>
      <c r="K50" s="2"/>
      <c r="L50" s="6">
        <f t="shared" si="26"/>
        <v>-207.79</v>
      </c>
      <c r="M50" s="2"/>
      <c r="N50" s="7">
        <f t="shared" si="27"/>
        <v>-1</v>
      </c>
      <c r="O50" s="10"/>
      <c r="P50" s="6"/>
      <c r="Q50" s="2"/>
      <c r="R50" s="7">
        <f t="shared" si="28"/>
        <v>0</v>
      </c>
      <c r="S50" s="2"/>
      <c r="T50" s="6">
        <v>1354.23</v>
      </c>
      <c r="U50" s="2"/>
      <c r="V50" s="7">
        <f t="shared" si="29"/>
        <v>0</v>
      </c>
      <c r="W50" s="2"/>
      <c r="X50" s="6">
        <f t="shared" si="30"/>
        <v>-1354.23</v>
      </c>
      <c r="Y50" s="2"/>
      <c r="Z50" s="7">
        <f t="shared" si="31"/>
        <v>-1</v>
      </c>
    </row>
    <row r="51" spans="1:26" s="26" customFormat="1" outlineLevel="1" collapsed="1" x14ac:dyDescent="0.25">
      <c r="A51" s="25"/>
      <c r="B51" s="12" t="str">
        <f>CONCATENATE("     ","Telephone/Data Lines                              ")</f>
        <v xml:space="preserve">     Telephone/Data Lines                              </v>
      </c>
      <c r="C51" s="12"/>
      <c r="D51" s="1">
        <f>SUM(OSRRefD22_8x_0)</f>
        <v>0</v>
      </c>
      <c r="E51" s="1"/>
      <c r="F51" s="5">
        <f t="shared" ref="F51:F54" si="32">IF(D$12=0,0,D51/D$12)</f>
        <v>0</v>
      </c>
      <c r="G51" s="1"/>
      <c r="H51" s="1">
        <f>SUM(OSRRefH22_8x_0)</f>
        <v>148.15</v>
      </c>
      <c r="I51" s="1"/>
      <c r="J51" s="5">
        <f t="shared" ref="J51:J54" si="33">IF(H$12=0,0,H51/H$12)</f>
        <v>0</v>
      </c>
      <c r="K51" s="1"/>
      <c r="L51" s="1">
        <f t="shared" ref="L51:L54" si="34">+D51-H51</f>
        <v>-148.15</v>
      </c>
      <c r="M51" s="1"/>
      <c r="N51" s="5">
        <f t="shared" ref="N51:N54" si="35">IF(H51=0,0,L51/H51)</f>
        <v>-1</v>
      </c>
      <c r="O51" s="12"/>
      <c r="P51" s="1">
        <f>SUM(OSRRefP22_8x_0)</f>
        <v>0</v>
      </c>
      <c r="Q51" s="1"/>
      <c r="R51" s="5">
        <f t="shared" ref="R51:R54" si="36">IF(P$12=0,0,P51/P$12)</f>
        <v>0</v>
      </c>
      <c r="S51" s="1"/>
      <c r="T51" s="1">
        <f>SUM(OSRRefT22_8x_0)</f>
        <v>1546.65</v>
      </c>
      <c r="U51" s="1"/>
      <c r="V51" s="5">
        <f t="shared" ref="V51:V54" si="37">IF(T$12=0,0,T51/T$12)</f>
        <v>0</v>
      </c>
      <c r="W51" s="1"/>
      <c r="X51" s="1">
        <f t="shared" ref="X51:X54" si="38">+P51-T51</f>
        <v>-1546.65</v>
      </c>
      <c r="Y51" s="1"/>
      <c r="Z51" s="5">
        <f t="shared" ref="Z51:Z54" si="39">IF(T51=0,0,X51/T51)</f>
        <v>-1</v>
      </c>
    </row>
    <row r="52" spans="1:26" s="23" customFormat="1" hidden="1" outlineLevel="2" x14ac:dyDescent="0.25">
      <c r="A52" s="27"/>
      <c r="B52" s="10" t="str">
        <f>CONCATENATE("          ", "6309", " - ", "TELEPHONE")</f>
        <v xml:space="preserve">          6309 - TELEPHONE</v>
      </c>
      <c r="C52" s="10"/>
      <c r="D52" s="6"/>
      <c r="E52" s="2"/>
      <c r="F52" s="7">
        <f t="shared" si="32"/>
        <v>0</v>
      </c>
      <c r="G52" s="2"/>
      <c r="H52" s="6">
        <v>148.15</v>
      </c>
      <c r="I52" s="2"/>
      <c r="J52" s="7">
        <f t="shared" si="33"/>
        <v>0</v>
      </c>
      <c r="K52" s="2"/>
      <c r="L52" s="6">
        <f t="shared" si="34"/>
        <v>-148.15</v>
      </c>
      <c r="M52" s="2"/>
      <c r="N52" s="7">
        <f t="shared" si="35"/>
        <v>-1</v>
      </c>
      <c r="O52" s="10"/>
      <c r="P52" s="6">
        <v>0</v>
      </c>
      <c r="Q52" s="2"/>
      <c r="R52" s="7">
        <f t="shared" si="36"/>
        <v>0</v>
      </c>
      <c r="S52" s="2"/>
      <c r="T52" s="6">
        <v>1546.65</v>
      </c>
      <c r="U52" s="2"/>
      <c r="V52" s="7">
        <f t="shared" si="37"/>
        <v>0</v>
      </c>
      <c r="W52" s="2"/>
      <c r="X52" s="6">
        <f t="shared" si="38"/>
        <v>-1546.65</v>
      </c>
      <c r="Y52" s="2"/>
      <c r="Z52" s="7">
        <f t="shared" si="39"/>
        <v>-1</v>
      </c>
    </row>
    <row r="53" spans="1:26" s="26" customFormat="1" outlineLevel="1" collapsed="1" x14ac:dyDescent="0.25">
      <c r="A53" s="25"/>
      <c r="B53" s="12" t="str">
        <f>CONCATENATE("     ","Training                                          ")</f>
        <v xml:space="preserve">     Training                                          </v>
      </c>
      <c r="C53" s="12"/>
      <c r="D53" s="1">
        <f>SUM(OSRRefD22_9x_0)</f>
        <v>0</v>
      </c>
      <c r="E53" s="1"/>
      <c r="F53" s="5">
        <f t="shared" si="32"/>
        <v>0</v>
      </c>
      <c r="G53" s="1"/>
      <c r="H53" s="1">
        <f>SUM(OSRRefH22_9x_0)</f>
        <v>0</v>
      </c>
      <c r="I53" s="1"/>
      <c r="J53" s="5">
        <f t="shared" si="33"/>
        <v>0</v>
      </c>
      <c r="K53" s="1"/>
      <c r="L53" s="1">
        <f t="shared" si="34"/>
        <v>0</v>
      </c>
      <c r="M53" s="1"/>
      <c r="N53" s="5">
        <f t="shared" si="35"/>
        <v>0</v>
      </c>
      <c r="O53" s="12"/>
      <c r="P53" s="1">
        <f>SUM(OSRRefP22_9x_0)</f>
        <v>0</v>
      </c>
      <c r="Q53" s="1"/>
      <c r="R53" s="5">
        <f t="shared" si="36"/>
        <v>0</v>
      </c>
      <c r="S53" s="1"/>
      <c r="T53" s="1">
        <f>SUM(OSRRefT22_9x_0)</f>
        <v>80</v>
      </c>
      <c r="U53" s="1"/>
      <c r="V53" s="5">
        <f t="shared" si="37"/>
        <v>0</v>
      </c>
      <c r="W53" s="1"/>
      <c r="X53" s="1">
        <f t="shared" si="38"/>
        <v>-80</v>
      </c>
      <c r="Y53" s="1"/>
      <c r="Z53" s="5">
        <f t="shared" si="39"/>
        <v>-1</v>
      </c>
    </row>
    <row r="54" spans="1:26" s="23" customFormat="1" hidden="1" outlineLevel="2" x14ac:dyDescent="0.25">
      <c r="A54" s="27"/>
      <c r="B54" s="10" t="str">
        <f>CONCATENATE("          ", "6376", " - ", "TRAINING")</f>
        <v xml:space="preserve">          6376 - TRAINING</v>
      </c>
      <c r="C54" s="10"/>
      <c r="D54" s="6"/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0</v>
      </c>
      <c r="M54" s="2"/>
      <c r="N54" s="7">
        <f t="shared" si="35"/>
        <v>0</v>
      </c>
      <c r="O54" s="10"/>
      <c r="P54" s="6"/>
      <c r="Q54" s="2"/>
      <c r="R54" s="7">
        <f t="shared" si="36"/>
        <v>0</v>
      </c>
      <c r="S54" s="2"/>
      <c r="T54" s="6">
        <v>80</v>
      </c>
      <c r="U54" s="2"/>
      <c r="V54" s="7">
        <f t="shared" si="37"/>
        <v>0</v>
      </c>
      <c r="W54" s="2"/>
      <c r="X54" s="6">
        <f t="shared" si="38"/>
        <v>-80</v>
      </c>
      <c r="Y54" s="2"/>
      <c r="Z54" s="7">
        <f t="shared" si="39"/>
        <v>-1</v>
      </c>
    </row>
    <row r="55" spans="1:26" s="62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4" customFormat="1" x14ac:dyDescent="0.25">
      <c r="A56" s="11"/>
      <c r="B56" s="28" t="s">
        <v>292</v>
      </c>
      <c r="C56" s="11"/>
      <c r="D56" s="4">
        <f>SUM(0)</f>
        <v>0</v>
      </c>
      <c r="E56" s="4"/>
      <c r="F56" s="13">
        <f>IF(D$12=0,0,D56/D$12)</f>
        <v>0</v>
      </c>
      <c r="G56" s="4"/>
      <c r="H56" s="4">
        <f>SUM(0)</f>
        <v>0</v>
      </c>
      <c r="I56" s="4"/>
      <c r="J56" s="13">
        <f>IF(H$12=0,0,H56/H$12)</f>
        <v>0</v>
      </c>
      <c r="K56" s="4"/>
      <c r="L56" s="4">
        <f>+D56-H56</f>
        <v>0</v>
      </c>
      <c r="M56" s="4"/>
      <c r="N56" s="13">
        <f>IF(H56=0,0,L56/H56)</f>
        <v>0</v>
      </c>
      <c r="O56" s="11"/>
      <c r="P56" s="4">
        <f>SUM(0)</f>
        <v>0</v>
      </c>
      <c r="Q56" s="4"/>
      <c r="R56" s="13">
        <f>IF(P$12=0,0,P56/P$12)</f>
        <v>0</v>
      </c>
      <c r="S56" s="4"/>
      <c r="T56" s="4">
        <f>SUM(0)</f>
        <v>0</v>
      </c>
      <c r="U56" s="4"/>
      <c r="V56" s="13">
        <f>IF(T$12=0,0,T56/T$12)</f>
        <v>0</v>
      </c>
      <c r="W56" s="4"/>
      <c r="X56" s="4">
        <f>+P56-T56</f>
        <v>0</v>
      </c>
      <c r="Y56" s="4"/>
      <c r="Z56" s="13">
        <f>IF(T56=0,0,X56/T56)</f>
        <v>0</v>
      </c>
    </row>
    <row r="57" spans="1:26" x14ac:dyDescent="0.25">
      <c r="A57" s="9"/>
      <c r="B57" s="11"/>
      <c r="C57" s="11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1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4" customFormat="1" x14ac:dyDescent="0.25">
      <c r="A58" s="11"/>
      <c r="B58" s="29" t="s">
        <v>276</v>
      </c>
      <c r="C58" s="29"/>
      <c r="D58" s="20">
        <f>+D16-D18+D56</f>
        <v>0</v>
      </c>
      <c r="E58" s="14"/>
      <c r="F58" s="22">
        <f>IF(D$12=0,0,D58/D$12)</f>
        <v>0</v>
      </c>
      <c r="G58" s="14"/>
      <c r="H58" s="20">
        <f>+H16-H18+H56</f>
        <v>-15739.560000000001</v>
      </c>
      <c r="I58" s="14"/>
      <c r="J58" s="22">
        <f>IF(H$12=0,0,H58/H$12)</f>
        <v>0</v>
      </c>
      <c r="K58" s="16"/>
      <c r="L58" s="20">
        <f>+D58-H58</f>
        <v>15739.560000000001</v>
      </c>
      <c r="M58" s="16"/>
      <c r="N58" s="22">
        <f>IF(H58=0,0,L58/H58)</f>
        <v>-1</v>
      </c>
      <c r="O58" s="28"/>
      <c r="P58" s="20">
        <f>+P16-P18+P56</f>
        <v>-0.37000000000004318</v>
      </c>
      <c r="Q58" s="14"/>
      <c r="R58" s="22">
        <f>IF(P$12=0,0,P58/P$12)</f>
        <v>0</v>
      </c>
      <c r="S58" s="14"/>
      <c r="T58" s="20">
        <f>+T16-T18+T56</f>
        <v>-439122.72000000009</v>
      </c>
      <c r="U58" s="14"/>
      <c r="V58" s="22">
        <f>IF(T$12=0,0,T58/T$12)</f>
        <v>0</v>
      </c>
      <c r="W58" s="16"/>
      <c r="X58" s="20">
        <f>+P58-T58</f>
        <v>439122.35000000009</v>
      </c>
      <c r="Y58" s="16"/>
      <c r="Z58" s="22">
        <f>IF(T58=0,0,X58/T58)</f>
        <v>-0.9999991574109397</v>
      </c>
    </row>
    <row r="59" spans="1:26" x14ac:dyDescent="0.25">
      <c r="A59" s="9"/>
      <c r="B59" s="11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4" customFormat="1" x14ac:dyDescent="0.25">
      <c r="A60" s="51"/>
      <c r="B60" s="11" t="s">
        <v>127</v>
      </c>
      <c r="C60" s="11"/>
      <c r="D60" s="4"/>
      <c r="E60" s="4"/>
      <c r="F60" s="13">
        <f>IF(D$12=0,0,D60/D$12)</f>
        <v>0</v>
      </c>
      <c r="G60" s="4"/>
      <c r="H60" s="4"/>
      <c r="I60" s="4"/>
      <c r="J60" s="13">
        <f>IF(H$12=0,0,H60/H$12)</f>
        <v>0</v>
      </c>
      <c r="K60" s="4"/>
      <c r="L60" s="4">
        <f>+D60-H60</f>
        <v>0</v>
      </c>
      <c r="M60" s="4"/>
      <c r="N60" s="13">
        <f>IF(H60=0,0,L60/H60)</f>
        <v>0</v>
      </c>
      <c r="O60" s="11"/>
      <c r="P60" s="4"/>
      <c r="Q60" s="4"/>
      <c r="R60" s="13">
        <f>IF(P$12=0,0,P60/P$12)</f>
        <v>0</v>
      </c>
      <c r="S60" s="4"/>
      <c r="T60" s="4"/>
      <c r="U60" s="4"/>
      <c r="V60" s="13">
        <f>IF(T$12=0,0,T60/T$12)</f>
        <v>0</v>
      </c>
      <c r="W60" s="4"/>
      <c r="X60" s="4">
        <f>+P60-T60</f>
        <v>0</v>
      </c>
      <c r="Y60" s="4"/>
      <c r="Z60" s="13">
        <f>IF(T60=0,0,X60/T60)</f>
        <v>0</v>
      </c>
    </row>
    <row r="61" spans="1:26" x14ac:dyDescent="0.25">
      <c r="A61" s="9"/>
      <c r="B61" s="11"/>
      <c r="C61" s="11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1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4" customFormat="1" ht="15.75" thickBot="1" x14ac:dyDescent="0.3">
      <c r="A62" s="11"/>
      <c r="B62" s="29" t="s">
        <v>125</v>
      </c>
      <c r="C62" s="29"/>
      <c r="D62" s="30">
        <f>+D58-D60</f>
        <v>0</v>
      </c>
      <c r="E62" s="14"/>
      <c r="F62" s="34">
        <f>IF(D$12=0,0,D62/D$12)</f>
        <v>0</v>
      </c>
      <c r="G62" s="14"/>
      <c r="H62" s="30">
        <f>+H58-H60</f>
        <v>-15739.560000000001</v>
      </c>
      <c r="I62" s="14"/>
      <c r="J62" s="34">
        <f>IF(H$12=0,0,H62/H$12)</f>
        <v>0</v>
      </c>
      <c r="K62" s="16"/>
      <c r="L62" s="30">
        <f>D62-H62</f>
        <v>15739.560000000001</v>
      </c>
      <c r="M62" s="16"/>
      <c r="N62" s="34">
        <f>IF(H62=0,0,L62/H62)</f>
        <v>-1</v>
      </c>
      <c r="O62" s="28"/>
      <c r="P62" s="30">
        <f>+P58-P60</f>
        <v>-0.37000000000004318</v>
      </c>
      <c r="Q62" s="14"/>
      <c r="R62" s="34">
        <f>IF(P$12=0,0,P62/P$12)</f>
        <v>0</v>
      </c>
      <c r="S62" s="14"/>
      <c r="T62" s="30">
        <f>+T58-T60</f>
        <v>-439122.72000000009</v>
      </c>
      <c r="U62" s="14"/>
      <c r="V62" s="34">
        <f>IF(T$12=0,0,T62/T$12)</f>
        <v>0</v>
      </c>
      <c r="W62" s="16"/>
      <c r="X62" s="30">
        <f>P62-T62</f>
        <v>439122.35000000009</v>
      </c>
      <c r="Y62" s="16"/>
      <c r="Z62" s="34">
        <f>IF(T62=0,0,X62/T62)</f>
        <v>-0.9999991574109397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4" customFormat="1" ht="15.75" thickBot="1" x14ac:dyDescent="0.3">
      <c r="A65" s="11"/>
      <c r="B65" s="29" t="s">
        <v>293</v>
      </c>
      <c r="C65" s="29"/>
      <c r="D65" s="32">
        <f>SUM(D62:D64)</f>
        <v>0</v>
      </c>
      <c r="E65" s="14"/>
      <c r="F65" s="35">
        <f>IF(D$12=0,0,D65/D$12)</f>
        <v>0</v>
      </c>
      <c r="G65" s="14"/>
      <c r="H65" s="32">
        <f>SUM(H62:H64)</f>
        <v>-15739.560000000001</v>
      </c>
      <c r="I65" s="14"/>
      <c r="J65" s="35">
        <f>IF(H$12=0,0,H65/H$12)</f>
        <v>0</v>
      </c>
      <c r="K65" s="16"/>
      <c r="L65" s="32">
        <f>+D65-H65</f>
        <v>15739.560000000001</v>
      </c>
      <c r="M65" s="16"/>
      <c r="N65" s="35">
        <f>IF(H65=0,0,L65/H65)</f>
        <v>-1</v>
      </c>
      <c r="O65" s="28"/>
      <c r="P65" s="32">
        <f>SUM(P62:P64)</f>
        <v>-0.37000000000004318</v>
      </c>
      <c r="Q65" s="14"/>
      <c r="R65" s="35">
        <f>IF(P$12=0,0,P65/P$12)</f>
        <v>0</v>
      </c>
      <c r="S65" s="14"/>
      <c r="T65" s="32">
        <f>SUM(T62:T64)</f>
        <v>-439122.72000000009</v>
      </c>
      <c r="U65" s="14"/>
      <c r="V65" s="35">
        <f>IF(T$12=0,0,T65/T$12)</f>
        <v>0</v>
      </c>
      <c r="W65" s="16"/>
      <c r="X65" s="32">
        <f>+P65-T65</f>
        <v>439122.35000000009</v>
      </c>
      <c r="Y65" s="16"/>
      <c r="Z65" s="35">
        <f>IF(T65=0,0,X65/T65)</f>
        <v>-0.9999991574109397</v>
      </c>
    </row>
    <row r="66" spans="1:26" ht="15.75" thickTop="1" x14ac:dyDescent="0.25">
      <c r="A66" s="9"/>
      <c r="C66" s="9"/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  <row r="67" spans="1:26" x14ac:dyDescent="0.25">
      <c r="A67" s="9"/>
      <c r="B67" s="59">
        <v>44330.00886898148</v>
      </c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6" x14ac:dyDescent="0.25">
      <c r="A68" s="9"/>
      <c r="B68" s="52" t="s">
        <v>56</v>
      </c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6" x14ac:dyDescent="0.25">
      <c r="A69" s="9"/>
      <c r="B69" s="55"/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80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3159.7599999999998</v>
      </c>
      <c r="I12" s="4"/>
      <c r="J12" s="13"/>
      <c r="K12" s="4"/>
      <c r="L12" s="4">
        <f t="shared" ref="L12:L53" si="0">+D12-H12</f>
        <v>-3159.7599999999998</v>
      </c>
      <c r="M12" s="4"/>
      <c r="N12" s="13">
        <f t="shared" ref="N12:N53" si="1">IF(H12=0,0,L12/H12)</f>
        <v>-1</v>
      </c>
      <c r="O12" s="11"/>
      <c r="P12" s="4">
        <f>SUM(OSRRefP13x_0)</f>
        <v>21311.919999999998</v>
      </c>
      <c r="Q12" s="4"/>
      <c r="R12" s="13"/>
      <c r="S12" s="4"/>
      <c r="T12" s="4">
        <f>SUM(OSRRefT13x_0)</f>
        <v>814699.96</v>
      </c>
      <c r="U12" s="4"/>
      <c r="V12" s="13"/>
      <c r="W12" s="4"/>
      <c r="X12" s="4">
        <f t="shared" ref="X12:X53" si="2">+P12-T12</f>
        <v>-793388.03999999992</v>
      </c>
      <c r="Y12" s="4"/>
      <c r="Z12" s="13">
        <f t="shared" ref="Z12:Z53" si="3">IF(T12=0,0,X12/T12)</f>
        <v>-0.97384077446131201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 t="shared" ref="D13:D53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"4017", " - ", "TAXABLE SALES-DORM/HOUSEWARES")</f>
        <v xml:space="preserve">          4017 - TAXABLE SALES-DORM/HOUSEWARES</v>
      </c>
      <c r="C14" s="10"/>
      <c r="D14" s="2">
        <f t="shared" si="4"/>
        <v>0</v>
      </c>
      <c r="E14" s="2"/>
      <c r="F14" s="19"/>
      <c r="G14" s="2"/>
      <c r="H14" s="2">
        <f>--64.95</f>
        <v>64.95</v>
      </c>
      <c r="I14" s="2"/>
      <c r="J14" s="19"/>
      <c r="K14" s="2"/>
      <c r="L14" s="2">
        <f t="shared" si="0"/>
        <v>-64.95</v>
      </c>
      <c r="M14" s="2"/>
      <c r="N14" s="19">
        <f t="shared" si="1"/>
        <v>-1</v>
      </c>
      <c r="O14" s="10"/>
      <c r="P14" s="2">
        <f t="shared" ref="P14:P16" si="5">0</f>
        <v>0</v>
      </c>
      <c r="Q14" s="2"/>
      <c r="R14" s="19"/>
      <c r="S14" s="2"/>
      <c r="T14" s="2">
        <f>--347.52</f>
        <v>347.52</v>
      </c>
      <c r="U14" s="2"/>
      <c r="V14" s="19"/>
      <c r="W14" s="2"/>
      <c r="X14" s="2">
        <f t="shared" si="2"/>
        <v>-347.52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"4019", " - ", "TAXABLE SALES-BOOK RELATED")</f>
        <v xml:space="preserve">          4019 - TAXABLE SALES-BOOK RELATED</v>
      </c>
      <c r="C15" s="10"/>
      <c r="D15" s="2">
        <f t="shared" si="4"/>
        <v>0</v>
      </c>
      <c r="E15" s="2"/>
      <c r="F15" s="19"/>
      <c r="G15" s="2"/>
      <c r="H15" s="2">
        <f t="shared" ref="H15:H16" si="6"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5"/>
        <v>0</v>
      </c>
      <c r="Q15" s="2"/>
      <c r="R15" s="19"/>
      <c r="S15" s="2"/>
      <c r="T15" s="2">
        <f>--42.85</f>
        <v>42.85</v>
      </c>
      <c r="U15" s="2"/>
      <c r="V15" s="19"/>
      <c r="W15" s="2"/>
      <c r="X15" s="2">
        <f t="shared" si="2"/>
        <v>-42.85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"4025", " - ", "TAXABLE SALES-TEST FORMS")</f>
        <v xml:space="preserve">          4025 - TAXABLE SALES-TEST FORMS</v>
      </c>
      <c r="C16" s="10"/>
      <c r="D16" s="2">
        <f t="shared" si="4"/>
        <v>0</v>
      </c>
      <c r="E16" s="2"/>
      <c r="F16" s="19"/>
      <c r="G16" s="2"/>
      <c r="H16" s="2">
        <f t="shared" si="6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 t="shared" si="5"/>
        <v>0</v>
      </c>
      <c r="Q16" s="2"/>
      <c r="R16" s="19"/>
      <c r="S16" s="2"/>
      <c r="T16" s="2">
        <f>--54689.24</f>
        <v>54689.24</v>
      </c>
      <c r="U16" s="2"/>
      <c r="V16" s="19"/>
      <c r="W16" s="2"/>
      <c r="X16" s="2">
        <f t="shared" si="2"/>
        <v>-54689.24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"4026", " - ", "TAXABLE SALES-WRITING INSTRUME")</f>
        <v xml:space="preserve">          4026 - TAXABLE SALES-WRITING INSTRUME</v>
      </c>
      <c r="C17" s="10"/>
      <c r="D17" s="2">
        <f t="shared" si="4"/>
        <v>0</v>
      </c>
      <c r="E17" s="2"/>
      <c r="F17" s="19"/>
      <c r="G17" s="2"/>
      <c r="H17" s="2">
        <f>--81.65</f>
        <v>81.650000000000006</v>
      </c>
      <c r="I17" s="2"/>
      <c r="J17" s="19"/>
      <c r="K17" s="2"/>
      <c r="L17" s="2">
        <f t="shared" si="0"/>
        <v>-81.650000000000006</v>
      </c>
      <c r="M17" s="2"/>
      <c r="N17" s="19">
        <f t="shared" si="1"/>
        <v>-1</v>
      </c>
      <c r="O17" s="10"/>
      <c r="P17" s="2">
        <f>--17.51</f>
        <v>17.510000000000002</v>
      </c>
      <c r="Q17" s="2"/>
      <c r="R17" s="19"/>
      <c r="S17" s="2"/>
      <c r="T17" s="2">
        <f>--79720.2</f>
        <v>79720.2</v>
      </c>
      <c r="U17" s="2"/>
      <c r="V17" s="19"/>
      <c r="W17" s="2"/>
      <c r="X17" s="2">
        <f t="shared" si="2"/>
        <v>-79702.69</v>
      </c>
      <c r="Y17" s="2"/>
      <c r="Z17" s="19">
        <f t="shared" si="3"/>
        <v>-0.99978035679790067</v>
      </c>
    </row>
    <row r="18" spans="1:26" s="23" customFormat="1" hidden="1" outlineLevel="1" x14ac:dyDescent="0.25">
      <c r="A18" s="44"/>
      <c r="B18" s="10" t="str">
        <f>CONCATENATE("          ", "4027", " - ", "TAXABLE SALES-SCHOOL SUPPLIES")</f>
        <v xml:space="preserve">          4027 - TAXABLE SALES-SCHOOL SUPPLIES</v>
      </c>
      <c r="C18" s="10"/>
      <c r="D18" s="2">
        <f t="shared" si="4"/>
        <v>0</v>
      </c>
      <c r="E18" s="2"/>
      <c r="F18" s="19"/>
      <c r="G18" s="2"/>
      <c r="H18" s="2">
        <f>--1399.98</f>
        <v>1399.98</v>
      </c>
      <c r="I18" s="2"/>
      <c r="J18" s="19"/>
      <c r="K18" s="2"/>
      <c r="L18" s="2">
        <f t="shared" si="0"/>
        <v>-1399.98</v>
      </c>
      <c r="M18" s="2"/>
      <c r="N18" s="19">
        <f t="shared" si="1"/>
        <v>-1</v>
      </c>
      <c r="O18" s="10"/>
      <c r="P18" s="2">
        <f>--7990.32</f>
        <v>7990.32</v>
      </c>
      <c r="Q18" s="2"/>
      <c r="R18" s="19"/>
      <c r="S18" s="2"/>
      <c r="T18" s="2">
        <f>--271084.97</f>
        <v>271084.96999999997</v>
      </c>
      <c r="U18" s="2"/>
      <c r="V18" s="19"/>
      <c r="W18" s="2"/>
      <c r="X18" s="2">
        <f t="shared" si="2"/>
        <v>-263094.64999999997</v>
      </c>
      <c r="Y18" s="2"/>
      <c r="Z18" s="19">
        <f t="shared" si="3"/>
        <v>-0.97052466612221255</v>
      </c>
    </row>
    <row r="19" spans="1:26" s="23" customFormat="1" hidden="1" outlineLevel="1" x14ac:dyDescent="0.25">
      <c r="A19" s="44"/>
      <c r="B19" s="10" t="str">
        <f>CONCATENATE("          ", "4028", " - ", "TAXABLE SALES-ART/TECH")</f>
        <v xml:space="preserve">          4028 - TAXABLE SALES-ART/TECH</v>
      </c>
      <c r="C19" s="10"/>
      <c r="D19" s="2">
        <f t="shared" si="4"/>
        <v>0</v>
      </c>
      <c r="E19" s="2"/>
      <c r="F19" s="19"/>
      <c r="G19" s="2"/>
      <c r="H19" s="2">
        <f>--168.82</f>
        <v>168.82</v>
      </c>
      <c r="I19" s="2"/>
      <c r="J19" s="19"/>
      <c r="K19" s="2"/>
      <c r="L19" s="2">
        <f t="shared" si="0"/>
        <v>-168.82</v>
      </c>
      <c r="M19" s="2"/>
      <c r="N19" s="19">
        <f t="shared" si="1"/>
        <v>-1</v>
      </c>
      <c r="O19" s="10"/>
      <c r="P19" s="2">
        <f>--12479.05</f>
        <v>12479.05</v>
      </c>
      <c r="Q19" s="2"/>
      <c r="R19" s="19"/>
      <c r="S19" s="2"/>
      <c r="T19" s="2">
        <f>--292765.87</f>
        <v>292765.87</v>
      </c>
      <c r="U19" s="2"/>
      <c r="V19" s="19"/>
      <c r="W19" s="2"/>
      <c r="X19" s="2">
        <f t="shared" si="2"/>
        <v>-280286.82</v>
      </c>
      <c r="Y19" s="2"/>
      <c r="Z19" s="19">
        <f t="shared" si="3"/>
        <v>-0.95737532520440316</v>
      </c>
    </row>
    <row r="20" spans="1:26" s="23" customFormat="1" hidden="1" outlineLevel="1" x14ac:dyDescent="0.25">
      <c r="A20" s="44"/>
      <c r="B20" s="10" t="str">
        <f>CONCATENATE("          ", "4031", " - ", "TAXABLE SALES-FOOD")</f>
        <v xml:space="preserve">          4031 - TAXABLE SALES-FOOD</v>
      </c>
      <c r="C20" s="10"/>
      <c r="D20" s="2">
        <f t="shared" si="4"/>
        <v>0</v>
      </c>
      <c r="E20" s="2"/>
      <c r="F20" s="19"/>
      <c r="G20" s="2"/>
      <c r="H20" s="2">
        <f t="shared" ref="H20:H33" si="7"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0"/>
      <c r="P20" s="2">
        <f>--374.55</f>
        <v>374.55</v>
      </c>
      <c r="Q20" s="2"/>
      <c r="R20" s="19"/>
      <c r="S20" s="2"/>
      <c r="T20" s="2">
        <f>--486.34</f>
        <v>486.34</v>
      </c>
      <c r="U20" s="2"/>
      <c r="V20" s="19"/>
      <c r="W20" s="2"/>
      <c r="X20" s="2">
        <f t="shared" si="2"/>
        <v>-111.78999999999996</v>
      </c>
      <c r="Y20" s="2"/>
      <c r="Z20" s="19">
        <f t="shared" si="3"/>
        <v>-0.22985976888596449</v>
      </c>
    </row>
    <row r="21" spans="1:26" s="23" customFormat="1" hidden="1" outlineLevel="1" x14ac:dyDescent="0.25">
      <c r="A21" s="44"/>
      <c r="B21" s="10" t="str">
        <f>CONCATENATE("          ", "4032", " - ", "TAXABLE SALES-JUICE")</f>
        <v xml:space="preserve">          4032 - TAXABLE SALES-JUICE</v>
      </c>
      <c r="C21" s="10"/>
      <c r="D21" s="2">
        <f t="shared" si="4"/>
        <v>0</v>
      </c>
      <c r="E21" s="2"/>
      <c r="F21" s="19"/>
      <c r="G21" s="2"/>
      <c r="H21" s="2">
        <f t="shared" si="7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ref="P21:P28" si="8">0</f>
        <v>0</v>
      </c>
      <c r="Q21" s="2"/>
      <c r="R21" s="19"/>
      <c r="S21" s="2"/>
      <c r="T21" s="2">
        <f>--1905.06</f>
        <v>1905.06</v>
      </c>
      <c r="U21" s="2"/>
      <c r="V21" s="19"/>
      <c r="W21" s="2"/>
      <c r="X21" s="2">
        <f t="shared" si="2"/>
        <v>-1905.06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"4033", " - ", "TAXABLE SALES-CANDY")</f>
        <v xml:space="preserve">          4033 - TAXABLE SALES-CANDY</v>
      </c>
      <c r="C22" s="10"/>
      <c r="D22" s="2">
        <f t="shared" si="4"/>
        <v>0</v>
      </c>
      <c r="E22" s="2"/>
      <c r="F22" s="19"/>
      <c r="G22" s="2"/>
      <c r="H22" s="2">
        <f t="shared" si="7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0"/>
      <c r="P22" s="2">
        <f t="shared" si="8"/>
        <v>0</v>
      </c>
      <c r="Q22" s="2"/>
      <c r="R22" s="19"/>
      <c r="S22" s="2"/>
      <c r="T22" s="2">
        <f>--205.53</f>
        <v>205.53</v>
      </c>
      <c r="U22" s="2"/>
      <c r="V22" s="19"/>
      <c r="W22" s="2"/>
      <c r="X22" s="2">
        <f t="shared" si="2"/>
        <v>-205.53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"4034", " - ", "TAXABLE SALES-SODA")</f>
        <v xml:space="preserve">          4034 - TAXABLE SALES-SODA</v>
      </c>
      <c r="C23" s="10"/>
      <c r="D23" s="2">
        <f t="shared" si="4"/>
        <v>0</v>
      </c>
      <c r="E23" s="2"/>
      <c r="F23" s="19"/>
      <c r="G23" s="2"/>
      <c r="H23" s="2">
        <f t="shared" si="7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si="8"/>
        <v>0</v>
      </c>
      <c r="Q23" s="2"/>
      <c r="R23" s="19"/>
      <c r="S23" s="2"/>
      <c r="T23" s="2">
        <f>--7803.51</f>
        <v>7803.51</v>
      </c>
      <c r="U23" s="2"/>
      <c r="V23" s="19"/>
      <c r="W23" s="2"/>
      <c r="X23" s="2">
        <f t="shared" si="2"/>
        <v>-7803.51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"4035", " - ", "TAXABLE SALES-HEALTH &amp; BEAUTY")</f>
        <v xml:space="preserve">          4035 - TAXABLE SALES-HEALTH &amp; BEAUTY</v>
      </c>
      <c r="C24" s="10"/>
      <c r="D24" s="2">
        <f t="shared" si="4"/>
        <v>0</v>
      </c>
      <c r="E24" s="2"/>
      <c r="F24" s="19"/>
      <c r="G24" s="2"/>
      <c r="H24" s="2">
        <f t="shared" si="7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 t="shared" si="8"/>
        <v>0</v>
      </c>
      <c r="Q24" s="2"/>
      <c r="R24" s="19"/>
      <c r="S24" s="2"/>
      <c r="T24" s="2">
        <f>--1981.84</f>
        <v>1981.84</v>
      </c>
      <c r="U24" s="2"/>
      <c r="V24" s="19"/>
      <c r="W24" s="2"/>
      <c r="X24" s="2">
        <f t="shared" si="2"/>
        <v>-1981.84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"4037", " - ", "TAXABLE SALES-WATER")</f>
        <v xml:space="preserve">          4037 - TAXABLE SALES-WATER</v>
      </c>
      <c r="C25" s="10"/>
      <c r="D25" s="2">
        <f t="shared" si="4"/>
        <v>0</v>
      </c>
      <c r="E25" s="2"/>
      <c r="F25" s="19"/>
      <c r="G25" s="2"/>
      <c r="H25" s="2">
        <f t="shared" si="7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 t="shared" si="8"/>
        <v>0</v>
      </c>
      <c r="Q25" s="2"/>
      <c r="R25" s="19"/>
      <c r="S25" s="2"/>
      <c r="T25" s="2">
        <f>--513.51</f>
        <v>513.51</v>
      </c>
      <c r="U25" s="2"/>
      <c r="V25" s="19"/>
      <c r="W25" s="2"/>
      <c r="X25" s="2">
        <f t="shared" si="2"/>
        <v>-513.51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"4041", " - ", "TAXABLE SALES-LOGO GIFTS")</f>
        <v xml:space="preserve">          4041 - TAXABLE SALES-LOGO GIFTS</v>
      </c>
      <c r="C26" s="10"/>
      <c r="D26" s="2">
        <f t="shared" si="4"/>
        <v>0</v>
      </c>
      <c r="E26" s="2"/>
      <c r="F26" s="19"/>
      <c r="G26" s="2"/>
      <c r="H26" s="2">
        <f t="shared" si="7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0"/>
      <c r="P26" s="2">
        <f t="shared" si="8"/>
        <v>0</v>
      </c>
      <c r="Q26" s="2"/>
      <c r="R26" s="19"/>
      <c r="S26" s="2"/>
      <c r="T26" s="2">
        <f>--494.2</f>
        <v>494.2</v>
      </c>
      <c r="U26" s="2"/>
      <c r="V26" s="19"/>
      <c r="W26" s="2"/>
      <c r="X26" s="2">
        <f t="shared" si="2"/>
        <v>-494.2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"4042", " - ", "TAXABLE SALES-EVERYDAY GIFTS")</f>
        <v xml:space="preserve">          4042 - TAXABLE SALES-EVERYDAY GIFTS</v>
      </c>
      <c r="C27" s="10"/>
      <c r="D27" s="2">
        <f t="shared" si="4"/>
        <v>0</v>
      </c>
      <c r="E27" s="2"/>
      <c r="F27" s="19"/>
      <c r="G27" s="2"/>
      <c r="H27" s="2">
        <f t="shared" si="7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si="8"/>
        <v>0</v>
      </c>
      <c r="Q27" s="2"/>
      <c r="R27" s="19"/>
      <c r="S27" s="2"/>
      <c r="T27" s="2">
        <f>--583.7</f>
        <v>583.70000000000005</v>
      </c>
      <c r="U27" s="2"/>
      <c r="V27" s="19"/>
      <c r="W27" s="2"/>
      <c r="X27" s="2">
        <f t="shared" si="2"/>
        <v>-583.70000000000005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"4044", " - ", "TAXABLE SALES-ACCESSORIES")</f>
        <v xml:space="preserve">          4044 - TAXABLE SALES-ACCESSORIES</v>
      </c>
      <c r="C28" s="10"/>
      <c r="D28" s="2">
        <f t="shared" si="4"/>
        <v>0</v>
      </c>
      <c r="E28" s="2"/>
      <c r="F28" s="19"/>
      <c r="G28" s="2"/>
      <c r="H28" s="2">
        <f t="shared" si="7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 t="shared" si="8"/>
        <v>0</v>
      </c>
      <c r="Q28" s="2"/>
      <c r="R28" s="19"/>
      <c r="S28" s="2"/>
      <c r="T28" s="2">
        <f>--179.5</f>
        <v>179.5</v>
      </c>
      <c r="U28" s="2"/>
      <c r="V28" s="19"/>
      <c r="W28" s="2"/>
      <c r="X28" s="2">
        <f t="shared" si="2"/>
        <v>-179.5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"4081", " - ", "TAXABLE SALES-ELECTRONICS")</f>
        <v xml:space="preserve">          4081 - TAXABLE SALES-ELECTRONICS</v>
      </c>
      <c r="C29" s="10"/>
      <c r="D29" s="2">
        <f t="shared" si="4"/>
        <v>0</v>
      </c>
      <c r="E29" s="2"/>
      <c r="F29" s="19"/>
      <c r="G29" s="2"/>
      <c r="H29" s="2">
        <f t="shared" si="7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--71.95</f>
        <v>71.95</v>
      </c>
      <c r="Q29" s="2"/>
      <c r="R29" s="19"/>
      <c r="S29" s="2"/>
      <c r="T29" s="2">
        <f>--3174.93</f>
        <v>3174.93</v>
      </c>
      <c r="U29" s="2"/>
      <c r="V29" s="19"/>
      <c r="W29" s="2"/>
      <c r="X29" s="2">
        <f t="shared" si="2"/>
        <v>-3102.98</v>
      </c>
      <c r="Y29" s="2"/>
      <c r="Z29" s="19">
        <f t="shared" si="3"/>
        <v>-0.97733808304435066</v>
      </c>
    </row>
    <row r="30" spans="1:26" s="23" customFormat="1" hidden="1" outlineLevel="1" x14ac:dyDescent="0.25">
      <c r="A30" s="44"/>
      <c r="B30" s="10" t="str">
        <f>CONCATENATE("          ", "4082", " - ", "TAXABLE SALES-COMPUTER HARDWAR")</f>
        <v xml:space="preserve">          4082 - TAXABLE SALES-COMPUTER HARDWAR</v>
      </c>
      <c r="C30" s="10"/>
      <c r="D30" s="2">
        <f t="shared" si="4"/>
        <v>0</v>
      </c>
      <c r="E30" s="2"/>
      <c r="F30" s="19"/>
      <c r="G30" s="2"/>
      <c r="H30" s="2">
        <f t="shared" si="7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0</f>
        <v>0</v>
      </c>
      <c r="Q30" s="2"/>
      <c r="R30" s="19"/>
      <c r="S30" s="2"/>
      <c r="T30" s="2">
        <f>--363.94</f>
        <v>363.94</v>
      </c>
      <c r="U30" s="2"/>
      <c r="V30" s="19"/>
      <c r="W30" s="2"/>
      <c r="X30" s="2">
        <f t="shared" si="2"/>
        <v>-363.94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"4083", " - ", "TAXABLE SALES-COMPUTER EQUIPME")</f>
        <v xml:space="preserve">          4083 - TAXABLE SALES-COMPUTER EQUIPME</v>
      </c>
      <c r="C31" s="10"/>
      <c r="D31" s="2">
        <f t="shared" si="4"/>
        <v>0</v>
      </c>
      <c r="E31" s="2"/>
      <c r="F31" s="19"/>
      <c r="G31" s="2"/>
      <c r="H31" s="2">
        <f t="shared" si="7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--9.99</f>
        <v>9.99</v>
      </c>
      <c r="Q31" s="2"/>
      <c r="R31" s="19"/>
      <c r="S31" s="2"/>
      <c r="T31" s="2">
        <f>--914.33</f>
        <v>914.33</v>
      </c>
      <c r="U31" s="2"/>
      <c r="V31" s="19"/>
      <c r="W31" s="2"/>
      <c r="X31" s="2">
        <f t="shared" si="2"/>
        <v>-904.34</v>
      </c>
      <c r="Y31" s="2"/>
      <c r="Z31" s="19">
        <f t="shared" si="3"/>
        <v>-0.98907396672973646</v>
      </c>
    </row>
    <row r="32" spans="1:26" s="23" customFormat="1" hidden="1" outlineLevel="1" x14ac:dyDescent="0.25">
      <c r="A32" s="44"/>
      <c r="B32" s="10" t="str">
        <f>CONCATENATE("          ", "4086", " - ", "TAXABLE SALES-COMPUTER SUPPLIE")</f>
        <v xml:space="preserve">          4086 - TAXABLE SALES-COMPUTER SUPPLIE</v>
      </c>
      <c r="C32" s="10"/>
      <c r="D32" s="2">
        <f t="shared" si="4"/>
        <v>0</v>
      </c>
      <c r="E32" s="2"/>
      <c r="F32" s="19"/>
      <c r="G32" s="2"/>
      <c r="H32" s="2">
        <f t="shared" si="7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ref="P32:P36" si="9">0</f>
        <v>0</v>
      </c>
      <c r="Q32" s="2"/>
      <c r="R32" s="19"/>
      <c r="S32" s="2"/>
      <c r="T32" s="2">
        <f>--813.74</f>
        <v>813.74</v>
      </c>
      <c r="U32" s="2"/>
      <c r="V32" s="19"/>
      <c r="W32" s="2"/>
      <c r="X32" s="2">
        <f t="shared" si="2"/>
        <v>-813.74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"4125", " - ", "NON-TAXABLE SALES-TEST FORMS")</f>
        <v xml:space="preserve">          4125 - NON-TAXABLE SALES-TEST FORMS</v>
      </c>
      <c r="C33" s="10"/>
      <c r="D33" s="2">
        <f t="shared" si="4"/>
        <v>0</v>
      </c>
      <c r="E33" s="2"/>
      <c r="F33" s="19"/>
      <c r="G33" s="2"/>
      <c r="H33" s="2">
        <f t="shared" si="7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9"/>
        <v>0</v>
      </c>
      <c r="Q33" s="2"/>
      <c r="R33" s="19"/>
      <c r="S33" s="2"/>
      <c r="T33" s="2">
        <f>--267.61</f>
        <v>267.61</v>
      </c>
      <c r="U33" s="2"/>
      <c r="V33" s="19"/>
      <c r="W33" s="2"/>
      <c r="X33" s="2">
        <f t="shared" si="2"/>
        <v>-267.61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"4126", " - ", "NON-TAXABLE SALES-WRITING INST")</f>
        <v xml:space="preserve">          4126 - NON-TAXABLE SALES-WRITING INST</v>
      </c>
      <c r="C34" s="10"/>
      <c r="D34" s="2">
        <f t="shared" si="4"/>
        <v>0</v>
      </c>
      <c r="E34" s="2"/>
      <c r="F34" s="19"/>
      <c r="G34" s="2"/>
      <c r="H34" s="2">
        <f>--5.57</f>
        <v>5.57</v>
      </c>
      <c r="I34" s="2"/>
      <c r="J34" s="19"/>
      <c r="K34" s="2"/>
      <c r="L34" s="2">
        <f t="shared" si="0"/>
        <v>-5.57</v>
      </c>
      <c r="M34" s="2"/>
      <c r="N34" s="19">
        <f t="shared" si="1"/>
        <v>-1</v>
      </c>
      <c r="O34" s="10"/>
      <c r="P34" s="2">
        <f t="shared" si="9"/>
        <v>0</v>
      </c>
      <c r="Q34" s="2"/>
      <c r="R34" s="19"/>
      <c r="S34" s="2"/>
      <c r="T34" s="2">
        <f>--3022.86</f>
        <v>3022.86</v>
      </c>
      <c r="U34" s="2"/>
      <c r="V34" s="19"/>
      <c r="W34" s="2"/>
      <c r="X34" s="2">
        <f t="shared" si="2"/>
        <v>-3022.86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"4127", " - ", "NON-TAXABLE SALES-SCHOOL SUPPL")</f>
        <v xml:space="preserve">          4127 - NON-TAXABLE SALES-SCHOOL SUPPL</v>
      </c>
      <c r="C35" s="10"/>
      <c r="D35" s="2">
        <f t="shared" si="4"/>
        <v>0</v>
      </c>
      <c r="E35" s="2"/>
      <c r="F35" s="19"/>
      <c r="G35" s="2"/>
      <c r="H35" s="2">
        <f>--1430.65</f>
        <v>1430.65</v>
      </c>
      <c r="I35" s="2"/>
      <c r="J35" s="19"/>
      <c r="K35" s="2"/>
      <c r="L35" s="2">
        <f t="shared" si="0"/>
        <v>-1430.65</v>
      </c>
      <c r="M35" s="2"/>
      <c r="N35" s="19">
        <f t="shared" si="1"/>
        <v>-1</v>
      </c>
      <c r="O35" s="10"/>
      <c r="P35" s="2">
        <f t="shared" si="9"/>
        <v>0</v>
      </c>
      <c r="Q35" s="2"/>
      <c r="R35" s="19"/>
      <c r="S35" s="2"/>
      <c r="T35" s="2">
        <f>--6146.87</f>
        <v>6146.87</v>
      </c>
      <c r="U35" s="2"/>
      <c r="V35" s="19"/>
      <c r="W35" s="2"/>
      <c r="X35" s="2">
        <f t="shared" si="2"/>
        <v>-6146.87</v>
      </c>
      <c r="Y35" s="2"/>
      <c r="Z35" s="19">
        <f t="shared" si="3"/>
        <v>-1</v>
      </c>
    </row>
    <row r="36" spans="1:26" s="23" customFormat="1" hidden="1" outlineLevel="1" x14ac:dyDescent="0.25">
      <c r="A36" s="44"/>
      <c r="B36" s="10" t="str">
        <f>CONCATENATE("          ", "4128", " - ", "NON-TAXABLE SALES-ART/TECH")</f>
        <v xml:space="preserve">          4128 - NON-TAXABLE SALES-ART/TECH</v>
      </c>
      <c r="C36" s="10"/>
      <c r="D36" s="2">
        <f t="shared" si="4"/>
        <v>0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0"/>
      <c r="P36" s="2">
        <f t="shared" si="9"/>
        <v>0</v>
      </c>
      <c r="Q36" s="2"/>
      <c r="R36" s="19"/>
      <c r="S36" s="2"/>
      <c r="T36" s="2">
        <f>--730.62</f>
        <v>730.62</v>
      </c>
      <c r="U36" s="2"/>
      <c r="V36" s="19"/>
      <c r="W36" s="2"/>
      <c r="X36" s="2">
        <f t="shared" si="2"/>
        <v>-730.62</v>
      </c>
      <c r="Y36" s="2"/>
      <c r="Z36" s="19">
        <f t="shared" si="3"/>
        <v>-1</v>
      </c>
    </row>
    <row r="37" spans="1:26" s="23" customFormat="1" hidden="1" outlineLevel="1" x14ac:dyDescent="0.25">
      <c r="A37" s="44"/>
      <c r="B37" s="10" t="str">
        <f>CONCATENATE("          ", "4131", " - ", "NON-TAXABLE SALES-FOOD")</f>
        <v xml:space="preserve">          4131 - NON-TAXABLE SALES-FOOD</v>
      </c>
      <c r="C37" s="10"/>
      <c r="D37" s="2">
        <f t="shared" si="4"/>
        <v>0</v>
      </c>
      <c r="E37" s="2"/>
      <c r="F37" s="19"/>
      <c r="G37" s="2"/>
      <c r="H37" s="2">
        <f>--3.97</f>
        <v>3.97</v>
      </c>
      <c r="I37" s="2"/>
      <c r="J37" s="19"/>
      <c r="K37" s="2"/>
      <c r="L37" s="2">
        <f t="shared" si="0"/>
        <v>-3.97</v>
      </c>
      <c r="M37" s="2"/>
      <c r="N37" s="19">
        <f t="shared" si="1"/>
        <v>-1</v>
      </c>
      <c r="O37" s="10"/>
      <c r="P37" s="2">
        <f>--1847.16</f>
        <v>1847.16</v>
      </c>
      <c r="Q37" s="2"/>
      <c r="R37" s="19"/>
      <c r="S37" s="2"/>
      <c r="T37" s="2">
        <f>--57887.54</f>
        <v>57887.54</v>
      </c>
      <c r="U37" s="2"/>
      <c r="V37" s="19"/>
      <c r="W37" s="2"/>
      <c r="X37" s="2">
        <f t="shared" si="2"/>
        <v>-56040.38</v>
      </c>
      <c r="Y37" s="2"/>
      <c r="Z37" s="19">
        <f t="shared" si="3"/>
        <v>-0.96809054245525028</v>
      </c>
    </row>
    <row r="38" spans="1:26" s="23" customFormat="1" hidden="1" outlineLevel="1" x14ac:dyDescent="0.25">
      <c r="A38" s="44"/>
      <c r="B38" s="10" t="str">
        <f>CONCATENATE("          ", "4132", " - ", "NON-TAXABLE SALES-JUICE")</f>
        <v xml:space="preserve">          4132 - NON-TAXABLE SALES-JUICE</v>
      </c>
      <c r="C38" s="10"/>
      <c r="D38" s="2">
        <f t="shared" si="4"/>
        <v>0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0"/>
      <c r="P38" s="2">
        <f t="shared" ref="P38:P46" si="10">0</f>
        <v>0</v>
      </c>
      <c r="Q38" s="2"/>
      <c r="R38" s="19"/>
      <c r="S38" s="2"/>
      <c r="T38" s="2">
        <f>--16199.63</f>
        <v>16199.63</v>
      </c>
      <c r="U38" s="2"/>
      <c r="V38" s="19"/>
      <c r="W38" s="2"/>
      <c r="X38" s="2">
        <f t="shared" si="2"/>
        <v>-16199.63</v>
      </c>
      <c r="Y38" s="2"/>
      <c r="Z38" s="19">
        <f t="shared" si="3"/>
        <v>-1</v>
      </c>
    </row>
    <row r="39" spans="1:26" s="23" customFormat="1" hidden="1" outlineLevel="1" x14ac:dyDescent="0.25">
      <c r="A39" s="44"/>
      <c r="B39" s="10" t="str">
        <f>CONCATENATE("          ", "4133", " - ", "NON-TAXABLE SALES-CANDY")</f>
        <v xml:space="preserve">          4133 - NON-TAXABLE SALES-CANDY</v>
      </c>
      <c r="C39" s="10"/>
      <c r="D39" s="2">
        <f t="shared" si="4"/>
        <v>0</v>
      </c>
      <c r="E39" s="2"/>
      <c r="F39" s="19"/>
      <c r="G39" s="2"/>
      <c r="H39" s="2">
        <f>--4.17</f>
        <v>4.17</v>
      </c>
      <c r="I39" s="2"/>
      <c r="J39" s="19"/>
      <c r="K39" s="2"/>
      <c r="L39" s="2">
        <f t="shared" si="0"/>
        <v>-4.17</v>
      </c>
      <c r="M39" s="2"/>
      <c r="N39" s="19">
        <f t="shared" si="1"/>
        <v>-1</v>
      </c>
      <c r="O39" s="10"/>
      <c r="P39" s="2">
        <f t="shared" si="10"/>
        <v>0</v>
      </c>
      <c r="Q39" s="2"/>
      <c r="R39" s="19"/>
      <c r="S39" s="2"/>
      <c r="T39" s="2">
        <f>--18088.46</f>
        <v>18088.46</v>
      </c>
      <c r="U39" s="2"/>
      <c r="V39" s="19"/>
      <c r="W39" s="2"/>
      <c r="X39" s="2">
        <f t="shared" si="2"/>
        <v>-18088.46</v>
      </c>
      <c r="Y39" s="2"/>
      <c r="Z39" s="19">
        <f t="shared" si="3"/>
        <v>-1</v>
      </c>
    </row>
    <row r="40" spans="1:26" s="23" customFormat="1" hidden="1" outlineLevel="1" x14ac:dyDescent="0.25">
      <c r="A40" s="44"/>
      <c r="B40" s="10" t="str">
        <f>CONCATENATE("          ", "4134", " - ", "NON-TAXABLE SALES-SODA")</f>
        <v xml:space="preserve">          4134 - NON-TAXABLE SALES-SODA</v>
      </c>
      <c r="C40" s="10"/>
      <c r="D40" s="2">
        <f t="shared" si="4"/>
        <v>0</v>
      </c>
      <c r="E40" s="2"/>
      <c r="F40" s="19"/>
      <c r="G40" s="2"/>
      <c r="H40" s="2">
        <f t="shared" ref="H40:H53" si="11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 t="shared" si="10"/>
        <v>0</v>
      </c>
      <c r="Q40" s="2"/>
      <c r="R40" s="19"/>
      <c r="S40" s="2"/>
      <c r="T40" s="2">
        <f>--1.89</f>
        <v>1.89</v>
      </c>
      <c r="U40" s="2"/>
      <c r="V40" s="19"/>
      <c r="W40" s="2"/>
      <c r="X40" s="2">
        <f t="shared" si="2"/>
        <v>-1.89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"4135", " - ", "NON-TAXABLE SALES")</f>
        <v xml:space="preserve">          4135 - NON-TAXABLE SALES</v>
      </c>
      <c r="C41" s="10"/>
      <c r="D41" s="2">
        <f t="shared" si="4"/>
        <v>0</v>
      </c>
      <c r="E41" s="2"/>
      <c r="F41" s="19"/>
      <c r="G41" s="2"/>
      <c r="H41" s="2">
        <f t="shared" si="11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0"/>
      <c r="P41" s="2">
        <f t="shared" si="10"/>
        <v>0</v>
      </c>
      <c r="Q41" s="2"/>
      <c r="R41" s="19"/>
      <c r="S41" s="2"/>
      <c r="T41" s="2">
        <f>--161.4</f>
        <v>161.4</v>
      </c>
      <c r="U41" s="2"/>
      <c r="V41" s="19"/>
      <c r="W41" s="2"/>
      <c r="X41" s="2">
        <f t="shared" si="2"/>
        <v>-161.4</v>
      </c>
      <c r="Y41" s="2"/>
      <c r="Z41" s="19">
        <f t="shared" si="3"/>
        <v>-1</v>
      </c>
    </row>
    <row r="42" spans="1:26" s="23" customFormat="1" hidden="1" outlineLevel="1" x14ac:dyDescent="0.25">
      <c r="A42" s="44"/>
      <c r="B42" s="10" t="str">
        <f>CONCATENATE("          ", "4137", " - ", "NON-TAXABLE SALES-WATER")</f>
        <v xml:space="preserve">          4137 - NON-TAXABLE SALES-WATER</v>
      </c>
      <c r="C42" s="10"/>
      <c r="D42" s="2">
        <f t="shared" si="4"/>
        <v>0</v>
      </c>
      <c r="E42" s="2"/>
      <c r="F42" s="19"/>
      <c r="G42" s="2"/>
      <c r="H42" s="2">
        <f t="shared" si="11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 t="shared" si="10"/>
        <v>0</v>
      </c>
      <c r="Q42" s="2"/>
      <c r="R42" s="19"/>
      <c r="S42" s="2"/>
      <c r="T42" s="2">
        <f>--8396.06</f>
        <v>8396.06</v>
      </c>
      <c r="U42" s="2"/>
      <c r="V42" s="19"/>
      <c r="W42" s="2"/>
      <c r="X42" s="2">
        <f t="shared" si="2"/>
        <v>-8396.06</v>
      </c>
      <c r="Y42" s="2"/>
      <c r="Z42" s="19">
        <f t="shared" si="3"/>
        <v>-1</v>
      </c>
    </row>
    <row r="43" spans="1:26" s="23" customFormat="1" hidden="1" outlineLevel="1" x14ac:dyDescent="0.25">
      <c r="A43" s="44"/>
      <c r="B43" s="10" t="str">
        <f>CONCATENATE("          ", "4186", " - ", "NON-TAXABLE SALES-COMPUTER SUP")</f>
        <v xml:space="preserve">          4186 - NON-TAXABLE SALES-COMPUTER SUP</v>
      </c>
      <c r="C43" s="10"/>
      <c r="D43" s="2">
        <f t="shared" si="4"/>
        <v>0</v>
      </c>
      <c r="E43" s="2"/>
      <c r="F43" s="19"/>
      <c r="G43" s="2"/>
      <c r="H43" s="2">
        <f t="shared" si="11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0"/>
      <c r="P43" s="2">
        <f t="shared" si="10"/>
        <v>0</v>
      </c>
      <c r="Q43" s="2"/>
      <c r="R43" s="19"/>
      <c r="S43" s="2"/>
      <c r="T43" s="2">
        <f>-30.97</f>
        <v>-30.97</v>
      </c>
      <c r="U43" s="2"/>
      <c r="V43" s="19"/>
      <c r="W43" s="2"/>
      <c r="X43" s="2">
        <f t="shared" si="2"/>
        <v>30.97</v>
      </c>
      <c r="Y43" s="2"/>
      <c r="Z43" s="19">
        <f t="shared" si="3"/>
        <v>-1</v>
      </c>
    </row>
    <row r="44" spans="1:26" s="23" customFormat="1" hidden="1" outlineLevel="1" x14ac:dyDescent="0.25">
      <c r="A44" s="44"/>
      <c r="B44" s="10" t="str">
        <f>CONCATENATE("          ", "4217", " - ", "NON-TAXABLE SALES-DORM/HOUSEWA")</f>
        <v xml:space="preserve">          4217 - NON-TAXABLE SALES-DORM/HOUSEWA</v>
      </c>
      <c r="C44" s="10"/>
      <c r="D44" s="2">
        <f t="shared" si="4"/>
        <v>0</v>
      </c>
      <c r="E44" s="2"/>
      <c r="F44" s="19"/>
      <c r="G44" s="2"/>
      <c r="H44" s="2">
        <f t="shared" si="11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 t="shared" si="10"/>
        <v>0</v>
      </c>
      <c r="Q44" s="2"/>
      <c r="R44" s="19"/>
      <c r="S44" s="2"/>
      <c r="T44" s="2">
        <f>-2.98</f>
        <v>-2.98</v>
      </c>
      <c r="U44" s="2"/>
      <c r="V44" s="19"/>
      <c r="W44" s="2"/>
      <c r="X44" s="2">
        <f t="shared" si="2"/>
        <v>2.98</v>
      </c>
      <c r="Y44" s="2"/>
      <c r="Z44" s="19">
        <f t="shared" si="3"/>
        <v>-1</v>
      </c>
    </row>
    <row r="45" spans="1:26" s="23" customFormat="1" hidden="1" outlineLevel="1" x14ac:dyDescent="0.25">
      <c r="A45" s="44"/>
      <c r="B45" s="10" t="str">
        <f>CONCATENATE("          ", "4225", " - ", "SALES RETURN TAXABLE-TEST FORM")</f>
        <v xml:space="preserve">          4225 - SALES RETURN TAXABLE-TEST FORM</v>
      </c>
      <c r="C45" s="10"/>
      <c r="D45" s="2">
        <f t="shared" si="4"/>
        <v>0</v>
      </c>
      <c r="E45" s="2"/>
      <c r="F45" s="19"/>
      <c r="G45" s="2"/>
      <c r="H45" s="2">
        <f t="shared" si="11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0"/>
      <c r="P45" s="2">
        <f t="shared" si="10"/>
        <v>0</v>
      </c>
      <c r="Q45" s="2"/>
      <c r="R45" s="19"/>
      <c r="S45" s="2"/>
      <c r="T45" s="2">
        <f>-176.41</f>
        <v>-176.41</v>
      </c>
      <c r="U45" s="2"/>
      <c r="V45" s="19"/>
      <c r="W45" s="2"/>
      <c r="X45" s="2">
        <f t="shared" si="2"/>
        <v>176.41</v>
      </c>
      <c r="Y45" s="2"/>
      <c r="Z45" s="19">
        <f t="shared" si="3"/>
        <v>-1</v>
      </c>
    </row>
    <row r="46" spans="1:26" s="23" customFormat="1" hidden="1" outlineLevel="1" x14ac:dyDescent="0.25">
      <c r="A46" s="44"/>
      <c r="B46" s="10" t="str">
        <f>CONCATENATE("          ", "4226", " - ", "SALES RETURN TAXABLE-WRITING I")</f>
        <v xml:space="preserve">          4226 - SALES RETURN TAXABLE-WRITING I</v>
      </c>
      <c r="C46" s="10"/>
      <c r="D46" s="2">
        <f t="shared" si="4"/>
        <v>0</v>
      </c>
      <c r="E46" s="2"/>
      <c r="F46" s="19"/>
      <c r="G46" s="2"/>
      <c r="H46" s="2">
        <f t="shared" si="11"/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0"/>
      <c r="P46" s="2">
        <f t="shared" si="10"/>
        <v>0</v>
      </c>
      <c r="Q46" s="2"/>
      <c r="R46" s="19"/>
      <c r="S46" s="2"/>
      <c r="T46" s="2">
        <f>-630.24</f>
        <v>-630.24</v>
      </c>
      <c r="U46" s="2"/>
      <c r="V46" s="19"/>
      <c r="W46" s="2"/>
      <c r="X46" s="2">
        <f t="shared" si="2"/>
        <v>630.24</v>
      </c>
      <c r="Y46" s="2"/>
      <c r="Z46" s="19">
        <f t="shared" si="3"/>
        <v>-1</v>
      </c>
    </row>
    <row r="47" spans="1:26" s="23" customFormat="1" hidden="1" outlineLevel="1" x14ac:dyDescent="0.25">
      <c r="A47" s="44"/>
      <c r="B47" s="10" t="str">
        <f>CONCATENATE("          ", "4227", " - ", "SALES RETURN TAXABLE-SCHOOL SU")</f>
        <v xml:space="preserve">          4227 - SALES RETURN TAXABLE-SCHOOL SU</v>
      </c>
      <c r="C47" s="10"/>
      <c r="D47" s="2">
        <f t="shared" si="4"/>
        <v>0</v>
      </c>
      <c r="E47" s="2"/>
      <c r="F47" s="19"/>
      <c r="G47" s="2"/>
      <c r="H47" s="2">
        <f t="shared" si="11"/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0"/>
      <c r="P47" s="2">
        <f>-159.97</f>
        <v>-159.97</v>
      </c>
      <c r="Q47" s="2"/>
      <c r="R47" s="19"/>
      <c r="S47" s="2"/>
      <c r="T47" s="2">
        <f>-8593.61</f>
        <v>-8593.61</v>
      </c>
      <c r="U47" s="2"/>
      <c r="V47" s="19"/>
      <c r="W47" s="2"/>
      <c r="X47" s="2">
        <f t="shared" si="2"/>
        <v>8433.6400000000012</v>
      </c>
      <c r="Y47" s="2"/>
      <c r="Z47" s="19">
        <f t="shared" si="3"/>
        <v>-0.98138500583573152</v>
      </c>
    </row>
    <row r="48" spans="1:26" s="23" customFormat="1" hidden="1" outlineLevel="1" x14ac:dyDescent="0.25">
      <c r="A48" s="44"/>
      <c r="B48" s="10" t="str">
        <f>CONCATENATE("          ", "4228", " - ", "SALES RETURN TAXABLE-ART/TECH")</f>
        <v xml:space="preserve">          4228 - SALES RETURN TAXABLE-ART/TECH</v>
      </c>
      <c r="C48" s="10"/>
      <c r="D48" s="2">
        <f t="shared" si="4"/>
        <v>0</v>
      </c>
      <c r="E48" s="2"/>
      <c r="F48" s="19"/>
      <c r="G48" s="2"/>
      <c r="H48" s="2">
        <f t="shared" si="11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0"/>
      <c r="P48" s="2">
        <f>-222.2</f>
        <v>-222.2</v>
      </c>
      <c r="Q48" s="2"/>
      <c r="R48" s="19"/>
      <c r="S48" s="2"/>
      <c r="T48" s="2">
        <f>-4739.1</f>
        <v>-4739.1000000000004</v>
      </c>
      <c r="U48" s="2"/>
      <c r="V48" s="19"/>
      <c r="W48" s="2"/>
      <c r="X48" s="2">
        <f t="shared" si="2"/>
        <v>4516.9000000000005</v>
      </c>
      <c r="Y48" s="2"/>
      <c r="Z48" s="19">
        <f t="shared" si="3"/>
        <v>-0.9531134603616721</v>
      </c>
    </row>
    <row r="49" spans="1:26" s="23" customFormat="1" hidden="1" outlineLevel="1" x14ac:dyDescent="0.25">
      <c r="A49" s="44"/>
      <c r="B49" s="10" t="str">
        <f>CONCATENATE("          ", "4233", " - ", "SALES RETURN TAXABLE-CANDY")</f>
        <v xml:space="preserve">          4233 - SALES RETURN TAXABLE-CANDY</v>
      </c>
      <c r="C49" s="10"/>
      <c r="D49" s="2">
        <f t="shared" si="4"/>
        <v>0</v>
      </c>
      <c r="E49" s="2"/>
      <c r="F49" s="19"/>
      <c r="G49" s="2"/>
      <c r="H49" s="2">
        <f t="shared" si="11"/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0"/>
      <c r="P49" s="2">
        <f t="shared" ref="P49:P53" si="12">0</f>
        <v>0</v>
      </c>
      <c r="Q49" s="2"/>
      <c r="R49" s="19"/>
      <c r="S49" s="2"/>
      <c r="T49" s="2">
        <f>-8.25</f>
        <v>-8.25</v>
      </c>
      <c r="U49" s="2"/>
      <c r="V49" s="19"/>
      <c r="W49" s="2"/>
      <c r="X49" s="2">
        <f t="shared" si="2"/>
        <v>8.25</v>
      </c>
      <c r="Y49" s="2"/>
      <c r="Z49" s="19">
        <f t="shared" si="3"/>
        <v>-1</v>
      </c>
    </row>
    <row r="50" spans="1:26" s="23" customFormat="1" hidden="1" outlineLevel="1" x14ac:dyDescent="0.25">
      <c r="A50" s="44"/>
      <c r="B50" s="10" t="str">
        <f>CONCATENATE("          ", "4281", " - ", "SALES RETURN TAXABLE-ELECTRONI")</f>
        <v xml:space="preserve">          4281 - SALES RETURN TAXABLE-ELECTRONI</v>
      </c>
      <c r="C50" s="10"/>
      <c r="D50" s="2">
        <f t="shared" si="4"/>
        <v>0</v>
      </c>
      <c r="E50" s="2"/>
      <c r="F50" s="19"/>
      <c r="G50" s="2"/>
      <c r="H50" s="2">
        <f t="shared" si="11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0"/>
      <c r="P50" s="2">
        <f t="shared" si="12"/>
        <v>0</v>
      </c>
      <c r="Q50" s="2"/>
      <c r="R50" s="19"/>
      <c r="S50" s="2"/>
      <c r="T50" s="2">
        <f>-54.97</f>
        <v>-54.97</v>
      </c>
      <c r="U50" s="2"/>
      <c r="V50" s="19"/>
      <c r="W50" s="2"/>
      <c r="X50" s="2">
        <f t="shared" si="2"/>
        <v>54.97</v>
      </c>
      <c r="Y50" s="2"/>
      <c r="Z50" s="19">
        <f t="shared" si="3"/>
        <v>-1</v>
      </c>
    </row>
    <row r="51" spans="1:26" s="23" customFormat="1" hidden="1" outlineLevel="1" x14ac:dyDescent="0.25">
      <c r="A51" s="44"/>
      <c r="B51" s="10" t="str">
        <f>CONCATENATE("          ", "4327", " - ", "SALES RETURN NON TAXABLE-SCHOO")</f>
        <v xml:space="preserve">          4327 - SALES RETURN NON TAXABLE-SCHOO</v>
      </c>
      <c r="C51" s="10"/>
      <c r="D51" s="2">
        <f t="shared" si="4"/>
        <v>0</v>
      </c>
      <c r="E51" s="2"/>
      <c r="F51" s="19"/>
      <c r="G51" s="2"/>
      <c r="H51" s="2">
        <f t="shared" si="11"/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0"/>
      <c r="P51" s="2">
        <f t="shared" si="12"/>
        <v>0</v>
      </c>
      <c r="Q51" s="2"/>
      <c r="R51" s="19"/>
      <c r="S51" s="2"/>
      <c r="T51" s="2">
        <f>-21.87</f>
        <v>-21.87</v>
      </c>
      <c r="U51" s="2"/>
      <c r="V51" s="19"/>
      <c r="W51" s="2"/>
      <c r="X51" s="2">
        <f t="shared" si="2"/>
        <v>21.87</v>
      </c>
      <c r="Y51" s="2"/>
      <c r="Z51" s="19">
        <f t="shared" si="3"/>
        <v>-1</v>
      </c>
    </row>
    <row r="52" spans="1:26" s="23" customFormat="1" hidden="1" outlineLevel="1" x14ac:dyDescent="0.25">
      <c r="A52" s="44"/>
      <c r="B52" s="10" t="str">
        <f>CONCATENATE("          ", "4331", " - ", "SALES RETURN NON TAXABLE-FOOD")</f>
        <v xml:space="preserve">          4331 - SALES RETURN NON TAXABLE-FOOD</v>
      </c>
      <c r="C52" s="10"/>
      <c r="D52" s="2">
        <f t="shared" si="4"/>
        <v>0</v>
      </c>
      <c r="E52" s="2"/>
      <c r="F52" s="19"/>
      <c r="G52" s="2"/>
      <c r="H52" s="2">
        <f t="shared" si="11"/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0"/>
      <c r="P52" s="2">
        <f t="shared" si="12"/>
        <v>0</v>
      </c>
      <c r="Q52" s="2"/>
      <c r="R52" s="19"/>
      <c r="S52" s="2"/>
      <c r="T52" s="2">
        <f>-12.57</f>
        <v>-12.57</v>
      </c>
      <c r="U52" s="2"/>
      <c r="V52" s="19"/>
      <c r="W52" s="2"/>
      <c r="X52" s="2">
        <f t="shared" si="2"/>
        <v>12.57</v>
      </c>
      <c r="Y52" s="2"/>
      <c r="Z52" s="19">
        <f t="shared" si="3"/>
        <v>-1</v>
      </c>
    </row>
    <row r="53" spans="1:26" s="23" customFormat="1" hidden="1" outlineLevel="1" x14ac:dyDescent="0.25">
      <c r="A53" s="44"/>
      <c r="B53" s="10" t="str">
        <f>CONCATENATE("          ", "4332", " - ", "SALES RETURN NON TAXABLE-JUICE")</f>
        <v xml:space="preserve">          4332 - SALES RETURN NON TAXABLE-JUICE</v>
      </c>
      <c r="C53" s="10"/>
      <c r="D53" s="2">
        <f t="shared" si="4"/>
        <v>0</v>
      </c>
      <c r="E53" s="2"/>
      <c r="F53" s="19"/>
      <c r="G53" s="2"/>
      <c r="H53" s="2">
        <f t="shared" si="11"/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0"/>
      <c r="P53" s="2">
        <f t="shared" si="12"/>
        <v>0</v>
      </c>
      <c r="Q53" s="2"/>
      <c r="R53" s="19"/>
      <c r="S53" s="2"/>
      <c r="T53" s="2">
        <f>-2.79</f>
        <v>-2.79</v>
      </c>
      <c r="U53" s="2"/>
      <c r="V53" s="19"/>
      <c r="W53" s="2"/>
      <c r="X53" s="2">
        <f t="shared" si="2"/>
        <v>2.79</v>
      </c>
      <c r="Y53" s="2"/>
      <c r="Z53" s="19">
        <f t="shared" si="3"/>
        <v>-1</v>
      </c>
    </row>
    <row r="54" spans="1:26" x14ac:dyDescent="0.25">
      <c r="A54" s="9"/>
      <c r="B54" s="11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collapsed="1" x14ac:dyDescent="0.25">
      <c r="A55" s="11"/>
      <c r="B55" s="28" t="s">
        <v>256</v>
      </c>
      <c r="C55" s="11"/>
      <c r="D55" s="4">
        <f>SUM(OSRRefD16x_0)</f>
        <v>19.489999999999998</v>
      </c>
      <c r="E55" s="4"/>
      <c r="F55" s="13">
        <f t="shared" ref="F55:F79" si="13">IF(D$12=0,0,D55/D$12)</f>
        <v>0</v>
      </c>
      <c r="G55" s="4"/>
      <c r="H55" s="4">
        <f>SUM(OSRRefH16x_0)</f>
        <v>1571.6699999999996</v>
      </c>
      <c r="I55" s="4"/>
      <c r="J55" s="13">
        <f t="shared" ref="J55:J79" si="14">IF(H$12=0,0,H55/H$12)</f>
        <v>0.49740170139504258</v>
      </c>
      <c r="K55" s="4"/>
      <c r="L55" s="4">
        <f t="shared" ref="L55:L79" si="15">+D55-H55</f>
        <v>-1552.1799999999996</v>
      </c>
      <c r="M55" s="4"/>
      <c r="N55" s="13">
        <f t="shared" ref="N55:N79" si="16">IF(H55=0,0,L55/H55)</f>
        <v>-0.98759917794447938</v>
      </c>
      <c r="O55" s="11"/>
      <c r="P55" s="4">
        <f>SUM(OSRRefP16x_0)</f>
        <v>13792.989999999994</v>
      </c>
      <c r="Q55" s="4"/>
      <c r="R55" s="13">
        <f t="shared" ref="R55:R79" si="17">IF(P$12=0,0,P55/P$12)</f>
        <v>0.64719602926437392</v>
      </c>
      <c r="S55" s="4"/>
      <c r="T55" s="4">
        <f>SUM(OSRRefT16x_0)</f>
        <v>408014.6999999999</v>
      </c>
      <c r="U55" s="4"/>
      <c r="V55" s="13">
        <f t="shared" ref="V55:V79" si="18">IF(T$12=0,0,T55/T$12)</f>
        <v>0.5008159077361436</v>
      </c>
      <c r="W55" s="4"/>
      <c r="X55" s="4">
        <f t="shared" ref="X55:X79" si="19">+P55-T55</f>
        <v>-394221.7099999999</v>
      </c>
      <c r="Y55" s="4"/>
      <c r="Z55" s="13">
        <f t="shared" ref="Z55:Z79" si="20">IF(T55=0,0,X55/T55)</f>
        <v>-0.96619486993973502</v>
      </c>
    </row>
    <row r="56" spans="1:26" s="23" customFormat="1" hidden="1" outlineLevel="1" x14ac:dyDescent="0.25">
      <c r="A56" s="44"/>
      <c r="B56" s="10" t="str">
        <f>CONCATENATE("          ", "5000", " - ", "PURCHASES @ COST")</f>
        <v xml:space="preserve">          5000 - PURCHASES @ COST</v>
      </c>
      <c r="C56" s="10"/>
      <c r="D56" s="2"/>
      <c r="E56" s="2"/>
      <c r="F56" s="19">
        <f t="shared" si="13"/>
        <v>0</v>
      </c>
      <c r="G56" s="2"/>
      <c r="H56" s="2"/>
      <c r="I56" s="2"/>
      <c r="J56" s="19">
        <f t="shared" si="14"/>
        <v>0</v>
      </c>
      <c r="K56" s="2"/>
      <c r="L56" s="2">
        <f t="shared" si="15"/>
        <v>0</v>
      </c>
      <c r="M56" s="2"/>
      <c r="N56" s="19">
        <f t="shared" si="16"/>
        <v>0</v>
      </c>
      <c r="O56" s="10"/>
      <c r="P56" s="2"/>
      <c r="Q56" s="2"/>
      <c r="R56" s="19">
        <f t="shared" si="17"/>
        <v>0</v>
      </c>
      <c r="S56" s="2"/>
      <c r="T56" s="2">
        <v>0</v>
      </c>
      <c r="U56" s="2"/>
      <c r="V56" s="19">
        <f t="shared" si="18"/>
        <v>0</v>
      </c>
      <c r="W56" s="2"/>
      <c r="X56" s="2">
        <f t="shared" si="19"/>
        <v>0</v>
      </c>
      <c r="Y56" s="2"/>
      <c r="Z56" s="19">
        <f t="shared" si="20"/>
        <v>0</v>
      </c>
    </row>
    <row r="57" spans="1:26" s="23" customFormat="1" hidden="1" outlineLevel="1" x14ac:dyDescent="0.25">
      <c r="A57" s="44"/>
      <c r="B57" s="10" t="str">
        <f>CONCATENATE("          ", "5014", " - ", "PURCHASES @ COST-REMAINDERS")</f>
        <v xml:space="preserve">          5014 - PURCHASES @ COST-REMAINDERS</v>
      </c>
      <c r="C57" s="10"/>
      <c r="D57" s="2"/>
      <c r="E57" s="2"/>
      <c r="F57" s="19">
        <f t="shared" si="13"/>
        <v>0</v>
      </c>
      <c r="G57" s="2"/>
      <c r="H57" s="2"/>
      <c r="I57" s="2"/>
      <c r="J57" s="19">
        <f t="shared" si="14"/>
        <v>0</v>
      </c>
      <c r="K57" s="2"/>
      <c r="L57" s="2">
        <f t="shared" si="15"/>
        <v>0</v>
      </c>
      <c r="M57" s="2"/>
      <c r="N57" s="19">
        <f t="shared" si="16"/>
        <v>0</v>
      </c>
      <c r="O57" s="10"/>
      <c r="P57" s="2"/>
      <c r="Q57" s="2"/>
      <c r="R57" s="19">
        <f t="shared" si="17"/>
        <v>0</v>
      </c>
      <c r="S57" s="2"/>
      <c r="T57" s="2">
        <v>14.46</v>
      </c>
      <c r="U57" s="2"/>
      <c r="V57" s="19">
        <f t="shared" si="18"/>
        <v>1.7748865484171622E-5</v>
      </c>
      <c r="W57" s="2"/>
      <c r="X57" s="2">
        <f t="shared" si="19"/>
        <v>-14.46</v>
      </c>
      <c r="Y57" s="2"/>
      <c r="Z57" s="19">
        <f t="shared" si="20"/>
        <v>-1</v>
      </c>
    </row>
    <row r="58" spans="1:26" s="23" customFormat="1" hidden="1" outlineLevel="1" x14ac:dyDescent="0.25">
      <c r="A58" s="44"/>
      <c r="B58" s="10" t="str">
        <f>CONCATENATE("          ", "5017", " - ", "PURCHASES @ COST-DORM/HOUSEWAR")</f>
        <v xml:space="preserve">          5017 - PURCHASES @ COST-DORM/HOUSEWAR</v>
      </c>
      <c r="C58" s="10"/>
      <c r="D58" s="2"/>
      <c r="E58" s="2"/>
      <c r="F58" s="19">
        <f t="shared" si="13"/>
        <v>0</v>
      </c>
      <c r="G58" s="2"/>
      <c r="H58" s="2"/>
      <c r="I58" s="2"/>
      <c r="J58" s="19">
        <f t="shared" si="14"/>
        <v>0</v>
      </c>
      <c r="K58" s="2"/>
      <c r="L58" s="2">
        <f t="shared" si="15"/>
        <v>0</v>
      </c>
      <c r="M58" s="2"/>
      <c r="N58" s="19">
        <f t="shared" si="16"/>
        <v>0</v>
      </c>
      <c r="O58" s="10"/>
      <c r="P58" s="2"/>
      <c r="Q58" s="2"/>
      <c r="R58" s="19">
        <f t="shared" si="17"/>
        <v>0</v>
      </c>
      <c r="S58" s="2"/>
      <c r="T58" s="2">
        <v>14.46</v>
      </c>
      <c r="U58" s="2"/>
      <c r="V58" s="19">
        <f t="shared" si="18"/>
        <v>1.7748865484171622E-5</v>
      </c>
      <c r="W58" s="2"/>
      <c r="X58" s="2">
        <f t="shared" si="19"/>
        <v>-14.46</v>
      </c>
      <c r="Y58" s="2"/>
      <c r="Z58" s="19">
        <f t="shared" si="20"/>
        <v>-1</v>
      </c>
    </row>
    <row r="59" spans="1:26" s="23" customFormat="1" hidden="1" outlineLevel="1" x14ac:dyDescent="0.25">
      <c r="A59" s="44"/>
      <c r="B59" s="10" t="str">
        <f>CONCATENATE("          ", "5025", " - ", "PURCHASES @ COST-TEST FORMS")</f>
        <v xml:space="preserve">          5025 - PURCHASES @ COST-TEST FORMS</v>
      </c>
      <c r="C59" s="10"/>
      <c r="D59" s="2"/>
      <c r="E59" s="2"/>
      <c r="F59" s="19">
        <f t="shared" si="13"/>
        <v>0</v>
      </c>
      <c r="G59" s="2"/>
      <c r="H59" s="2"/>
      <c r="I59" s="2"/>
      <c r="J59" s="19">
        <f t="shared" si="14"/>
        <v>0</v>
      </c>
      <c r="K59" s="2"/>
      <c r="L59" s="2">
        <f t="shared" si="15"/>
        <v>0</v>
      </c>
      <c r="M59" s="2"/>
      <c r="N59" s="19">
        <f t="shared" si="16"/>
        <v>0</v>
      </c>
      <c r="O59" s="10"/>
      <c r="P59" s="2"/>
      <c r="Q59" s="2"/>
      <c r="R59" s="19">
        <f t="shared" si="17"/>
        <v>0</v>
      </c>
      <c r="S59" s="2"/>
      <c r="T59" s="2">
        <v>26394.33</v>
      </c>
      <c r="U59" s="2"/>
      <c r="V59" s="19">
        <f t="shared" si="18"/>
        <v>3.2397608071565394E-2</v>
      </c>
      <c r="W59" s="2"/>
      <c r="X59" s="2">
        <f t="shared" si="19"/>
        <v>-26394.33</v>
      </c>
      <c r="Y59" s="2"/>
      <c r="Z59" s="19">
        <f t="shared" si="20"/>
        <v>-1</v>
      </c>
    </row>
    <row r="60" spans="1:26" s="23" customFormat="1" hidden="1" outlineLevel="1" x14ac:dyDescent="0.25">
      <c r="A60" s="44"/>
      <c r="B60" s="10" t="str">
        <f>CONCATENATE("          ", "5026", " - ", "PURCHASES @ COST-WRITING INSTR")</f>
        <v xml:space="preserve">          5026 - PURCHASES @ COST-WRITING INSTR</v>
      </c>
      <c r="C60" s="10"/>
      <c r="D60" s="2"/>
      <c r="E60" s="2"/>
      <c r="F60" s="19">
        <f t="shared" si="13"/>
        <v>0</v>
      </c>
      <c r="G60" s="2"/>
      <c r="H60" s="2">
        <v>2463.3000000000002</v>
      </c>
      <c r="I60" s="2"/>
      <c r="J60" s="19">
        <f t="shared" si="14"/>
        <v>0.77958452540699308</v>
      </c>
      <c r="K60" s="2"/>
      <c r="L60" s="2">
        <f t="shared" si="15"/>
        <v>-2463.3000000000002</v>
      </c>
      <c r="M60" s="2"/>
      <c r="N60" s="19">
        <f t="shared" si="16"/>
        <v>-1</v>
      </c>
      <c r="O60" s="10"/>
      <c r="P60" s="2">
        <v>364.91</v>
      </c>
      <c r="Q60" s="2"/>
      <c r="R60" s="19">
        <f t="shared" si="17"/>
        <v>1.7122342801587094E-2</v>
      </c>
      <c r="S60" s="2"/>
      <c r="T60" s="2">
        <v>50236.5</v>
      </c>
      <c r="U60" s="2"/>
      <c r="V60" s="19">
        <f t="shared" si="18"/>
        <v>6.1662578208546863E-2</v>
      </c>
      <c r="W60" s="2"/>
      <c r="X60" s="2">
        <f t="shared" si="19"/>
        <v>-49871.59</v>
      </c>
      <c r="Y60" s="2"/>
      <c r="Z60" s="19">
        <f t="shared" si="20"/>
        <v>-0.99273615797278869</v>
      </c>
    </row>
    <row r="61" spans="1:26" s="23" customFormat="1" hidden="1" outlineLevel="1" x14ac:dyDescent="0.25">
      <c r="A61" s="44"/>
      <c r="B61" s="10" t="str">
        <f>CONCATENATE("          ", "5027", " - ", "PURCHASES @ COST-SCHOOL SUPPLI")</f>
        <v xml:space="preserve">          5027 - PURCHASES @ COST-SCHOOL SUPPLI</v>
      </c>
      <c r="C61" s="10"/>
      <c r="D61" s="2"/>
      <c r="E61" s="2"/>
      <c r="F61" s="19">
        <f t="shared" si="13"/>
        <v>0</v>
      </c>
      <c r="G61" s="2"/>
      <c r="H61" s="2">
        <v>6003.13</v>
      </c>
      <c r="I61" s="2"/>
      <c r="J61" s="19">
        <f t="shared" si="14"/>
        <v>1.8998689773906881</v>
      </c>
      <c r="K61" s="2"/>
      <c r="L61" s="2">
        <f t="shared" si="15"/>
        <v>-6003.13</v>
      </c>
      <c r="M61" s="2"/>
      <c r="N61" s="19">
        <f t="shared" si="16"/>
        <v>-1</v>
      </c>
      <c r="O61" s="10"/>
      <c r="P61" s="2">
        <v>895.47</v>
      </c>
      <c r="Q61" s="2"/>
      <c r="R61" s="19">
        <f t="shared" si="17"/>
        <v>4.201733114613794E-2</v>
      </c>
      <c r="S61" s="2"/>
      <c r="T61" s="2">
        <v>143282.72</v>
      </c>
      <c r="U61" s="2"/>
      <c r="V61" s="19">
        <f t="shared" si="18"/>
        <v>0.17587176510969757</v>
      </c>
      <c r="W61" s="2"/>
      <c r="X61" s="2">
        <f t="shared" si="19"/>
        <v>-142387.25</v>
      </c>
      <c r="Y61" s="2"/>
      <c r="Z61" s="19">
        <f t="shared" si="20"/>
        <v>-0.99375032802280694</v>
      </c>
    </row>
    <row r="62" spans="1:26" s="23" customFormat="1" hidden="1" outlineLevel="1" x14ac:dyDescent="0.25">
      <c r="A62" s="44"/>
      <c r="B62" s="10" t="str">
        <f>CONCATENATE("          ", "5028", " - ", "PURCHASES @ COST-ART/TECH")</f>
        <v xml:space="preserve">          5028 - PURCHASES @ COST-ART/TECH</v>
      </c>
      <c r="C62" s="10"/>
      <c r="D62" s="2"/>
      <c r="E62" s="2"/>
      <c r="F62" s="19">
        <f t="shared" si="13"/>
        <v>0</v>
      </c>
      <c r="G62" s="2"/>
      <c r="H62" s="2">
        <v>8617.84</v>
      </c>
      <c r="I62" s="2"/>
      <c r="J62" s="19">
        <f t="shared" si="14"/>
        <v>2.727371699116389</v>
      </c>
      <c r="K62" s="2"/>
      <c r="L62" s="2">
        <f t="shared" si="15"/>
        <v>-8617.84</v>
      </c>
      <c r="M62" s="2"/>
      <c r="N62" s="19">
        <f t="shared" si="16"/>
        <v>-1</v>
      </c>
      <c r="O62" s="10"/>
      <c r="P62" s="2">
        <v>41441.85</v>
      </c>
      <c r="Q62" s="2"/>
      <c r="R62" s="19">
        <f t="shared" si="17"/>
        <v>1.9445385493188789</v>
      </c>
      <c r="S62" s="2"/>
      <c r="T62" s="2">
        <v>159687.99</v>
      </c>
      <c r="U62" s="2"/>
      <c r="V62" s="19">
        <f t="shared" si="18"/>
        <v>0.19600834397978859</v>
      </c>
      <c r="W62" s="2"/>
      <c r="X62" s="2">
        <f t="shared" si="19"/>
        <v>-118246.13999999998</v>
      </c>
      <c r="Y62" s="2"/>
      <c r="Z62" s="19">
        <f t="shared" si="20"/>
        <v>-0.74048236188582495</v>
      </c>
    </row>
    <row r="63" spans="1:26" s="23" customFormat="1" hidden="1" outlineLevel="1" x14ac:dyDescent="0.25">
      <c r="A63" s="44"/>
      <c r="B63" s="10" t="str">
        <f>CONCATENATE("          ", "5031", " - ", "PURCHASES @ COST-FOOD")</f>
        <v xml:space="preserve">          5031 - PURCHASES @ COST-FOOD</v>
      </c>
      <c r="C63" s="10"/>
      <c r="D63" s="2"/>
      <c r="E63" s="2"/>
      <c r="F63" s="19">
        <f t="shared" si="13"/>
        <v>0</v>
      </c>
      <c r="G63" s="2"/>
      <c r="H63" s="2"/>
      <c r="I63" s="2"/>
      <c r="J63" s="19">
        <f t="shared" si="14"/>
        <v>0</v>
      </c>
      <c r="K63" s="2"/>
      <c r="L63" s="2">
        <f t="shared" si="15"/>
        <v>0</v>
      </c>
      <c r="M63" s="2"/>
      <c r="N63" s="19">
        <f t="shared" si="16"/>
        <v>0</v>
      </c>
      <c r="O63" s="10"/>
      <c r="P63" s="2">
        <v>2441.5700000000002</v>
      </c>
      <c r="Q63" s="2"/>
      <c r="R63" s="19">
        <f t="shared" si="17"/>
        <v>0.11456358695040149</v>
      </c>
      <c r="S63" s="2"/>
      <c r="T63" s="2">
        <v>33239.879999999997</v>
      </c>
      <c r="U63" s="2"/>
      <c r="V63" s="19">
        <f t="shared" si="18"/>
        <v>4.0800149296680951E-2</v>
      </c>
      <c r="W63" s="2"/>
      <c r="X63" s="2">
        <f t="shared" si="19"/>
        <v>-30798.309999999998</v>
      </c>
      <c r="Y63" s="2"/>
      <c r="Z63" s="19">
        <f t="shared" si="20"/>
        <v>-0.92654696707689677</v>
      </c>
    </row>
    <row r="64" spans="1:26" s="23" customFormat="1" hidden="1" outlineLevel="1" x14ac:dyDescent="0.25">
      <c r="A64" s="44"/>
      <c r="B64" s="10" t="str">
        <f>CONCATENATE("          ", "5032", " - ", "PURCHASES @ COST-JUICE")</f>
        <v xml:space="preserve">          5032 - PURCHASES @ COST-JUICE</v>
      </c>
      <c r="C64" s="10"/>
      <c r="D64" s="2"/>
      <c r="E64" s="2"/>
      <c r="F64" s="19">
        <f t="shared" si="13"/>
        <v>0</v>
      </c>
      <c r="G64" s="2"/>
      <c r="H64" s="2"/>
      <c r="I64" s="2"/>
      <c r="J64" s="19">
        <f t="shared" si="14"/>
        <v>0</v>
      </c>
      <c r="K64" s="2"/>
      <c r="L64" s="2">
        <f t="shared" si="15"/>
        <v>0</v>
      </c>
      <c r="M64" s="2"/>
      <c r="N64" s="19">
        <f t="shared" si="16"/>
        <v>0</v>
      </c>
      <c r="O64" s="10"/>
      <c r="P64" s="2"/>
      <c r="Q64" s="2"/>
      <c r="R64" s="19">
        <f t="shared" si="17"/>
        <v>0</v>
      </c>
      <c r="S64" s="2"/>
      <c r="T64" s="2">
        <v>7802.45</v>
      </c>
      <c r="U64" s="2"/>
      <c r="V64" s="19">
        <f t="shared" si="18"/>
        <v>9.5770840592652052E-3</v>
      </c>
      <c r="W64" s="2"/>
      <c r="X64" s="2">
        <f t="shared" si="19"/>
        <v>-7802.45</v>
      </c>
      <c r="Y64" s="2"/>
      <c r="Z64" s="19">
        <f t="shared" si="20"/>
        <v>-1</v>
      </c>
    </row>
    <row r="65" spans="1:26" s="23" customFormat="1" hidden="1" outlineLevel="1" x14ac:dyDescent="0.25">
      <c r="A65" s="44"/>
      <c r="B65" s="10" t="str">
        <f>CONCATENATE("          ", "5033", " - ", "PURCHASES @ COST-CANDY")</f>
        <v xml:space="preserve">          5033 - PURCHASES @ COST-CANDY</v>
      </c>
      <c r="C65" s="10"/>
      <c r="D65" s="2"/>
      <c r="E65" s="2"/>
      <c r="F65" s="19">
        <f t="shared" si="13"/>
        <v>0</v>
      </c>
      <c r="G65" s="2"/>
      <c r="H65" s="2">
        <v>-25.2</v>
      </c>
      <c r="I65" s="2"/>
      <c r="J65" s="19">
        <f t="shared" si="14"/>
        <v>-7.9752892624756315E-3</v>
      </c>
      <c r="K65" s="2"/>
      <c r="L65" s="2">
        <f t="shared" si="15"/>
        <v>25.2</v>
      </c>
      <c r="M65" s="2"/>
      <c r="N65" s="19">
        <f t="shared" si="16"/>
        <v>-1</v>
      </c>
      <c r="O65" s="10"/>
      <c r="P65" s="2"/>
      <c r="Q65" s="2"/>
      <c r="R65" s="19">
        <f t="shared" si="17"/>
        <v>0</v>
      </c>
      <c r="S65" s="2"/>
      <c r="T65" s="2">
        <v>9998.41</v>
      </c>
      <c r="U65" s="2"/>
      <c r="V65" s="19">
        <f t="shared" si="18"/>
        <v>1.2272505819197537E-2</v>
      </c>
      <c r="W65" s="2"/>
      <c r="X65" s="2">
        <f t="shared" si="19"/>
        <v>-9998.41</v>
      </c>
      <c r="Y65" s="2"/>
      <c r="Z65" s="19">
        <f t="shared" si="20"/>
        <v>-1</v>
      </c>
    </row>
    <row r="66" spans="1:26" s="23" customFormat="1" hidden="1" outlineLevel="1" x14ac:dyDescent="0.25">
      <c r="A66" s="44"/>
      <c r="B66" s="10" t="str">
        <f>CONCATENATE("          ", "5034", " - ", "PURCHASES @ COST-SODA")</f>
        <v xml:space="preserve">          5034 - PURCHASES @ COST-SODA</v>
      </c>
      <c r="C66" s="10"/>
      <c r="D66" s="2"/>
      <c r="E66" s="2"/>
      <c r="F66" s="19">
        <f t="shared" si="13"/>
        <v>0</v>
      </c>
      <c r="G66" s="2"/>
      <c r="H66" s="2"/>
      <c r="I66" s="2"/>
      <c r="J66" s="19">
        <f t="shared" si="14"/>
        <v>0</v>
      </c>
      <c r="K66" s="2"/>
      <c r="L66" s="2">
        <f t="shared" si="15"/>
        <v>0</v>
      </c>
      <c r="M66" s="2"/>
      <c r="N66" s="19">
        <f t="shared" si="16"/>
        <v>0</v>
      </c>
      <c r="O66" s="10"/>
      <c r="P66" s="2"/>
      <c r="Q66" s="2"/>
      <c r="R66" s="19">
        <f t="shared" si="17"/>
        <v>0</v>
      </c>
      <c r="S66" s="2"/>
      <c r="T66" s="2">
        <v>4033.88</v>
      </c>
      <c r="U66" s="2"/>
      <c r="V66" s="19">
        <f t="shared" si="18"/>
        <v>4.951368845040818E-3</v>
      </c>
      <c r="W66" s="2"/>
      <c r="X66" s="2">
        <f t="shared" si="19"/>
        <v>-4033.88</v>
      </c>
      <c r="Y66" s="2"/>
      <c r="Z66" s="19">
        <f t="shared" si="20"/>
        <v>-1</v>
      </c>
    </row>
    <row r="67" spans="1:26" s="23" customFormat="1" hidden="1" outlineLevel="1" x14ac:dyDescent="0.25">
      <c r="A67" s="44"/>
      <c r="B67" s="10" t="str">
        <f>CONCATENATE("          ", "5035", " - ", "PURCHASES @ COST-HEALTH &amp; BEAU")</f>
        <v xml:space="preserve">          5035 - PURCHASES @ COST-HEALTH &amp; BEAU</v>
      </c>
      <c r="C67" s="10"/>
      <c r="D67" s="2"/>
      <c r="E67" s="2"/>
      <c r="F67" s="19">
        <f t="shared" si="13"/>
        <v>0</v>
      </c>
      <c r="G67" s="2"/>
      <c r="H67" s="2"/>
      <c r="I67" s="2"/>
      <c r="J67" s="19">
        <f t="shared" si="14"/>
        <v>0</v>
      </c>
      <c r="K67" s="2"/>
      <c r="L67" s="2">
        <f t="shared" si="15"/>
        <v>0</v>
      </c>
      <c r="M67" s="2"/>
      <c r="N67" s="19">
        <f t="shared" si="16"/>
        <v>0</v>
      </c>
      <c r="O67" s="10"/>
      <c r="P67" s="2"/>
      <c r="Q67" s="2"/>
      <c r="R67" s="19">
        <f t="shared" si="17"/>
        <v>0</v>
      </c>
      <c r="S67" s="2"/>
      <c r="T67" s="2">
        <v>1117.6500000000001</v>
      </c>
      <c r="U67" s="2"/>
      <c r="V67" s="19">
        <f t="shared" si="18"/>
        <v>1.3718547377859207E-3</v>
      </c>
      <c r="W67" s="2"/>
      <c r="X67" s="2">
        <f t="shared" si="19"/>
        <v>-1117.6500000000001</v>
      </c>
      <c r="Y67" s="2"/>
      <c r="Z67" s="19">
        <f t="shared" si="20"/>
        <v>-1</v>
      </c>
    </row>
    <row r="68" spans="1:26" s="23" customFormat="1" hidden="1" outlineLevel="1" x14ac:dyDescent="0.25">
      <c r="A68" s="44"/>
      <c r="B68" s="10" t="str">
        <f>CONCATENATE("          ", "5037", " - ", "PURCHASES @ COST-WATER")</f>
        <v xml:space="preserve">          5037 - PURCHASES @ COST-WATER</v>
      </c>
      <c r="C68" s="10"/>
      <c r="D68" s="2"/>
      <c r="E68" s="2"/>
      <c r="F68" s="19">
        <f t="shared" si="13"/>
        <v>0</v>
      </c>
      <c r="G68" s="2"/>
      <c r="H68" s="2"/>
      <c r="I68" s="2"/>
      <c r="J68" s="19">
        <f t="shared" si="14"/>
        <v>0</v>
      </c>
      <c r="K68" s="2"/>
      <c r="L68" s="2">
        <f t="shared" si="15"/>
        <v>0</v>
      </c>
      <c r="M68" s="2"/>
      <c r="N68" s="19">
        <f t="shared" si="16"/>
        <v>0</v>
      </c>
      <c r="O68" s="10"/>
      <c r="P68" s="2"/>
      <c r="Q68" s="2"/>
      <c r="R68" s="19">
        <f t="shared" si="17"/>
        <v>0</v>
      </c>
      <c r="S68" s="2"/>
      <c r="T68" s="2">
        <v>5663.81</v>
      </c>
      <c r="U68" s="2"/>
      <c r="V68" s="19">
        <f t="shared" si="18"/>
        <v>6.9520194894817479E-3</v>
      </c>
      <c r="W68" s="2"/>
      <c r="X68" s="2">
        <f t="shared" si="19"/>
        <v>-5663.81</v>
      </c>
      <c r="Y68" s="2"/>
      <c r="Z68" s="19">
        <f t="shared" si="20"/>
        <v>-1</v>
      </c>
    </row>
    <row r="69" spans="1:26" s="23" customFormat="1" hidden="1" outlineLevel="1" x14ac:dyDescent="0.25">
      <c r="A69" s="44"/>
      <c r="B69" s="10" t="str">
        <f>CONCATENATE("          ", "5081", " - ", "PURCHASES @ COST-ELECTRONICS")</f>
        <v xml:space="preserve">          5081 - PURCHASES @ COST-ELECTRONICS</v>
      </c>
      <c r="C69" s="10"/>
      <c r="D69" s="2"/>
      <c r="E69" s="2"/>
      <c r="F69" s="19">
        <f t="shared" si="13"/>
        <v>0</v>
      </c>
      <c r="G69" s="2"/>
      <c r="H69" s="2"/>
      <c r="I69" s="2"/>
      <c r="J69" s="19">
        <f t="shared" si="14"/>
        <v>0</v>
      </c>
      <c r="K69" s="2"/>
      <c r="L69" s="2">
        <f t="shared" si="15"/>
        <v>0</v>
      </c>
      <c r="M69" s="2"/>
      <c r="N69" s="19">
        <f t="shared" si="16"/>
        <v>0</v>
      </c>
      <c r="O69" s="10"/>
      <c r="P69" s="2"/>
      <c r="Q69" s="2"/>
      <c r="R69" s="19">
        <f t="shared" si="17"/>
        <v>0</v>
      </c>
      <c r="S69" s="2"/>
      <c r="T69" s="2">
        <v>2008.03</v>
      </c>
      <c r="U69" s="2"/>
      <c r="V69" s="19">
        <f t="shared" si="18"/>
        <v>2.4647478809253901E-3</v>
      </c>
      <c r="W69" s="2"/>
      <c r="X69" s="2">
        <f t="shared" si="19"/>
        <v>-2008.03</v>
      </c>
      <c r="Y69" s="2"/>
      <c r="Z69" s="19">
        <f t="shared" si="20"/>
        <v>-1</v>
      </c>
    </row>
    <row r="70" spans="1:26" s="23" customFormat="1" hidden="1" outlineLevel="1" x14ac:dyDescent="0.25">
      <c r="A70" s="44"/>
      <c r="B70" s="10" t="str">
        <f>CONCATENATE("          ", "5082", " - ", "PURCHASES @ COST-COMPUTER HARD")</f>
        <v xml:space="preserve">          5082 - PURCHASES @ COST-COMPUTER HARD</v>
      </c>
      <c r="C70" s="10"/>
      <c r="D70" s="2"/>
      <c r="E70" s="2"/>
      <c r="F70" s="19">
        <f t="shared" si="13"/>
        <v>0</v>
      </c>
      <c r="G70" s="2"/>
      <c r="H70" s="2"/>
      <c r="I70" s="2"/>
      <c r="J70" s="19">
        <f t="shared" si="14"/>
        <v>0</v>
      </c>
      <c r="K70" s="2"/>
      <c r="L70" s="2">
        <f t="shared" si="15"/>
        <v>0</v>
      </c>
      <c r="M70" s="2"/>
      <c r="N70" s="19">
        <f t="shared" si="16"/>
        <v>0</v>
      </c>
      <c r="O70" s="10"/>
      <c r="P70" s="2"/>
      <c r="Q70" s="2"/>
      <c r="R70" s="19">
        <f t="shared" si="17"/>
        <v>0</v>
      </c>
      <c r="S70" s="2"/>
      <c r="T70" s="2">
        <v>349.6</v>
      </c>
      <c r="U70" s="2"/>
      <c r="V70" s="19">
        <f t="shared" si="18"/>
        <v>4.2911503272934987E-4</v>
      </c>
      <c r="W70" s="2"/>
      <c r="X70" s="2">
        <f t="shared" si="19"/>
        <v>-349.6</v>
      </c>
      <c r="Y70" s="2"/>
      <c r="Z70" s="19">
        <f t="shared" si="20"/>
        <v>-1</v>
      </c>
    </row>
    <row r="71" spans="1:26" s="23" customFormat="1" hidden="1" outlineLevel="1" x14ac:dyDescent="0.25">
      <c r="A71" s="44"/>
      <c r="B71" s="10" t="str">
        <f>CONCATENATE("          ", "5083", " - ", "PURCHASES @ COST-COMPUTER EQUI")</f>
        <v xml:space="preserve">          5083 - PURCHASES @ COST-COMPUTER EQUI</v>
      </c>
      <c r="C71" s="10"/>
      <c r="D71" s="2"/>
      <c r="E71" s="2"/>
      <c r="F71" s="19">
        <f t="shared" si="13"/>
        <v>0</v>
      </c>
      <c r="G71" s="2"/>
      <c r="H71" s="2"/>
      <c r="I71" s="2"/>
      <c r="J71" s="19">
        <f t="shared" si="14"/>
        <v>0</v>
      </c>
      <c r="K71" s="2"/>
      <c r="L71" s="2">
        <f t="shared" si="15"/>
        <v>0</v>
      </c>
      <c r="M71" s="2"/>
      <c r="N71" s="19">
        <f t="shared" si="16"/>
        <v>0</v>
      </c>
      <c r="O71" s="10"/>
      <c r="P71" s="2"/>
      <c r="Q71" s="2"/>
      <c r="R71" s="19">
        <f t="shared" si="17"/>
        <v>0</v>
      </c>
      <c r="S71" s="2"/>
      <c r="T71" s="2">
        <v>304.70999999999998</v>
      </c>
      <c r="U71" s="2"/>
      <c r="V71" s="19">
        <f t="shared" si="18"/>
        <v>3.7401499320068705E-4</v>
      </c>
      <c r="W71" s="2"/>
      <c r="X71" s="2">
        <f t="shared" si="19"/>
        <v>-304.70999999999998</v>
      </c>
      <c r="Y71" s="2"/>
      <c r="Z71" s="19">
        <f t="shared" si="20"/>
        <v>-1</v>
      </c>
    </row>
    <row r="72" spans="1:26" s="23" customFormat="1" hidden="1" outlineLevel="1" x14ac:dyDescent="0.25">
      <c r="A72" s="44"/>
      <c r="B72" s="10" t="str">
        <f>CONCATENATE("          ", "5086", " - ", "PURCHASES @ COST-COMPUTER SUPP")</f>
        <v xml:space="preserve">          5086 - PURCHASES @ COST-COMPUTER SUPP</v>
      </c>
      <c r="C72" s="10"/>
      <c r="D72" s="2"/>
      <c r="E72" s="2"/>
      <c r="F72" s="19">
        <f t="shared" si="13"/>
        <v>0</v>
      </c>
      <c r="G72" s="2"/>
      <c r="H72" s="2"/>
      <c r="I72" s="2"/>
      <c r="J72" s="19">
        <f t="shared" si="14"/>
        <v>0</v>
      </c>
      <c r="K72" s="2"/>
      <c r="L72" s="2">
        <f t="shared" si="15"/>
        <v>0</v>
      </c>
      <c r="M72" s="2"/>
      <c r="N72" s="19">
        <f t="shared" si="16"/>
        <v>0</v>
      </c>
      <c r="O72" s="10"/>
      <c r="P72" s="2"/>
      <c r="Q72" s="2"/>
      <c r="R72" s="19">
        <f t="shared" si="17"/>
        <v>0</v>
      </c>
      <c r="S72" s="2"/>
      <c r="T72" s="2">
        <v>426.22</v>
      </c>
      <c r="U72" s="2"/>
      <c r="V72" s="19">
        <f t="shared" si="18"/>
        <v>5.2316192577203516E-4</v>
      </c>
      <c r="W72" s="2"/>
      <c r="X72" s="2">
        <f t="shared" si="19"/>
        <v>-426.22</v>
      </c>
      <c r="Y72" s="2"/>
      <c r="Z72" s="19">
        <f t="shared" si="20"/>
        <v>-1</v>
      </c>
    </row>
    <row r="73" spans="1:26" s="23" customFormat="1" hidden="1" outlineLevel="1" x14ac:dyDescent="0.25">
      <c r="A73" s="44"/>
      <c r="B73" s="10" t="str">
        <f>CONCATENATE("          ", "5200", " - ", "PURCHASES OFFSET")</f>
        <v xml:space="preserve">          5200 - PURCHASES OFFSET</v>
      </c>
      <c r="C73" s="10"/>
      <c r="D73" s="2"/>
      <c r="E73" s="2"/>
      <c r="F73" s="19">
        <f t="shared" si="13"/>
        <v>0</v>
      </c>
      <c r="G73" s="2"/>
      <c r="H73" s="2">
        <v>-17635</v>
      </c>
      <c r="I73" s="2"/>
      <c r="J73" s="19">
        <f t="shared" si="14"/>
        <v>-5.5811200850697524</v>
      </c>
      <c r="K73" s="2"/>
      <c r="L73" s="2">
        <f t="shared" si="15"/>
        <v>17635</v>
      </c>
      <c r="M73" s="2"/>
      <c r="N73" s="19">
        <f t="shared" si="16"/>
        <v>-1</v>
      </c>
      <c r="O73" s="10"/>
      <c r="P73" s="2">
        <v>-45863.33</v>
      </c>
      <c r="Q73" s="2"/>
      <c r="R73" s="19">
        <f t="shared" si="17"/>
        <v>-2.1520036674311842</v>
      </c>
      <c r="S73" s="2"/>
      <c r="T73" s="2">
        <v>-450979</v>
      </c>
      <c r="U73" s="2"/>
      <c r="V73" s="19">
        <f t="shared" si="18"/>
        <v>-0.55355225499213234</v>
      </c>
      <c r="W73" s="2"/>
      <c r="X73" s="2">
        <f t="shared" si="19"/>
        <v>405115.67</v>
      </c>
      <c r="Y73" s="2"/>
      <c r="Z73" s="19">
        <f t="shared" si="20"/>
        <v>-0.89830273693453577</v>
      </c>
    </row>
    <row r="74" spans="1:26" s="23" customFormat="1" hidden="1" outlineLevel="1" x14ac:dyDescent="0.25">
      <c r="A74" s="44"/>
      <c r="B74" s="10" t="str">
        <f>CONCATENATE("          ", "5300", " - ", "COG$ OFFSET")</f>
        <v xml:space="preserve">          5300 - COG$ OFFSET</v>
      </c>
      <c r="C74" s="10"/>
      <c r="D74" s="2"/>
      <c r="E74" s="2"/>
      <c r="F74" s="19">
        <f t="shared" si="13"/>
        <v>0</v>
      </c>
      <c r="G74" s="2"/>
      <c r="H74" s="2">
        <v>1571</v>
      </c>
      <c r="I74" s="2"/>
      <c r="J74" s="19">
        <f t="shared" si="14"/>
        <v>0.4971896599741753</v>
      </c>
      <c r="K74" s="2"/>
      <c r="L74" s="2">
        <f t="shared" si="15"/>
        <v>-1571</v>
      </c>
      <c r="M74" s="2"/>
      <c r="N74" s="19">
        <f t="shared" si="16"/>
        <v>-1</v>
      </c>
      <c r="O74" s="10"/>
      <c r="P74" s="2">
        <v>14145</v>
      </c>
      <c r="Q74" s="2"/>
      <c r="R74" s="19">
        <f t="shared" si="17"/>
        <v>0.66371307700103988</v>
      </c>
      <c r="S74" s="2"/>
      <c r="T74" s="2">
        <v>407932</v>
      </c>
      <c r="U74" s="2"/>
      <c r="V74" s="19">
        <f t="shared" si="18"/>
        <v>0.50071439797296668</v>
      </c>
      <c r="W74" s="2"/>
      <c r="X74" s="2">
        <f t="shared" si="19"/>
        <v>-393787</v>
      </c>
      <c r="Y74" s="2"/>
      <c r="Z74" s="19">
        <f t="shared" si="20"/>
        <v>-0.96532510320347509</v>
      </c>
    </row>
    <row r="75" spans="1:26" s="23" customFormat="1" hidden="1" outlineLevel="1" x14ac:dyDescent="0.25">
      <c r="A75" s="44"/>
      <c r="B75" s="10" t="str">
        <f>CONCATENATE("          ", "5500", " - ", "FREIGHT-IN")</f>
        <v xml:space="preserve">          5500 - FREIGHT-IN</v>
      </c>
      <c r="C75" s="10"/>
      <c r="D75" s="2"/>
      <c r="E75" s="2"/>
      <c r="F75" s="19">
        <f t="shared" si="13"/>
        <v>0</v>
      </c>
      <c r="G75" s="2"/>
      <c r="H75" s="2"/>
      <c r="I75" s="2"/>
      <c r="J75" s="19">
        <f t="shared" si="14"/>
        <v>0</v>
      </c>
      <c r="K75" s="2"/>
      <c r="L75" s="2">
        <f t="shared" si="15"/>
        <v>0</v>
      </c>
      <c r="M75" s="2"/>
      <c r="N75" s="19">
        <f t="shared" si="16"/>
        <v>0</v>
      </c>
      <c r="O75" s="10"/>
      <c r="P75" s="2"/>
      <c r="Q75" s="2"/>
      <c r="R75" s="19">
        <f t="shared" si="17"/>
        <v>0</v>
      </c>
      <c r="S75" s="2"/>
      <c r="T75" s="2">
        <v>86</v>
      </c>
      <c r="U75" s="2"/>
      <c r="V75" s="19">
        <f t="shared" si="18"/>
        <v>1.055603341382268E-4</v>
      </c>
      <c r="W75" s="2"/>
      <c r="X75" s="2">
        <f t="shared" si="19"/>
        <v>-86</v>
      </c>
      <c r="Y75" s="2"/>
      <c r="Z75" s="19">
        <f t="shared" si="20"/>
        <v>-1</v>
      </c>
    </row>
    <row r="76" spans="1:26" s="23" customFormat="1" hidden="1" outlineLevel="1" x14ac:dyDescent="0.25">
      <c r="A76" s="44"/>
      <c r="B76" s="10" t="str">
        <f>CONCATENATE("          ", "5525", " - ", "FREIGHT-IN-TEST FORMS")</f>
        <v xml:space="preserve">          5525 - FREIGHT-IN-TEST FORMS</v>
      </c>
      <c r="C76" s="10"/>
      <c r="D76" s="2"/>
      <c r="E76" s="2"/>
      <c r="F76" s="19">
        <f t="shared" si="13"/>
        <v>0</v>
      </c>
      <c r="G76" s="2"/>
      <c r="H76" s="2"/>
      <c r="I76" s="2"/>
      <c r="J76" s="19">
        <f t="shared" si="14"/>
        <v>0</v>
      </c>
      <c r="K76" s="2"/>
      <c r="L76" s="2">
        <f t="shared" si="15"/>
        <v>0</v>
      </c>
      <c r="M76" s="2"/>
      <c r="N76" s="19">
        <f t="shared" si="16"/>
        <v>0</v>
      </c>
      <c r="O76" s="10"/>
      <c r="P76" s="2"/>
      <c r="Q76" s="2"/>
      <c r="R76" s="19">
        <f t="shared" si="17"/>
        <v>0</v>
      </c>
      <c r="S76" s="2"/>
      <c r="T76" s="2">
        <v>1237.22</v>
      </c>
      <c r="U76" s="2"/>
      <c r="V76" s="19">
        <f t="shared" si="18"/>
        <v>1.5186204256104298E-3</v>
      </c>
      <c r="W76" s="2"/>
      <c r="X76" s="2">
        <f t="shared" si="19"/>
        <v>-1237.22</v>
      </c>
      <c r="Y76" s="2"/>
      <c r="Z76" s="19">
        <f t="shared" si="20"/>
        <v>-1</v>
      </c>
    </row>
    <row r="77" spans="1:26" s="23" customFormat="1" hidden="1" outlineLevel="1" x14ac:dyDescent="0.25">
      <c r="A77" s="44"/>
      <c r="B77" s="10" t="str">
        <f>CONCATENATE("          ", "5526", " - ", "FREIGHT-IN-WRITING INSTRUMENTS")</f>
        <v xml:space="preserve">          5526 - FREIGHT-IN-WRITING INSTRUMENTS</v>
      </c>
      <c r="C77" s="10"/>
      <c r="D77" s="2"/>
      <c r="E77" s="2"/>
      <c r="F77" s="19">
        <f t="shared" si="13"/>
        <v>0</v>
      </c>
      <c r="G77" s="2"/>
      <c r="H77" s="2"/>
      <c r="I77" s="2"/>
      <c r="J77" s="19">
        <f t="shared" si="14"/>
        <v>0</v>
      </c>
      <c r="K77" s="2"/>
      <c r="L77" s="2">
        <f t="shared" si="15"/>
        <v>0</v>
      </c>
      <c r="M77" s="2"/>
      <c r="N77" s="19">
        <f t="shared" si="16"/>
        <v>0</v>
      </c>
      <c r="O77" s="10"/>
      <c r="P77" s="2"/>
      <c r="Q77" s="2"/>
      <c r="R77" s="19">
        <f t="shared" si="17"/>
        <v>0</v>
      </c>
      <c r="S77" s="2"/>
      <c r="T77" s="2">
        <v>260.35000000000002</v>
      </c>
      <c r="U77" s="2"/>
      <c r="V77" s="19">
        <f t="shared" si="18"/>
        <v>3.1956549991729474E-4</v>
      </c>
      <c r="W77" s="2"/>
      <c r="X77" s="2">
        <f t="shared" si="19"/>
        <v>-260.35000000000002</v>
      </c>
      <c r="Y77" s="2"/>
      <c r="Z77" s="19">
        <f t="shared" si="20"/>
        <v>-1</v>
      </c>
    </row>
    <row r="78" spans="1:26" s="23" customFormat="1" hidden="1" outlineLevel="1" x14ac:dyDescent="0.25">
      <c r="A78" s="44"/>
      <c r="B78" s="10" t="str">
        <f>CONCATENATE("          ", "5527", " - ", "FREIGHT-IN-SCHOOL SUPPLIES")</f>
        <v xml:space="preserve">          5527 - FREIGHT-IN-SCHOOL SUPPLIES</v>
      </c>
      <c r="C78" s="10"/>
      <c r="D78" s="2"/>
      <c r="E78" s="2"/>
      <c r="F78" s="19">
        <f t="shared" si="13"/>
        <v>0</v>
      </c>
      <c r="G78" s="2"/>
      <c r="H78" s="2"/>
      <c r="I78" s="2"/>
      <c r="J78" s="19">
        <f t="shared" si="14"/>
        <v>0</v>
      </c>
      <c r="K78" s="2"/>
      <c r="L78" s="2">
        <f t="shared" si="15"/>
        <v>0</v>
      </c>
      <c r="M78" s="2"/>
      <c r="N78" s="19">
        <f t="shared" si="16"/>
        <v>0</v>
      </c>
      <c r="O78" s="10"/>
      <c r="P78" s="2"/>
      <c r="Q78" s="2"/>
      <c r="R78" s="19">
        <f t="shared" si="17"/>
        <v>0</v>
      </c>
      <c r="S78" s="2"/>
      <c r="T78" s="2">
        <v>2058.91</v>
      </c>
      <c r="U78" s="2"/>
      <c r="V78" s="19">
        <f t="shared" si="18"/>
        <v>2.527200320471355E-3</v>
      </c>
      <c r="W78" s="2"/>
      <c r="X78" s="2">
        <f t="shared" si="19"/>
        <v>-2058.91</v>
      </c>
      <c r="Y78" s="2"/>
      <c r="Z78" s="19">
        <f t="shared" si="20"/>
        <v>-1</v>
      </c>
    </row>
    <row r="79" spans="1:26" s="23" customFormat="1" hidden="1" outlineLevel="1" x14ac:dyDescent="0.25">
      <c r="A79" s="44"/>
      <c r="B79" s="10" t="str">
        <f>CONCATENATE("          ", "5528", " - ", "FREIGHT-IN-ART/TECH")</f>
        <v xml:space="preserve">          5528 - FREIGHT-IN-ART/TECH</v>
      </c>
      <c r="C79" s="10"/>
      <c r="D79" s="2">
        <v>19.489999999999998</v>
      </c>
      <c r="E79" s="2"/>
      <c r="F79" s="19">
        <f t="shared" si="13"/>
        <v>0</v>
      </c>
      <c r="G79" s="2"/>
      <c r="H79" s="2">
        <v>576.6</v>
      </c>
      <c r="I79" s="2"/>
      <c r="J79" s="19">
        <f t="shared" si="14"/>
        <v>0.18248221383902577</v>
      </c>
      <c r="K79" s="2"/>
      <c r="L79" s="2">
        <f t="shared" si="15"/>
        <v>-557.11</v>
      </c>
      <c r="M79" s="2"/>
      <c r="N79" s="19">
        <f t="shared" si="16"/>
        <v>-0.96619840443981964</v>
      </c>
      <c r="O79" s="10"/>
      <c r="P79" s="2">
        <v>367.52</v>
      </c>
      <c r="Q79" s="2"/>
      <c r="R79" s="19">
        <f t="shared" si="17"/>
        <v>1.7244809477513053E-2</v>
      </c>
      <c r="S79" s="2"/>
      <c r="T79" s="2">
        <v>2844.12</v>
      </c>
      <c r="U79" s="2"/>
      <c r="V79" s="19">
        <f t="shared" si="18"/>
        <v>3.4910029945257391E-3</v>
      </c>
      <c r="W79" s="2"/>
      <c r="X79" s="2">
        <f t="shared" si="19"/>
        <v>-2476.6</v>
      </c>
      <c r="Y79" s="2"/>
      <c r="Z79" s="19">
        <f t="shared" si="20"/>
        <v>-0.87077901073091146</v>
      </c>
    </row>
    <row r="80" spans="1:26" x14ac:dyDescent="0.25">
      <c r="A80" s="9"/>
      <c r="B80" s="11"/>
      <c r="C80" s="11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1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4" customFormat="1" x14ac:dyDescent="0.25">
      <c r="A81" s="11"/>
      <c r="B81" s="29" t="s">
        <v>107</v>
      </c>
      <c r="C81" s="29"/>
      <c r="D81" s="20">
        <f>D12-D55</f>
        <v>-19.489999999999998</v>
      </c>
      <c r="E81" s="14"/>
      <c r="F81" s="22">
        <f>IF(D$12=0,0,D81/D$12)</f>
        <v>0</v>
      </c>
      <c r="G81" s="14"/>
      <c r="H81" s="20">
        <f>H12-H55</f>
        <v>1588.0900000000001</v>
      </c>
      <c r="I81" s="14"/>
      <c r="J81" s="22">
        <f>IF(H$12=0,0,H81/H$12)</f>
        <v>0.50259829860495742</v>
      </c>
      <c r="K81" s="16"/>
      <c r="L81" s="20">
        <f>+D81-H81</f>
        <v>-1607.5800000000002</v>
      </c>
      <c r="M81" s="16"/>
      <c r="N81" s="22">
        <f>IF(H81=0,0,L81/H81)</f>
        <v>-1.0122726041974952</v>
      </c>
      <c r="O81" s="28"/>
      <c r="P81" s="20">
        <f>P12-P55</f>
        <v>7518.9300000000039</v>
      </c>
      <c r="Q81" s="14"/>
      <c r="R81" s="22">
        <f>IF(P$12=0,0,P81/P$12)</f>
        <v>0.35280397073562608</v>
      </c>
      <c r="S81" s="14"/>
      <c r="T81" s="20">
        <f>T12-T55</f>
        <v>406685.26000000007</v>
      </c>
      <c r="U81" s="14"/>
      <c r="V81" s="22">
        <f>IF(T$12=0,0,T81/T$12)</f>
        <v>0.49918409226385635</v>
      </c>
      <c r="W81" s="16"/>
      <c r="X81" s="20">
        <f>+P81-T81</f>
        <v>-399166.33000000007</v>
      </c>
      <c r="Y81" s="16"/>
      <c r="Z81" s="22">
        <f>IF(T81=0,0,X81/T81)</f>
        <v>-0.98151167317940169</v>
      </c>
    </row>
    <row r="82" spans="1:26" x14ac:dyDescent="0.25">
      <c r="A82" s="9"/>
      <c r="B82" s="11"/>
      <c r="C82" s="9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4" customFormat="1" x14ac:dyDescent="0.25">
      <c r="A83" s="11"/>
      <c r="B83" s="28" t="s">
        <v>294</v>
      </c>
      <c r="C83" s="11"/>
      <c r="D83" s="21">
        <f>SUM(OSRRefD22x_0)</f>
        <v>53</v>
      </c>
      <c r="E83" s="21"/>
      <c r="F83" s="31">
        <f t="shared" ref="F83:F93" si="21">IF(D$12=0,0,D83/D$12)</f>
        <v>0</v>
      </c>
      <c r="G83" s="21"/>
      <c r="H83" s="21">
        <f>SUM(OSRRefH22x_0)</f>
        <v>7372.78</v>
      </c>
      <c r="I83" s="21"/>
      <c r="J83" s="31">
        <f t="shared" ref="J83:J93" si="22">IF(H$12=0,0,H83/H$12)</f>
        <v>2.3333354431982176</v>
      </c>
      <c r="K83" s="4"/>
      <c r="L83" s="21">
        <f t="shared" ref="L83:L93" si="23">+D83-H83</f>
        <v>-7319.78</v>
      </c>
      <c r="M83" s="4"/>
      <c r="N83" s="31">
        <f t="shared" ref="N83:N93" si="24">IF(H83=0,0,L83/H83)</f>
        <v>-0.99281139543021768</v>
      </c>
      <c r="O83" s="11"/>
      <c r="P83" s="21">
        <f>SUM(OSRRefP22x_0)</f>
        <v>12700.859999999997</v>
      </c>
      <c r="Q83" s="21"/>
      <c r="R83" s="31">
        <f t="shared" ref="R83:R93" si="25">IF(P$12=0,0,P83/P$12)</f>
        <v>0.59595099831455811</v>
      </c>
      <c r="S83" s="21"/>
      <c r="T83" s="21">
        <f>SUM(OSRRefT22x_0)</f>
        <v>208060.11999999991</v>
      </c>
      <c r="U83" s="21"/>
      <c r="V83" s="31">
        <f t="shared" ref="V83:V93" si="26">IF(T$12=0,0,T83/T$12)</f>
        <v>0.25538250916325062</v>
      </c>
      <c r="W83" s="4"/>
      <c r="X83" s="21">
        <f t="shared" ref="X83:X93" si="27">+P83-T83</f>
        <v>-195359.25999999992</v>
      </c>
      <c r="Y83" s="4"/>
      <c r="Z83" s="31">
        <f t="shared" ref="Z83:Z93" si="28">IF(T83=0,0,X83/T83)</f>
        <v>-0.93895581719360732</v>
      </c>
    </row>
    <row r="84" spans="1:26" s="26" customFormat="1" outlineLevel="1" collapsed="1" x14ac:dyDescent="0.25">
      <c r="A84" s="25"/>
      <c r="B84" s="12" t="str">
        <f>CONCATENATE("     ","*Benefits                                         ")</f>
        <v xml:space="preserve">     *Benefits                                         </v>
      </c>
      <c r="C84" s="12"/>
      <c r="D84" s="1">
        <f>SUM(OSRRefD22_0x_0)</f>
        <v>0</v>
      </c>
      <c r="E84" s="1"/>
      <c r="F84" s="5">
        <f t="shared" si="21"/>
        <v>0</v>
      </c>
      <c r="G84" s="1"/>
      <c r="H84" s="1">
        <f>SUM(OSRRefH22_0x_0)</f>
        <v>3216.9900000000002</v>
      </c>
      <c r="I84" s="1"/>
      <c r="J84" s="5">
        <f t="shared" si="22"/>
        <v>1.0181121350988684</v>
      </c>
      <c r="K84" s="1"/>
      <c r="L84" s="1">
        <f t="shared" si="23"/>
        <v>-3216.9900000000002</v>
      </c>
      <c r="M84" s="1"/>
      <c r="N84" s="5">
        <f t="shared" si="24"/>
        <v>-1</v>
      </c>
      <c r="O84" s="12"/>
      <c r="P84" s="1">
        <f>SUM(OSRRefP22_0x_0)</f>
        <v>778.2</v>
      </c>
      <c r="Q84" s="1"/>
      <c r="R84" s="5">
        <f t="shared" si="25"/>
        <v>3.6514776707119778E-2</v>
      </c>
      <c r="S84" s="1"/>
      <c r="T84" s="1">
        <f>SUM(OSRRefT22_0x_0)</f>
        <v>30718.089999999997</v>
      </c>
      <c r="U84" s="1"/>
      <c r="V84" s="5">
        <f t="shared" si="26"/>
        <v>3.7704788889396774E-2</v>
      </c>
      <c r="W84" s="1"/>
      <c r="X84" s="1">
        <f t="shared" si="27"/>
        <v>-29939.889999999996</v>
      </c>
      <c r="Y84" s="1"/>
      <c r="Z84" s="5">
        <f t="shared" si="28"/>
        <v>-0.97466639364621954</v>
      </c>
    </row>
    <row r="85" spans="1:26" s="23" customFormat="1" hidden="1" outlineLevel="2" x14ac:dyDescent="0.25">
      <c r="A85" s="27"/>
      <c r="B85" s="10" t="str">
        <f>CONCATENATE("          ", "6111", " - ", "F.I.C.A.")</f>
        <v xml:space="preserve">          6111 - F.I.C.A.</v>
      </c>
      <c r="C85" s="10"/>
      <c r="D85" s="6"/>
      <c r="E85" s="2"/>
      <c r="F85" s="7">
        <f t="shared" si="21"/>
        <v>0</v>
      </c>
      <c r="G85" s="2"/>
      <c r="H85" s="6">
        <v>477.36</v>
      </c>
      <c r="I85" s="2"/>
      <c r="J85" s="7">
        <f t="shared" si="22"/>
        <v>0.15107476517203841</v>
      </c>
      <c r="K85" s="2"/>
      <c r="L85" s="6">
        <f t="shared" si="23"/>
        <v>-477.36</v>
      </c>
      <c r="M85" s="2"/>
      <c r="N85" s="7">
        <f t="shared" si="24"/>
        <v>-1</v>
      </c>
      <c r="O85" s="10"/>
      <c r="P85" s="6">
        <v>484.61</v>
      </c>
      <c r="Q85" s="2"/>
      <c r="R85" s="7">
        <f t="shared" si="25"/>
        <v>2.2738917938881154E-2</v>
      </c>
      <c r="S85" s="2"/>
      <c r="T85" s="6">
        <v>5792.59</v>
      </c>
      <c r="U85" s="2"/>
      <c r="V85" s="7">
        <f t="shared" si="26"/>
        <v>7.1100899526250136E-3</v>
      </c>
      <c r="W85" s="2"/>
      <c r="X85" s="6">
        <f t="shared" si="27"/>
        <v>-5307.9800000000005</v>
      </c>
      <c r="Y85" s="2"/>
      <c r="Z85" s="7">
        <f t="shared" si="28"/>
        <v>-0.91633966843847059</v>
      </c>
    </row>
    <row r="86" spans="1:26" s="23" customFormat="1" hidden="1" outlineLevel="2" x14ac:dyDescent="0.25">
      <c r="A86" s="27"/>
      <c r="B86" s="10" t="str">
        <f>CONCATENATE("          ", "6112", " - ", "COMPENSATION INSURANCE")</f>
        <v xml:space="preserve">          6112 - COMPENSATION INSURANCE</v>
      </c>
      <c r="C86" s="10"/>
      <c r="D86" s="6"/>
      <c r="E86" s="2"/>
      <c r="F86" s="7">
        <f t="shared" si="21"/>
        <v>0</v>
      </c>
      <c r="G86" s="2"/>
      <c r="H86" s="6">
        <v>79.040000000000006</v>
      </c>
      <c r="I86" s="2"/>
      <c r="J86" s="7">
        <f t="shared" si="22"/>
        <v>2.5014558067701347E-2</v>
      </c>
      <c r="K86" s="2"/>
      <c r="L86" s="6">
        <f t="shared" si="23"/>
        <v>-79.040000000000006</v>
      </c>
      <c r="M86" s="2"/>
      <c r="N86" s="7">
        <f t="shared" si="24"/>
        <v>-1</v>
      </c>
      <c r="O86" s="10"/>
      <c r="P86" s="6">
        <v>255.57</v>
      </c>
      <c r="Q86" s="2"/>
      <c r="R86" s="7">
        <f t="shared" si="25"/>
        <v>1.1991880600152403E-2</v>
      </c>
      <c r="S86" s="2"/>
      <c r="T86" s="6">
        <v>2637.43</v>
      </c>
      <c r="U86" s="2"/>
      <c r="V86" s="7">
        <f t="shared" si="26"/>
        <v>3.2373022333277148E-3</v>
      </c>
      <c r="W86" s="2"/>
      <c r="X86" s="6">
        <f t="shared" si="27"/>
        <v>-2381.8599999999997</v>
      </c>
      <c r="Y86" s="2"/>
      <c r="Z86" s="7">
        <f t="shared" si="28"/>
        <v>-0.9030988500168724</v>
      </c>
    </row>
    <row r="87" spans="1:26" s="23" customFormat="1" hidden="1" outlineLevel="2" x14ac:dyDescent="0.25">
      <c r="A87" s="27"/>
      <c r="B87" s="10" t="str">
        <f>CONCATENATE("          ", "6113", " - ", "GROUP INSURANCE")</f>
        <v xml:space="preserve">          6113 - GROUP INSURANCE</v>
      </c>
      <c r="C87" s="10"/>
      <c r="D87" s="6"/>
      <c r="E87" s="2"/>
      <c r="F87" s="7">
        <f t="shared" si="21"/>
        <v>0</v>
      </c>
      <c r="G87" s="2"/>
      <c r="H87" s="6">
        <v>1362.23</v>
      </c>
      <c r="I87" s="2"/>
      <c r="J87" s="7">
        <f t="shared" si="22"/>
        <v>0.43111818619135633</v>
      </c>
      <c r="K87" s="2"/>
      <c r="L87" s="6">
        <f t="shared" si="23"/>
        <v>-1362.23</v>
      </c>
      <c r="M87" s="2"/>
      <c r="N87" s="7">
        <f t="shared" si="24"/>
        <v>-1</v>
      </c>
      <c r="O87" s="10"/>
      <c r="P87" s="6">
        <v>0</v>
      </c>
      <c r="Q87" s="2"/>
      <c r="R87" s="7">
        <f t="shared" si="25"/>
        <v>0</v>
      </c>
      <c r="S87" s="2"/>
      <c r="T87" s="6">
        <v>18163.82</v>
      </c>
      <c r="U87" s="2"/>
      <c r="V87" s="7">
        <f t="shared" si="26"/>
        <v>2.2295103586355891E-2</v>
      </c>
      <c r="W87" s="2"/>
      <c r="X87" s="6">
        <f t="shared" si="27"/>
        <v>-18163.82</v>
      </c>
      <c r="Y87" s="2"/>
      <c r="Z87" s="7">
        <f t="shared" si="28"/>
        <v>-1</v>
      </c>
    </row>
    <row r="88" spans="1:26" s="23" customFormat="1" hidden="1" outlineLevel="2" x14ac:dyDescent="0.25">
      <c r="A88" s="27"/>
      <c r="B88" s="10" t="str">
        <f>CONCATENATE("          ", "6114", " - ", "STATE UNEMPLOYMENT INSURANCE")</f>
        <v xml:space="preserve">          6114 - STATE UNEMPLOYMENT INSURANCE</v>
      </c>
      <c r="C88" s="10"/>
      <c r="D88" s="6"/>
      <c r="E88" s="2"/>
      <c r="F88" s="7">
        <f t="shared" si="21"/>
        <v>0</v>
      </c>
      <c r="G88" s="2"/>
      <c r="H88" s="6">
        <v>10.82</v>
      </c>
      <c r="I88" s="2"/>
      <c r="J88" s="7">
        <f t="shared" si="22"/>
        <v>3.424310707142315E-3</v>
      </c>
      <c r="K88" s="2"/>
      <c r="L88" s="6">
        <f t="shared" si="23"/>
        <v>-10.82</v>
      </c>
      <c r="M88" s="2"/>
      <c r="N88" s="7">
        <f t="shared" si="24"/>
        <v>-1</v>
      </c>
      <c r="O88" s="10"/>
      <c r="P88" s="6">
        <v>38.020000000000003</v>
      </c>
      <c r="Q88" s="2"/>
      <c r="R88" s="7">
        <f t="shared" si="25"/>
        <v>1.7839781680862169E-3</v>
      </c>
      <c r="S88" s="2"/>
      <c r="T88" s="6">
        <v>402.89</v>
      </c>
      <c r="U88" s="2"/>
      <c r="V88" s="7">
        <f t="shared" si="26"/>
        <v>4.9452561652267666E-4</v>
      </c>
      <c r="W88" s="2"/>
      <c r="X88" s="6">
        <f t="shared" si="27"/>
        <v>-364.87</v>
      </c>
      <c r="Y88" s="2"/>
      <c r="Z88" s="7">
        <f t="shared" si="28"/>
        <v>-0.90563181017151084</v>
      </c>
    </row>
    <row r="89" spans="1:26" s="23" customFormat="1" hidden="1" outlineLevel="2" x14ac:dyDescent="0.25">
      <c r="A89" s="27"/>
      <c r="B89" s="10" t="str">
        <f>CONCATENATE("          ", "6115", " - ", "P.E.R.S.")</f>
        <v xml:space="preserve">          6115 - P.E.R.S.</v>
      </c>
      <c r="C89" s="10"/>
      <c r="D89" s="6"/>
      <c r="E89" s="2"/>
      <c r="F89" s="7">
        <f t="shared" si="21"/>
        <v>0</v>
      </c>
      <c r="G89" s="2"/>
      <c r="H89" s="6">
        <v>425.19</v>
      </c>
      <c r="I89" s="2"/>
      <c r="J89" s="7">
        <f t="shared" si="22"/>
        <v>0.13456401752031802</v>
      </c>
      <c r="K89" s="2"/>
      <c r="L89" s="6">
        <f t="shared" si="23"/>
        <v>-425.19</v>
      </c>
      <c r="M89" s="2"/>
      <c r="N89" s="7">
        <f t="shared" si="24"/>
        <v>-1</v>
      </c>
      <c r="O89" s="10"/>
      <c r="P89" s="6"/>
      <c r="Q89" s="2"/>
      <c r="R89" s="7">
        <f t="shared" si="25"/>
        <v>0</v>
      </c>
      <c r="S89" s="2"/>
      <c r="T89" s="6">
        <v>4202.03</v>
      </c>
      <c r="U89" s="2"/>
      <c r="V89" s="7">
        <f t="shared" si="26"/>
        <v>5.1577638471959663E-3</v>
      </c>
      <c r="W89" s="2"/>
      <c r="X89" s="6">
        <f t="shared" si="27"/>
        <v>-4202.03</v>
      </c>
      <c r="Y89" s="2"/>
      <c r="Z89" s="7">
        <f t="shared" si="28"/>
        <v>-1</v>
      </c>
    </row>
    <row r="90" spans="1:26" s="23" customFormat="1" hidden="1" outlineLevel="2" x14ac:dyDescent="0.25">
      <c r="A90" s="27"/>
      <c r="B90" s="10" t="str">
        <f>CONCATENATE("          ", "6117", " - ", "RETIREMENT STAFF HOURLY")</f>
        <v xml:space="preserve">          6117 - RETIREMENT STAFF HOURLY</v>
      </c>
      <c r="C90" s="10"/>
      <c r="D90" s="6"/>
      <c r="E90" s="2"/>
      <c r="F90" s="7">
        <f t="shared" si="21"/>
        <v>0</v>
      </c>
      <c r="G90" s="2"/>
      <c r="H90" s="6">
        <v>46.65</v>
      </c>
      <c r="I90" s="2"/>
      <c r="J90" s="7">
        <f t="shared" si="22"/>
        <v>1.4763779527559055E-2</v>
      </c>
      <c r="K90" s="2"/>
      <c r="L90" s="6">
        <f t="shared" si="23"/>
        <v>-46.65</v>
      </c>
      <c r="M90" s="2"/>
      <c r="N90" s="7">
        <f t="shared" si="24"/>
        <v>-1</v>
      </c>
      <c r="O90" s="10"/>
      <c r="P90" s="6">
        <v>0</v>
      </c>
      <c r="Q90" s="2"/>
      <c r="R90" s="7">
        <f t="shared" si="25"/>
        <v>0</v>
      </c>
      <c r="S90" s="2"/>
      <c r="T90" s="6">
        <v>46.65</v>
      </c>
      <c r="U90" s="2"/>
      <c r="V90" s="7">
        <f t="shared" si="26"/>
        <v>5.7260344041259068E-5</v>
      </c>
      <c r="W90" s="2"/>
      <c r="X90" s="6">
        <f t="shared" si="27"/>
        <v>-46.65</v>
      </c>
      <c r="Y90" s="2"/>
      <c r="Z90" s="7">
        <f t="shared" si="28"/>
        <v>-1</v>
      </c>
    </row>
    <row r="91" spans="1:26" s="23" customFormat="1" hidden="1" outlineLevel="2" x14ac:dyDescent="0.25">
      <c r="A91" s="27"/>
      <c r="B91" s="10" t="str">
        <f>CONCATENATE("          ", "6118", " - ", "VACATION")</f>
        <v xml:space="preserve">          6118 - VACATION</v>
      </c>
      <c r="C91" s="10"/>
      <c r="D91" s="6"/>
      <c r="E91" s="2"/>
      <c r="F91" s="7">
        <f t="shared" si="21"/>
        <v>0</v>
      </c>
      <c r="G91" s="2"/>
      <c r="H91" s="6">
        <v>503.88</v>
      </c>
      <c r="I91" s="2"/>
      <c r="J91" s="7">
        <f t="shared" si="22"/>
        <v>0.15946780768159607</v>
      </c>
      <c r="K91" s="2"/>
      <c r="L91" s="6">
        <f t="shared" si="23"/>
        <v>-503.88</v>
      </c>
      <c r="M91" s="2"/>
      <c r="N91" s="7">
        <f t="shared" si="24"/>
        <v>-1</v>
      </c>
      <c r="O91" s="10"/>
      <c r="P91" s="6"/>
      <c r="Q91" s="2"/>
      <c r="R91" s="7">
        <f t="shared" si="25"/>
        <v>0</v>
      </c>
      <c r="S91" s="2"/>
      <c r="T91" s="6">
        <v>3764.48</v>
      </c>
      <c r="U91" s="2"/>
      <c r="V91" s="7">
        <f t="shared" si="26"/>
        <v>4.6206949611240934E-3</v>
      </c>
      <c r="W91" s="2"/>
      <c r="X91" s="6">
        <f t="shared" si="27"/>
        <v>-3764.48</v>
      </c>
      <c r="Y91" s="2"/>
      <c r="Z91" s="7">
        <f t="shared" si="28"/>
        <v>-1</v>
      </c>
    </row>
    <row r="92" spans="1:26" s="23" customFormat="1" hidden="1" outlineLevel="2" x14ac:dyDescent="0.25">
      <c r="A92" s="27"/>
      <c r="B92" s="10" t="str">
        <f>CONCATENATE("          ", "6119", " - ", "SICK LEAVE")</f>
        <v xml:space="preserve">          6119 - SICK LEAVE</v>
      </c>
      <c r="C92" s="10"/>
      <c r="D92" s="6"/>
      <c r="E92" s="2"/>
      <c r="F92" s="7">
        <f t="shared" si="21"/>
        <v>0</v>
      </c>
      <c r="G92" s="2"/>
      <c r="H92" s="6">
        <v>287.82</v>
      </c>
      <c r="I92" s="2"/>
      <c r="J92" s="7">
        <f t="shared" si="22"/>
        <v>9.1089196647846676E-2</v>
      </c>
      <c r="K92" s="2"/>
      <c r="L92" s="6">
        <f t="shared" si="23"/>
        <v>-287.82</v>
      </c>
      <c r="M92" s="2"/>
      <c r="N92" s="7">
        <f t="shared" si="24"/>
        <v>-1</v>
      </c>
      <c r="O92" s="10"/>
      <c r="P92" s="6"/>
      <c r="Q92" s="2"/>
      <c r="R92" s="7">
        <f t="shared" si="25"/>
        <v>0</v>
      </c>
      <c r="S92" s="2"/>
      <c r="T92" s="6">
        <v>-5981.9</v>
      </c>
      <c r="U92" s="2"/>
      <c r="V92" s="7">
        <f t="shared" si="26"/>
        <v>-7.3424577067611489E-3</v>
      </c>
      <c r="W92" s="2"/>
      <c r="X92" s="6">
        <f t="shared" si="27"/>
        <v>5981.9</v>
      </c>
      <c r="Y92" s="2"/>
      <c r="Z92" s="7">
        <f t="shared" si="28"/>
        <v>-1</v>
      </c>
    </row>
    <row r="93" spans="1:26" s="23" customFormat="1" hidden="1" outlineLevel="2" x14ac:dyDescent="0.25">
      <c r="A93" s="27"/>
      <c r="B93" s="10" t="str">
        <f>CONCATENATE("          ", "6156", " - ", "EMPLOYEE MEALS")</f>
        <v xml:space="preserve">          6156 - EMPLOYEE MEALS</v>
      </c>
      <c r="C93" s="10"/>
      <c r="D93" s="6"/>
      <c r="E93" s="2"/>
      <c r="F93" s="7">
        <f t="shared" si="21"/>
        <v>0</v>
      </c>
      <c r="G93" s="2"/>
      <c r="H93" s="6">
        <v>24</v>
      </c>
      <c r="I93" s="2"/>
      <c r="J93" s="7">
        <f t="shared" si="22"/>
        <v>7.5955135833101258E-3</v>
      </c>
      <c r="K93" s="2"/>
      <c r="L93" s="6">
        <f t="shared" si="23"/>
        <v>-24</v>
      </c>
      <c r="M93" s="2"/>
      <c r="N93" s="7">
        <f t="shared" si="24"/>
        <v>-1</v>
      </c>
      <c r="O93" s="10"/>
      <c r="P93" s="6"/>
      <c r="Q93" s="2"/>
      <c r="R93" s="7">
        <f t="shared" si="25"/>
        <v>0</v>
      </c>
      <c r="S93" s="2"/>
      <c r="T93" s="6">
        <v>1690.1</v>
      </c>
      <c r="U93" s="2"/>
      <c r="V93" s="7">
        <f t="shared" si="26"/>
        <v>2.0745060549653151E-3</v>
      </c>
      <c r="W93" s="2"/>
      <c r="X93" s="6">
        <f t="shared" si="27"/>
        <v>-1690.1</v>
      </c>
      <c r="Y93" s="2"/>
      <c r="Z93" s="7">
        <f t="shared" si="28"/>
        <v>-1</v>
      </c>
    </row>
    <row r="94" spans="1:26" s="26" customFormat="1" outlineLevel="1" collapsed="1" x14ac:dyDescent="0.25">
      <c r="A94" s="25"/>
      <c r="B94" s="12" t="str">
        <f>CONCATENATE("     ","*Payroll                                          ")</f>
        <v xml:space="preserve">     *Payroll                                          </v>
      </c>
      <c r="C94" s="12"/>
      <c r="D94" s="1">
        <f>SUM(OSRRefD22_1x_0)</f>
        <v>0</v>
      </c>
      <c r="E94" s="1"/>
      <c r="F94" s="5">
        <f t="shared" ref="F94:F99" si="29">IF(D$12=0,0,D94/D$12)</f>
        <v>0</v>
      </c>
      <c r="G94" s="1"/>
      <c r="H94" s="1">
        <f>SUM(OSRRefH22_1x_0)</f>
        <v>3328</v>
      </c>
      <c r="I94" s="1"/>
      <c r="J94" s="5">
        <f t="shared" ref="J94:J99" si="30">IF(H$12=0,0,H94/H$12)</f>
        <v>1.053244550219004</v>
      </c>
      <c r="K94" s="1"/>
      <c r="L94" s="1">
        <f t="shared" ref="L94:L99" si="31">+D94-H94</f>
        <v>-3328</v>
      </c>
      <c r="M94" s="1"/>
      <c r="N94" s="5">
        <f t="shared" ref="N94:N99" si="32">IF(H94=0,0,L94/H94)</f>
        <v>-1</v>
      </c>
      <c r="O94" s="12"/>
      <c r="P94" s="1">
        <f>SUM(OSRRefP22_1x_0)</f>
        <v>8152.5399999999991</v>
      </c>
      <c r="Q94" s="1"/>
      <c r="R94" s="5">
        <f t="shared" ref="R94:R99" si="33">IF(P$12=0,0,P94/P$12)</f>
        <v>0.38253428128483963</v>
      </c>
      <c r="S94" s="1"/>
      <c r="T94" s="1">
        <f>SUM(OSRRefT22_1x_0)</f>
        <v>149073.27000000002</v>
      </c>
      <c r="U94" s="1"/>
      <c r="V94" s="5">
        <f t="shared" ref="V94:V99" si="34">IF(T$12=0,0,T94/T$12)</f>
        <v>0.1829793510730012</v>
      </c>
      <c r="W94" s="1"/>
      <c r="X94" s="1">
        <f t="shared" ref="X94:X99" si="35">+P94-T94</f>
        <v>-140920.73000000001</v>
      </c>
      <c r="Y94" s="1"/>
      <c r="Z94" s="5">
        <f t="shared" ref="Z94:Z99" si="36">IF(T94=0,0,X94/T94)</f>
        <v>-0.94531185906098381</v>
      </c>
    </row>
    <row r="95" spans="1:26" s="23" customFormat="1" hidden="1" outlineLevel="2" x14ac:dyDescent="0.25">
      <c r="A95" s="27"/>
      <c r="B95" s="10" t="str">
        <f>CONCATENATE("          ", "6002", " - ", "STAFF SALARIES")</f>
        <v xml:space="preserve">          6002 - STAFF SALARIES</v>
      </c>
      <c r="C95" s="10"/>
      <c r="D95" s="6"/>
      <c r="E95" s="2"/>
      <c r="F95" s="7">
        <f t="shared" si="29"/>
        <v>0</v>
      </c>
      <c r="G95" s="2"/>
      <c r="H95" s="6">
        <v>3328</v>
      </c>
      <c r="I95" s="2"/>
      <c r="J95" s="7">
        <f t="shared" si="30"/>
        <v>1.053244550219004</v>
      </c>
      <c r="K95" s="2"/>
      <c r="L95" s="6">
        <f t="shared" si="31"/>
        <v>-3328</v>
      </c>
      <c r="M95" s="2"/>
      <c r="N95" s="7">
        <f t="shared" si="32"/>
        <v>-1</v>
      </c>
      <c r="O95" s="10"/>
      <c r="P95" s="6"/>
      <c r="Q95" s="2"/>
      <c r="R95" s="7">
        <f t="shared" si="33"/>
        <v>0</v>
      </c>
      <c r="S95" s="2"/>
      <c r="T95" s="6">
        <v>51791.82</v>
      </c>
      <c r="U95" s="2"/>
      <c r="V95" s="7">
        <f t="shared" si="34"/>
        <v>6.357164912589415E-2</v>
      </c>
      <c r="W95" s="2"/>
      <c r="X95" s="6">
        <f t="shared" si="35"/>
        <v>-51791.82</v>
      </c>
      <c r="Y95" s="2"/>
      <c r="Z95" s="7">
        <f t="shared" si="36"/>
        <v>-1</v>
      </c>
    </row>
    <row r="96" spans="1:26" s="23" customFormat="1" hidden="1" outlineLevel="2" x14ac:dyDescent="0.25">
      <c r="A96" s="27"/>
      <c r="B96" s="10" t="str">
        <f>CONCATENATE("          ", "6004", " - ", "STAFF HOURLY")</f>
        <v xml:space="preserve">          6004 - STAFF HOURLY</v>
      </c>
      <c r="C96" s="10"/>
      <c r="D96" s="6"/>
      <c r="E96" s="2"/>
      <c r="F96" s="7">
        <f t="shared" si="29"/>
        <v>0</v>
      </c>
      <c r="G96" s="2"/>
      <c r="H96" s="6"/>
      <c r="I96" s="2"/>
      <c r="J96" s="7">
        <f t="shared" si="30"/>
        <v>0</v>
      </c>
      <c r="K96" s="2"/>
      <c r="L96" s="6">
        <f t="shared" si="31"/>
        <v>0</v>
      </c>
      <c r="M96" s="2"/>
      <c r="N96" s="7">
        <f t="shared" si="32"/>
        <v>0</v>
      </c>
      <c r="O96" s="10"/>
      <c r="P96" s="6"/>
      <c r="Q96" s="2"/>
      <c r="R96" s="7">
        <f t="shared" si="33"/>
        <v>0</v>
      </c>
      <c r="S96" s="2"/>
      <c r="T96" s="6">
        <v>-48</v>
      </c>
      <c r="U96" s="2"/>
      <c r="V96" s="7">
        <f t="shared" si="34"/>
        <v>-5.8917395798080073E-5</v>
      </c>
      <c r="W96" s="2"/>
      <c r="X96" s="6">
        <f t="shared" si="35"/>
        <v>48</v>
      </c>
      <c r="Y96" s="2"/>
      <c r="Z96" s="7">
        <f t="shared" si="36"/>
        <v>-1</v>
      </c>
    </row>
    <row r="97" spans="1:26" s="23" customFormat="1" hidden="1" outlineLevel="2" x14ac:dyDescent="0.25">
      <c r="A97" s="27"/>
      <c r="B97" s="10" t="str">
        <f>CONCATENATE("          ", "6005", " - ", "TEMPORARY WAGES-HOURLY")</f>
        <v xml:space="preserve">          6005 - TEMPORARY WAGES-HOURLY</v>
      </c>
      <c r="C97" s="10"/>
      <c r="D97" s="6"/>
      <c r="E97" s="2"/>
      <c r="F97" s="7">
        <f t="shared" si="29"/>
        <v>0</v>
      </c>
      <c r="G97" s="2"/>
      <c r="H97" s="6"/>
      <c r="I97" s="2"/>
      <c r="J97" s="7">
        <f t="shared" si="30"/>
        <v>0</v>
      </c>
      <c r="K97" s="2"/>
      <c r="L97" s="6">
        <f t="shared" si="31"/>
        <v>0</v>
      </c>
      <c r="M97" s="2"/>
      <c r="N97" s="7">
        <f t="shared" si="32"/>
        <v>0</v>
      </c>
      <c r="O97" s="10"/>
      <c r="P97" s="6">
        <v>5379.19</v>
      </c>
      <c r="Q97" s="2"/>
      <c r="R97" s="7">
        <f t="shared" si="33"/>
        <v>0.25240288064144384</v>
      </c>
      <c r="S97" s="2"/>
      <c r="T97" s="6">
        <v>7121.65</v>
      </c>
      <c r="U97" s="2"/>
      <c r="V97" s="7">
        <f t="shared" si="34"/>
        <v>8.7414389955291025E-3</v>
      </c>
      <c r="W97" s="2"/>
      <c r="X97" s="6">
        <f t="shared" si="35"/>
        <v>-1742.46</v>
      </c>
      <c r="Y97" s="2"/>
      <c r="Z97" s="7">
        <f t="shared" si="36"/>
        <v>-0.24467082768740392</v>
      </c>
    </row>
    <row r="98" spans="1:26" s="23" customFormat="1" hidden="1" outlineLevel="2" x14ac:dyDescent="0.25">
      <c r="A98" s="27"/>
      <c r="B98" s="10" t="str">
        <f>CONCATENATE("          ", "6006", " - ", "TEMPORARY PART TIME")</f>
        <v xml:space="preserve">          6006 - TEMPORARY PART TIME</v>
      </c>
      <c r="C98" s="10"/>
      <c r="D98" s="6"/>
      <c r="E98" s="2"/>
      <c r="F98" s="7">
        <f t="shared" si="29"/>
        <v>0</v>
      </c>
      <c r="G98" s="2"/>
      <c r="H98" s="6"/>
      <c r="I98" s="2"/>
      <c r="J98" s="7">
        <f t="shared" si="30"/>
        <v>0</v>
      </c>
      <c r="K98" s="2"/>
      <c r="L98" s="6">
        <f t="shared" si="31"/>
        <v>0</v>
      </c>
      <c r="M98" s="2"/>
      <c r="N98" s="7">
        <f t="shared" si="32"/>
        <v>0</v>
      </c>
      <c r="O98" s="10"/>
      <c r="P98" s="6"/>
      <c r="Q98" s="2"/>
      <c r="R98" s="7">
        <f t="shared" si="33"/>
        <v>0</v>
      </c>
      <c r="S98" s="2"/>
      <c r="T98" s="6">
        <v>25.5</v>
      </c>
      <c r="U98" s="2"/>
      <c r="V98" s="7">
        <f t="shared" si="34"/>
        <v>3.1299866517730039E-5</v>
      </c>
      <c r="W98" s="2"/>
      <c r="X98" s="6">
        <f t="shared" si="35"/>
        <v>-25.5</v>
      </c>
      <c r="Y98" s="2"/>
      <c r="Z98" s="7">
        <f t="shared" si="36"/>
        <v>-1</v>
      </c>
    </row>
    <row r="99" spans="1:26" s="23" customFormat="1" hidden="1" outlineLevel="2" x14ac:dyDescent="0.25">
      <c r="A99" s="27"/>
      <c r="B99" s="10" t="str">
        <f>CONCATENATE("          ", "6007", " - ", "STUDENT HOURLY")</f>
        <v xml:space="preserve">          6007 - STUDENT HOURLY</v>
      </c>
      <c r="C99" s="10"/>
      <c r="D99" s="6"/>
      <c r="E99" s="2"/>
      <c r="F99" s="7">
        <f t="shared" si="29"/>
        <v>0</v>
      </c>
      <c r="G99" s="2"/>
      <c r="H99" s="6"/>
      <c r="I99" s="2"/>
      <c r="J99" s="7">
        <f t="shared" si="30"/>
        <v>0</v>
      </c>
      <c r="K99" s="2"/>
      <c r="L99" s="6">
        <f t="shared" si="31"/>
        <v>0</v>
      </c>
      <c r="M99" s="2"/>
      <c r="N99" s="7">
        <f t="shared" si="32"/>
        <v>0</v>
      </c>
      <c r="O99" s="10"/>
      <c r="P99" s="6">
        <v>2773.35</v>
      </c>
      <c r="Q99" s="2"/>
      <c r="R99" s="7">
        <f t="shared" si="33"/>
        <v>0.13013140064339582</v>
      </c>
      <c r="S99" s="2"/>
      <c r="T99" s="6">
        <v>90182.3</v>
      </c>
      <c r="U99" s="2"/>
      <c r="V99" s="7">
        <f t="shared" si="34"/>
        <v>0.11069388048085826</v>
      </c>
      <c r="W99" s="2"/>
      <c r="X99" s="6">
        <f t="shared" si="35"/>
        <v>-87408.95</v>
      </c>
      <c r="Y99" s="2"/>
      <c r="Z99" s="7">
        <f t="shared" si="36"/>
        <v>-0.96924729131991527</v>
      </c>
    </row>
    <row r="100" spans="1:26" s="26" customFormat="1" outlineLevel="1" collapsed="1" x14ac:dyDescent="0.25">
      <c r="A100" s="25"/>
      <c r="B100" s="12" t="str">
        <f>CONCATENATE("     ","Advertising/Promo                                 ")</f>
        <v xml:space="preserve">     Advertising/Promo                                 </v>
      </c>
      <c r="C100" s="12"/>
      <c r="D100" s="1">
        <f>SUM(OSRRefD22_2x_0)</f>
        <v>0</v>
      </c>
      <c r="E100" s="1"/>
      <c r="F100" s="5">
        <f t="shared" ref="F100:F106" si="37">IF(D$12=0,0,D100/D$12)</f>
        <v>0</v>
      </c>
      <c r="G100" s="1"/>
      <c r="H100" s="1">
        <f>SUM(OSRRefH22_2x_0)</f>
        <v>0</v>
      </c>
      <c r="I100" s="1"/>
      <c r="J100" s="5">
        <f t="shared" ref="J100:J106" si="38">IF(H$12=0,0,H100/H$12)</f>
        <v>0</v>
      </c>
      <c r="K100" s="1"/>
      <c r="L100" s="1">
        <f t="shared" ref="L100:L106" si="39">+D100-H100</f>
        <v>0</v>
      </c>
      <c r="M100" s="1"/>
      <c r="N100" s="5">
        <f t="shared" ref="N100:N106" si="40">IF(H100=0,0,L100/H100)</f>
        <v>0</v>
      </c>
      <c r="O100" s="12"/>
      <c r="P100" s="1">
        <f>SUM(OSRRefP22_2x_0)</f>
        <v>124.72</v>
      </c>
      <c r="Q100" s="1"/>
      <c r="R100" s="5">
        <f t="shared" ref="R100:R106" si="41">IF(P$12=0,0,P100/P$12)</f>
        <v>5.8521240695347957E-3</v>
      </c>
      <c r="S100" s="1"/>
      <c r="T100" s="1">
        <f>SUM(OSRRefT22_2x_0)</f>
        <v>2145.38</v>
      </c>
      <c r="U100" s="1"/>
      <c r="V100" s="5">
        <f t="shared" ref="V100:V106" si="42">IF(T$12=0,0,T100/T$12)</f>
        <v>2.6333375541101049E-3</v>
      </c>
      <c r="W100" s="1"/>
      <c r="X100" s="1">
        <f t="shared" ref="X100:X106" si="43">+P100-T100</f>
        <v>-2020.66</v>
      </c>
      <c r="Y100" s="1"/>
      <c r="Z100" s="5">
        <f t="shared" ref="Z100:Z106" si="44">IF(T100=0,0,X100/T100)</f>
        <v>-0.94186577669224103</v>
      </c>
    </row>
    <row r="101" spans="1:26" s="23" customFormat="1" hidden="1" outlineLevel="2" x14ac:dyDescent="0.25">
      <c r="A101" s="27"/>
      <c r="B101" s="10" t="str">
        <f>CONCATENATE("          ", "6362", " - ", "ADVERTISING EXPENSE")</f>
        <v xml:space="preserve">          6362 - ADVERTISING EXPENSE</v>
      </c>
      <c r="C101" s="10"/>
      <c r="D101" s="6"/>
      <c r="E101" s="2"/>
      <c r="F101" s="7">
        <f t="shared" si="37"/>
        <v>0</v>
      </c>
      <c r="G101" s="2"/>
      <c r="H101" s="6"/>
      <c r="I101" s="2"/>
      <c r="J101" s="7">
        <f t="shared" si="38"/>
        <v>0</v>
      </c>
      <c r="K101" s="2"/>
      <c r="L101" s="6">
        <f t="shared" si="39"/>
        <v>0</v>
      </c>
      <c r="M101" s="2"/>
      <c r="N101" s="7">
        <f t="shared" si="40"/>
        <v>0</v>
      </c>
      <c r="O101" s="10"/>
      <c r="P101" s="6">
        <v>124.72</v>
      </c>
      <c r="Q101" s="2"/>
      <c r="R101" s="7">
        <f t="shared" si="41"/>
        <v>5.8521240695347957E-3</v>
      </c>
      <c r="S101" s="2"/>
      <c r="T101" s="6">
        <v>2145.38</v>
      </c>
      <c r="U101" s="2"/>
      <c r="V101" s="7">
        <f t="shared" si="42"/>
        <v>2.6333375541101049E-3</v>
      </c>
      <c r="W101" s="2"/>
      <c r="X101" s="6">
        <f t="shared" si="43"/>
        <v>-2020.66</v>
      </c>
      <c r="Y101" s="2"/>
      <c r="Z101" s="7">
        <f t="shared" si="44"/>
        <v>-0.94186577669224103</v>
      </c>
    </row>
    <row r="102" spans="1:26" s="26" customFormat="1" outlineLevel="1" collapsed="1" x14ac:dyDescent="0.25">
      <c r="A102" s="25"/>
      <c r="B102" s="12" t="str">
        <f>CONCATENATE("     ","Bad Debts/Over/Short                              ")</f>
        <v xml:space="preserve">     Bad Debts/Over/Short                              </v>
      </c>
      <c r="C102" s="12"/>
      <c r="D102" s="1">
        <f>SUM(OSRRefD22_3x_0)</f>
        <v>0</v>
      </c>
      <c r="E102" s="1"/>
      <c r="F102" s="5">
        <f t="shared" si="37"/>
        <v>0</v>
      </c>
      <c r="G102" s="1"/>
      <c r="H102" s="1">
        <f>SUM(OSRRefH22_3x_0)</f>
        <v>0</v>
      </c>
      <c r="I102" s="1"/>
      <c r="J102" s="5">
        <f t="shared" si="38"/>
        <v>0</v>
      </c>
      <c r="K102" s="1"/>
      <c r="L102" s="1">
        <f t="shared" si="39"/>
        <v>0</v>
      </c>
      <c r="M102" s="1"/>
      <c r="N102" s="5">
        <f t="shared" si="40"/>
        <v>0</v>
      </c>
      <c r="O102" s="12"/>
      <c r="P102" s="1">
        <f>SUM(OSRRefP22_3x_0)</f>
        <v>1.1000000000000001</v>
      </c>
      <c r="Q102" s="1"/>
      <c r="R102" s="5">
        <f t="shared" si="41"/>
        <v>5.1614307861516002E-5</v>
      </c>
      <c r="S102" s="1"/>
      <c r="T102" s="1">
        <f>SUM(OSRRefT22_3x_0)</f>
        <v>-55.84</v>
      </c>
      <c r="U102" s="1"/>
      <c r="V102" s="5">
        <f t="shared" si="42"/>
        <v>-6.8540570445099825E-5</v>
      </c>
      <c r="W102" s="1"/>
      <c r="X102" s="1">
        <f t="shared" si="43"/>
        <v>56.940000000000005</v>
      </c>
      <c r="Y102" s="1"/>
      <c r="Z102" s="5">
        <f t="shared" si="44"/>
        <v>-1.0196991404011462</v>
      </c>
    </row>
    <row r="103" spans="1:26" s="23" customFormat="1" hidden="1" outlineLevel="2" x14ac:dyDescent="0.25">
      <c r="A103" s="27"/>
      <c r="B103" s="10" t="str">
        <f>CONCATENATE("          ", "6272", " - ", "CASH (OVER/SHORT)")</f>
        <v xml:space="preserve">          6272 - CASH (OVER/SHORT)</v>
      </c>
      <c r="C103" s="10"/>
      <c r="D103" s="6"/>
      <c r="E103" s="2"/>
      <c r="F103" s="7">
        <f t="shared" si="37"/>
        <v>0</v>
      </c>
      <c r="G103" s="2"/>
      <c r="H103" s="6"/>
      <c r="I103" s="2"/>
      <c r="J103" s="7">
        <f t="shared" si="38"/>
        <v>0</v>
      </c>
      <c r="K103" s="2"/>
      <c r="L103" s="6">
        <f t="shared" si="39"/>
        <v>0</v>
      </c>
      <c r="M103" s="2"/>
      <c r="N103" s="7">
        <f t="shared" si="40"/>
        <v>0</v>
      </c>
      <c r="O103" s="10"/>
      <c r="P103" s="6">
        <v>1.1000000000000001</v>
      </c>
      <c r="Q103" s="2"/>
      <c r="R103" s="7">
        <f t="shared" si="41"/>
        <v>5.1614307861516002E-5</v>
      </c>
      <c r="S103" s="2"/>
      <c r="T103" s="6">
        <v>-55.84</v>
      </c>
      <c r="U103" s="2"/>
      <c r="V103" s="7">
        <f t="shared" si="42"/>
        <v>-6.8540570445099825E-5</v>
      </c>
      <c r="W103" s="2"/>
      <c r="X103" s="6">
        <f t="shared" si="43"/>
        <v>56.940000000000005</v>
      </c>
      <c r="Y103" s="2"/>
      <c r="Z103" s="7">
        <f t="shared" si="44"/>
        <v>-1.0196991404011462</v>
      </c>
    </row>
    <row r="104" spans="1:26" s="26" customFormat="1" outlineLevel="1" collapsed="1" x14ac:dyDescent="0.25">
      <c r="A104" s="25"/>
      <c r="B104" s="12" t="str">
        <f>CONCATENATE("     ","Discounts and Markdowns                           ")</f>
        <v xml:space="preserve">     Discounts and Markdowns                           </v>
      </c>
      <c r="C104" s="12"/>
      <c r="D104" s="1">
        <f>SUM(OSRRefD22_4x_0)</f>
        <v>0</v>
      </c>
      <c r="E104" s="1"/>
      <c r="F104" s="5">
        <f t="shared" si="37"/>
        <v>0</v>
      </c>
      <c r="G104" s="1"/>
      <c r="H104" s="1">
        <f>SUM(OSRRefH22_4x_0)</f>
        <v>425.01</v>
      </c>
      <c r="I104" s="1"/>
      <c r="J104" s="5">
        <f t="shared" si="38"/>
        <v>0.13450705116844319</v>
      </c>
      <c r="K104" s="1"/>
      <c r="L104" s="1">
        <f t="shared" si="39"/>
        <v>-425.01</v>
      </c>
      <c r="M104" s="1"/>
      <c r="N104" s="5">
        <f t="shared" si="40"/>
        <v>-1</v>
      </c>
      <c r="O104" s="12"/>
      <c r="P104" s="1">
        <f>SUM(OSRRefP22_4x_0)</f>
        <v>0</v>
      </c>
      <c r="Q104" s="1"/>
      <c r="R104" s="5">
        <f t="shared" si="41"/>
        <v>0</v>
      </c>
      <c r="S104" s="1"/>
      <c r="T104" s="1">
        <f>SUM(OSRRefT22_4x_0)</f>
        <v>19142.66</v>
      </c>
      <c r="U104" s="1"/>
      <c r="V104" s="5">
        <f t="shared" si="42"/>
        <v>2.3496576580168238E-2</v>
      </c>
      <c r="W104" s="1"/>
      <c r="X104" s="1">
        <f t="shared" si="43"/>
        <v>-19142.66</v>
      </c>
      <c r="Y104" s="1"/>
      <c r="Z104" s="5">
        <f t="shared" si="44"/>
        <v>-1</v>
      </c>
    </row>
    <row r="105" spans="1:26" s="23" customFormat="1" hidden="1" outlineLevel="2" x14ac:dyDescent="0.25">
      <c r="A105" s="27"/>
      <c r="B105" s="10" t="str">
        <f>CONCATENATE("          ", "6382", " - ", "DISCOUNTS/MARK DOWNS")</f>
        <v xml:space="preserve">          6382 - DISCOUNTS/MARK DOWNS</v>
      </c>
      <c r="C105" s="10"/>
      <c r="D105" s="6"/>
      <c r="E105" s="2"/>
      <c r="F105" s="7">
        <f t="shared" si="37"/>
        <v>0</v>
      </c>
      <c r="G105" s="2"/>
      <c r="H105" s="6">
        <v>425.01</v>
      </c>
      <c r="I105" s="2"/>
      <c r="J105" s="7">
        <f t="shared" si="38"/>
        <v>0.13450705116844319</v>
      </c>
      <c r="K105" s="2"/>
      <c r="L105" s="6">
        <f t="shared" si="39"/>
        <v>-425.01</v>
      </c>
      <c r="M105" s="2"/>
      <c r="N105" s="7">
        <f t="shared" si="40"/>
        <v>-1</v>
      </c>
      <c r="O105" s="10"/>
      <c r="P105" s="6">
        <v>0</v>
      </c>
      <c r="Q105" s="2"/>
      <c r="R105" s="7">
        <f t="shared" si="41"/>
        <v>0</v>
      </c>
      <c r="S105" s="2"/>
      <c r="T105" s="6">
        <v>19142.66</v>
      </c>
      <c r="U105" s="2"/>
      <c r="V105" s="7">
        <f t="shared" si="42"/>
        <v>2.3496576580168238E-2</v>
      </c>
      <c r="W105" s="2"/>
      <c r="X105" s="6">
        <f t="shared" si="43"/>
        <v>-19142.66</v>
      </c>
      <c r="Y105" s="2"/>
      <c r="Z105" s="7">
        <f t="shared" si="44"/>
        <v>-1</v>
      </c>
    </row>
    <row r="106" spans="1:26" s="23" customFormat="1" hidden="1" outlineLevel="2" x14ac:dyDescent="0.25">
      <c r="A106" s="27"/>
      <c r="B106" s="10" t="str">
        <f>CONCATENATE("          ", "9175", " - ", "EARNED DISCOUNTS")</f>
        <v xml:space="preserve">          9175 - EARNED DISCOUNTS</v>
      </c>
      <c r="C106" s="10"/>
      <c r="D106" s="6">
        <v>0</v>
      </c>
      <c r="E106" s="2"/>
      <c r="F106" s="7">
        <f t="shared" si="37"/>
        <v>0</v>
      </c>
      <c r="G106" s="2"/>
      <c r="H106" s="6">
        <v>0</v>
      </c>
      <c r="I106" s="2"/>
      <c r="J106" s="7">
        <f t="shared" si="38"/>
        <v>0</v>
      </c>
      <c r="K106" s="2"/>
      <c r="L106" s="6">
        <f t="shared" si="39"/>
        <v>0</v>
      </c>
      <c r="M106" s="2"/>
      <c r="N106" s="7">
        <f t="shared" si="40"/>
        <v>0</v>
      </c>
      <c r="O106" s="10"/>
      <c r="P106" s="6">
        <v>0</v>
      </c>
      <c r="Q106" s="2"/>
      <c r="R106" s="7">
        <f t="shared" si="41"/>
        <v>0</v>
      </c>
      <c r="S106" s="2"/>
      <c r="T106" s="6">
        <v>0</v>
      </c>
      <c r="U106" s="2"/>
      <c r="V106" s="7">
        <f t="shared" si="42"/>
        <v>0</v>
      </c>
      <c r="W106" s="2"/>
      <c r="X106" s="6">
        <f t="shared" si="43"/>
        <v>0</v>
      </c>
      <c r="Y106" s="2"/>
      <c r="Z106" s="7">
        <f t="shared" si="44"/>
        <v>0</v>
      </c>
    </row>
    <row r="107" spans="1:26" s="26" customFormat="1" outlineLevel="1" collapsed="1" x14ac:dyDescent="0.25">
      <c r="A107" s="25"/>
      <c r="B107" s="12" t="str">
        <f>CONCATENATE("     ","Freight out/Postage                               ")</f>
        <v xml:space="preserve">     Freight out/Postage                               </v>
      </c>
      <c r="C107" s="12"/>
      <c r="D107" s="1">
        <f>SUM(OSRRefD22_5x_0)</f>
        <v>0</v>
      </c>
      <c r="E107" s="1"/>
      <c r="F107" s="5">
        <f t="shared" ref="F107:F115" si="45">IF(D$12=0,0,D107/D$12)</f>
        <v>0</v>
      </c>
      <c r="G107" s="1"/>
      <c r="H107" s="1">
        <f>SUM(OSRRefH22_5x_0)</f>
        <v>0</v>
      </c>
      <c r="I107" s="1"/>
      <c r="J107" s="5">
        <f t="shared" ref="J107:J115" si="46">IF(H$12=0,0,H107/H$12)</f>
        <v>0</v>
      </c>
      <c r="K107" s="1"/>
      <c r="L107" s="1">
        <f t="shared" ref="L107:L115" si="47">+D107-H107</f>
        <v>0</v>
      </c>
      <c r="M107" s="1"/>
      <c r="N107" s="5">
        <f t="shared" ref="N107:N115" si="48">IF(H107=0,0,L107/H107)</f>
        <v>0</v>
      </c>
      <c r="O107" s="12"/>
      <c r="P107" s="1">
        <f>SUM(OSRRefP22_5x_0)</f>
        <v>0</v>
      </c>
      <c r="Q107" s="1"/>
      <c r="R107" s="5">
        <f t="shared" ref="R107:R115" si="49">IF(P$12=0,0,P107/P$12)</f>
        <v>0</v>
      </c>
      <c r="S107" s="1"/>
      <c r="T107" s="1">
        <f>SUM(OSRRefT22_5x_0)</f>
        <v>15.81</v>
      </c>
      <c r="U107" s="1"/>
      <c r="V107" s="5">
        <f t="shared" ref="V107:V115" si="50">IF(T$12=0,0,T107/T$12)</f>
        <v>1.9405917240992623E-5</v>
      </c>
      <c r="W107" s="1"/>
      <c r="X107" s="1">
        <f t="shared" ref="X107:X115" si="51">+P107-T107</f>
        <v>-15.81</v>
      </c>
      <c r="Y107" s="1"/>
      <c r="Z107" s="5">
        <f t="shared" ref="Z107:Z115" si="52">IF(T107=0,0,X107/T107)</f>
        <v>-1</v>
      </c>
    </row>
    <row r="108" spans="1:26" s="23" customFormat="1" hidden="1" outlineLevel="2" x14ac:dyDescent="0.25">
      <c r="A108" s="27"/>
      <c r="B108" s="10" t="str">
        <f>CONCATENATE("          ", "6305", " - ", "FREIGHT OUT")</f>
        <v xml:space="preserve">          6305 - FREIGHT OUT</v>
      </c>
      <c r="C108" s="10"/>
      <c r="D108" s="6"/>
      <c r="E108" s="2"/>
      <c r="F108" s="7">
        <f t="shared" si="45"/>
        <v>0</v>
      </c>
      <c r="G108" s="2"/>
      <c r="H108" s="6"/>
      <c r="I108" s="2"/>
      <c r="J108" s="7">
        <f t="shared" si="46"/>
        <v>0</v>
      </c>
      <c r="K108" s="2"/>
      <c r="L108" s="6">
        <f t="shared" si="47"/>
        <v>0</v>
      </c>
      <c r="M108" s="2"/>
      <c r="N108" s="7">
        <f t="shared" si="48"/>
        <v>0</v>
      </c>
      <c r="O108" s="10"/>
      <c r="P108" s="6">
        <v>0</v>
      </c>
      <c r="Q108" s="2"/>
      <c r="R108" s="7">
        <f t="shared" si="49"/>
        <v>0</v>
      </c>
      <c r="S108" s="2"/>
      <c r="T108" s="6">
        <v>15.81</v>
      </c>
      <c r="U108" s="2"/>
      <c r="V108" s="7">
        <f t="shared" si="50"/>
        <v>1.9405917240992623E-5</v>
      </c>
      <c r="W108" s="2"/>
      <c r="X108" s="6">
        <f t="shared" si="51"/>
        <v>-15.81</v>
      </c>
      <c r="Y108" s="2"/>
      <c r="Z108" s="7">
        <f t="shared" si="52"/>
        <v>-1</v>
      </c>
    </row>
    <row r="109" spans="1:26" s="26" customFormat="1" outlineLevel="1" collapsed="1" x14ac:dyDescent="0.25">
      <c r="A109" s="25"/>
      <c r="B109" s="12" t="str">
        <f>CONCATENATE("     ","General                                           ")</f>
        <v xml:space="preserve">     General                                           </v>
      </c>
      <c r="C109" s="12"/>
      <c r="D109" s="1">
        <f>SUM(OSRRefD22_6x_0)</f>
        <v>0</v>
      </c>
      <c r="E109" s="1"/>
      <c r="F109" s="5">
        <f t="shared" si="45"/>
        <v>0</v>
      </c>
      <c r="G109" s="1"/>
      <c r="H109" s="1">
        <f>SUM(OSRRefH22_6x_0)</f>
        <v>0</v>
      </c>
      <c r="I109" s="1"/>
      <c r="J109" s="5">
        <f t="shared" si="46"/>
        <v>0</v>
      </c>
      <c r="K109" s="1"/>
      <c r="L109" s="1">
        <f t="shared" si="47"/>
        <v>0</v>
      </c>
      <c r="M109" s="1"/>
      <c r="N109" s="5">
        <f t="shared" si="48"/>
        <v>0</v>
      </c>
      <c r="O109" s="12"/>
      <c r="P109" s="1">
        <f>SUM(OSRRefP22_6x_0)</f>
        <v>879.55</v>
      </c>
      <c r="Q109" s="1"/>
      <c r="R109" s="5">
        <f t="shared" si="49"/>
        <v>4.1270331345087632E-2</v>
      </c>
      <c r="S109" s="1"/>
      <c r="T109" s="1">
        <f>SUM(OSRRefT22_6x_0)</f>
        <v>954.05</v>
      </c>
      <c r="U109" s="1"/>
      <c r="V109" s="5">
        <f t="shared" si="50"/>
        <v>1.1710446137741311E-3</v>
      </c>
      <c r="W109" s="1"/>
      <c r="X109" s="1">
        <f t="shared" si="51"/>
        <v>-74.5</v>
      </c>
      <c r="Y109" s="1"/>
      <c r="Z109" s="5">
        <f t="shared" si="52"/>
        <v>-7.8088150516220325E-2</v>
      </c>
    </row>
    <row r="110" spans="1:26" s="23" customFormat="1" hidden="1" outlineLevel="2" x14ac:dyDescent="0.25">
      <c r="A110" s="27"/>
      <c r="B110" s="10" t="str">
        <f>CONCATENATE("          ", "6279", " - ", "GENERAL EXPENSE")</f>
        <v xml:space="preserve">          6279 - GENERAL EXPENSE</v>
      </c>
      <c r="C110" s="10"/>
      <c r="D110" s="6"/>
      <c r="E110" s="2"/>
      <c r="F110" s="7">
        <f t="shared" si="45"/>
        <v>0</v>
      </c>
      <c r="G110" s="2"/>
      <c r="H110" s="6"/>
      <c r="I110" s="2"/>
      <c r="J110" s="7">
        <f t="shared" si="46"/>
        <v>0</v>
      </c>
      <c r="K110" s="2"/>
      <c r="L110" s="6">
        <f t="shared" si="47"/>
        <v>0</v>
      </c>
      <c r="M110" s="2"/>
      <c r="N110" s="7">
        <f t="shared" si="48"/>
        <v>0</v>
      </c>
      <c r="O110" s="10"/>
      <c r="P110" s="6">
        <v>879.55</v>
      </c>
      <c r="Q110" s="2"/>
      <c r="R110" s="7">
        <f t="shared" si="49"/>
        <v>4.1270331345087632E-2</v>
      </c>
      <c r="S110" s="2"/>
      <c r="T110" s="6">
        <v>954.05</v>
      </c>
      <c r="U110" s="2"/>
      <c r="V110" s="7">
        <f t="shared" si="50"/>
        <v>1.1710446137741311E-3</v>
      </c>
      <c r="W110" s="2"/>
      <c r="X110" s="6">
        <f t="shared" si="51"/>
        <v>-74.5</v>
      </c>
      <c r="Y110" s="2"/>
      <c r="Z110" s="7">
        <f t="shared" si="52"/>
        <v>-7.8088150516220325E-2</v>
      </c>
    </row>
    <row r="111" spans="1:26" s="26" customFormat="1" outlineLevel="1" collapsed="1" x14ac:dyDescent="0.25">
      <c r="A111" s="25"/>
      <c r="B111" s="12" t="str">
        <f>CONCATENATE("     ","Professional Services                             ")</f>
        <v xml:space="preserve">     Professional Services                             </v>
      </c>
      <c r="C111" s="12"/>
      <c r="D111" s="1">
        <f>SUM(OSRRefD22_7x_0)</f>
        <v>0</v>
      </c>
      <c r="E111" s="1"/>
      <c r="F111" s="5">
        <f t="shared" si="45"/>
        <v>0</v>
      </c>
      <c r="G111" s="1"/>
      <c r="H111" s="1">
        <f>SUM(OSRRefH22_7x_0)</f>
        <v>0</v>
      </c>
      <c r="I111" s="1"/>
      <c r="J111" s="5">
        <f t="shared" si="46"/>
        <v>0</v>
      </c>
      <c r="K111" s="1"/>
      <c r="L111" s="1">
        <f t="shared" si="47"/>
        <v>0</v>
      </c>
      <c r="M111" s="1"/>
      <c r="N111" s="5">
        <f t="shared" si="48"/>
        <v>0</v>
      </c>
      <c r="O111" s="12"/>
      <c r="P111" s="1">
        <f>SUM(OSRRefP22_7x_0)</f>
        <v>0</v>
      </c>
      <c r="Q111" s="1"/>
      <c r="R111" s="5">
        <f t="shared" si="49"/>
        <v>0</v>
      </c>
      <c r="S111" s="1"/>
      <c r="T111" s="1">
        <f>SUM(OSRRefT22_7x_0)</f>
        <v>791.15</v>
      </c>
      <c r="U111" s="1"/>
      <c r="V111" s="5">
        <f t="shared" si="50"/>
        <v>9.7109370178439678E-4</v>
      </c>
      <c r="W111" s="1"/>
      <c r="X111" s="1">
        <f t="shared" si="51"/>
        <v>-791.15</v>
      </c>
      <c r="Y111" s="1"/>
      <c r="Z111" s="5">
        <f t="shared" si="52"/>
        <v>-1</v>
      </c>
    </row>
    <row r="112" spans="1:26" s="23" customFormat="1" hidden="1" outlineLevel="2" x14ac:dyDescent="0.25">
      <c r="A112" s="27"/>
      <c r="B112" s="10" t="str">
        <f>CONCATENATE("          ", "6336", " - ", "PROFESSIONAL SERVICES")</f>
        <v xml:space="preserve">          6336 - PROFESSIONAL SERVICES</v>
      </c>
      <c r="C112" s="10"/>
      <c r="D112" s="6"/>
      <c r="E112" s="2"/>
      <c r="F112" s="7">
        <f t="shared" si="45"/>
        <v>0</v>
      </c>
      <c r="G112" s="2"/>
      <c r="H112" s="6"/>
      <c r="I112" s="2"/>
      <c r="J112" s="7">
        <f t="shared" si="46"/>
        <v>0</v>
      </c>
      <c r="K112" s="2"/>
      <c r="L112" s="6">
        <f t="shared" si="47"/>
        <v>0</v>
      </c>
      <c r="M112" s="2"/>
      <c r="N112" s="7">
        <f t="shared" si="48"/>
        <v>0</v>
      </c>
      <c r="O112" s="10"/>
      <c r="P112" s="6"/>
      <c r="Q112" s="2"/>
      <c r="R112" s="7">
        <f t="shared" si="49"/>
        <v>0</v>
      </c>
      <c r="S112" s="2"/>
      <c r="T112" s="6">
        <v>791.15</v>
      </c>
      <c r="U112" s="2"/>
      <c r="V112" s="7">
        <f t="shared" si="50"/>
        <v>9.7109370178439678E-4</v>
      </c>
      <c r="W112" s="2"/>
      <c r="X112" s="6">
        <f t="shared" si="51"/>
        <v>-791.15</v>
      </c>
      <c r="Y112" s="2"/>
      <c r="Z112" s="7">
        <f t="shared" si="52"/>
        <v>-1</v>
      </c>
    </row>
    <row r="113" spans="1:26" s="26" customFormat="1" outlineLevel="1" collapsed="1" x14ac:dyDescent="0.25">
      <c r="A113" s="25"/>
      <c r="B113" s="12" t="str">
        <f>CONCATENATE("     ","Repair and Maintenance                            ")</f>
        <v xml:space="preserve">     Repair and Maintenance                            </v>
      </c>
      <c r="C113" s="12"/>
      <c r="D113" s="1">
        <f>SUM(OSRRefD22_8x_0)</f>
        <v>0</v>
      </c>
      <c r="E113" s="1"/>
      <c r="F113" s="5">
        <f t="shared" si="45"/>
        <v>0</v>
      </c>
      <c r="G113" s="1"/>
      <c r="H113" s="1">
        <f>SUM(OSRRefH22_8x_0)</f>
        <v>0</v>
      </c>
      <c r="I113" s="1"/>
      <c r="J113" s="5">
        <f t="shared" si="46"/>
        <v>0</v>
      </c>
      <c r="K113" s="1"/>
      <c r="L113" s="1">
        <f t="shared" si="47"/>
        <v>0</v>
      </c>
      <c r="M113" s="1"/>
      <c r="N113" s="5">
        <f t="shared" si="48"/>
        <v>0</v>
      </c>
      <c r="O113" s="12"/>
      <c r="P113" s="1">
        <f>SUM(OSRRefP22_8x_0)</f>
        <v>261.93</v>
      </c>
      <c r="Q113" s="1"/>
      <c r="R113" s="5">
        <f t="shared" si="49"/>
        <v>1.2290305143788078E-2</v>
      </c>
      <c r="S113" s="1"/>
      <c r="T113" s="1">
        <f>SUM(OSRRefT22_8x_0)</f>
        <v>190.64000000000001</v>
      </c>
      <c r="U113" s="1"/>
      <c r="V113" s="5">
        <f t="shared" si="50"/>
        <v>2.3400025697804138E-4</v>
      </c>
      <c r="W113" s="1"/>
      <c r="X113" s="1">
        <f t="shared" si="51"/>
        <v>71.289999999999992</v>
      </c>
      <c r="Y113" s="1"/>
      <c r="Z113" s="5">
        <f t="shared" si="52"/>
        <v>0.37395090222408722</v>
      </c>
    </row>
    <row r="114" spans="1:26" s="23" customFormat="1" hidden="1" outlineLevel="2" x14ac:dyDescent="0.25">
      <c r="A114" s="27"/>
      <c r="B114" s="10" t="str">
        <f>CONCATENATE("          ", "6373", " - ", "MAINTENANCE CONTRACTS")</f>
        <v xml:space="preserve">          6373 - MAINTENANCE CONTRACTS</v>
      </c>
      <c r="C114" s="10"/>
      <c r="D114" s="6"/>
      <c r="E114" s="2"/>
      <c r="F114" s="7">
        <f t="shared" si="45"/>
        <v>0</v>
      </c>
      <c r="G114" s="2"/>
      <c r="H114" s="6"/>
      <c r="I114" s="2"/>
      <c r="J114" s="7">
        <f t="shared" si="46"/>
        <v>0</v>
      </c>
      <c r="K114" s="2"/>
      <c r="L114" s="6">
        <f t="shared" si="47"/>
        <v>0</v>
      </c>
      <c r="M114" s="2"/>
      <c r="N114" s="7">
        <f t="shared" si="48"/>
        <v>0</v>
      </c>
      <c r="O114" s="10"/>
      <c r="P114" s="6">
        <v>261.93</v>
      </c>
      <c r="Q114" s="2"/>
      <c r="R114" s="7">
        <f t="shared" si="49"/>
        <v>1.2290305143788078E-2</v>
      </c>
      <c r="S114" s="2"/>
      <c r="T114" s="6">
        <v>180.84</v>
      </c>
      <c r="U114" s="2"/>
      <c r="V114" s="7">
        <f t="shared" si="50"/>
        <v>2.2197128866926667E-4</v>
      </c>
      <c r="W114" s="2"/>
      <c r="X114" s="6">
        <f t="shared" si="51"/>
        <v>81.09</v>
      </c>
      <c r="Y114" s="2"/>
      <c r="Z114" s="7">
        <f t="shared" si="52"/>
        <v>0.44840743198407434</v>
      </c>
    </row>
    <row r="115" spans="1:26" s="23" customFormat="1" hidden="1" outlineLevel="2" x14ac:dyDescent="0.25">
      <c r="A115" s="27"/>
      <c r="B115" s="10" t="str">
        <f>CONCATENATE("          ", "6375", " - ", "OUTSIDE REPAIRS &amp; MAINTENANCE")</f>
        <v xml:space="preserve">          6375 - OUTSIDE REPAIRS &amp; MAINTENANCE</v>
      </c>
      <c r="C115" s="10"/>
      <c r="D115" s="6"/>
      <c r="E115" s="2"/>
      <c r="F115" s="7">
        <f t="shared" si="45"/>
        <v>0</v>
      </c>
      <c r="G115" s="2"/>
      <c r="H115" s="6"/>
      <c r="I115" s="2"/>
      <c r="J115" s="7">
        <f t="shared" si="46"/>
        <v>0</v>
      </c>
      <c r="K115" s="2"/>
      <c r="L115" s="6">
        <f t="shared" si="47"/>
        <v>0</v>
      </c>
      <c r="M115" s="2"/>
      <c r="N115" s="7">
        <f t="shared" si="48"/>
        <v>0</v>
      </c>
      <c r="O115" s="10"/>
      <c r="P115" s="6"/>
      <c r="Q115" s="2"/>
      <c r="R115" s="7">
        <f t="shared" si="49"/>
        <v>0</v>
      </c>
      <c r="S115" s="2"/>
      <c r="T115" s="6">
        <v>9.8000000000000007</v>
      </c>
      <c r="U115" s="2"/>
      <c r="V115" s="7">
        <f t="shared" si="50"/>
        <v>1.2028968308774682E-5</v>
      </c>
      <c r="W115" s="2"/>
      <c r="X115" s="6">
        <f t="shared" si="51"/>
        <v>-9.8000000000000007</v>
      </c>
      <c r="Y115" s="2"/>
      <c r="Z115" s="7">
        <f t="shared" si="52"/>
        <v>-1</v>
      </c>
    </row>
    <row r="116" spans="1:26" s="26" customFormat="1" outlineLevel="1" collapsed="1" x14ac:dyDescent="0.25">
      <c r="A116" s="25"/>
      <c r="B116" s="12" t="str">
        <f>CONCATENATE("     ","Services                                          ")</f>
        <v xml:space="preserve">     Services                                          </v>
      </c>
      <c r="C116" s="12"/>
      <c r="D116" s="1">
        <f>SUM(OSRRefD22_9x_0)</f>
        <v>0</v>
      </c>
      <c r="E116" s="1"/>
      <c r="F116" s="5">
        <f t="shared" ref="F116:F118" si="53">IF(D$12=0,0,D116/D$12)</f>
        <v>0</v>
      </c>
      <c r="G116" s="1"/>
      <c r="H116" s="1">
        <f>SUM(OSRRefH22_9x_0)</f>
        <v>196.55</v>
      </c>
      <c r="I116" s="1"/>
      <c r="J116" s="5">
        <f t="shared" ref="J116:J118" si="54">IF(H$12=0,0,H116/H$12)</f>
        <v>6.2204091449983553E-2</v>
      </c>
      <c r="K116" s="1"/>
      <c r="L116" s="1">
        <f t="shared" ref="L116:L118" si="55">+D116-H116</f>
        <v>-196.55</v>
      </c>
      <c r="M116" s="1"/>
      <c r="N116" s="5">
        <f t="shared" ref="N116:N118" si="56">IF(H116=0,0,L116/H116)</f>
        <v>-1</v>
      </c>
      <c r="O116" s="12"/>
      <c r="P116" s="1">
        <f>SUM(OSRRefP22_9x_0)</f>
        <v>18.5</v>
      </c>
      <c r="Q116" s="1"/>
      <c r="R116" s="5">
        <f t="shared" ref="R116:R118" si="57">IF(P$12=0,0,P116/P$12)</f>
        <v>8.6805881403458724E-4</v>
      </c>
      <c r="S116" s="1"/>
      <c r="T116" s="1">
        <f>SUM(OSRRefT22_9x_0)</f>
        <v>2015.16</v>
      </c>
      <c r="U116" s="1"/>
      <c r="V116" s="5">
        <f t="shared" ref="V116:V118" si="58">IF(T$12=0,0,T116/T$12)</f>
        <v>2.4734995690928966E-3</v>
      </c>
      <c r="W116" s="1"/>
      <c r="X116" s="1">
        <f t="shared" ref="X116:X118" si="59">+P116-T116</f>
        <v>-1996.66</v>
      </c>
      <c r="Y116" s="1"/>
      <c r="Z116" s="5">
        <f t="shared" ref="Z116:Z118" si="60">IF(T116=0,0,X116/T116)</f>
        <v>-0.99081958752654875</v>
      </c>
    </row>
    <row r="117" spans="1:26" s="23" customFormat="1" hidden="1" outlineLevel="2" x14ac:dyDescent="0.25">
      <c r="A117" s="27"/>
      <c r="B117" s="10" t="str">
        <f>CONCATENATE("          ", "6282", " - ", "JANITORIAL/EXTERMINATOR EXPENS")</f>
        <v xml:space="preserve">          6282 - JANITORIAL/EXTERMINATOR EXPENS</v>
      </c>
      <c r="C117" s="10"/>
      <c r="D117" s="6"/>
      <c r="E117" s="2"/>
      <c r="F117" s="7">
        <f t="shared" si="53"/>
        <v>0</v>
      </c>
      <c r="G117" s="2"/>
      <c r="H117" s="6">
        <v>88</v>
      </c>
      <c r="I117" s="2"/>
      <c r="J117" s="7">
        <f t="shared" si="54"/>
        <v>2.7850216472137125E-2</v>
      </c>
      <c r="K117" s="2"/>
      <c r="L117" s="6">
        <f t="shared" si="55"/>
        <v>-88</v>
      </c>
      <c r="M117" s="2"/>
      <c r="N117" s="7">
        <f t="shared" si="56"/>
        <v>-1</v>
      </c>
      <c r="O117" s="10"/>
      <c r="P117" s="6">
        <v>176</v>
      </c>
      <c r="Q117" s="2"/>
      <c r="R117" s="7">
        <f t="shared" si="57"/>
        <v>8.2582892578425601E-3</v>
      </c>
      <c r="S117" s="2"/>
      <c r="T117" s="6">
        <v>461.02</v>
      </c>
      <c r="U117" s="2"/>
      <c r="V117" s="7">
        <f t="shared" si="58"/>
        <v>5.6587703772564314E-4</v>
      </c>
      <c r="W117" s="2"/>
      <c r="X117" s="6">
        <f t="shared" si="59"/>
        <v>-285.02</v>
      </c>
      <c r="Y117" s="2"/>
      <c r="Z117" s="7">
        <f t="shared" si="60"/>
        <v>-0.61823782048501152</v>
      </c>
    </row>
    <row r="118" spans="1:26" s="23" customFormat="1" hidden="1" outlineLevel="2" x14ac:dyDescent="0.25">
      <c r="A118" s="27"/>
      <c r="B118" s="10" t="str">
        <f>CONCATENATE("          ", "6285", " - ", "JANITORIAL SERVICES")</f>
        <v xml:space="preserve">          6285 - JANITORIAL SERVICES</v>
      </c>
      <c r="C118" s="10"/>
      <c r="D118" s="6"/>
      <c r="E118" s="2"/>
      <c r="F118" s="7">
        <f t="shared" si="53"/>
        <v>0</v>
      </c>
      <c r="G118" s="2"/>
      <c r="H118" s="6">
        <v>108.55</v>
      </c>
      <c r="I118" s="2"/>
      <c r="J118" s="7">
        <f t="shared" si="54"/>
        <v>3.4353874977846421E-2</v>
      </c>
      <c r="K118" s="2"/>
      <c r="L118" s="6">
        <f t="shared" si="55"/>
        <v>-108.55</v>
      </c>
      <c r="M118" s="2"/>
      <c r="N118" s="7">
        <f t="shared" si="56"/>
        <v>-1</v>
      </c>
      <c r="O118" s="10"/>
      <c r="P118" s="6">
        <v>-157.5</v>
      </c>
      <c r="Q118" s="2"/>
      <c r="R118" s="7">
        <f t="shared" si="57"/>
        <v>-7.3902304438079732E-3</v>
      </c>
      <c r="S118" s="2"/>
      <c r="T118" s="6">
        <v>1554.14</v>
      </c>
      <c r="U118" s="2"/>
      <c r="V118" s="7">
        <f t="shared" si="58"/>
        <v>1.9076225313672535E-3</v>
      </c>
      <c r="W118" s="2"/>
      <c r="X118" s="6">
        <f t="shared" si="59"/>
        <v>-1711.64</v>
      </c>
      <c r="Y118" s="2"/>
      <c r="Z118" s="7">
        <f t="shared" si="60"/>
        <v>-1.1013422214214936</v>
      </c>
    </row>
    <row r="119" spans="1:26" s="26" customFormat="1" outlineLevel="1" collapsed="1" x14ac:dyDescent="0.25">
      <c r="A119" s="25"/>
      <c r="B119" s="12" t="str">
        <f>CONCATENATE("     ","Subscriptions &amp; Dues                              ")</f>
        <v xml:space="preserve">     Subscriptions &amp; Dues                              </v>
      </c>
      <c r="C119" s="12"/>
      <c r="D119" s="1">
        <f>SUM(OSRRefD22_10x_0)</f>
        <v>0</v>
      </c>
      <c r="E119" s="1"/>
      <c r="F119" s="5">
        <f t="shared" ref="F119:F125" si="61">IF(D$12=0,0,D119/D$12)</f>
        <v>0</v>
      </c>
      <c r="G119" s="1"/>
      <c r="H119" s="1">
        <f>SUM(OSRRefH22_10x_0)</f>
        <v>0</v>
      </c>
      <c r="I119" s="1"/>
      <c r="J119" s="5">
        <f t="shared" ref="J119:J125" si="62">IF(H$12=0,0,H119/H$12)</f>
        <v>0</v>
      </c>
      <c r="K119" s="1"/>
      <c r="L119" s="1">
        <f t="shared" ref="L119:L125" si="63">+D119-H119</f>
        <v>0</v>
      </c>
      <c r="M119" s="1"/>
      <c r="N119" s="5">
        <f t="shared" ref="N119:N125" si="64">IF(H119=0,0,L119/H119)</f>
        <v>0</v>
      </c>
      <c r="O119" s="12"/>
      <c r="P119" s="1">
        <f>SUM(OSRRefP22_10x_0)</f>
        <v>0</v>
      </c>
      <c r="Q119" s="1"/>
      <c r="R119" s="5">
        <f t="shared" ref="R119:R125" si="65">IF(P$12=0,0,P119/P$12)</f>
        <v>0</v>
      </c>
      <c r="S119" s="1"/>
      <c r="T119" s="1">
        <f>SUM(OSRRefT22_10x_0)</f>
        <v>120</v>
      </c>
      <c r="U119" s="1"/>
      <c r="V119" s="5">
        <f t="shared" ref="V119:V125" si="66">IF(T$12=0,0,T119/T$12)</f>
        <v>1.4729348949520018E-4</v>
      </c>
      <c r="W119" s="1"/>
      <c r="X119" s="1">
        <f t="shared" ref="X119:X125" si="67">+P119-T119</f>
        <v>-120</v>
      </c>
      <c r="Y119" s="1"/>
      <c r="Z119" s="5">
        <f t="shared" ref="Z119:Z125" si="68">IF(T119=0,0,X119/T119)</f>
        <v>-1</v>
      </c>
    </row>
    <row r="120" spans="1:26" s="23" customFormat="1" hidden="1" outlineLevel="2" x14ac:dyDescent="0.25">
      <c r="A120" s="27"/>
      <c r="B120" s="10" t="str">
        <f>CONCATENATE("          ", "6258", " - ", "MEMBERSHIP DUES")</f>
        <v xml:space="preserve">          6258 - MEMBERSHIP DUES</v>
      </c>
      <c r="C120" s="10"/>
      <c r="D120" s="6"/>
      <c r="E120" s="2"/>
      <c r="F120" s="7">
        <f t="shared" si="61"/>
        <v>0</v>
      </c>
      <c r="G120" s="2"/>
      <c r="H120" s="6"/>
      <c r="I120" s="2"/>
      <c r="J120" s="7">
        <f t="shared" si="62"/>
        <v>0</v>
      </c>
      <c r="K120" s="2"/>
      <c r="L120" s="6">
        <f t="shared" si="63"/>
        <v>0</v>
      </c>
      <c r="M120" s="2"/>
      <c r="N120" s="7">
        <f t="shared" si="64"/>
        <v>0</v>
      </c>
      <c r="O120" s="10"/>
      <c r="P120" s="6"/>
      <c r="Q120" s="2"/>
      <c r="R120" s="7">
        <f t="shared" si="65"/>
        <v>0</v>
      </c>
      <c r="S120" s="2"/>
      <c r="T120" s="6">
        <v>120</v>
      </c>
      <c r="U120" s="2"/>
      <c r="V120" s="7">
        <f t="shared" si="66"/>
        <v>1.4729348949520018E-4</v>
      </c>
      <c r="W120" s="2"/>
      <c r="X120" s="6">
        <f t="shared" si="67"/>
        <v>-120</v>
      </c>
      <c r="Y120" s="2"/>
      <c r="Z120" s="7">
        <f t="shared" si="68"/>
        <v>-1</v>
      </c>
    </row>
    <row r="121" spans="1:26" s="26" customFormat="1" outlineLevel="1" collapsed="1" x14ac:dyDescent="0.25">
      <c r="A121" s="25"/>
      <c r="B121" s="12" t="str">
        <f>CONCATENATE("     ","Supplies                                          ")</f>
        <v xml:space="preserve">     Supplies                                          </v>
      </c>
      <c r="C121" s="12"/>
      <c r="D121" s="1">
        <f>SUM(OSRRefD22_11x_0)</f>
        <v>0</v>
      </c>
      <c r="E121" s="1"/>
      <c r="F121" s="5">
        <f t="shared" si="61"/>
        <v>0</v>
      </c>
      <c r="G121" s="1"/>
      <c r="H121" s="1">
        <f>SUM(OSRRefH22_11x_0)</f>
        <v>103.23</v>
      </c>
      <c r="I121" s="1"/>
      <c r="J121" s="5">
        <f t="shared" si="62"/>
        <v>3.2670202800212676E-2</v>
      </c>
      <c r="K121" s="1"/>
      <c r="L121" s="1">
        <f t="shared" si="63"/>
        <v>-103.23</v>
      </c>
      <c r="M121" s="1"/>
      <c r="N121" s="5">
        <f t="shared" si="64"/>
        <v>-1</v>
      </c>
      <c r="O121" s="12"/>
      <c r="P121" s="1">
        <f>SUM(OSRRefP22_11x_0)</f>
        <v>1892.27</v>
      </c>
      <c r="Q121" s="1"/>
      <c r="R121" s="5">
        <f t="shared" si="65"/>
        <v>8.8789278488282622E-2</v>
      </c>
      <c r="S121" s="1"/>
      <c r="T121" s="1">
        <f>SUM(OSRRefT22_11x_0)</f>
        <v>1967.59</v>
      </c>
      <c r="U121" s="1"/>
      <c r="V121" s="5">
        <f t="shared" si="66"/>
        <v>2.4151099749655076E-3</v>
      </c>
      <c r="W121" s="1"/>
      <c r="X121" s="1">
        <f t="shared" si="67"/>
        <v>-75.319999999999936</v>
      </c>
      <c r="Y121" s="1"/>
      <c r="Z121" s="5">
        <f t="shared" si="68"/>
        <v>-3.8280332792909058E-2</v>
      </c>
    </row>
    <row r="122" spans="1:26" s="23" customFormat="1" hidden="1" outlineLevel="2" x14ac:dyDescent="0.25">
      <c r="A122" s="27"/>
      <c r="B122" s="10" t="str">
        <f>CONCATENATE("          ", "6235", " - ", "COVID-19 EXPENSES")</f>
        <v xml:space="preserve">          6235 - COVID-19 EXPENSES</v>
      </c>
      <c r="C122" s="10"/>
      <c r="D122" s="6"/>
      <c r="E122" s="2"/>
      <c r="F122" s="7">
        <f t="shared" si="61"/>
        <v>0</v>
      </c>
      <c r="G122" s="2"/>
      <c r="H122" s="6"/>
      <c r="I122" s="2"/>
      <c r="J122" s="7">
        <f t="shared" si="62"/>
        <v>0</v>
      </c>
      <c r="K122" s="2"/>
      <c r="L122" s="6">
        <f t="shared" si="63"/>
        <v>0</v>
      </c>
      <c r="M122" s="2"/>
      <c r="N122" s="7">
        <f t="shared" si="64"/>
        <v>0</v>
      </c>
      <c r="O122" s="10"/>
      <c r="P122" s="6">
        <v>444.3</v>
      </c>
      <c r="Q122" s="2"/>
      <c r="R122" s="7">
        <f t="shared" si="65"/>
        <v>2.0847488166246871E-2</v>
      </c>
      <c r="S122" s="2"/>
      <c r="T122" s="6"/>
      <c r="U122" s="2"/>
      <c r="V122" s="7">
        <f t="shared" si="66"/>
        <v>0</v>
      </c>
      <c r="W122" s="2"/>
      <c r="X122" s="6">
        <f t="shared" si="67"/>
        <v>444.3</v>
      </c>
      <c r="Y122" s="2"/>
      <c r="Z122" s="7">
        <f t="shared" si="68"/>
        <v>0</v>
      </c>
    </row>
    <row r="123" spans="1:26" s="23" customFormat="1" hidden="1" outlineLevel="2" x14ac:dyDescent="0.25">
      <c r="A123" s="27"/>
      <c r="B123" s="10" t="str">
        <f>CONCATENATE("          ", "6241", " - ", "OFFICE EXPENSE")</f>
        <v xml:space="preserve">          6241 - OFFICE EXPENSE</v>
      </c>
      <c r="C123" s="10"/>
      <c r="D123" s="6"/>
      <c r="E123" s="2"/>
      <c r="F123" s="7">
        <f t="shared" si="61"/>
        <v>0</v>
      </c>
      <c r="G123" s="2"/>
      <c r="H123" s="6"/>
      <c r="I123" s="2"/>
      <c r="J123" s="7">
        <f t="shared" si="62"/>
        <v>0</v>
      </c>
      <c r="K123" s="2"/>
      <c r="L123" s="6">
        <f t="shared" si="63"/>
        <v>0</v>
      </c>
      <c r="M123" s="2"/>
      <c r="N123" s="7">
        <f t="shared" si="64"/>
        <v>0</v>
      </c>
      <c r="O123" s="10"/>
      <c r="P123" s="6">
        <v>225.24</v>
      </c>
      <c r="Q123" s="2"/>
      <c r="R123" s="7">
        <f t="shared" si="65"/>
        <v>1.056873336611624E-2</v>
      </c>
      <c r="S123" s="2"/>
      <c r="T123" s="6">
        <v>1673.46</v>
      </c>
      <c r="U123" s="2"/>
      <c r="V123" s="7">
        <f t="shared" si="66"/>
        <v>2.0540813577553142E-3</v>
      </c>
      <c r="W123" s="2"/>
      <c r="X123" s="6">
        <f t="shared" si="67"/>
        <v>-1448.22</v>
      </c>
      <c r="Y123" s="2"/>
      <c r="Z123" s="7">
        <f t="shared" si="68"/>
        <v>-0.86540461080635334</v>
      </c>
    </row>
    <row r="124" spans="1:26" s="23" customFormat="1" hidden="1" outlineLevel="2" x14ac:dyDescent="0.25">
      <c r="A124" s="27"/>
      <c r="B124" s="10" t="str">
        <f>CONCATENATE("          ", "6245", " - ", "PRINTING")</f>
        <v xml:space="preserve">          6245 - PRINTING</v>
      </c>
      <c r="C124" s="10"/>
      <c r="D124" s="6"/>
      <c r="E124" s="2"/>
      <c r="F124" s="7">
        <f t="shared" si="61"/>
        <v>0</v>
      </c>
      <c r="G124" s="2"/>
      <c r="H124" s="6"/>
      <c r="I124" s="2"/>
      <c r="J124" s="7">
        <f t="shared" si="62"/>
        <v>0</v>
      </c>
      <c r="K124" s="2"/>
      <c r="L124" s="6">
        <f t="shared" si="63"/>
        <v>0</v>
      </c>
      <c r="M124" s="2"/>
      <c r="N124" s="7">
        <f t="shared" si="64"/>
        <v>0</v>
      </c>
      <c r="O124" s="10"/>
      <c r="P124" s="6"/>
      <c r="Q124" s="2"/>
      <c r="R124" s="7">
        <f t="shared" si="65"/>
        <v>0</v>
      </c>
      <c r="S124" s="2"/>
      <c r="T124" s="6">
        <v>22.05</v>
      </c>
      <c r="U124" s="2"/>
      <c r="V124" s="7">
        <f t="shared" si="66"/>
        <v>2.7065178694743033E-5</v>
      </c>
      <c r="W124" s="2"/>
      <c r="X124" s="6">
        <f t="shared" si="67"/>
        <v>-22.05</v>
      </c>
      <c r="Y124" s="2"/>
      <c r="Z124" s="7">
        <f t="shared" si="68"/>
        <v>-1</v>
      </c>
    </row>
    <row r="125" spans="1:26" s="23" customFormat="1" hidden="1" outlineLevel="2" x14ac:dyDescent="0.25">
      <c r="A125" s="27"/>
      <c r="B125" s="10" t="str">
        <f>CONCATENATE("          ", "6247", " - ", "STORE SUPPLIES")</f>
        <v xml:space="preserve">          6247 - STORE SUPPLIES</v>
      </c>
      <c r="C125" s="10"/>
      <c r="D125" s="6"/>
      <c r="E125" s="2"/>
      <c r="F125" s="7">
        <f t="shared" si="61"/>
        <v>0</v>
      </c>
      <c r="G125" s="2"/>
      <c r="H125" s="6">
        <v>103.23</v>
      </c>
      <c r="I125" s="2"/>
      <c r="J125" s="7">
        <f t="shared" si="62"/>
        <v>3.2670202800212676E-2</v>
      </c>
      <c r="K125" s="2"/>
      <c r="L125" s="6">
        <f t="shared" si="63"/>
        <v>-103.23</v>
      </c>
      <c r="M125" s="2"/>
      <c r="N125" s="7">
        <f t="shared" si="64"/>
        <v>-1</v>
      </c>
      <c r="O125" s="10"/>
      <c r="P125" s="6">
        <v>1222.73</v>
      </c>
      <c r="Q125" s="2"/>
      <c r="R125" s="7">
        <f t="shared" si="65"/>
        <v>5.7373056955919509E-2</v>
      </c>
      <c r="S125" s="2"/>
      <c r="T125" s="6">
        <v>272.08</v>
      </c>
      <c r="U125" s="2"/>
      <c r="V125" s="7">
        <f t="shared" si="66"/>
        <v>3.3396343851545051E-4</v>
      </c>
      <c r="W125" s="2"/>
      <c r="X125" s="6">
        <f t="shared" si="67"/>
        <v>950.65000000000009</v>
      </c>
      <c r="Y125" s="2"/>
      <c r="Z125" s="7">
        <f t="shared" si="68"/>
        <v>3.4940091149661869</v>
      </c>
    </row>
    <row r="126" spans="1:26" s="26" customFormat="1" outlineLevel="1" collapsed="1" x14ac:dyDescent="0.25">
      <c r="A126" s="25"/>
      <c r="B126" s="12" t="str">
        <f>CONCATENATE("     ","Telephone/Data Lines                              ")</f>
        <v xml:space="preserve">     Telephone/Data Lines                              </v>
      </c>
      <c r="C126" s="12"/>
      <c r="D126" s="1">
        <f>SUM(OSRRefD22_12x_0)</f>
        <v>53</v>
      </c>
      <c r="E126" s="1"/>
      <c r="F126" s="5">
        <f t="shared" ref="F126:F131" si="69">IF(D$12=0,0,D126/D$12)</f>
        <v>0</v>
      </c>
      <c r="G126" s="1"/>
      <c r="H126" s="1">
        <f>SUM(OSRRefH22_12x_0)</f>
        <v>103</v>
      </c>
      <c r="I126" s="1"/>
      <c r="J126" s="5">
        <f t="shared" ref="J126:J131" si="70">IF(H$12=0,0,H126/H$12)</f>
        <v>3.2597412461705957E-2</v>
      </c>
      <c r="K126" s="1"/>
      <c r="L126" s="1">
        <f t="shared" ref="L126:L131" si="71">+D126-H126</f>
        <v>-50</v>
      </c>
      <c r="M126" s="1"/>
      <c r="N126" s="5">
        <f t="shared" ref="N126:N131" si="72">IF(H126=0,0,L126/H126)</f>
        <v>-0.4854368932038835</v>
      </c>
      <c r="O126" s="12"/>
      <c r="P126" s="1">
        <f>SUM(OSRRefP22_12x_0)</f>
        <v>578.04999999999995</v>
      </c>
      <c r="Q126" s="1"/>
      <c r="R126" s="5">
        <f t="shared" ref="R126:R131" si="73">IF(P$12=0,0,P126/P$12)</f>
        <v>2.7123318781226657E-2</v>
      </c>
      <c r="S126" s="1"/>
      <c r="T126" s="1">
        <f>SUM(OSRRefT22_12x_0)</f>
        <v>990.37</v>
      </c>
      <c r="U126" s="1"/>
      <c r="V126" s="5">
        <f t="shared" ref="V126:V131" si="74">IF(T$12=0,0,T126/T$12)</f>
        <v>1.2156254432613451E-3</v>
      </c>
      <c r="W126" s="1"/>
      <c r="X126" s="1">
        <f t="shared" ref="X126:X131" si="75">+P126-T126</f>
        <v>-412.32000000000005</v>
      </c>
      <c r="Y126" s="1"/>
      <c r="Z126" s="5">
        <f t="shared" ref="Z126:Z131" si="76">IF(T126=0,0,X126/T126)</f>
        <v>-0.41632925068408783</v>
      </c>
    </row>
    <row r="127" spans="1:26" s="23" customFormat="1" hidden="1" outlineLevel="2" x14ac:dyDescent="0.25">
      <c r="A127" s="27"/>
      <c r="B127" s="10" t="str">
        <f>CONCATENATE("          ", "6309", " - ", "TELEPHONE")</f>
        <v xml:space="preserve">          6309 - TELEPHONE</v>
      </c>
      <c r="C127" s="10"/>
      <c r="D127" s="6">
        <v>53</v>
      </c>
      <c r="E127" s="2"/>
      <c r="F127" s="7">
        <f t="shared" si="69"/>
        <v>0</v>
      </c>
      <c r="G127" s="2"/>
      <c r="H127" s="6">
        <v>103</v>
      </c>
      <c r="I127" s="2"/>
      <c r="J127" s="7">
        <f t="shared" si="70"/>
        <v>3.2597412461705957E-2</v>
      </c>
      <c r="K127" s="2"/>
      <c r="L127" s="6">
        <f t="shared" si="71"/>
        <v>-50</v>
      </c>
      <c r="M127" s="2"/>
      <c r="N127" s="7">
        <f t="shared" si="72"/>
        <v>-0.4854368932038835</v>
      </c>
      <c r="O127" s="10"/>
      <c r="P127" s="6">
        <v>578.04999999999995</v>
      </c>
      <c r="Q127" s="2"/>
      <c r="R127" s="7">
        <f t="shared" si="73"/>
        <v>2.7123318781226657E-2</v>
      </c>
      <c r="S127" s="2"/>
      <c r="T127" s="6">
        <v>990.37</v>
      </c>
      <c r="U127" s="2"/>
      <c r="V127" s="7">
        <f t="shared" si="74"/>
        <v>1.2156254432613451E-3</v>
      </c>
      <c r="W127" s="2"/>
      <c r="X127" s="6">
        <f t="shared" si="75"/>
        <v>-412.32000000000005</v>
      </c>
      <c r="Y127" s="2"/>
      <c r="Z127" s="7">
        <f t="shared" si="76"/>
        <v>-0.41632925068408783</v>
      </c>
    </row>
    <row r="128" spans="1:26" s="26" customFormat="1" outlineLevel="1" collapsed="1" x14ac:dyDescent="0.25">
      <c r="A128" s="25"/>
      <c r="B128" s="12" t="str">
        <f>CONCATENATE("     ","Training                                          ")</f>
        <v xml:space="preserve">     Training                                          </v>
      </c>
      <c r="C128" s="12"/>
      <c r="D128" s="1">
        <f>SUM(OSRRefD22_13x_0)</f>
        <v>0</v>
      </c>
      <c r="E128" s="1"/>
      <c r="F128" s="5">
        <f t="shared" si="69"/>
        <v>0</v>
      </c>
      <c r="G128" s="1"/>
      <c r="H128" s="1">
        <f>SUM(OSRRefH22_13x_0)</f>
        <v>0</v>
      </c>
      <c r="I128" s="1"/>
      <c r="J128" s="5">
        <f t="shared" si="70"/>
        <v>0</v>
      </c>
      <c r="K128" s="1"/>
      <c r="L128" s="1">
        <f t="shared" si="71"/>
        <v>0</v>
      </c>
      <c r="M128" s="1"/>
      <c r="N128" s="5">
        <f t="shared" si="72"/>
        <v>0</v>
      </c>
      <c r="O128" s="12"/>
      <c r="P128" s="1">
        <f>SUM(OSRRefP22_13x_0)</f>
        <v>14</v>
      </c>
      <c r="Q128" s="1"/>
      <c r="R128" s="5">
        <f t="shared" si="73"/>
        <v>6.5690937278293094E-4</v>
      </c>
      <c r="S128" s="1"/>
      <c r="T128" s="1">
        <f>SUM(OSRRefT22_13x_0)</f>
        <v>314.8</v>
      </c>
      <c r="U128" s="1"/>
      <c r="V128" s="5">
        <f t="shared" si="74"/>
        <v>3.8639992077574184E-4</v>
      </c>
      <c r="W128" s="1"/>
      <c r="X128" s="1">
        <f t="shared" si="75"/>
        <v>-300.8</v>
      </c>
      <c r="Y128" s="1"/>
      <c r="Z128" s="5">
        <f t="shared" si="76"/>
        <v>-0.95552731893265563</v>
      </c>
    </row>
    <row r="129" spans="1:26" s="23" customFormat="1" hidden="1" outlineLevel="2" x14ac:dyDescent="0.25">
      <c r="A129" s="27"/>
      <c r="B129" s="10" t="str">
        <f>CONCATENATE("          ", "6376", " - ", "TRAINING")</f>
        <v xml:space="preserve">          6376 - TRAINING</v>
      </c>
      <c r="C129" s="10"/>
      <c r="D129" s="6"/>
      <c r="E129" s="2"/>
      <c r="F129" s="7">
        <f t="shared" si="69"/>
        <v>0</v>
      </c>
      <c r="G129" s="2"/>
      <c r="H129" s="6"/>
      <c r="I129" s="2"/>
      <c r="J129" s="7">
        <f t="shared" si="70"/>
        <v>0</v>
      </c>
      <c r="K129" s="2"/>
      <c r="L129" s="6">
        <f t="shared" si="71"/>
        <v>0</v>
      </c>
      <c r="M129" s="2"/>
      <c r="N129" s="7">
        <f t="shared" si="72"/>
        <v>0</v>
      </c>
      <c r="O129" s="10"/>
      <c r="P129" s="6">
        <v>14</v>
      </c>
      <c r="Q129" s="2"/>
      <c r="R129" s="7">
        <f t="shared" si="73"/>
        <v>6.5690937278293094E-4</v>
      </c>
      <c r="S129" s="2"/>
      <c r="T129" s="6">
        <v>314.8</v>
      </c>
      <c r="U129" s="2"/>
      <c r="V129" s="7">
        <f t="shared" si="74"/>
        <v>3.8639992077574184E-4</v>
      </c>
      <c r="W129" s="2"/>
      <c r="X129" s="6">
        <f t="shared" si="75"/>
        <v>-300.8</v>
      </c>
      <c r="Y129" s="2"/>
      <c r="Z129" s="7">
        <f t="shared" si="76"/>
        <v>-0.95552731893265563</v>
      </c>
    </row>
    <row r="130" spans="1:26" s="26" customFormat="1" outlineLevel="1" collapsed="1" x14ac:dyDescent="0.25">
      <c r="A130" s="25"/>
      <c r="B130" s="12" t="str">
        <f>CONCATENATE("     ","Travel                                            ")</f>
        <v xml:space="preserve">     Travel                                            </v>
      </c>
      <c r="C130" s="12"/>
      <c r="D130" s="1">
        <f>SUM(OSRRefD22_14x_0)</f>
        <v>0</v>
      </c>
      <c r="E130" s="1"/>
      <c r="F130" s="5">
        <f t="shared" si="69"/>
        <v>0</v>
      </c>
      <c r="G130" s="1"/>
      <c r="H130" s="1">
        <f>SUM(OSRRefH22_14x_0)</f>
        <v>0</v>
      </c>
      <c r="I130" s="1"/>
      <c r="J130" s="5">
        <f t="shared" si="70"/>
        <v>0</v>
      </c>
      <c r="K130" s="1"/>
      <c r="L130" s="1">
        <f t="shared" si="71"/>
        <v>0</v>
      </c>
      <c r="M130" s="1"/>
      <c r="N130" s="5">
        <f t="shared" si="72"/>
        <v>0</v>
      </c>
      <c r="O130" s="12"/>
      <c r="P130" s="1">
        <f>SUM(OSRRefP22_14x_0)</f>
        <v>0</v>
      </c>
      <c r="Q130" s="1"/>
      <c r="R130" s="5">
        <f t="shared" si="73"/>
        <v>0</v>
      </c>
      <c r="S130" s="1"/>
      <c r="T130" s="1">
        <f>SUM(OSRRefT22_14x_0)</f>
        <v>-323.01</v>
      </c>
      <c r="U130" s="1"/>
      <c r="V130" s="5">
        <f t="shared" si="74"/>
        <v>-3.9647725034870504E-4</v>
      </c>
      <c r="W130" s="1"/>
      <c r="X130" s="1">
        <f t="shared" si="75"/>
        <v>323.01</v>
      </c>
      <c r="Y130" s="1"/>
      <c r="Z130" s="5">
        <f t="shared" si="76"/>
        <v>-1</v>
      </c>
    </row>
    <row r="131" spans="1:26" s="23" customFormat="1" hidden="1" outlineLevel="2" x14ac:dyDescent="0.25">
      <c r="A131" s="27"/>
      <c r="B131" s="10" t="str">
        <f>CONCATENATE("          ", "6292", " - ", "TRAVEL/CONFERENCE")</f>
        <v xml:space="preserve">          6292 - TRAVEL/CONFERENCE</v>
      </c>
      <c r="C131" s="10"/>
      <c r="D131" s="6"/>
      <c r="E131" s="2"/>
      <c r="F131" s="7">
        <f t="shared" si="69"/>
        <v>0</v>
      </c>
      <c r="G131" s="2"/>
      <c r="H131" s="6"/>
      <c r="I131" s="2"/>
      <c r="J131" s="7">
        <f t="shared" si="70"/>
        <v>0</v>
      </c>
      <c r="K131" s="2"/>
      <c r="L131" s="6">
        <f t="shared" si="71"/>
        <v>0</v>
      </c>
      <c r="M131" s="2"/>
      <c r="N131" s="7">
        <f t="shared" si="72"/>
        <v>0</v>
      </c>
      <c r="O131" s="10"/>
      <c r="P131" s="6"/>
      <c r="Q131" s="2"/>
      <c r="R131" s="7">
        <f t="shared" si="73"/>
        <v>0</v>
      </c>
      <c r="S131" s="2"/>
      <c r="T131" s="6">
        <v>-323.01</v>
      </c>
      <c r="U131" s="2"/>
      <c r="V131" s="7">
        <f t="shared" si="74"/>
        <v>-3.9647725034870504E-4</v>
      </c>
      <c r="W131" s="2"/>
      <c r="X131" s="6">
        <f t="shared" si="75"/>
        <v>323.01</v>
      </c>
      <c r="Y131" s="2"/>
      <c r="Z131" s="7">
        <f t="shared" si="76"/>
        <v>-1</v>
      </c>
    </row>
    <row r="132" spans="1:26" s="62" customFormat="1" x14ac:dyDescent="0.25">
      <c r="A132" s="37"/>
      <c r="B132" s="37"/>
      <c r="C132" s="37"/>
      <c r="D132" s="1"/>
      <c r="E132" s="1"/>
      <c r="F132" s="5"/>
      <c r="G132" s="1"/>
      <c r="H132" s="1"/>
      <c r="I132" s="1"/>
      <c r="J132" s="5"/>
      <c r="K132" s="1"/>
      <c r="L132" s="1"/>
      <c r="M132" s="1"/>
      <c r="N132" s="5"/>
      <c r="O132" s="37"/>
      <c r="P132" s="1"/>
      <c r="Q132" s="1"/>
      <c r="R132" s="5"/>
      <c r="S132" s="1"/>
      <c r="T132" s="1"/>
      <c r="U132" s="1"/>
      <c r="V132" s="5"/>
      <c r="W132" s="1"/>
      <c r="X132" s="1"/>
      <c r="Y132" s="1"/>
      <c r="Z132" s="5"/>
    </row>
    <row r="133" spans="1:26" s="24" customFormat="1" collapsed="1" x14ac:dyDescent="0.25">
      <c r="A133" s="11"/>
      <c r="B133" s="28" t="s">
        <v>292</v>
      </c>
      <c r="C133" s="11"/>
      <c r="D133" s="4">
        <f>SUM(OSRRefD25x_0)</f>
        <v>0</v>
      </c>
      <c r="E133" s="4"/>
      <c r="F133" s="13">
        <f t="shared" ref="F133:F134" si="77">IF(D$12=0,0,D133/D$12)</f>
        <v>0</v>
      </c>
      <c r="G133" s="4"/>
      <c r="H133" s="4">
        <f>SUM(OSRRefH25x_0)</f>
        <v>0</v>
      </c>
      <c r="I133" s="4"/>
      <c r="J133" s="13">
        <f t="shared" ref="J133:J134" si="78">IF(H$12=0,0,H133/H$12)</f>
        <v>0</v>
      </c>
      <c r="K133" s="4"/>
      <c r="L133" s="4">
        <f t="shared" ref="L133:L134" si="79">+D133-H133</f>
        <v>0</v>
      </c>
      <c r="M133" s="4"/>
      <c r="N133" s="13">
        <f t="shared" ref="N133:N134" si="80">IF(H133=0,0,L133/H133)</f>
        <v>0</v>
      </c>
      <c r="O133" s="11"/>
      <c r="P133" s="4">
        <f>SUM(OSRRefP25x_0)</f>
        <v>0</v>
      </c>
      <c r="Q133" s="4"/>
      <c r="R133" s="13">
        <f t="shared" ref="R133:R134" si="81">IF(P$12=0,0,P133/P$12)</f>
        <v>0</v>
      </c>
      <c r="S133" s="4"/>
      <c r="T133" s="4">
        <f>SUM(OSRRefT25x_0)</f>
        <v>68.760000000000005</v>
      </c>
      <c r="U133" s="4"/>
      <c r="V133" s="13">
        <f t="shared" ref="V133:V134" si="82">IF(T$12=0,0,T133/T$12)</f>
        <v>8.4399169480749709E-5</v>
      </c>
      <c r="W133" s="4"/>
      <c r="X133" s="4">
        <f t="shared" ref="X133:X134" si="83">+P133-T133</f>
        <v>-68.760000000000005</v>
      </c>
      <c r="Y133" s="4"/>
      <c r="Z133" s="13">
        <f t="shared" ref="Z133:Z134" si="84">IF(T133=0,0,X133/T133)</f>
        <v>-1</v>
      </c>
    </row>
    <row r="134" spans="1:26" s="23" customFormat="1" hidden="1" outlineLevel="1" x14ac:dyDescent="0.25">
      <c r="A134" s="44"/>
      <c r="B134" s="10" t="str">
        <f>CONCATENATE("          ", "9150", " - ", "MISC. INCOME")</f>
        <v xml:space="preserve">          9150 - MISC. INCOME</v>
      </c>
      <c r="C134" s="10"/>
      <c r="D134" s="2">
        <f>0</f>
        <v>0</v>
      </c>
      <c r="E134" s="2"/>
      <c r="F134" s="19">
        <f t="shared" si="77"/>
        <v>0</v>
      </c>
      <c r="G134" s="2"/>
      <c r="H134" s="2">
        <f>0</f>
        <v>0</v>
      </c>
      <c r="I134" s="2"/>
      <c r="J134" s="19">
        <f t="shared" si="78"/>
        <v>0</v>
      </c>
      <c r="K134" s="2"/>
      <c r="L134" s="2">
        <f t="shared" si="79"/>
        <v>0</v>
      </c>
      <c r="M134" s="2"/>
      <c r="N134" s="19">
        <f t="shared" si="80"/>
        <v>0</v>
      </c>
      <c r="O134" s="10"/>
      <c r="P134" s="2">
        <f>0</f>
        <v>0</v>
      </c>
      <c r="Q134" s="2"/>
      <c r="R134" s="19">
        <f t="shared" si="81"/>
        <v>0</v>
      </c>
      <c r="S134" s="2"/>
      <c r="T134" s="2">
        <f>--68.76</f>
        <v>68.760000000000005</v>
      </c>
      <c r="U134" s="2"/>
      <c r="V134" s="19">
        <f t="shared" si="82"/>
        <v>8.4399169480749709E-5</v>
      </c>
      <c r="W134" s="2"/>
      <c r="X134" s="2">
        <f t="shared" si="83"/>
        <v>-68.760000000000005</v>
      </c>
      <c r="Y134" s="2"/>
      <c r="Z134" s="19">
        <f t="shared" si="84"/>
        <v>-1</v>
      </c>
    </row>
    <row r="135" spans="1:26" x14ac:dyDescent="0.25">
      <c r="A135" s="9"/>
      <c r="B135" s="11"/>
      <c r="C135" s="11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1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4" customFormat="1" x14ac:dyDescent="0.25">
      <c r="A136" s="11"/>
      <c r="B136" s="29" t="s">
        <v>276</v>
      </c>
      <c r="C136" s="29"/>
      <c r="D136" s="20">
        <f>+D81-D83+D133</f>
        <v>-72.489999999999995</v>
      </c>
      <c r="E136" s="14"/>
      <c r="F136" s="22">
        <f>IF(D$12=0,0,D136/D$12)</f>
        <v>0</v>
      </c>
      <c r="G136" s="14"/>
      <c r="H136" s="20">
        <f>+H81-H83+H133</f>
        <v>-5784.69</v>
      </c>
      <c r="I136" s="14"/>
      <c r="J136" s="22">
        <f>IF(H$12=0,0,H136/H$12)</f>
        <v>-1.8307371445932603</v>
      </c>
      <c r="K136" s="16"/>
      <c r="L136" s="20">
        <f>+D136-H136</f>
        <v>5712.2</v>
      </c>
      <c r="M136" s="16"/>
      <c r="N136" s="22">
        <f>IF(H136=0,0,L136/H136)</f>
        <v>-0.98746864568369264</v>
      </c>
      <c r="O136" s="28"/>
      <c r="P136" s="20">
        <f>+P81-P83+P133</f>
        <v>-5181.929999999993</v>
      </c>
      <c r="Q136" s="14"/>
      <c r="R136" s="22">
        <f>IF(P$12=0,0,P136/P$12)</f>
        <v>-0.24314702757893206</v>
      </c>
      <c r="S136" s="14"/>
      <c r="T136" s="20">
        <f>+T81-T83+T133</f>
        <v>198693.90000000017</v>
      </c>
      <c r="U136" s="14"/>
      <c r="V136" s="22">
        <f>IF(T$12=0,0,T136/T$12)</f>
        <v>0.24388598227008651</v>
      </c>
      <c r="W136" s="16"/>
      <c r="X136" s="20">
        <f>+P136-T136</f>
        <v>-203875.83000000016</v>
      </c>
      <c r="Y136" s="16"/>
      <c r="Z136" s="22">
        <f>IF(T136=0,0,X136/T136)</f>
        <v>-1.0260799652128223</v>
      </c>
    </row>
    <row r="137" spans="1:26" x14ac:dyDescent="0.25">
      <c r="A137" s="9"/>
      <c r="B137" s="11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4" customFormat="1" x14ac:dyDescent="0.25">
      <c r="A138" s="51"/>
      <c r="B138" s="11" t="s">
        <v>127</v>
      </c>
      <c r="C138" s="11"/>
      <c r="D138" s="4">
        <v>66.33</v>
      </c>
      <c r="E138" s="4"/>
      <c r="F138" s="13">
        <f>IF(D$12=0,0,D138/D$12)</f>
        <v>0</v>
      </c>
      <c r="G138" s="4"/>
      <c r="H138" s="4">
        <v>5544.85</v>
      </c>
      <c r="I138" s="4"/>
      <c r="J138" s="13">
        <f>IF(H$12=0,0,H138/H$12)</f>
        <v>1.7548326455173813</v>
      </c>
      <c r="K138" s="4"/>
      <c r="L138" s="4">
        <f>+D138-H138</f>
        <v>-5478.52</v>
      </c>
      <c r="M138" s="4"/>
      <c r="N138" s="13">
        <f>IF(H138=0,0,L138/H138)</f>
        <v>-0.98803754835568136</v>
      </c>
      <c r="O138" s="11"/>
      <c r="P138" s="4">
        <v>4458.54</v>
      </c>
      <c r="Q138" s="4"/>
      <c r="R138" s="13">
        <f>IF(P$12=0,0,P138/P$12)</f>
        <v>0.20920405106625778</v>
      </c>
      <c r="S138" s="4"/>
      <c r="T138" s="4">
        <v>92503.35</v>
      </c>
      <c r="U138" s="4"/>
      <c r="V138" s="13">
        <f>IF(T$12=0,0,T138/T$12)</f>
        <v>0.11354284342913189</v>
      </c>
      <c r="W138" s="4"/>
      <c r="X138" s="4">
        <f>+P138-T138</f>
        <v>-88044.810000000012</v>
      </c>
      <c r="Y138" s="4"/>
      <c r="Z138" s="13">
        <f>IF(T138=0,0,X138/T138)</f>
        <v>-0.95180131314163219</v>
      </c>
    </row>
    <row r="139" spans="1:26" x14ac:dyDescent="0.25">
      <c r="A139" s="9"/>
      <c r="B139" s="11"/>
      <c r="C139" s="11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1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4" customFormat="1" ht="15.75" thickBot="1" x14ac:dyDescent="0.3">
      <c r="A140" s="11"/>
      <c r="B140" s="29" t="s">
        <v>125</v>
      </c>
      <c r="C140" s="29"/>
      <c r="D140" s="30">
        <f>+D136-D138</f>
        <v>-138.82</v>
      </c>
      <c r="E140" s="14"/>
      <c r="F140" s="34">
        <f>IF(D$12=0,0,D140/D$12)</f>
        <v>0</v>
      </c>
      <c r="G140" s="14"/>
      <c r="H140" s="30">
        <f>+H136-H138</f>
        <v>-11329.54</v>
      </c>
      <c r="I140" s="14"/>
      <c r="J140" s="34">
        <f>IF(H$12=0,0,H140/H$12)</f>
        <v>-3.5855697901106418</v>
      </c>
      <c r="K140" s="16"/>
      <c r="L140" s="30">
        <f>D140-H140</f>
        <v>11190.720000000001</v>
      </c>
      <c r="M140" s="16"/>
      <c r="N140" s="34">
        <f>IF(H140=0,0,L140/H140)</f>
        <v>-0.98774707534463013</v>
      </c>
      <c r="O140" s="28"/>
      <c r="P140" s="30">
        <f>+P136-P138</f>
        <v>-9640.4699999999939</v>
      </c>
      <c r="Q140" s="14"/>
      <c r="R140" s="34">
        <f>IF(P$12=0,0,P140/P$12)</f>
        <v>-0.45235107864518986</v>
      </c>
      <c r="S140" s="14"/>
      <c r="T140" s="30">
        <f>+T136-T138</f>
        <v>106190.55000000016</v>
      </c>
      <c r="U140" s="14"/>
      <c r="V140" s="34">
        <f>IF(T$12=0,0,T140/T$12)</f>
        <v>0.13034313884095461</v>
      </c>
      <c r="W140" s="16"/>
      <c r="X140" s="30">
        <f>P140-T140</f>
        <v>-115831.02000000016</v>
      </c>
      <c r="Y140" s="16"/>
      <c r="Z140" s="34">
        <f>IF(T140=0,0,X140/T140)</f>
        <v>-1.0907846319658387</v>
      </c>
    </row>
    <row r="141" spans="1:26" ht="15.75" thickTop="1" x14ac:dyDescent="0.25">
      <c r="A141" s="9"/>
      <c r="B141" s="9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4" customFormat="1" ht="15.75" thickBot="1" x14ac:dyDescent="0.3">
      <c r="A143" s="11"/>
      <c r="B143" s="29" t="s">
        <v>293</v>
      </c>
      <c r="C143" s="29"/>
      <c r="D143" s="32">
        <f>SUM(D140:D142)</f>
        <v>-138.82</v>
      </c>
      <c r="E143" s="14"/>
      <c r="F143" s="35">
        <f>IF(D$12=0,0,D143/D$12)</f>
        <v>0</v>
      </c>
      <c r="G143" s="14"/>
      <c r="H143" s="32">
        <f>SUM(H140:H142)</f>
        <v>-11329.54</v>
      </c>
      <c r="I143" s="14"/>
      <c r="J143" s="35">
        <f>IF(H$12=0,0,H143/H$12)</f>
        <v>-3.5855697901106418</v>
      </c>
      <c r="K143" s="16"/>
      <c r="L143" s="32">
        <f>+D143-H143</f>
        <v>11190.720000000001</v>
      </c>
      <c r="M143" s="16"/>
      <c r="N143" s="35">
        <f>IF(H143=0,0,L143/H143)</f>
        <v>-0.98774707534463013</v>
      </c>
      <c r="O143" s="28"/>
      <c r="P143" s="32">
        <f>SUM(P140:P142)</f>
        <v>-9640.4699999999939</v>
      </c>
      <c r="Q143" s="14"/>
      <c r="R143" s="35">
        <f>IF(P$12=0,0,P143/P$12)</f>
        <v>-0.45235107864518986</v>
      </c>
      <c r="S143" s="14"/>
      <c r="T143" s="32">
        <f>SUM(T140:T142)</f>
        <v>106190.55000000016</v>
      </c>
      <c r="U143" s="14"/>
      <c r="V143" s="35">
        <f>IF(T$12=0,0,T143/T$12)</f>
        <v>0.13034313884095461</v>
      </c>
      <c r="W143" s="16"/>
      <c r="X143" s="32">
        <f>+P143-T143</f>
        <v>-115831.02000000016</v>
      </c>
      <c r="Y143" s="16"/>
      <c r="Z143" s="35">
        <f>IF(T143=0,0,X143/T143)</f>
        <v>-1.0907846319658387</v>
      </c>
    </row>
    <row r="144" spans="1:26" ht="15.75" thickTop="1" x14ac:dyDescent="0.25">
      <c r="A144" s="9"/>
      <c r="C144" s="9"/>
      <c r="D144" s="17"/>
      <c r="E144" s="17"/>
      <c r="G144" s="17"/>
      <c r="H144" s="17"/>
      <c r="I144" s="17"/>
      <c r="J144" s="42"/>
      <c r="K144" s="17"/>
      <c r="L144" s="17"/>
      <c r="M144" s="17"/>
      <c r="P144" s="17"/>
      <c r="Q144" s="17"/>
      <c r="R144" s="42"/>
      <c r="S144" s="17"/>
      <c r="T144" s="17"/>
      <c r="U144" s="17"/>
      <c r="V144" s="42"/>
      <c r="W144" s="17"/>
      <c r="X144" s="17"/>
    </row>
    <row r="145" spans="1:24" x14ac:dyDescent="0.25">
      <c r="A145" s="9"/>
      <c r="B145" s="59">
        <v>44330.008831828702</v>
      </c>
      <c r="D145" s="17"/>
      <c r="E145" s="17"/>
      <c r="G145" s="17"/>
      <c r="H145" s="17"/>
      <c r="I145" s="17"/>
      <c r="J145" s="42"/>
      <c r="K145" s="17"/>
      <c r="L145" s="17"/>
      <c r="M145" s="17"/>
      <c r="P145" s="17"/>
      <c r="Q145" s="17"/>
      <c r="R145" s="42"/>
      <c r="S145" s="17"/>
      <c r="T145" s="17"/>
      <c r="U145" s="17"/>
      <c r="V145" s="42"/>
      <c r="W145" s="17"/>
      <c r="X145" s="17"/>
    </row>
    <row r="146" spans="1:24" x14ac:dyDescent="0.25">
      <c r="A146" s="9"/>
      <c r="B146" s="52" t="s">
        <v>56</v>
      </c>
      <c r="D146" s="17"/>
      <c r="E146" s="17"/>
      <c r="G146" s="17"/>
      <c r="H146" s="17"/>
      <c r="I146" s="17"/>
      <c r="J146" s="42"/>
      <c r="K146" s="17"/>
      <c r="L146" s="17"/>
      <c r="M146" s="17"/>
      <c r="P146" s="17"/>
      <c r="Q146" s="17"/>
      <c r="R146" s="42"/>
      <c r="S146" s="17"/>
      <c r="T146" s="17"/>
      <c r="U146" s="17"/>
      <c r="V146" s="42"/>
      <c r="W146" s="17"/>
      <c r="X146" s="17"/>
    </row>
    <row r="147" spans="1:24" x14ac:dyDescent="0.25">
      <c r="A147" s="9"/>
      <c r="B147" s="55"/>
      <c r="D147" s="17"/>
      <c r="E147" s="17"/>
      <c r="G147" s="17"/>
      <c r="H147" s="17"/>
      <c r="I147" s="17"/>
      <c r="J147" s="42"/>
      <c r="K147" s="17"/>
      <c r="L147" s="17"/>
      <c r="M147" s="17"/>
      <c r="P147" s="17"/>
      <c r="Q147" s="17"/>
      <c r="R147" s="42"/>
      <c r="S147" s="17"/>
      <c r="T147" s="17"/>
      <c r="U147" s="17"/>
      <c r="V147" s="42"/>
      <c r="W147" s="17"/>
      <c r="X147" s="17"/>
    </row>
    <row r="148" spans="1:24" x14ac:dyDescent="0.25">
      <c r="D148" s="17"/>
      <c r="E148" s="17"/>
      <c r="G148" s="17"/>
      <c r="H148" s="17"/>
      <c r="I148" s="17"/>
      <c r="J148" s="42"/>
      <c r="K148" s="17"/>
      <c r="L148" s="17"/>
      <c r="M148" s="17"/>
      <c r="P148" s="17"/>
      <c r="Q148" s="17"/>
      <c r="R148" s="42"/>
      <c r="S148" s="17"/>
      <c r="T148" s="17"/>
      <c r="U148" s="17"/>
      <c r="V148" s="42"/>
      <c r="W148" s="17"/>
      <c r="X148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3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","307", " - ", "Art Store")</f>
        <v>Department 307 - Art Store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49" si="0">+D12-H12</f>
        <v>0</v>
      </c>
      <c r="M12" s="4"/>
      <c r="N12" s="13">
        <f t="shared" ref="N12:N49" si="1">IF(H12=0,0,L12/H12)</f>
        <v>0</v>
      </c>
      <c r="O12" s="11"/>
      <c r="P12" s="4">
        <f>SUM(OSRRefP13x_0)</f>
        <v>21311.919999999998</v>
      </c>
      <c r="Q12" s="4"/>
      <c r="R12" s="13"/>
      <c r="S12" s="4"/>
      <c r="T12" s="4">
        <f>SUM(OSRRefT13x_0)</f>
        <v>410549.44000000024</v>
      </c>
      <c r="U12" s="4"/>
      <c r="V12" s="13"/>
      <c r="W12" s="4"/>
      <c r="X12" s="4">
        <f t="shared" ref="X12:X49" si="2">+P12-T12</f>
        <v>-389237.52000000025</v>
      </c>
      <c r="Y12" s="4"/>
      <c r="Z12" s="13">
        <f t="shared" ref="Z12:Z49" si="3">IF(T12=0,0,X12/T12)</f>
        <v>-0.94808927275604138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 t="shared" ref="D13:D49" si="4">0</f>
        <v>0</v>
      </c>
      <c r="E13" s="2"/>
      <c r="F13" s="19"/>
      <c r="G13" s="2"/>
      <c r="H13" s="2">
        <f t="shared" ref="H13:H49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"4017", " - ", "TAXABLE SALES-DORM/HOUSEWARES")</f>
        <v xml:space="preserve">          4017 - TAXABLE SALES-DORM/HOUSEWARES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ref="P14:P15" si="6">0</f>
        <v>0</v>
      </c>
      <c r="Q14" s="2"/>
      <c r="R14" s="19"/>
      <c r="S14" s="2"/>
      <c r="T14" s="2">
        <f>--71.37</f>
        <v>71.37</v>
      </c>
      <c r="U14" s="2"/>
      <c r="V14" s="19"/>
      <c r="W14" s="2"/>
      <c r="X14" s="2">
        <f t="shared" si="2"/>
        <v>-71.37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"4025", " - ", "TAXABLE SALES-TEST FORMS")</f>
        <v xml:space="preserve">          4025 - TAXABLE SALES-TEST FORMS</v>
      </c>
      <c r="C15" s="10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6"/>
        <v>0</v>
      </c>
      <c r="Q15" s="2"/>
      <c r="R15" s="19"/>
      <c r="S15" s="2"/>
      <c r="T15" s="2">
        <f>--2262.94</f>
        <v>2262.94</v>
      </c>
      <c r="U15" s="2"/>
      <c r="V15" s="19"/>
      <c r="W15" s="2"/>
      <c r="X15" s="2">
        <f t="shared" si="2"/>
        <v>-2262.94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"4026", " - ", "TAXABLE SALES-WRITING INSTRUME")</f>
        <v xml:space="preserve">          4026 - TAXABLE SALES-WRITING INSTRUME</v>
      </c>
      <c r="C16" s="10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>--17.51</f>
        <v>17.510000000000002</v>
      </c>
      <c r="Q16" s="2"/>
      <c r="R16" s="19"/>
      <c r="S16" s="2"/>
      <c r="T16" s="2">
        <f>--6663.38</f>
        <v>6663.38</v>
      </c>
      <c r="U16" s="2"/>
      <c r="V16" s="19"/>
      <c r="W16" s="2"/>
      <c r="X16" s="2">
        <f t="shared" si="2"/>
        <v>-6645.87</v>
      </c>
      <c r="Y16" s="2"/>
      <c r="Z16" s="19">
        <f t="shared" si="3"/>
        <v>-0.99737220449681685</v>
      </c>
    </row>
    <row r="17" spans="1:26" s="23" customFormat="1" hidden="1" outlineLevel="1" x14ac:dyDescent="0.25">
      <c r="A17" s="44"/>
      <c r="B17" s="10" t="str">
        <f>CONCATENATE("          ", "4027", " - ", "TAXABLE SALES-SCHOOL SUPPLIES")</f>
        <v xml:space="preserve">          4027 - TAXABLE SALES-SCHOOL SUPPLIES</v>
      </c>
      <c r="C17" s="10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--7990.32</f>
        <v>7990.32</v>
      </c>
      <c r="Q17" s="2"/>
      <c r="R17" s="19"/>
      <c r="S17" s="2"/>
      <c r="T17" s="2">
        <f>--9231.13</f>
        <v>9231.1299999999992</v>
      </c>
      <c r="U17" s="2"/>
      <c r="V17" s="19"/>
      <c r="W17" s="2"/>
      <c r="X17" s="2">
        <f t="shared" si="2"/>
        <v>-1240.8099999999995</v>
      </c>
      <c r="Y17" s="2"/>
      <c r="Z17" s="19">
        <f t="shared" si="3"/>
        <v>-0.13441582991464746</v>
      </c>
    </row>
    <row r="18" spans="1:26" s="23" customFormat="1" hidden="1" outlineLevel="1" x14ac:dyDescent="0.25">
      <c r="A18" s="44"/>
      <c r="B18" s="10" t="str">
        <f>CONCATENATE("          ", "4028", " - ", "TAXABLE SALES-ART/TECH")</f>
        <v xml:space="preserve">          4028 - TAXABLE SALES-ART/TECH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--12479.05</f>
        <v>12479.05</v>
      </c>
      <c r="Q18" s="2"/>
      <c r="R18" s="19"/>
      <c r="S18" s="2"/>
      <c r="T18" s="2">
        <f>--280493.72</f>
        <v>280493.71999999997</v>
      </c>
      <c r="U18" s="2"/>
      <c r="V18" s="19"/>
      <c r="W18" s="2"/>
      <c r="X18" s="2">
        <f t="shared" si="2"/>
        <v>-268014.67</v>
      </c>
      <c r="Y18" s="2"/>
      <c r="Z18" s="19">
        <f t="shared" si="3"/>
        <v>-0.95551041214042154</v>
      </c>
    </row>
    <row r="19" spans="1:26" s="23" customFormat="1" hidden="1" outlineLevel="1" x14ac:dyDescent="0.25">
      <c r="A19" s="44"/>
      <c r="B19" s="10" t="str">
        <f>CONCATENATE("          ", "4031", " - ", "TAXABLE SALES-FOOD")</f>
        <v xml:space="preserve">          4031 - TAXABLE SALES-FOOD</v>
      </c>
      <c r="C19" s="10"/>
      <c r="D19" s="2">
        <f t="shared" si="4"/>
        <v>0</v>
      </c>
      <c r="E19" s="2"/>
      <c r="F19" s="19"/>
      <c r="G19" s="2"/>
      <c r="H19" s="2">
        <f t="shared" si="5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0"/>
      <c r="P19" s="2">
        <f>--374.55</f>
        <v>374.55</v>
      </c>
      <c r="Q19" s="2"/>
      <c r="R19" s="19"/>
      <c r="S19" s="2"/>
      <c r="T19" s="2">
        <f>--486.34</f>
        <v>486.34</v>
      </c>
      <c r="U19" s="2"/>
      <c r="V19" s="19"/>
      <c r="W19" s="2"/>
      <c r="X19" s="2">
        <f t="shared" si="2"/>
        <v>-111.78999999999996</v>
      </c>
      <c r="Y19" s="2"/>
      <c r="Z19" s="19">
        <f t="shared" si="3"/>
        <v>-0.22985976888596449</v>
      </c>
    </row>
    <row r="20" spans="1:26" s="23" customFormat="1" hidden="1" outlineLevel="1" x14ac:dyDescent="0.25">
      <c r="A20" s="44"/>
      <c r="B20" s="10" t="str">
        <f>CONCATENATE("          ", "4032", " - ", "TAXABLE SALES-JUICE")</f>
        <v xml:space="preserve">          4032 - TAXABLE SALES-JUICE</v>
      </c>
      <c r="C20" s="10"/>
      <c r="D20" s="2">
        <f t="shared" si="4"/>
        <v>0</v>
      </c>
      <c r="E20" s="2"/>
      <c r="F20" s="19"/>
      <c r="G20" s="2"/>
      <c r="H20" s="2">
        <f t="shared" si="5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0"/>
      <c r="P20" s="2">
        <f t="shared" ref="P20:P27" si="7">0</f>
        <v>0</v>
      </c>
      <c r="Q20" s="2"/>
      <c r="R20" s="19"/>
      <c r="S20" s="2"/>
      <c r="T20" s="2">
        <f>--1905.06</f>
        <v>1905.06</v>
      </c>
      <c r="U20" s="2"/>
      <c r="V20" s="19"/>
      <c r="W20" s="2"/>
      <c r="X20" s="2">
        <f t="shared" si="2"/>
        <v>-1905.06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"4033", " - ", "TAXABLE SALES-CANDY")</f>
        <v xml:space="preserve">          4033 - TAXABLE SALES-CANDY</v>
      </c>
      <c r="C21" s="10"/>
      <c r="D21" s="2">
        <f t="shared" si="4"/>
        <v>0</v>
      </c>
      <c r="E21" s="2"/>
      <c r="F21" s="19"/>
      <c r="G21" s="2"/>
      <c r="H21" s="2">
        <f t="shared" si="5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si="7"/>
        <v>0</v>
      </c>
      <c r="Q21" s="2"/>
      <c r="R21" s="19"/>
      <c r="S21" s="2"/>
      <c r="T21" s="2">
        <f>--205.53</f>
        <v>205.53</v>
      </c>
      <c r="U21" s="2"/>
      <c r="V21" s="19"/>
      <c r="W21" s="2"/>
      <c r="X21" s="2">
        <f t="shared" si="2"/>
        <v>-205.53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"4034", " - ", "TAXABLE SALES-SODA")</f>
        <v xml:space="preserve">          4034 - TAXABLE SALES-SODA</v>
      </c>
      <c r="C22" s="10"/>
      <c r="D22" s="2">
        <f t="shared" si="4"/>
        <v>0</v>
      </c>
      <c r="E22" s="2"/>
      <c r="F22" s="19"/>
      <c r="G22" s="2"/>
      <c r="H22" s="2">
        <f t="shared" si="5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0"/>
      <c r="P22" s="2">
        <f t="shared" si="7"/>
        <v>0</v>
      </c>
      <c r="Q22" s="2"/>
      <c r="R22" s="19"/>
      <c r="S22" s="2"/>
      <c r="T22" s="2">
        <f>--7803.51</f>
        <v>7803.51</v>
      </c>
      <c r="U22" s="2"/>
      <c r="V22" s="19"/>
      <c r="W22" s="2"/>
      <c r="X22" s="2">
        <f t="shared" si="2"/>
        <v>-7803.51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"4035", " - ", "TAXABLE SALES-HEALTH &amp; BEAUTY")</f>
        <v xml:space="preserve">          4035 - TAXABLE SALES-HEALTH &amp; BEAUTY</v>
      </c>
      <c r="C23" s="10"/>
      <c r="D23" s="2">
        <f t="shared" si="4"/>
        <v>0</v>
      </c>
      <c r="E23" s="2"/>
      <c r="F23" s="19"/>
      <c r="G23" s="2"/>
      <c r="H23" s="2">
        <f t="shared" si="5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 t="shared" si="7"/>
        <v>0</v>
      </c>
      <c r="Q23" s="2"/>
      <c r="R23" s="19"/>
      <c r="S23" s="2"/>
      <c r="T23" s="2">
        <f>--1961.69</f>
        <v>1961.69</v>
      </c>
      <c r="U23" s="2"/>
      <c r="V23" s="19"/>
      <c r="W23" s="2"/>
      <c r="X23" s="2">
        <f t="shared" si="2"/>
        <v>-1961.69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"4037", " - ", "TAXABLE SALES-WATER")</f>
        <v xml:space="preserve">          4037 - TAXABLE SALES-WATER</v>
      </c>
      <c r="C24" s="10"/>
      <c r="D24" s="2">
        <f t="shared" si="4"/>
        <v>0</v>
      </c>
      <c r="E24" s="2"/>
      <c r="F24" s="19"/>
      <c r="G24" s="2"/>
      <c r="H24" s="2">
        <f t="shared" si="5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 t="shared" si="7"/>
        <v>0</v>
      </c>
      <c r="Q24" s="2"/>
      <c r="R24" s="19"/>
      <c r="S24" s="2"/>
      <c r="T24" s="2">
        <f>--513.51</f>
        <v>513.51</v>
      </c>
      <c r="U24" s="2"/>
      <c r="V24" s="19"/>
      <c r="W24" s="2"/>
      <c r="X24" s="2">
        <f t="shared" si="2"/>
        <v>-513.51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"4041", " - ", "TAXABLE SALES-LOGO GIFTS")</f>
        <v xml:space="preserve">          4041 - TAXABLE SALES-LOGO GIFTS</v>
      </c>
      <c r="C25" s="10"/>
      <c r="D25" s="2">
        <f t="shared" si="4"/>
        <v>0</v>
      </c>
      <c r="E25" s="2"/>
      <c r="F25" s="19"/>
      <c r="G25" s="2"/>
      <c r="H25" s="2">
        <f t="shared" si="5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 t="shared" si="7"/>
        <v>0</v>
      </c>
      <c r="Q25" s="2"/>
      <c r="R25" s="19"/>
      <c r="S25" s="2"/>
      <c r="T25" s="2">
        <f>--494.2</f>
        <v>494.2</v>
      </c>
      <c r="U25" s="2"/>
      <c r="V25" s="19"/>
      <c r="W25" s="2"/>
      <c r="X25" s="2">
        <f t="shared" si="2"/>
        <v>-494.2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"4042", " - ", "TAXABLE SALES-EVERYDAY GIFTS")</f>
        <v xml:space="preserve">          4042 - TAXABLE SALES-EVERYDAY GIFTS</v>
      </c>
      <c r="C26" s="10"/>
      <c r="D26" s="2">
        <f t="shared" si="4"/>
        <v>0</v>
      </c>
      <c r="E26" s="2"/>
      <c r="F26" s="19"/>
      <c r="G26" s="2"/>
      <c r="H26" s="2">
        <f t="shared" si="5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0"/>
      <c r="P26" s="2">
        <f t="shared" si="7"/>
        <v>0</v>
      </c>
      <c r="Q26" s="2"/>
      <c r="R26" s="19"/>
      <c r="S26" s="2"/>
      <c r="T26" s="2">
        <f>--583.7</f>
        <v>583.70000000000005</v>
      </c>
      <c r="U26" s="2"/>
      <c r="V26" s="19"/>
      <c r="W26" s="2"/>
      <c r="X26" s="2">
        <f t="shared" si="2"/>
        <v>-583.70000000000005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"4044", " - ", "TAXABLE SALES-ACCESSORIES")</f>
        <v xml:space="preserve">          4044 - TAXABLE SALES-ACCESSORIES</v>
      </c>
      <c r="C27" s="10"/>
      <c r="D27" s="2">
        <f t="shared" si="4"/>
        <v>0</v>
      </c>
      <c r="E27" s="2"/>
      <c r="F27" s="19"/>
      <c r="G27" s="2"/>
      <c r="H27" s="2">
        <f t="shared" si="5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si="7"/>
        <v>0</v>
      </c>
      <c r="Q27" s="2"/>
      <c r="R27" s="19"/>
      <c r="S27" s="2"/>
      <c r="T27" s="2">
        <f>--179.5</f>
        <v>179.5</v>
      </c>
      <c r="U27" s="2"/>
      <c r="V27" s="19"/>
      <c r="W27" s="2"/>
      <c r="X27" s="2">
        <f t="shared" si="2"/>
        <v>-179.5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"4081", " - ", "TAXABLE SALES-ELECTRONICS")</f>
        <v xml:space="preserve">          4081 - TAXABLE SALES-ELECTRONICS</v>
      </c>
      <c r="C28" s="10"/>
      <c r="D28" s="2">
        <f t="shared" si="4"/>
        <v>0</v>
      </c>
      <c r="E28" s="2"/>
      <c r="F28" s="19"/>
      <c r="G28" s="2"/>
      <c r="H28" s="2">
        <f t="shared" si="5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>--71.95</f>
        <v>71.95</v>
      </c>
      <c r="Q28" s="2"/>
      <c r="R28" s="19"/>
      <c r="S28" s="2"/>
      <c r="T28" s="2">
        <f>--3174.93</f>
        <v>3174.93</v>
      </c>
      <c r="U28" s="2"/>
      <c r="V28" s="19"/>
      <c r="W28" s="2"/>
      <c r="X28" s="2">
        <f t="shared" si="2"/>
        <v>-3102.98</v>
      </c>
      <c r="Y28" s="2"/>
      <c r="Z28" s="19">
        <f t="shared" si="3"/>
        <v>-0.97733808304435066</v>
      </c>
    </row>
    <row r="29" spans="1:26" s="23" customFormat="1" hidden="1" outlineLevel="1" x14ac:dyDescent="0.25">
      <c r="A29" s="44"/>
      <c r="B29" s="10" t="str">
        <f>CONCATENATE("          ", "4082", " - ", "TAXABLE SALES-COMPUTER HARDWAR")</f>
        <v xml:space="preserve">          4082 - TAXABLE SALES-COMPUTER HARDWAR</v>
      </c>
      <c r="C29" s="10"/>
      <c r="D29" s="2">
        <f t="shared" si="4"/>
        <v>0</v>
      </c>
      <c r="E29" s="2"/>
      <c r="F29" s="19"/>
      <c r="G29" s="2"/>
      <c r="H29" s="2">
        <f t="shared" si="5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0</f>
        <v>0</v>
      </c>
      <c r="Q29" s="2"/>
      <c r="R29" s="19"/>
      <c r="S29" s="2"/>
      <c r="T29" s="2">
        <f>--363.94</f>
        <v>363.94</v>
      </c>
      <c r="U29" s="2"/>
      <c r="V29" s="19"/>
      <c r="W29" s="2"/>
      <c r="X29" s="2">
        <f t="shared" si="2"/>
        <v>-363.94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"4083", " - ", "TAXABLE SALES-COMPUTER EQUIPME")</f>
        <v xml:space="preserve">          4083 - TAXABLE SALES-COMPUTER EQUIPME</v>
      </c>
      <c r="C30" s="10"/>
      <c r="D30" s="2">
        <f t="shared" si="4"/>
        <v>0</v>
      </c>
      <c r="E30" s="2"/>
      <c r="F30" s="19"/>
      <c r="G30" s="2"/>
      <c r="H30" s="2">
        <f t="shared" si="5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--9.99</f>
        <v>9.99</v>
      </c>
      <c r="Q30" s="2"/>
      <c r="R30" s="19"/>
      <c r="S30" s="2"/>
      <c r="T30" s="2">
        <f>--914.33</f>
        <v>914.33</v>
      </c>
      <c r="U30" s="2"/>
      <c r="V30" s="19"/>
      <c r="W30" s="2"/>
      <c r="X30" s="2">
        <f t="shared" si="2"/>
        <v>-904.34</v>
      </c>
      <c r="Y30" s="2"/>
      <c r="Z30" s="19">
        <f t="shared" si="3"/>
        <v>-0.98907396672973646</v>
      </c>
    </row>
    <row r="31" spans="1:26" s="23" customFormat="1" hidden="1" outlineLevel="1" x14ac:dyDescent="0.25">
      <c r="A31" s="44"/>
      <c r="B31" s="10" t="str">
        <f>CONCATENATE("          ", "4086", " - ", "TAXABLE SALES-COMPUTER SUPPLIE")</f>
        <v xml:space="preserve">          4086 - TAXABLE SALES-COMPUTER SUPPLIE</v>
      </c>
      <c r="C31" s="10"/>
      <c r="D31" s="2">
        <f t="shared" si="4"/>
        <v>0</v>
      </c>
      <c r="E31" s="2"/>
      <c r="F31" s="19"/>
      <c r="G31" s="2"/>
      <c r="H31" s="2">
        <f t="shared" si="5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 t="shared" ref="P31:P34" si="8">0</f>
        <v>0</v>
      </c>
      <c r="Q31" s="2"/>
      <c r="R31" s="19"/>
      <c r="S31" s="2"/>
      <c r="T31" s="2">
        <f>--813.74</f>
        <v>813.74</v>
      </c>
      <c r="U31" s="2"/>
      <c r="V31" s="19"/>
      <c r="W31" s="2"/>
      <c r="X31" s="2">
        <f t="shared" si="2"/>
        <v>-813.74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"4126", " - ", "NON-TAXABLE SALES-WRITING INST")</f>
        <v xml:space="preserve">          4126 - NON-TAXABLE SALES-WRITING INST</v>
      </c>
      <c r="C32" s="10"/>
      <c r="D32" s="2">
        <f t="shared" si="4"/>
        <v>0</v>
      </c>
      <c r="E32" s="2"/>
      <c r="F32" s="19"/>
      <c r="G32" s="2"/>
      <c r="H32" s="2">
        <f t="shared" si="5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si="8"/>
        <v>0</v>
      </c>
      <c r="Q32" s="2"/>
      <c r="R32" s="19"/>
      <c r="S32" s="2"/>
      <c r="T32" s="2">
        <f>--2.49</f>
        <v>2.4900000000000002</v>
      </c>
      <c r="U32" s="2"/>
      <c r="V32" s="19"/>
      <c r="W32" s="2"/>
      <c r="X32" s="2">
        <f t="shared" si="2"/>
        <v>-2.4900000000000002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"4127", " - ", "NON-TAXABLE SALES-SCHOOL SUPPL")</f>
        <v xml:space="preserve">          4127 - NON-TAXABLE SALES-SCHOOL SUPPL</v>
      </c>
      <c r="C33" s="10"/>
      <c r="D33" s="2">
        <f t="shared" si="4"/>
        <v>0</v>
      </c>
      <c r="E33" s="2"/>
      <c r="F33" s="19"/>
      <c r="G33" s="2"/>
      <c r="H33" s="2">
        <f t="shared" si="5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8"/>
        <v>0</v>
      </c>
      <c r="Q33" s="2"/>
      <c r="R33" s="19"/>
      <c r="S33" s="2"/>
      <c r="T33" s="2">
        <f>--16.45</f>
        <v>16.45</v>
      </c>
      <c r="U33" s="2"/>
      <c r="V33" s="19"/>
      <c r="W33" s="2"/>
      <c r="X33" s="2">
        <f t="shared" si="2"/>
        <v>-16.45</v>
      </c>
      <c r="Y33" s="2"/>
      <c r="Z33" s="19">
        <f t="shared" si="3"/>
        <v>-1</v>
      </c>
    </row>
    <row r="34" spans="1:26" s="23" customFormat="1" hidden="1" outlineLevel="1" x14ac:dyDescent="0.25">
      <c r="A34" s="44"/>
      <c r="B34" s="10" t="str">
        <f>CONCATENATE("          ", "4128", " - ", "NON-TAXABLE SALES-ART/TECH")</f>
        <v xml:space="preserve">          4128 - NON-TAXABLE SALES-ART/TECH</v>
      </c>
      <c r="C34" s="10"/>
      <c r="D34" s="2">
        <f t="shared" si="4"/>
        <v>0</v>
      </c>
      <c r="E34" s="2"/>
      <c r="F34" s="19"/>
      <c r="G34" s="2"/>
      <c r="H34" s="2">
        <f t="shared" si="5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 t="shared" si="8"/>
        <v>0</v>
      </c>
      <c r="Q34" s="2"/>
      <c r="R34" s="19"/>
      <c r="S34" s="2"/>
      <c r="T34" s="2">
        <f>--242.09</f>
        <v>242.09</v>
      </c>
      <c r="U34" s="2"/>
      <c r="V34" s="19"/>
      <c r="W34" s="2"/>
      <c r="X34" s="2">
        <f t="shared" si="2"/>
        <v>-242.09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"4131", " - ", "NON-TAXABLE SALES-FOOD")</f>
        <v xml:space="preserve">          4131 - NON-TAXABLE SALES-FOOD</v>
      </c>
      <c r="C35" s="10"/>
      <c r="D35" s="2">
        <f t="shared" si="4"/>
        <v>0</v>
      </c>
      <c r="E35" s="2"/>
      <c r="F35" s="19"/>
      <c r="G35" s="2"/>
      <c r="H35" s="2">
        <f t="shared" si="5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--1847.16</f>
        <v>1847.16</v>
      </c>
      <c r="Q35" s="2"/>
      <c r="R35" s="19"/>
      <c r="S35" s="2"/>
      <c r="T35" s="2">
        <f>--56310.14</f>
        <v>56310.14</v>
      </c>
      <c r="U35" s="2"/>
      <c r="V35" s="19"/>
      <c r="W35" s="2"/>
      <c r="X35" s="2">
        <f t="shared" si="2"/>
        <v>-54462.979999999996</v>
      </c>
      <c r="Y35" s="2"/>
      <c r="Z35" s="19">
        <f t="shared" si="3"/>
        <v>-0.96719667186052094</v>
      </c>
    </row>
    <row r="36" spans="1:26" s="23" customFormat="1" hidden="1" outlineLevel="1" x14ac:dyDescent="0.25">
      <c r="A36" s="44"/>
      <c r="B36" s="10" t="str">
        <f>CONCATENATE("          ", "4132", " - ", "NON-TAXABLE SALES-JUICE")</f>
        <v xml:space="preserve">          4132 - NON-TAXABLE SALES-JUICE</v>
      </c>
      <c r="C36" s="10"/>
      <c r="D36" s="2">
        <f t="shared" si="4"/>
        <v>0</v>
      </c>
      <c r="E36" s="2"/>
      <c r="F36" s="19"/>
      <c r="G36" s="2"/>
      <c r="H36" s="2">
        <f t="shared" si="5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0"/>
      <c r="P36" s="2">
        <f t="shared" ref="P36:P43" si="9">0</f>
        <v>0</v>
      </c>
      <c r="Q36" s="2"/>
      <c r="R36" s="19"/>
      <c r="S36" s="2"/>
      <c r="T36" s="2">
        <f>--16199.63</f>
        <v>16199.63</v>
      </c>
      <c r="U36" s="2"/>
      <c r="V36" s="19"/>
      <c r="W36" s="2"/>
      <c r="X36" s="2">
        <f t="shared" si="2"/>
        <v>-16199.63</v>
      </c>
      <c r="Y36" s="2"/>
      <c r="Z36" s="19">
        <f t="shared" si="3"/>
        <v>-1</v>
      </c>
    </row>
    <row r="37" spans="1:26" s="23" customFormat="1" hidden="1" outlineLevel="1" x14ac:dyDescent="0.25">
      <c r="A37" s="44"/>
      <c r="B37" s="10" t="str">
        <f>CONCATENATE("          ", "4133", " - ", "NON-TAXABLE SALES-CANDY")</f>
        <v xml:space="preserve">          4133 - NON-TAXABLE SALES-CANDY</v>
      </c>
      <c r="C37" s="10"/>
      <c r="D37" s="2">
        <f t="shared" si="4"/>
        <v>0</v>
      </c>
      <c r="E37" s="2"/>
      <c r="F37" s="19"/>
      <c r="G37" s="2"/>
      <c r="H37" s="2">
        <f t="shared" si="5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0"/>
      <c r="P37" s="2">
        <f t="shared" si="9"/>
        <v>0</v>
      </c>
      <c r="Q37" s="2"/>
      <c r="R37" s="19"/>
      <c r="S37" s="2"/>
      <c r="T37" s="2">
        <f>--15823.84</f>
        <v>15823.84</v>
      </c>
      <c r="U37" s="2"/>
      <c r="V37" s="19"/>
      <c r="W37" s="2"/>
      <c r="X37" s="2">
        <f t="shared" si="2"/>
        <v>-15823.84</v>
      </c>
      <c r="Y37" s="2"/>
      <c r="Z37" s="19">
        <f t="shared" si="3"/>
        <v>-1</v>
      </c>
    </row>
    <row r="38" spans="1:26" s="23" customFormat="1" hidden="1" outlineLevel="1" x14ac:dyDescent="0.25">
      <c r="A38" s="44"/>
      <c r="B38" s="10" t="str">
        <f>CONCATENATE("          ", "4134", " - ", "NON-TAXABLE SALES-SODA")</f>
        <v xml:space="preserve">          4134 - NON-TAXABLE SALES-SODA</v>
      </c>
      <c r="C38" s="10"/>
      <c r="D38" s="2">
        <f t="shared" si="4"/>
        <v>0</v>
      </c>
      <c r="E38" s="2"/>
      <c r="F38" s="19"/>
      <c r="G38" s="2"/>
      <c r="H38" s="2">
        <f t="shared" si="5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0"/>
      <c r="P38" s="2">
        <f t="shared" si="9"/>
        <v>0</v>
      </c>
      <c r="Q38" s="2"/>
      <c r="R38" s="19"/>
      <c r="S38" s="2"/>
      <c r="T38" s="2">
        <f>--1.89</f>
        <v>1.89</v>
      </c>
      <c r="U38" s="2"/>
      <c r="V38" s="19"/>
      <c r="W38" s="2"/>
      <c r="X38" s="2">
        <f t="shared" si="2"/>
        <v>-1.89</v>
      </c>
      <c r="Y38" s="2"/>
      <c r="Z38" s="19">
        <f t="shared" si="3"/>
        <v>-1</v>
      </c>
    </row>
    <row r="39" spans="1:26" s="23" customFormat="1" hidden="1" outlineLevel="1" x14ac:dyDescent="0.25">
      <c r="A39" s="44"/>
      <c r="B39" s="10" t="str">
        <f>CONCATENATE("          ", "4135", " - ", "NON-TAXABLE SALES")</f>
        <v xml:space="preserve">          4135 - NON-TAXABLE SALES</v>
      </c>
      <c r="C39" s="10"/>
      <c r="D39" s="2">
        <f t="shared" si="4"/>
        <v>0</v>
      </c>
      <c r="E39" s="2"/>
      <c r="F39" s="19"/>
      <c r="G39" s="2"/>
      <c r="H39" s="2">
        <f t="shared" si="5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0"/>
      <c r="P39" s="2">
        <f t="shared" si="9"/>
        <v>0</v>
      </c>
      <c r="Q39" s="2"/>
      <c r="R39" s="19"/>
      <c r="S39" s="2"/>
      <c r="T39" s="2">
        <f>--111.24</f>
        <v>111.24</v>
      </c>
      <c r="U39" s="2"/>
      <c r="V39" s="19"/>
      <c r="W39" s="2"/>
      <c r="X39" s="2">
        <f t="shared" si="2"/>
        <v>-111.24</v>
      </c>
      <c r="Y39" s="2"/>
      <c r="Z39" s="19">
        <f t="shared" si="3"/>
        <v>-1</v>
      </c>
    </row>
    <row r="40" spans="1:26" s="23" customFormat="1" hidden="1" outlineLevel="1" x14ac:dyDescent="0.25">
      <c r="A40" s="44"/>
      <c r="B40" s="10" t="str">
        <f>CONCATENATE("          ", "4137", " - ", "NON-TAXABLE SALES-WATER")</f>
        <v xml:space="preserve">          4137 - NON-TAXABLE SALES-WATER</v>
      </c>
      <c r="C40" s="10"/>
      <c r="D40" s="2">
        <f t="shared" si="4"/>
        <v>0</v>
      </c>
      <c r="E40" s="2"/>
      <c r="F40" s="19"/>
      <c r="G40" s="2"/>
      <c r="H40" s="2">
        <f t="shared" si="5"/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 t="shared" si="9"/>
        <v>0</v>
      </c>
      <c r="Q40" s="2"/>
      <c r="R40" s="19"/>
      <c r="S40" s="2"/>
      <c r="T40" s="2">
        <f>--8396.06</f>
        <v>8396.06</v>
      </c>
      <c r="U40" s="2"/>
      <c r="V40" s="19"/>
      <c r="W40" s="2"/>
      <c r="X40" s="2">
        <f t="shared" si="2"/>
        <v>-8396.06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"4186", " - ", "NON-TAXABLE SALES-COMPUTER SUP")</f>
        <v xml:space="preserve">          4186 - NON-TAXABLE SALES-COMPUTER SUP</v>
      </c>
      <c r="C41" s="10"/>
      <c r="D41" s="2">
        <f t="shared" si="4"/>
        <v>0</v>
      </c>
      <c r="E41" s="2"/>
      <c r="F41" s="19"/>
      <c r="G41" s="2"/>
      <c r="H41" s="2">
        <f t="shared" si="5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0"/>
      <c r="P41" s="2">
        <f t="shared" si="9"/>
        <v>0</v>
      </c>
      <c r="Q41" s="2"/>
      <c r="R41" s="19"/>
      <c r="S41" s="2"/>
      <c r="T41" s="2">
        <f>-30.97</f>
        <v>-30.97</v>
      </c>
      <c r="U41" s="2"/>
      <c r="V41" s="19"/>
      <c r="W41" s="2"/>
      <c r="X41" s="2">
        <f t="shared" si="2"/>
        <v>30.97</v>
      </c>
      <c r="Y41" s="2"/>
      <c r="Z41" s="19">
        <f t="shared" si="3"/>
        <v>-1</v>
      </c>
    </row>
    <row r="42" spans="1:26" s="23" customFormat="1" hidden="1" outlineLevel="1" x14ac:dyDescent="0.25">
      <c r="A42" s="44"/>
      <c r="B42" s="10" t="str">
        <f>CONCATENATE("          ", "4225", " - ", "SALES RETURN TAXABLE-TEST FORM")</f>
        <v xml:space="preserve">          4225 - SALES RETURN TAXABLE-TEST FORM</v>
      </c>
      <c r="C42" s="10"/>
      <c r="D42" s="2">
        <f t="shared" si="4"/>
        <v>0</v>
      </c>
      <c r="E42" s="2"/>
      <c r="F42" s="19"/>
      <c r="G42" s="2"/>
      <c r="H42" s="2">
        <f t="shared" si="5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 t="shared" si="9"/>
        <v>0</v>
      </c>
      <c r="Q42" s="2"/>
      <c r="R42" s="19"/>
      <c r="S42" s="2"/>
      <c r="T42" s="2">
        <f>-35.13</f>
        <v>-35.130000000000003</v>
      </c>
      <c r="U42" s="2"/>
      <c r="V42" s="19"/>
      <c r="W42" s="2"/>
      <c r="X42" s="2">
        <f t="shared" si="2"/>
        <v>35.130000000000003</v>
      </c>
      <c r="Y42" s="2"/>
      <c r="Z42" s="19">
        <f t="shared" si="3"/>
        <v>-1</v>
      </c>
    </row>
    <row r="43" spans="1:26" s="23" customFormat="1" hidden="1" outlineLevel="1" x14ac:dyDescent="0.25">
      <c r="A43" s="44"/>
      <c r="B43" s="10" t="str">
        <f>CONCATENATE("          ", "4226", " - ", "SALES RETURN TAXABLE-WRITING I")</f>
        <v xml:space="preserve">          4226 - SALES RETURN TAXABLE-WRITING I</v>
      </c>
      <c r="C43" s="10"/>
      <c r="D43" s="2">
        <f t="shared" si="4"/>
        <v>0</v>
      </c>
      <c r="E43" s="2"/>
      <c r="F43" s="19"/>
      <c r="G43" s="2"/>
      <c r="H43" s="2">
        <f t="shared" si="5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0"/>
      <c r="P43" s="2">
        <f t="shared" si="9"/>
        <v>0</v>
      </c>
      <c r="Q43" s="2"/>
      <c r="R43" s="19"/>
      <c r="S43" s="2"/>
      <c r="T43" s="2">
        <f>-11.05</f>
        <v>-11.05</v>
      </c>
      <c r="U43" s="2"/>
      <c r="V43" s="19"/>
      <c r="W43" s="2"/>
      <c r="X43" s="2">
        <f t="shared" si="2"/>
        <v>11.05</v>
      </c>
      <c r="Y43" s="2"/>
      <c r="Z43" s="19">
        <f t="shared" si="3"/>
        <v>-1</v>
      </c>
    </row>
    <row r="44" spans="1:26" s="23" customFormat="1" hidden="1" outlineLevel="1" x14ac:dyDescent="0.25">
      <c r="A44" s="44"/>
      <c r="B44" s="10" t="str">
        <f>CONCATENATE("          ", "4227", " - ", "SALES RETURN TAXABLE-SCHOOL SU")</f>
        <v xml:space="preserve">          4227 - SALES RETURN TAXABLE-SCHOOL SU</v>
      </c>
      <c r="C44" s="10"/>
      <c r="D44" s="2">
        <f t="shared" si="4"/>
        <v>0</v>
      </c>
      <c r="E44" s="2"/>
      <c r="F44" s="19"/>
      <c r="G44" s="2"/>
      <c r="H44" s="2">
        <f t="shared" si="5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0"/>
      <c r="P44" s="2">
        <f>-159.97</f>
        <v>-159.97</v>
      </c>
      <c r="Q44" s="2"/>
      <c r="R44" s="19"/>
      <c r="S44" s="2"/>
      <c r="T44" s="2">
        <f>-42.06</f>
        <v>-42.06</v>
      </c>
      <c r="U44" s="2"/>
      <c r="V44" s="19"/>
      <c r="W44" s="2"/>
      <c r="X44" s="2">
        <f t="shared" si="2"/>
        <v>-117.91</v>
      </c>
      <c r="Y44" s="2"/>
      <c r="Z44" s="19">
        <f t="shared" si="3"/>
        <v>2.8033761293390391</v>
      </c>
    </row>
    <row r="45" spans="1:26" s="23" customFormat="1" hidden="1" outlineLevel="1" x14ac:dyDescent="0.25">
      <c r="A45" s="44"/>
      <c r="B45" s="10" t="str">
        <f>CONCATENATE("          ", "4228", " - ", "SALES RETURN TAXABLE-ART/TECH")</f>
        <v xml:space="preserve">          4228 - SALES RETURN TAXABLE-ART/TECH</v>
      </c>
      <c r="C45" s="10"/>
      <c r="D45" s="2">
        <f t="shared" si="4"/>
        <v>0</v>
      </c>
      <c r="E45" s="2"/>
      <c r="F45" s="19"/>
      <c r="G45" s="2"/>
      <c r="H45" s="2">
        <f t="shared" si="5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0"/>
      <c r="P45" s="2">
        <f>-222.2</f>
        <v>-222.2</v>
      </c>
      <c r="Q45" s="2"/>
      <c r="R45" s="19"/>
      <c r="S45" s="2"/>
      <c r="T45" s="2">
        <f>-4479.12</f>
        <v>-4479.12</v>
      </c>
      <c r="U45" s="2"/>
      <c r="V45" s="19"/>
      <c r="W45" s="2"/>
      <c r="X45" s="2">
        <f t="shared" si="2"/>
        <v>4256.92</v>
      </c>
      <c r="Y45" s="2"/>
      <c r="Z45" s="19">
        <f t="shared" si="3"/>
        <v>-0.9503920412938256</v>
      </c>
    </row>
    <row r="46" spans="1:26" s="23" customFormat="1" hidden="1" outlineLevel="1" x14ac:dyDescent="0.25">
      <c r="A46" s="44"/>
      <c r="B46" s="10" t="str">
        <f>CONCATENATE("          ", "4233", " - ", "SALES RETURN TAXABLE-CANDY")</f>
        <v xml:space="preserve">          4233 - SALES RETURN TAXABLE-CANDY</v>
      </c>
      <c r="C46" s="10"/>
      <c r="D46" s="2">
        <f t="shared" si="4"/>
        <v>0</v>
      </c>
      <c r="E46" s="2"/>
      <c r="F46" s="19"/>
      <c r="G46" s="2"/>
      <c r="H46" s="2">
        <f t="shared" si="5"/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0"/>
      <c r="P46" s="2">
        <f t="shared" ref="P46:P49" si="10">0</f>
        <v>0</v>
      </c>
      <c r="Q46" s="2"/>
      <c r="R46" s="19"/>
      <c r="S46" s="2"/>
      <c r="T46" s="2">
        <f>-8.25</f>
        <v>-8.25</v>
      </c>
      <c r="U46" s="2"/>
      <c r="V46" s="19"/>
      <c r="W46" s="2"/>
      <c r="X46" s="2">
        <f t="shared" si="2"/>
        <v>8.25</v>
      </c>
      <c r="Y46" s="2"/>
      <c r="Z46" s="19">
        <f t="shared" si="3"/>
        <v>-1</v>
      </c>
    </row>
    <row r="47" spans="1:26" s="23" customFormat="1" hidden="1" outlineLevel="1" x14ac:dyDescent="0.25">
      <c r="A47" s="44"/>
      <c r="B47" s="10" t="str">
        <f>CONCATENATE("          ", "4281", " - ", "SALES RETURN TAXABLE-ELECTRONI")</f>
        <v xml:space="preserve">          4281 - SALES RETURN TAXABLE-ELECTRONI</v>
      </c>
      <c r="C47" s="10"/>
      <c r="D47" s="2">
        <f t="shared" si="4"/>
        <v>0</v>
      </c>
      <c r="E47" s="2"/>
      <c r="F47" s="19"/>
      <c r="G47" s="2"/>
      <c r="H47" s="2">
        <f t="shared" si="5"/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0"/>
      <c r="P47" s="2">
        <f t="shared" si="10"/>
        <v>0</v>
      </c>
      <c r="Q47" s="2"/>
      <c r="R47" s="19"/>
      <c r="S47" s="2"/>
      <c r="T47" s="2">
        <f>-54.97</f>
        <v>-54.97</v>
      </c>
      <c r="U47" s="2"/>
      <c r="V47" s="19"/>
      <c r="W47" s="2"/>
      <c r="X47" s="2">
        <f t="shared" si="2"/>
        <v>54.97</v>
      </c>
      <c r="Y47" s="2"/>
      <c r="Z47" s="19">
        <f t="shared" si="3"/>
        <v>-1</v>
      </c>
    </row>
    <row r="48" spans="1:26" s="23" customFormat="1" hidden="1" outlineLevel="1" x14ac:dyDescent="0.25">
      <c r="A48" s="44"/>
      <c r="B48" s="10" t="str">
        <f>CONCATENATE("          ", "4331", " - ", "SALES RETURN NON TAXABLE-FOOD")</f>
        <v xml:space="preserve">          4331 - SALES RETURN NON TAXABLE-FOOD</v>
      </c>
      <c r="C48" s="10"/>
      <c r="D48" s="2">
        <f t="shared" si="4"/>
        <v>0</v>
      </c>
      <c r="E48" s="2"/>
      <c r="F48" s="19"/>
      <c r="G48" s="2"/>
      <c r="H48" s="2">
        <f t="shared" si="5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0"/>
      <c r="P48" s="2">
        <f t="shared" si="10"/>
        <v>0</v>
      </c>
      <c r="Q48" s="2"/>
      <c r="R48" s="19"/>
      <c r="S48" s="2"/>
      <c r="T48" s="2">
        <f>-12.57</f>
        <v>-12.57</v>
      </c>
      <c r="U48" s="2"/>
      <c r="V48" s="19"/>
      <c r="W48" s="2"/>
      <c r="X48" s="2">
        <f t="shared" si="2"/>
        <v>12.57</v>
      </c>
      <c r="Y48" s="2"/>
      <c r="Z48" s="19">
        <f t="shared" si="3"/>
        <v>-1</v>
      </c>
    </row>
    <row r="49" spans="1:26" s="23" customFormat="1" hidden="1" outlineLevel="1" x14ac:dyDescent="0.25">
      <c r="A49" s="44"/>
      <c r="B49" s="10" t="str">
        <f>CONCATENATE("          ", "4332", " - ", "SALES RETURN NON TAXABLE-JUICE")</f>
        <v xml:space="preserve">          4332 - SALES RETURN NON TAXABLE-JUICE</v>
      </c>
      <c r="C49" s="10"/>
      <c r="D49" s="2">
        <f t="shared" si="4"/>
        <v>0</v>
      </c>
      <c r="E49" s="2"/>
      <c r="F49" s="19"/>
      <c r="G49" s="2"/>
      <c r="H49" s="2">
        <f t="shared" si="5"/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0"/>
      <c r="P49" s="2">
        <f t="shared" si="10"/>
        <v>0</v>
      </c>
      <c r="Q49" s="2"/>
      <c r="R49" s="19"/>
      <c r="S49" s="2"/>
      <c r="T49" s="2">
        <f>-2.79</f>
        <v>-2.79</v>
      </c>
      <c r="U49" s="2"/>
      <c r="V49" s="19"/>
      <c r="W49" s="2"/>
      <c r="X49" s="2">
        <f t="shared" si="2"/>
        <v>2.79</v>
      </c>
      <c r="Y49" s="2"/>
      <c r="Z49" s="19">
        <f t="shared" si="3"/>
        <v>-1</v>
      </c>
    </row>
    <row r="50" spans="1:26" x14ac:dyDescent="0.25">
      <c r="A50" s="9"/>
      <c r="B50" s="11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4" customFormat="1" collapsed="1" x14ac:dyDescent="0.25">
      <c r="A51" s="11"/>
      <c r="B51" s="28" t="s">
        <v>256</v>
      </c>
      <c r="C51" s="11"/>
      <c r="D51" s="4">
        <f>SUM(OSRRefD16x_0)</f>
        <v>19.489999999999998</v>
      </c>
      <c r="E51" s="4"/>
      <c r="F51" s="13">
        <f t="shared" ref="F51:F72" si="11">IF(D$12=0,0,D51/D$12)</f>
        <v>0</v>
      </c>
      <c r="G51" s="4"/>
      <c r="H51" s="4">
        <f>SUM(OSRRefH16x_0)</f>
        <v>0.38000000000079126</v>
      </c>
      <c r="I51" s="4"/>
      <c r="J51" s="13">
        <f t="shared" ref="J51:J72" si="12">IF(H$12=0,0,H51/H$12)</f>
        <v>0</v>
      </c>
      <c r="K51" s="4"/>
      <c r="L51" s="4">
        <f t="shared" ref="L51:L72" si="13">+D51-H51</f>
        <v>19.109999999999207</v>
      </c>
      <c r="M51" s="4"/>
      <c r="N51" s="13">
        <f t="shared" ref="N51:N72" si="14">IF(H51=0,0,L51/H51)</f>
        <v>50.289473684103726</v>
      </c>
      <c r="O51" s="11"/>
      <c r="P51" s="4">
        <f>SUM(OSRRefP16x_0)</f>
        <v>13792.989999999994</v>
      </c>
      <c r="Q51" s="4"/>
      <c r="R51" s="13">
        <f t="shared" ref="R51:R72" si="15">IF(P$12=0,0,P51/P$12)</f>
        <v>0.64719602926437392</v>
      </c>
      <c r="S51" s="4"/>
      <c r="T51" s="4">
        <f>SUM(OSRRefT16x_0)</f>
        <v>215794.19</v>
      </c>
      <c r="U51" s="4"/>
      <c r="V51" s="13">
        <f t="shared" ref="V51:V72" si="16">IF(T$12=0,0,T51/T$12)</f>
        <v>0.52562290670765466</v>
      </c>
      <c r="W51" s="4"/>
      <c r="X51" s="4">
        <f t="shared" ref="X51:X72" si="17">+P51-T51</f>
        <v>-202001.2</v>
      </c>
      <c r="Y51" s="4"/>
      <c r="Z51" s="13">
        <f t="shared" ref="Z51:Z72" si="18">IF(T51=0,0,X51/T51)</f>
        <v>-0.93608266283721542</v>
      </c>
    </row>
    <row r="52" spans="1:26" s="23" customFormat="1" hidden="1" outlineLevel="1" x14ac:dyDescent="0.25">
      <c r="A52" s="44"/>
      <c r="B52" s="10" t="str">
        <f>CONCATENATE("          ", "5000", " - ", "PURCHASES @ COST")</f>
        <v xml:space="preserve">          5000 - PURCHASES @ COST</v>
      </c>
      <c r="C52" s="10"/>
      <c r="D52" s="2"/>
      <c r="E52" s="2"/>
      <c r="F52" s="19">
        <f t="shared" si="11"/>
        <v>0</v>
      </c>
      <c r="G52" s="2"/>
      <c r="H52" s="2"/>
      <c r="I52" s="2"/>
      <c r="J52" s="19">
        <f t="shared" si="12"/>
        <v>0</v>
      </c>
      <c r="K52" s="2"/>
      <c r="L52" s="2">
        <f t="shared" si="13"/>
        <v>0</v>
      </c>
      <c r="M52" s="2"/>
      <c r="N52" s="19">
        <f t="shared" si="14"/>
        <v>0</v>
      </c>
      <c r="O52" s="10"/>
      <c r="P52" s="2"/>
      <c r="Q52" s="2"/>
      <c r="R52" s="19">
        <f t="shared" si="15"/>
        <v>0</v>
      </c>
      <c r="S52" s="2"/>
      <c r="T52" s="2">
        <v>0</v>
      </c>
      <c r="U52" s="2"/>
      <c r="V52" s="19">
        <f t="shared" si="16"/>
        <v>0</v>
      </c>
      <c r="W52" s="2"/>
      <c r="X52" s="2">
        <f t="shared" si="17"/>
        <v>0</v>
      </c>
      <c r="Y52" s="2"/>
      <c r="Z52" s="19">
        <f t="shared" si="18"/>
        <v>0</v>
      </c>
    </row>
    <row r="53" spans="1:26" s="23" customFormat="1" hidden="1" outlineLevel="1" x14ac:dyDescent="0.25">
      <c r="A53" s="44"/>
      <c r="B53" s="10" t="str">
        <f>CONCATENATE("          ", "5014", " - ", "PURCHASES @ COST-REMAINDERS")</f>
        <v xml:space="preserve">          5014 - PURCHASES @ COST-REMAINDERS</v>
      </c>
      <c r="C53" s="10"/>
      <c r="D53" s="2"/>
      <c r="E53" s="2"/>
      <c r="F53" s="19">
        <f t="shared" si="11"/>
        <v>0</v>
      </c>
      <c r="G53" s="2"/>
      <c r="H53" s="2"/>
      <c r="I53" s="2"/>
      <c r="J53" s="19">
        <f t="shared" si="12"/>
        <v>0</v>
      </c>
      <c r="K53" s="2"/>
      <c r="L53" s="2">
        <f t="shared" si="13"/>
        <v>0</v>
      </c>
      <c r="M53" s="2"/>
      <c r="N53" s="19">
        <f t="shared" si="14"/>
        <v>0</v>
      </c>
      <c r="O53" s="10"/>
      <c r="P53" s="2"/>
      <c r="Q53" s="2"/>
      <c r="R53" s="19">
        <f t="shared" si="15"/>
        <v>0</v>
      </c>
      <c r="S53" s="2"/>
      <c r="T53" s="2">
        <v>14.46</v>
      </c>
      <c r="U53" s="2"/>
      <c r="V53" s="19">
        <f t="shared" si="16"/>
        <v>3.522109298212657E-5</v>
      </c>
      <c r="W53" s="2"/>
      <c r="X53" s="2">
        <f t="shared" si="17"/>
        <v>-14.46</v>
      </c>
      <c r="Y53" s="2"/>
      <c r="Z53" s="19">
        <f t="shared" si="18"/>
        <v>-1</v>
      </c>
    </row>
    <row r="54" spans="1:26" s="23" customFormat="1" hidden="1" outlineLevel="1" x14ac:dyDescent="0.25">
      <c r="A54" s="44"/>
      <c r="B54" s="10" t="str">
        <f>CONCATENATE("          ", "5025", " - ", "PURCHASES @ COST-TEST FORMS")</f>
        <v xml:space="preserve">          5025 - PURCHASES @ COST-TEST FORMS</v>
      </c>
      <c r="C54" s="10"/>
      <c r="D54" s="2"/>
      <c r="E54" s="2"/>
      <c r="F54" s="19">
        <f t="shared" si="11"/>
        <v>0</v>
      </c>
      <c r="G54" s="2"/>
      <c r="H54" s="2"/>
      <c r="I54" s="2"/>
      <c r="J54" s="19">
        <f t="shared" si="12"/>
        <v>0</v>
      </c>
      <c r="K54" s="2"/>
      <c r="L54" s="2">
        <f t="shared" si="13"/>
        <v>0</v>
      </c>
      <c r="M54" s="2"/>
      <c r="N54" s="19">
        <f t="shared" si="14"/>
        <v>0</v>
      </c>
      <c r="O54" s="10"/>
      <c r="P54" s="2"/>
      <c r="Q54" s="2"/>
      <c r="R54" s="19">
        <f t="shared" si="15"/>
        <v>0</v>
      </c>
      <c r="S54" s="2"/>
      <c r="T54" s="2">
        <v>688.18</v>
      </c>
      <c r="U54" s="2"/>
      <c r="V54" s="19">
        <f t="shared" si="16"/>
        <v>1.6762414777620927E-3</v>
      </c>
      <c r="W54" s="2"/>
      <c r="X54" s="2">
        <f t="shared" si="17"/>
        <v>-688.18</v>
      </c>
      <c r="Y54" s="2"/>
      <c r="Z54" s="19">
        <f t="shared" si="18"/>
        <v>-1</v>
      </c>
    </row>
    <row r="55" spans="1:26" s="23" customFormat="1" hidden="1" outlineLevel="1" x14ac:dyDescent="0.25">
      <c r="A55" s="44"/>
      <c r="B55" s="10" t="str">
        <f>CONCATENATE("          ", "5026", " - ", "PURCHASES @ COST-WRITING INSTR")</f>
        <v xml:space="preserve">          5026 - PURCHASES @ COST-WRITING INSTR</v>
      </c>
      <c r="C55" s="10"/>
      <c r="D55" s="2"/>
      <c r="E55" s="2"/>
      <c r="F55" s="19">
        <f t="shared" si="11"/>
        <v>0</v>
      </c>
      <c r="G55" s="2"/>
      <c r="H55" s="2">
        <v>109.81</v>
      </c>
      <c r="I55" s="2"/>
      <c r="J55" s="19">
        <f t="shared" si="12"/>
        <v>0</v>
      </c>
      <c r="K55" s="2"/>
      <c r="L55" s="2">
        <f t="shared" si="13"/>
        <v>-109.81</v>
      </c>
      <c r="M55" s="2"/>
      <c r="N55" s="19">
        <f t="shared" si="14"/>
        <v>-1</v>
      </c>
      <c r="O55" s="10"/>
      <c r="P55" s="2">
        <v>364.91</v>
      </c>
      <c r="Q55" s="2"/>
      <c r="R55" s="19">
        <f t="shared" si="15"/>
        <v>1.7122342801587094E-2</v>
      </c>
      <c r="S55" s="2"/>
      <c r="T55" s="2">
        <v>4522.51</v>
      </c>
      <c r="U55" s="2"/>
      <c r="V55" s="19">
        <f t="shared" si="16"/>
        <v>1.1015750015393998E-2</v>
      </c>
      <c r="W55" s="2"/>
      <c r="X55" s="2">
        <f t="shared" si="17"/>
        <v>-4157.6000000000004</v>
      </c>
      <c r="Y55" s="2"/>
      <c r="Z55" s="19">
        <f t="shared" si="18"/>
        <v>-0.91931250566610134</v>
      </c>
    </row>
    <row r="56" spans="1:26" s="23" customFormat="1" hidden="1" outlineLevel="1" x14ac:dyDescent="0.25">
      <c r="A56" s="44"/>
      <c r="B56" s="10" t="str">
        <f>CONCATENATE("          ", "5027", " - ", "PURCHASES @ COST-SCHOOL SUPPLI")</f>
        <v xml:space="preserve">          5027 - PURCHASES @ COST-SCHOOL SUPPLI</v>
      </c>
      <c r="C56" s="10"/>
      <c r="D56" s="2"/>
      <c r="E56" s="2"/>
      <c r="F56" s="19">
        <f t="shared" si="11"/>
        <v>0</v>
      </c>
      <c r="G56" s="2"/>
      <c r="H56" s="2">
        <v>196.42</v>
      </c>
      <c r="I56" s="2"/>
      <c r="J56" s="19">
        <f t="shared" si="12"/>
        <v>0</v>
      </c>
      <c r="K56" s="2"/>
      <c r="L56" s="2">
        <f t="shared" si="13"/>
        <v>-196.42</v>
      </c>
      <c r="M56" s="2"/>
      <c r="N56" s="19">
        <f t="shared" si="14"/>
        <v>-1</v>
      </c>
      <c r="O56" s="10"/>
      <c r="P56" s="2">
        <v>895.47</v>
      </c>
      <c r="Q56" s="2"/>
      <c r="R56" s="19">
        <f t="shared" si="15"/>
        <v>4.201733114613794E-2</v>
      </c>
      <c r="S56" s="2"/>
      <c r="T56" s="2">
        <v>4064.57</v>
      </c>
      <c r="U56" s="2"/>
      <c r="V56" s="19">
        <f t="shared" si="16"/>
        <v>9.9003179738839688E-3</v>
      </c>
      <c r="W56" s="2"/>
      <c r="X56" s="2">
        <f t="shared" si="17"/>
        <v>-3169.1000000000004</v>
      </c>
      <c r="Y56" s="2"/>
      <c r="Z56" s="19">
        <f t="shared" si="18"/>
        <v>-0.77968887237764395</v>
      </c>
    </row>
    <row r="57" spans="1:26" s="23" customFormat="1" hidden="1" outlineLevel="1" x14ac:dyDescent="0.25">
      <c r="A57" s="44"/>
      <c r="B57" s="10" t="str">
        <f>CONCATENATE("          ", "5028", " - ", "PURCHASES @ COST-ART/TECH")</f>
        <v xml:space="preserve">          5028 - PURCHASES @ COST-ART/TECH</v>
      </c>
      <c r="C57" s="10"/>
      <c r="D57" s="2"/>
      <c r="E57" s="2"/>
      <c r="F57" s="19">
        <f t="shared" si="11"/>
        <v>0</v>
      </c>
      <c r="G57" s="2"/>
      <c r="H57" s="2">
        <v>7700.3</v>
      </c>
      <c r="I57" s="2"/>
      <c r="J57" s="19">
        <f t="shared" si="12"/>
        <v>0</v>
      </c>
      <c r="K57" s="2"/>
      <c r="L57" s="2">
        <f t="shared" si="13"/>
        <v>-7700.3</v>
      </c>
      <c r="M57" s="2"/>
      <c r="N57" s="19">
        <f t="shared" si="14"/>
        <v>-1</v>
      </c>
      <c r="O57" s="10"/>
      <c r="P57" s="2">
        <v>41441.85</v>
      </c>
      <c r="Q57" s="2"/>
      <c r="R57" s="19">
        <f t="shared" si="15"/>
        <v>1.9445385493188789</v>
      </c>
      <c r="S57" s="2"/>
      <c r="T57" s="2">
        <v>152038.47</v>
      </c>
      <c r="U57" s="2"/>
      <c r="V57" s="19">
        <f t="shared" si="16"/>
        <v>0.37032925924828913</v>
      </c>
      <c r="W57" s="2"/>
      <c r="X57" s="2">
        <f t="shared" si="17"/>
        <v>-110596.62</v>
      </c>
      <c r="Y57" s="2"/>
      <c r="Z57" s="19">
        <f t="shared" si="18"/>
        <v>-0.72742523652073054</v>
      </c>
    </row>
    <row r="58" spans="1:26" s="23" customFormat="1" hidden="1" outlineLevel="1" x14ac:dyDescent="0.25">
      <c r="A58" s="44"/>
      <c r="B58" s="10" t="str">
        <f>CONCATENATE("          ", "5031", " - ", "PURCHASES @ COST-FOOD")</f>
        <v xml:space="preserve">          5031 - PURCHASES @ COST-FOOD</v>
      </c>
      <c r="C58" s="10"/>
      <c r="D58" s="2"/>
      <c r="E58" s="2"/>
      <c r="F58" s="19">
        <f t="shared" si="11"/>
        <v>0</v>
      </c>
      <c r="G58" s="2"/>
      <c r="H58" s="2"/>
      <c r="I58" s="2"/>
      <c r="J58" s="19">
        <f t="shared" si="12"/>
        <v>0</v>
      </c>
      <c r="K58" s="2"/>
      <c r="L58" s="2">
        <f t="shared" si="13"/>
        <v>0</v>
      </c>
      <c r="M58" s="2"/>
      <c r="N58" s="19">
        <f t="shared" si="14"/>
        <v>0</v>
      </c>
      <c r="O58" s="10"/>
      <c r="P58" s="2">
        <v>2441.5700000000002</v>
      </c>
      <c r="Q58" s="2"/>
      <c r="R58" s="19">
        <f t="shared" si="15"/>
        <v>0.11456358695040149</v>
      </c>
      <c r="S58" s="2"/>
      <c r="T58" s="2">
        <v>32459.35</v>
      </c>
      <c r="U58" s="2"/>
      <c r="V58" s="19">
        <f t="shared" si="16"/>
        <v>7.9063193948090582E-2</v>
      </c>
      <c r="W58" s="2"/>
      <c r="X58" s="2">
        <f t="shared" si="17"/>
        <v>-30017.78</v>
      </c>
      <c r="Y58" s="2"/>
      <c r="Z58" s="19">
        <f t="shared" si="18"/>
        <v>-0.92478068722879536</v>
      </c>
    </row>
    <row r="59" spans="1:26" s="23" customFormat="1" hidden="1" outlineLevel="1" x14ac:dyDescent="0.25">
      <c r="A59" s="44"/>
      <c r="B59" s="10" t="str">
        <f>CONCATENATE("          ", "5032", " - ", "PURCHASES @ COST-JUICE")</f>
        <v xml:space="preserve">          5032 - PURCHASES @ COST-JUICE</v>
      </c>
      <c r="C59" s="10"/>
      <c r="D59" s="2"/>
      <c r="E59" s="2"/>
      <c r="F59" s="19">
        <f t="shared" si="11"/>
        <v>0</v>
      </c>
      <c r="G59" s="2"/>
      <c r="H59" s="2"/>
      <c r="I59" s="2"/>
      <c r="J59" s="19">
        <f t="shared" si="12"/>
        <v>0</v>
      </c>
      <c r="K59" s="2"/>
      <c r="L59" s="2">
        <f t="shared" si="13"/>
        <v>0</v>
      </c>
      <c r="M59" s="2"/>
      <c r="N59" s="19">
        <f t="shared" si="14"/>
        <v>0</v>
      </c>
      <c r="O59" s="10"/>
      <c r="P59" s="2"/>
      <c r="Q59" s="2"/>
      <c r="R59" s="19">
        <f t="shared" si="15"/>
        <v>0</v>
      </c>
      <c r="S59" s="2"/>
      <c r="T59" s="2">
        <v>7802.45</v>
      </c>
      <c r="U59" s="2"/>
      <c r="V59" s="19">
        <f t="shared" si="16"/>
        <v>1.9004897436956669E-2</v>
      </c>
      <c r="W59" s="2"/>
      <c r="X59" s="2">
        <f t="shared" si="17"/>
        <v>-7802.45</v>
      </c>
      <c r="Y59" s="2"/>
      <c r="Z59" s="19">
        <f t="shared" si="18"/>
        <v>-1</v>
      </c>
    </row>
    <row r="60" spans="1:26" s="23" customFormat="1" hidden="1" outlineLevel="1" x14ac:dyDescent="0.25">
      <c r="A60" s="44"/>
      <c r="B60" s="10" t="str">
        <f>CONCATENATE("          ", "5033", " - ", "PURCHASES @ COST-CANDY")</f>
        <v xml:space="preserve">          5033 - PURCHASES @ COST-CANDY</v>
      </c>
      <c r="C60" s="10"/>
      <c r="D60" s="2"/>
      <c r="E60" s="2"/>
      <c r="F60" s="19">
        <f t="shared" si="11"/>
        <v>0</v>
      </c>
      <c r="G60" s="2"/>
      <c r="H60" s="2">
        <v>-25.2</v>
      </c>
      <c r="I60" s="2"/>
      <c r="J60" s="19">
        <f t="shared" si="12"/>
        <v>0</v>
      </c>
      <c r="K60" s="2"/>
      <c r="L60" s="2">
        <f t="shared" si="13"/>
        <v>25.2</v>
      </c>
      <c r="M60" s="2"/>
      <c r="N60" s="19">
        <f t="shared" si="14"/>
        <v>-1</v>
      </c>
      <c r="O60" s="10"/>
      <c r="P60" s="2"/>
      <c r="Q60" s="2"/>
      <c r="R60" s="19">
        <f t="shared" si="15"/>
        <v>0</v>
      </c>
      <c r="S60" s="2"/>
      <c r="T60" s="2">
        <v>8879.33</v>
      </c>
      <c r="U60" s="2"/>
      <c r="V60" s="19">
        <f t="shared" si="16"/>
        <v>2.1627918917633878E-2</v>
      </c>
      <c r="W60" s="2"/>
      <c r="X60" s="2">
        <f t="shared" si="17"/>
        <v>-8879.33</v>
      </c>
      <c r="Y60" s="2"/>
      <c r="Z60" s="19">
        <f t="shared" si="18"/>
        <v>-1</v>
      </c>
    </row>
    <row r="61" spans="1:26" s="23" customFormat="1" hidden="1" outlineLevel="1" x14ac:dyDescent="0.25">
      <c r="A61" s="44"/>
      <c r="B61" s="10" t="str">
        <f>CONCATENATE("          ", "5034", " - ", "PURCHASES @ COST-SODA")</f>
        <v xml:space="preserve">          5034 - PURCHASES @ COST-SODA</v>
      </c>
      <c r="C61" s="10"/>
      <c r="D61" s="2"/>
      <c r="E61" s="2"/>
      <c r="F61" s="19">
        <f t="shared" si="11"/>
        <v>0</v>
      </c>
      <c r="G61" s="2"/>
      <c r="H61" s="2"/>
      <c r="I61" s="2"/>
      <c r="J61" s="19">
        <f t="shared" si="12"/>
        <v>0</v>
      </c>
      <c r="K61" s="2"/>
      <c r="L61" s="2">
        <f t="shared" si="13"/>
        <v>0</v>
      </c>
      <c r="M61" s="2"/>
      <c r="N61" s="19">
        <f t="shared" si="14"/>
        <v>0</v>
      </c>
      <c r="O61" s="10"/>
      <c r="P61" s="2"/>
      <c r="Q61" s="2"/>
      <c r="R61" s="19">
        <f t="shared" si="15"/>
        <v>0</v>
      </c>
      <c r="S61" s="2"/>
      <c r="T61" s="2">
        <v>4033.88</v>
      </c>
      <c r="U61" s="2"/>
      <c r="V61" s="19">
        <f t="shared" si="16"/>
        <v>9.8255644923057207E-3</v>
      </c>
      <c r="W61" s="2"/>
      <c r="X61" s="2">
        <f t="shared" si="17"/>
        <v>-4033.88</v>
      </c>
      <c r="Y61" s="2"/>
      <c r="Z61" s="19">
        <f t="shared" si="18"/>
        <v>-1</v>
      </c>
    </row>
    <row r="62" spans="1:26" s="23" customFormat="1" hidden="1" outlineLevel="1" x14ac:dyDescent="0.25">
      <c r="A62" s="44"/>
      <c r="B62" s="10" t="str">
        <f>CONCATENATE("          ", "5035", " - ", "PURCHASES @ COST-HEALTH &amp; BEAU")</f>
        <v xml:space="preserve">          5035 - PURCHASES @ COST-HEALTH &amp; BEAU</v>
      </c>
      <c r="C62" s="10"/>
      <c r="D62" s="2"/>
      <c r="E62" s="2"/>
      <c r="F62" s="19">
        <f t="shared" si="11"/>
        <v>0</v>
      </c>
      <c r="G62" s="2"/>
      <c r="H62" s="2"/>
      <c r="I62" s="2"/>
      <c r="J62" s="19">
        <f t="shared" si="12"/>
        <v>0</v>
      </c>
      <c r="K62" s="2"/>
      <c r="L62" s="2">
        <f t="shared" si="13"/>
        <v>0</v>
      </c>
      <c r="M62" s="2"/>
      <c r="N62" s="19">
        <f t="shared" si="14"/>
        <v>0</v>
      </c>
      <c r="O62" s="10"/>
      <c r="P62" s="2"/>
      <c r="Q62" s="2"/>
      <c r="R62" s="19">
        <f t="shared" si="15"/>
        <v>0</v>
      </c>
      <c r="S62" s="2"/>
      <c r="T62" s="2">
        <v>1081.4000000000001</v>
      </c>
      <c r="U62" s="2"/>
      <c r="V62" s="19">
        <f t="shared" si="16"/>
        <v>2.6340311169344172E-3</v>
      </c>
      <c r="W62" s="2"/>
      <c r="X62" s="2">
        <f t="shared" si="17"/>
        <v>-1081.4000000000001</v>
      </c>
      <c r="Y62" s="2"/>
      <c r="Z62" s="19">
        <f t="shared" si="18"/>
        <v>-1</v>
      </c>
    </row>
    <row r="63" spans="1:26" s="23" customFormat="1" hidden="1" outlineLevel="1" x14ac:dyDescent="0.25">
      <c r="A63" s="44"/>
      <c r="B63" s="10" t="str">
        <f>CONCATENATE("          ", "5037", " - ", "PURCHASES @ COST-WATER")</f>
        <v xml:space="preserve">          5037 - PURCHASES @ COST-WATER</v>
      </c>
      <c r="C63" s="10"/>
      <c r="D63" s="2"/>
      <c r="E63" s="2"/>
      <c r="F63" s="19">
        <f t="shared" si="11"/>
        <v>0</v>
      </c>
      <c r="G63" s="2"/>
      <c r="H63" s="2"/>
      <c r="I63" s="2"/>
      <c r="J63" s="19">
        <f t="shared" si="12"/>
        <v>0</v>
      </c>
      <c r="K63" s="2"/>
      <c r="L63" s="2">
        <f t="shared" si="13"/>
        <v>0</v>
      </c>
      <c r="M63" s="2"/>
      <c r="N63" s="19">
        <f t="shared" si="14"/>
        <v>0</v>
      </c>
      <c r="O63" s="10"/>
      <c r="P63" s="2"/>
      <c r="Q63" s="2"/>
      <c r="R63" s="19">
        <f t="shared" si="15"/>
        <v>0</v>
      </c>
      <c r="S63" s="2"/>
      <c r="T63" s="2">
        <v>5663.81</v>
      </c>
      <c r="U63" s="2"/>
      <c r="V63" s="19">
        <f t="shared" si="16"/>
        <v>1.3795683170338746E-2</v>
      </c>
      <c r="W63" s="2"/>
      <c r="X63" s="2">
        <f t="shared" si="17"/>
        <v>-5663.81</v>
      </c>
      <c r="Y63" s="2"/>
      <c r="Z63" s="19">
        <f t="shared" si="18"/>
        <v>-1</v>
      </c>
    </row>
    <row r="64" spans="1:26" s="23" customFormat="1" hidden="1" outlineLevel="1" x14ac:dyDescent="0.25">
      <c r="A64" s="44"/>
      <c r="B64" s="10" t="str">
        <f>CONCATENATE("          ", "5081", " - ", "PURCHASES @ COST-ELECTRONICS")</f>
        <v xml:space="preserve">          5081 - PURCHASES @ COST-ELECTRONICS</v>
      </c>
      <c r="C64" s="10"/>
      <c r="D64" s="2"/>
      <c r="E64" s="2"/>
      <c r="F64" s="19">
        <f t="shared" si="11"/>
        <v>0</v>
      </c>
      <c r="G64" s="2"/>
      <c r="H64" s="2"/>
      <c r="I64" s="2"/>
      <c r="J64" s="19">
        <f t="shared" si="12"/>
        <v>0</v>
      </c>
      <c r="K64" s="2"/>
      <c r="L64" s="2">
        <f t="shared" si="13"/>
        <v>0</v>
      </c>
      <c r="M64" s="2"/>
      <c r="N64" s="19">
        <f t="shared" si="14"/>
        <v>0</v>
      </c>
      <c r="O64" s="10"/>
      <c r="P64" s="2"/>
      <c r="Q64" s="2"/>
      <c r="R64" s="19">
        <f t="shared" si="15"/>
        <v>0</v>
      </c>
      <c r="S64" s="2"/>
      <c r="T64" s="2">
        <v>2008.03</v>
      </c>
      <c r="U64" s="2"/>
      <c r="V64" s="19">
        <f t="shared" si="16"/>
        <v>4.8910796224688529E-3</v>
      </c>
      <c r="W64" s="2"/>
      <c r="X64" s="2">
        <f t="shared" si="17"/>
        <v>-2008.03</v>
      </c>
      <c r="Y64" s="2"/>
      <c r="Z64" s="19">
        <f t="shared" si="18"/>
        <v>-1</v>
      </c>
    </row>
    <row r="65" spans="1:26" s="23" customFormat="1" hidden="1" outlineLevel="1" x14ac:dyDescent="0.25">
      <c r="A65" s="44"/>
      <c r="B65" s="10" t="str">
        <f>CONCATENATE("          ", "5082", " - ", "PURCHASES @ COST-COMPUTER HARD")</f>
        <v xml:space="preserve">          5082 - PURCHASES @ COST-COMPUTER HARD</v>
      </c>
      <c r="C65" s="10"/>
      <c r="D65" s="2"/>
      <c r="E65" s="2"/>
      <c r="F65" s="19">
        <f t="shared" si="11"/>
        <v>0</v>
      </c>
      <c r="G65" s="2"/>
      <c r="H65" s="2"/>
      <c r="I65" s="2"/>
      <c r="J65" s="19">
        <f t="shared" si="12"/>
        <v>0</v>
      </c>
      <c r="K65" s="2"/>
      <c r="L65" s="2">
        <f t="shared" si="13"/>
        <v>0</v>
      </c>
      <c r="M65" s="2"/>
      <c r="N65" s="19">
        <f t="shared" si="14"/>
        <v>0</v>
      </c>
      <c r="O65" s="10"/>
      <c r="P65" s="2"/>
      <c r="Q65" s="2"/>
      <c r="R65" s="19">
        <f t="shared" si="15"/>
        <v>0</v>
      </c>
      <c r="S65" s="2"/>
      <c r="T65" s="2">
        <v>349.6</v>
      </c>
      <c r="U65" s="2"/>
      <c r="V65" s="19">
        <f t="shared" si="16"/>
        <v>8.5154177776980975E-4</v>
      </c>
      <c r="W65" s="2"/>
      <c r="X65" s="2">
        <f t="shared" si="17"/>
        <v>-349.6</v>
      </c>
      <c r="Y65" s="2"/>
      <c r="Z65" s="19">
        <f t="shared" si="18"/>
        <v>-1</v>
      </c>
    </row>
    <row r="66" spans="1:26" s="23" customFormat="1" hidden="1" outlineLevel="1" x14ac:dyDescent="0.25">
      <c r="A66" s="44"/>
      <c r="B66" s="10" t="str">
        <f>CONCATENATE("          ", "5083", " - ", "PURCHASES @ COST-COMPUTER EQUI")</f>
        <v xml:space="preserve">          5083 - PURCHASES @ COST-COMPUTER EQUI</v>
      </c>
      <c r="C66" s="10"/>
      <c r="D66" s="2"/>
      <c r="E66" s="2"/>
      <c r="F66" s="19">
        <f t="shared" si="11"/>
        <v>0</v>
      </c>
      <c r="G66" s="2"/>
      <c r="H66" s="2"/>
      <c r="I66" s="2"/>
      <c r="J66" s="19">
        <f t="shared" si="12"/>
        <v>0</v>
      </c>
      <c r="K66" s="2"/>
      <c r="L66" s="2">
        <f t="shared" si="13"/>
        <v>0</v>
      </c>
      <c r="M66" s="2"/>
      <c r="N66" s="19">
        <f t="shared" si="14"/>
        <v>0</v>
      </c>
      <c r="O66" s="10"/>
      <c r="P66" s="2"/>
      <c r="Q66" s="2"/>
      <c r="R66" s="19">
        <f t="shared" si="15"/>
        <v>0</v>
      </c>
      <c r="S66" s="2"/>
      <c r="T66" s="2">
        <v>304.70999999999998</v>
      </c>
      <c r="U66" s="2"/>
      <c r="V66" s="19">
        <f t="shared" si="16"/>
        <v>7.4220050087024799E-4</v>
      </c>
      <c r="W66" s="2"/>
      <c r="X66" s="2">
        <f t="shared" si="17"/>
        <v>-304.70999999999998</v>
      </c>
      <c r="Y66" s="2"/>
      <c r="Z66" s="19">
        <f t="shared" si="18"/>
        <v>-1</v>
      </c>
    </row>
    <row r="67" spans="1:26" s="23" customFormat="1" hidden="1" outlineLevel="1" x14ac:dyDescent="0.25">
      <c r="A67" s="44"/>
      <c r="B67" s="10" t="str">
        <f>CONCATENATE("          ", "5086", " - ", "PURCHASES @ COST-COMPUTER SUPP")</f>
        <v xml:space="preserve">          5086 - PURCHASES @ COST-COMPUTER SUPP</v>
      </c>
      <c r="C67" s="10"/>
      <c r="D67" s="2"/>
      <c r="E67" s="2"/>
      <c r="F67" s="19">
        <f t="shared" si="11"/>
        <v>0</v>
      </c>
      <c r="G67" s="2"/>
      <c r="H67" s="2"/>
      <c r="I67" s="2"/>
      <c r="J67" s="19">
        <f t="shared" si="12"/>
        <v>0</v>
      </c>
      <c r="K67" s="2"/>
      <c r="L67" s="2">
        <f t="shared" si="13"/>
        <v>0</v>
      </c>
      <c r="M67" s="2"/>
      <c r="N67" s="19">
        <f t="shared" si="14"/>
        <v>0</v>
      </c>
      <c r="O67" s="10"/>
      <c r="P67" s="2"/>
      <c r="Q67" s="2"/>
      <c r="R67" s="19">
        <f t="shared" si="15"/>
        <v>0</v>
      </c>
      <c r="S67" s="2"/>
      <c r="T67" s="2">
        <v>426.22</v>
      </c>
      <c r="U67" s="2"/>
      <c r="V67" s="19">
        <f t="shared" si="16"/>
        <v>1.0381697268908704E-3</v>
      </c>
      <c r="W67" s="2"/>
      <c r="X67" s="2">
        <f t="shared" si="17"/>
        <v>-426.22</v>
      </c>
      <c r="Y67" s="2"/>
      <c r="Z67" s="19">
        <f t="shared" si="18"/>
        <v>-1</v>
      </c>
    </row>
    <row r="68" spans="1:26" s="23" customFormat="1" hidden="1" outlineLevel="1" x14ac:dyDescent="0.25">
      <c r="A68" s="44"/>
      <c r="B68" s="10" t="str">
        <f>CONCATENATE("          ", "5200", " - ", "PURCHASES OFFSET")</f>
        <v xml:space="preserve">          5200 - PURCHASES OFFSET</v>
      </c>
      <c r="C68" s="10"/>
      <c r="D68" s="2"/>
      <c r="E68" s="2"/>
      <c r="F68" s="19">
        <f t="shared" si="11"/>
        <v>0</v>
      </c>
      <c r="G68" s="2"/>
      <c r="H68" s="2">
        <v>-8521</v>
      </c>
      <c r="I68" s="2"/>
      <c r="J68" s="19">
        <f t="shared" si="12"/>
        <v>0</v>
      </c>
      <c r="K68" s="2"/>
      <c r="L68" s="2">
        <f t="shared" si="13"/>
        <v>8521</v>
      </c>
      <c r="M68" s="2"/>
      <c r="N68" s="19">
        <f t="shared" si="14"/>
        <v>-1</v>
      </c>
      <c r="O68" s="10"/>
      <c r="P68" s="2">
        <v>-45863.33</v>
      </c>
      <c r="Q68" s="2"/>
      <c r="R68" s="19">
        <f t="shared" si="15"/>
        <v>-2.1520036674311842</v>
      </c>
      <c r="S68" s="2"/>
      <c r="T68" s="2">
        <v>-227521</v>
      </c>
      <c r="U68" s="2"/>
      <c r="V68" s="19">
        <f t="shared" si="16"/>
        <v>-0.55418660417610088</v>
      </c>
      <c r="W68" s="2"/>
      <c r="X68" s="2">
        <f t="shared" si="17"/>
        <v>181657.66999999998</v>
      </c>
      <c r="Y68" s="2"/>
      <c r="Z68" s="19">
        <f t="shared" si="18"/>
        <v>-0.79842155229627143</v>
      </c>
    </row>
    <row r="69" spans="1:26" s="23" customFormat="1" hidden="1" outlineLevel="1" x14ac:dyDescent="0.25">
      <c r="A69" s="44"/>
      <c r="B69" s="10" t="str">
        <f>CONCATENATE("          ", "5300", " - ", "COG$ OFFSET")</f>
        <v xml:space="preserve">          5300 - COG$ OFFSET</v>
      </c>
      <c r="C69" s="10"/>
      <c r="D69" s="2"/>
      <c r="E69" s="2"/>
      <c r="F69" s="19">
        <f t="shared" si="11"/>
        <v>0</v>
      </c>
      <c r="G69" s="2"/>
      <c r="H69" s="2"/>
      <c r="I69" s="2"/>
      <c r="J69" s="19">
        <f t="shared" si="12"/>
        <v>0</v>
      </c>
      <c r="K69" s="2"/>
      <c r="L69" s="2">
        <f t="shared" si="13"/>
        <v>0</v>
      </c>
      <c r="M69" s="2"/>
      <c r="N69" s="19">
        <f t="shared" si="14"/>
        <v>0</v>
      </c>
      <c r="O69" s="10"/>
      <c r="P69" s="2">
        <v>14145</v>
      </c>
      <c r="Q69" s="2"/>
      <c r="R69" s="19">
        <f t="shared" si="15"/>
        <v>0.66371307700103988</v>
      </c>
      <c r="S69" s="2"/>
      <c r="T69" s="2">
        <v>215717</v>
      </c>
      <c r="U69" s="2"/>
      <c r="V69" s="19">
        <f t="shared" si="16"/>
        <v>0.5254348903752003</v>
      </c>
      <c r="W69" s="2"/>
      <c r="X69" s="2">
        <f t="shared" si="17"/>
        <v>-201572</v>
      </c>
      <c r="Y69" s="2"/>
      <c r="Z69" s="19">
        <f t="shared" si="18"/>
        <v>-0.93442797739631089</v>
      </c>
    </row>
    <row r="70" spans="1:26" s="23" customFormat="1" hidden="1" outlineLevel="1" x14ac:dyDescent="0.25">
      <c r="A70" s="44"/>
      <c r="B70" s="10" t="str">
        <f>CONCATENATE("          ", "5500", " - ", "FREIGHT-IN")</f>
        <v xml:space="preserve">          5500 - FREIGHT-IN</v>
      </c>
      <c r="C70" s="10"/>
      <c r="D70" s="2"/>
      <c r="E70" s="2"/>
      <c r="F70" s="19">
        <f t="shared" si="11"/>
        <v>0</v>
      </c>
      <c r="G70" s="2"/>
      <c r="H70" s="2"/>
      <c r="I70" s="2"/>
      <c r="J70" s="19">
        <f t="shared" si="12"/>
        <v>0</v>
      </c>
      <c r="K70" s="2"/>
      <c r="L70" s="2">
        <f t="shared" si="13"/>
        <v>0</v>
      </c>
      <c r="M70" s="2"/>
      <c r="N70" s="19">
        <f t="shared" si="14"/>
        <v>0</v>
      </c>
      <c r="O70" s="10"/>
      <c r="P70" s="2"/>
      <c r="Q70" s="2"/>
      <c r="R70" s="19">
        <f t="shared" si="15"/>
        <v>0</v>
      </c>
      <c r="S70" s="2"/>
      <c r="T70" s="2">
        <v>80</v>
      </c>
      <c r="U70" s="2"/>
      <c r="V70" s="19">
        <f t="shared" si="16"/>
        <v>1.9486081871162691E-4</v>
      </c>
      <c r="W70" s="2"/>
      <c r="X70" s="2">
        <f t="shared" si="17"/>
        <v>-80</v>
      </c>
      <c r="Y70" s="2"/>
      <c r="Z70" s="19">
        <f t="shared" si="18"/>
        <v>-1</v>
      </c>
    </row>
    <row r="71" spans="1:26" s="23" customFormat="1" hidden="1" outlineLevel="1" x14ac:dyDescent="0.25">
      <c r="A71" s="44"/>
      <c r="B71" s="10" t="str">
        <f>CONCATENATE("          ", "5527", " - ", "FREIGHT-IN-SCHOOL SUPPLIES")</f>
        <v xml:space="preserve">          5527 - FREIGHT-IN-SCHOOL SUPPLIES</v>
      </c>
      <c r="C71" s="10"/>
      <c r="D71" s="2"/>
      <c r="E71" s="2"/>
      <c r="F71" s="19">
        <f t="shared" si="11"/>
        <v>0</v>
      </c>
      <c r="G71" s="2"/>
      <c r="H71" s="2"/>
      <c r="I71" s="2"/>
      <c r="J71" s="19">
        <f t="shared" si="12"/>
        <v>0</v>
      </c>
      <c r="K71" s="2"/>
      <c r="L71" s="2">
        <f t="shared" si="13"/>
        <v>0</v>
      </c>
      <c r="M71" s="2"/>
      <c r="N71" s="19">
        <f t="shared" si="14"/>
        <v>0</v>
      </c>
      <c r="O71" s="10"/>
      <c r="P71" s="2"/>
      <c r="Q71" s="2"/>
      <c r="R71" s="19">
        <f t="shared" si="15"/>
        <v>0</v>
      </c>
      <c r="S71" s="2"/>
      <c r="T71" s="2">
        <v>464.88</v>
      </c>
      <c r="U71" s="2"/>
      <c r="V71" s="19">
        <f t="shared" si="16"/>
        <v>1.132336217533264E-3</v>
      </c>
      <c r="W71" s="2"/>
      <c r="X71" s="2">
        <f t="shared" si="17"/>
        <v>-464.88</v>
      </c>
      <c r="Y71" s="2"/>
      <c r="Z71" s="19">
        <f t="shared" si="18"/>
        <v>-1</v>
      </c>
    </row>
    <row r="72" spans="1:26" s="23" customFormat="1" hidden="1" outlineLevel="1" x14ac:dyDescent="0.25">
      <c r="A72" s="44"/>
      <c r="B72" s="10" t="str">
        <f>CONCATENATE("          ", "5528", " - ", "FREIGHT-IN-ART/TECH")</f>
        <v xml:space="preserve">          5528 - FREIGHT-IN-ART/TECH</v>
      </c>
      <c r="C72" s="10"/>
      <c r="D72" s="2">
        <v>19.489999999999998</v>
      </c>
      <c r="E72" s="2"/>
      <c r="F72" s="19">
        <f t="shared" si="11"/>
        <v>0</v>
      </c>
      <c r="G72" s="2"/>
      <c r="H72" s="2">
        <v>540.04999999999995</v>
      </c>
      <c r="I72" s="2"/>
      <c r="J72" s="19">
        <f t="shared" si="12"/>
        <v>0</v>
      </c>
      <c r="K72" s="2"/>
      <c r="L72" s="2">
        <f t="shared" si="13"/>
        <v>-520.55999999999995</v>
      </c>
      <c r="M72" s="2"/>
      <c r="N72" s="19">
        <f t="shared" si="14"/>
        <v>-0.96391074900472173</v>
      </c>
      <c r="O72" s="10"/>
      <c r="P72" s="2">
        <v>367.52</v>
      </c>
      <c r="Q72" s="2"/>
      <c r="R72" s="19">
        <f t="shared" si="15"/>
        <v>1.7244809477513053E-2</v>
      </c>
      <c r="S72" s="2"/>
      <c r="T72" s="2">
        <v>2716.34</v>
      </c>
      <c r="U72" s="2"/>
      <c r="V72" s="19">
        <f t="shared" si="16"/>
        <v>6.6163529537392584E-3</v>
      </c>
      <c r="W72" s="2"/>
      <c r="X72" s="2">
        <f t="shared" si="17"/>
        <v>-2348.8200000000002</v>
      </c>
      <c r="Y72" s="2"/>
      <c r="Z72" s="19">
        <f t="shared" si="18"/>
        <v>-0.8647002952502264</v>
      </c>
    </row>
    <row r="73" spans="1:26" x14ac:dyDescent="0.25">
      <c r="A73" s="9"/>
      <c r="B73" s="11"/>
      <c r="C73" s="11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1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4" customFormat="1" x14ac:dyDescent="0.25">
      <c r="A74" s="11"/>
      <c r="B74" s="29" t="s">
        <v>107</v>
      </c>
      <c r="C74" s="29"/>
      <c r="D74" s="20">
        <f>D12-D51</f>
        <v>-19.489999999999998</v>
      </c>
      <c r="E74" s="14"/>
      <c r="F74" s="22">
        <f>IF(D$12=0,0,D74/D$12)</f>
        <v>0</v>
      </c>
      <c r="G74" s="14"/>
      <c r="H74" s="20">
        <f>H12-H51</f>
        <v>-0.38000000000079126</v>
      </c>
      <c r="I74" s="14"/>
      <c r="J74" s="22">
        <f>IF(H$12=0,0,H74/H$12)</f>
        <v>0</v>
      </c>
      <c r="K74" s="16"/>
      <c r="L74" s="20">
        <f>+D74-H74</f>
        <v>-19.109999999999207</v>
      </c>
      <c r="M74" s="16"/>
      <c r="N74" s="22">
        <f>IF(H74=0,0,L74/H74)</f>
        <v>50.289473684103726</v>
      </c>
      <c r="O74" s="28"/>
      <c r="P74" s="20">
        <f>P12-P51</f>
        <v>7518.9300000000039</v>
      </c>
      <c r="Q74" s="14"/>
      <c r="R74" s="22">
        <f>IF(P$12=0,0,P74/P$12)</f>
        <v>0.35280397073562608</v>
      </c>
      <c r="S74" s="14"/>
      <c r="T74" s="20">
        <f>T12-T51</f>
        <v>194755.25000000023</v>
      </c>
      <c r="U74" s="14"/>
      <c r="V74" s="22">
        <f>IF(T$12=0,0,T74/T$12)</f>
        <v>0.47437709329234529</v>
      </c>
      <c r="W74" s="16"/>
      <c r="X74" s="20">
        <f>+P74-T74</f>
        <v>-187236.32000000024</v>
      </c>
      <c r="Y74" s="16"/>
      <c r="Z74" s="22">
        <f>IF(T74=0,0,X74/T74)</f>
        <v>-0.96139292779013663</v>
      </c>
    </row>
    <row r="75" spans="1:26" x14ac:dyDescent="0.25">
      <c r="A75" s="9"/>
      <c r="B75" s="11"/>
      <c r="C75" s="9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4" customFormat="1" x14ac:dyDescent="0.25">
      <c r="A76" s="11"/>
      <c r="B76" s="28" t="s">
        <v>294</v>
      </c>
      <c r="C76" s="11"/>
      <c r="D76" s="21">
        <f>SUM(OSRRefD22x_0)</f>
        <v>53</v>
      </c>
      <c r="E76" s="21"/>
      <c r="F76" s="31">
        <f t="shared" ref="F76:F85" si="19">IF(D$12=0,0,D76/D$12)</f>
        <v>0</v>
      </c>
      <c r="G76" s="21"/>
      <c r="H76" s="21">
        <f>SUM(OSRRefH22x_0)</f>
        <v>299.55</v>
      </c>
      <c r="I76" s="21"/>
      <c r="J76" s="31">
        <f t="shared" ref="J76:J85" si="20">IF(H$12=0,0,H76/H$12)</f>
        <v>0</v>
      </c>
      <c r="K76" s="4"/>
      <c r="L76" s="21">
        <f t="shared" ref="L76:L85" si="21">+D76-H76</f>
        <v>-246.55</v>
      </c>
      <c r="M76" s="4"/>
      <c r="N76" s="31">
        <f t="shared" ref="N76:N85" si="22">IF(H76=0,0,L76/H76)</f>
        <v>-0.8230679352361876</v>
      </c>
      <c r="O76" s="11"/>
      <c r="P76" s="21">
        <f>SUM(OSRRefP22x_0)</f>
        <v>12700.859999999997</v>
      </c>
      <c r="Q76" s="21"/>
      <c r="R76" s="31">
        <f t="shared" ref="R76:R85" si="23">IF(P$12=0,0,P76/P$12)</f>
        <v>0.59595099831455811</v>
      </c>
      <c r="S76" s="21"/>
      <c r="T76" s="21">
        <f>SUM(OSRRefT22x_0)</f>
        <v>108359.29</v>
      </c>
      <c r="U76" s="21"/>
      <c r="V76" s="31">
        <f t="shared" ref="V76:V85" si="24">IF(T$12=0,0,T76/T$12)</f>
        <v>0.26393724955513259</v>
      </c>
      <c r="W76" s="4"/>
      <c r="X76" s="21">
        <f t="shared" ref="X76:X85" si="25">+P76-T76</f>
        <v>-95658.43</v>
      </c>
      <c r="Y76" s="4"/>
      <c r="Z76" s="31">
        <f t="shared" ref="Z76:Z85" si="26">IF(T76=0,0,X76/T76)</f>
        <v>-0.88278937597320917</v>
      </c>
    </row>
    <row r="77" spans="1:26" s="26" customFormat="1" outlineLevel="1" collapsed="1" x14ac:dyDescent="0.25">
      <c r="A77" s="25"/>
      <c r="B77" s="12" t="str">
        <f>CONCATENATE("     ","*Benefits                                         ")</f>
        <v xml:space="preserve">     *Benefits                                         </v>
      </c>
      <c r="C77" s="12"/>
      <c r="D77" s="1">
        <f>SUM(OSRRefD22_0x_0)</f>
        <v>0</v>
      </c>
      <c r="E77" s="1"/>
      <c r="F77" s="5">
        <f t="shared" si="19"/>
        <v>0</v>
      </c>
      <c r="G77" s="1"/>
      <c r="H77" s="1">
        <f>SUM(OSRRefH22_0x_0)</f>
        <v>0</v>
      </c>
      <c r="I77" s="1"/>
      <c r="J77" s="5">
        <f t="shared" si="20"/>
        <v>0</v>
      </c>
      <c r="K77" s="1"/>
      <c r="L77" s="1">
        <f t="shared" si="21"/>
        <v>0</v>
      </c>
      <c r="M77" s="1"/>
      <c r="N77" s="5">
        <f t="shared" si="22"/>
        <v>0</v>
      </c>
      <c r="O77" s="12"/>
      <c r="P77" s="1">
        <f>SUM(OSRRefP22_0x_0)</f>
        <v>778.2</v>
      </c>
      <c r="Q77" s="1"/>
      <c r="R77" s="5">
        <f t="shared" si="23"/>
        <v>3.6514776707119778E-2</v>
      </c>
      <c r="S77" s="1"/>
      <c r="T77" s="1">
        <f>SUM(OSRRefT22_0x_0)</f>
        <v>17660.419999999998</v>
      </c>
      <c r="U77" s="1"/>
      <c r="V77" s="5">
        <f t="shared" si="24"/>
        <v>4.3016548749889874E-2</v>
      </c>
      <c r="W77" s="1"/>
      <c r="X77" s="1">
        <f t="shared" si="25"/>
        <v>-16882.219999999998</v>
      </c>
      <c r="Y77" s="1"/>
      <c r="Z77" s="5">
        <f t="shared" si="26"/>
        <v>-0.95593536280564106</v>
      </c>
    </row>
    <row r="78" spans="1:26" s="23" customFormat="1" hidden="1" outlineLevel="2" x14ac:dyDescent="0.25">
      <c r="A78" s="27"/>
      <c r="B78" s="10" t="str">
        <f>CONCATENATE("          ", "6111", " - ", "F.I.C.A.")</f>
        <v xml:space="preserve">          6111 - F.I.C.A.</v>
      </c>
      <c r="C78" s="10"/>
      <c r="D78" s="6"/>
      <c r="E78" s="2"/>
      <c r="F78" s="7">
        <f t="shared" si="19"/>
        <v>0</v>
      </c>
      <c r="G78" s="2"/>
      <c r="H78" s="6"/>
      <c r="I78" s="2"/>
      <c r="J78" s="7">
        <f t="shared" si="20"/>
        <v>0</v>
      </c>
      <c r="K78" s="2"/>
      <c r="L78" s="6">
        <f t="shared" si="21"/>
        <v>0</v>
      </c>
      <c r="M78" s="2"/>
      <c r="N78" s="7">
        <f t="shared" si="22"/>
        <v>0</v>
      </c>
      <c r="O78" s="10"/>
      <c r="P78" s="6">
        <v>484.61</v>
      </c>
      <c r="Q78" s="2"/>
      <c r="R78" s="7">
        <f t="shared" si="23"/>
        <v>2.2738917938881154E-2</v>
      </c>
      <c r="S78" s="2"/>
      <c r="T78" s="6">
        <v>2534.9299999999998</v>
      </c>
      <c r="U78" s="2"/>
      <c r="V78" s="7">
        <f t="shared" si="24"/>
        <v>6.1744816897083051E-3</v>
      </c>
      <c r="W78" s="2"/>
      <c r="X78" s="6">
        <f t="shared" si="25"/>
        <v>-2050.3199999999997</v>
      </c>
      <c r="Y78" s="2"/>
      <c r="Z78" s="7">
        <f t="shared" si="26"/>
        <v>-0.80882706820306671</v>
      </c>
    </row>
    <row r="79" spans="1:26" s="23" customFormat="1" hidden="1" outlineLevel="2" x14ac:dyDescent="0.25">
      <c r="A79" s="27"/>
      <c r="B79" s="10" t="str">
        <f>CONCATENATE("          ", "6112", " - ", "COMPENSATION INSURANCE")</f>
        <v xml:space="preserve">          6112 - COMPENSATION INSURANCE</v>
      </c>
      <c r="C79" s="10"/>
      <c r="D79" s="6"/>
      <c r="E79" s="2"/>
      <c r="F79" s="7">
        <f t="shared" si="19"/>
        <v>0</v>
      </c>
      <c r="G79" s="2"/>
      <c r="H79" s="6"/>
      <c r="I79" s="2"/>
      <c r="J79" s="7">
        <f t="shared" si="20"/>
        <v>0</v>
      </c>
      <c r="K79" s="2"/>
      <c r="L79" s="6">
        <f t="shared" si="21"/>
        <v>0</v>
      </c>
      <c r="M79" s="2"/>
      <c r="N79" s="7">
        <f t="shared" si="22"/>
        <v>0</v>
      </c>
      <c r="O79" s="10"/>
      <c r="P79" s="6">
        <v>255.57</v>
      </c>
      <c r="Q79" s="2"/>
      <c r="R79" s="7">
        <f t="shared" si="23"/>
        <v>1.1991880600152403E-2</v>
      </c>
      <c r="S79" s="2"/>
      <c r="T79" s="6">
        <v>1326.62</v>
      </c>
      <c r="U79" s="2"/>
      <c r="V79" s="7">
        <f t="shared" si="24"/>
        <v>3.2313282414902309E-3</v>
      </c>
      <c r="W79" s="2"/>
      <c r="X79" s="6">
        <f t="shared" si="25"/>
        <v>-1071.05</v>
      </c>
      <c r="Y79" s="2"/>
      <c r="Z79" s="7">
        <f t="shared" si="26"/>
        <v>-0.80735251993788726</v>
      </c>
    </row>
    <row r="80" spans="1:26" s="23" customFormat="1" hidden="1" outlineLevel="2" x14ac:dyDescent="0.25">
      <c r="A80" s="27"/>
      <c r="B80" s="10" t="str">
        <f>CONCATENATE("          ", "6113", " - ", "GROUP INSURANCE")</f>
        <v xml:space="preserve">          6113 - GROUP INSURANCE</v>
      </c>
      <c r="C80" s="10"/>
      <c r="D80" s="6"/>
      <c r="E80" s="2"/>
      <c r="F80" s="7">
        <f t="shared" si="19"/>
        <v>0</v>
      </c>
      <c r="G80" s="2"/>
      <c r="H80" s="6">
        <v>0</v>
      </c>
      <c r="I80" s="2"/>
      <c r="J80" s="7">
        <f t="shared" si="20"/>
        <v>0</v>
      </c>
      <c r="K80" s="2"/>
      <c r="L80" s="6">
        <f t="shared" si="21"/>
        <v>0</v>
      </c>
      <c r="M80" s="2"/>
      <c r="N80" s="7">
        <f t="shared" si="22"/>
        <v>0</v>
      </c>
      <c r="O80" s="10"/>
      <c r="P80" s="6"/>
      <c r="Q80" s="2"/>
      <c r="R80" s="7">
        <f t="shared" si="23"/>
        <v>0</v>
      </c>
      <c r="S80" s="2"/>
      <c r="T80" s="6">
        <v>8133.54</v>
      </c>
      <c r="U80" s="2"/>
      <c r="V80" s="7">
        <f t="shared" si="24"/>
        <v>1.9811353292797075E-2</v>
      </c>
      <c r="W80" s="2"/>
      <c r="X80" s="6">
        <f t="shared" si="25"/>
        <v>-8133.54</v>
      </c>
      <c r="Y80" s="2"/>
      <c r="Z80" s="7">
        <f t="shared" si="26"/>
        <v>-1</v>
      </c>
    </row>
    <row r="81" spans="1:26" s="23" customFormat="1" hidden="1" outlineLevel="2" x14ac:dyDescent="0.25">
      <c r="A81" s="27"/>
      <c r="B81" s="10" t="str">
        <f>CONCATENATE("          ", "6114", " - ", "STATE UNEMPLOYMENT INSURANCE")</f>
        <v xml:space="preserve">          6114 - STATE UNEMPLOYMENT INSURANCE</v>
      </c>
      <c r="C81" s="10"/>
      <c r="D81" s="6"/>
      <c r="E81" s="2"/>
      <c r="F81" s="7">
        <f t="shared" si="19"/>
        <v>0</v>
      </c>
      <c r="G81" s="2"/>
      <c r="H81" s="6"/>
      <c r="I81" s="2"/>
      <c r="J81" s="7">
        <f t="shared" si="20"/>
        <v>0</v>
      </c>
      <c r="K81" s="2"/>
      <c r="L81" s="6">
        <f t="shared" si="21"/>
        <v>0</v>
      </c>
      <c r="M81" s="2"/>
      <c r="N81" s="7">
        <f t="shared" si="22"/>
        <v>0</v>
      </c>
      <c r="O81" s="10"/>
      <c r="P81" s="6">
        <v>38.020000000000003</v>
      </c>
      <c r="Q81" s="2"/>
      <c r="R81" s="7">
        <f t="shared" si="23"/>
        <v>1.7839781680862169E-3</v>
      </c>
      <c r="S81" s="2"/>
      <c r="T81" s="6">
        <v>203.94</v>
      </c>
      <c r="U81" s="2"/>
      <c r="V81" s="7">
        <f t="shared" si="24"/>
        <v>4.9674894210061495E-4</v>
      </c>
      <c r="W81" s="2"/>
      <c r="X81" s="6">
        <f t="shared" si="25"/>
        <v>-165.92</v>
      </c>
      <c r="Y81" s="2"/>
      <c r="Z81" s="7">
        <f t="shared" si="26"/>
        <v>-0.81357261939786207</v>
      </c>
    </row>
    <row r="82" spans="1:26" s="23" customFormat="1" hidden="1" outlineLevel="2" x14ac:dyDescent="0.25">
      <c r="A82" s="27"/>
      <c r="B82" s="10" t="str">
        <f>CONCATENATE("          ", "6115", " - ", "P.E.R.S.")</f>
        <v xml:space="preserve">          6115 - P.E.R.S.</v>
      </c>
      <c r="C82" s="10"/>
      <c r="D82" s="6"/>
      <c r="E82" s="2"/>
      <c r="F82" s="7">
        <f t="shared" si="19"/>
        <v>0</v>
      </c>
      <c r="G82" s="2"/>
      <c r="H82" s="6"/>
      <c r="I82" s="2"/>
      <c r="J82" s="7">
        <f t="shared" si="20"/>
        <v>0</v>
      </c>
      <c r="K82" s="2"/>
      <c r="L82" s="6">
        <f t="shared" si="21"/>
        <v>0</v>
      </c>
      <c r="M82" s="2"/>
      <c r="N82" s="7">
        <f t="shared" si="22"/>
        <v>0</v>
      </c>
      <c r="O82" s="10"/>
      <c r="P82" s="6"/>
      <c r="Q82" s="2"/>
      <c r="R82" s="7">
        <f t="shared" si="23"/>
        <v>0</v>
      </c>
      <c r="S82" s="2"/>
      <c r="T82" s="6">
        <v>1788.49</v>
      </c>
      <c r="U82" s="2"/>
      <c r="V82" s="7">
        <f t="shared" si="24"/>
        <v>4.3563328207194708E-3</v>
      </c>
      <c r="W82" s="2"/>
      <c r="X82" s="6">
        <f t="shared" si="25"/>
        <v>-1788.49</v>
      </c>
      <c r="Y82" s="2"/>
      <c r="Z82" s="7">
        <f t="shared" si="26"/>
        <v>-1</v>
      </c>
    </row>
    <row r="83" spans="1:26" s="23" customFormat="1" hidden="1" outlineLevel="2" x14ac:dyDescent="0.25">
      <c r="A83" s="27"/>
      <c r="B83" s="10" t="str">
        <f>CONCATENATE("          ", "6118", " - ", "VACATION")</f>
        <v xml:space="preserve">          6118 - VACATION</v>
      </c>
      <c r="C83" s="10"/>
      <c r="D83" s="6"/>
      <c r="E83" s="2"/>
      <c r="F83" s="7">
        <f t="shared" si="19"/>
        <v>0</v>
      </c>
      <c r="G83" s="2"/>
      <c r="H83" s="6"/>
      <c r="I83" s="2"/>
      <c r="J83" s="7">
        <f t="shared" si="20"/>
        <v>0</v>
      </c>
      <c r="K83" s="2"/>
      <c r="L83" s="6">
        <f t="shared" si="21"/>
        <v>0</v>
      </c>
      <c r="M83" s="2"/>
      <c r="N83" s="7">
        <f t="shared" si="22"/>
        <v>0</v>
      </c>
      <c r="O83" s="10"/>
      <c r="P83" s="6"/>
      <c r="Q83" s="2"/>
      <c r="R83" s="7">
        <f t="shared" si="23"/>
        <v>0</v>
      </c>
      <c r="S83" s="2"/>
      <c r="T83" s="6">
        <v>1686.84</v>
      </c>
      <c r="U83" s="2"/>
      <c r="V83" s="7">
        <f t="shared" si="24"/>
        <v>4.1087377929440094E-3</v>
      </c>
      <c r="W83" s="2"/>
      <c r="X83" s="6">
        <f t="shared" si="25"/>
        <v>-1686.84</v>
      </c>
      <c r="Y83" s="2"/>
      <c r="Z83" s="7">
        <f t="shared" si="26"/>
        <v>-1</v>
      </c>
    </row>
    <row r="84" spans="1:26" s="23" customFormat="1" hidden="1" outlineLevel="2" x14ac:dyDescent="0.25">
      <c r="A84" s="27"/>
      <c r="B84" s="10" t="str">
        <f>CONCATENATE("          ", "6119", " - ", "SICK LEAVE")</f>
        <v xml:space="preserve">          6119 - SICK LEAVE</v>
      </c>
      <c r="C84" s="10"/>
      <c r="D84" s="6"/>
      <c r="E84" s="2"/>
      <c r="F84" s="7">
        <f t="shared" si="19"/>
        <v>0</v>
      </c>
      <c r="G84" s="2"/>
      <c r="H84" s="6"/>
      <c r="I84" s="2"/>
      <c r="J84" s="7">
        <f t="shared" si="20"/>
        <v>0</v>
      </c>
      <c r="K84" s="2"/>
      <c r="L84" s="6">
        <f t="shared" si="21"/>
        <v>0</v>
      </c>
      <c r="M84" s="2"/>
      <c r="N84" s="7">
        <f t="shared" si="22"/>
        <v>0</v>
      </c>
      <c r="O84" s="10"/>
      <c r="P84" s="6"/>
      <c r="Q84" s="2"/>
      <c r="R84" s="7">
        <f t="shared" si="23"/>
        <v>0</v>
      </c>
      <c r="S84" s="2"/>
      <c r="T84" s="6">
        <v>684.81</v>
      </c>
      <c r="U84" s="2"/>
      <c r="V84" s="7">
        <f t="shared" si="24"/>
        <v>1.6680329657738652E-3</v>
      </c>
      <c r="W84" s="2"/>
      <c r="X84" s="6">
        <f t="shared" si="25"/>
        <v>-684.81</v>
      </c>
      <c r="Y84" s="2"/>
      <c r="Z84" s="7">
        <f t="shared" si="26"/>
        <v>-1</v>
      </c>
    </row>
    <row r="85" spans="1:26" s="23" customFormat="1" hidden="1" outlineLevel="2" x14ac:dyDescent="0.25">
      <c r="A85" s="27"/>
      <c r="B85" s="10" t="str">
        <f>CONCATENATE("          ", "6156", " - ", "EMPLOYEE MEALS")</f>
        <v xml:space="preserve">          6156 - EMPLOYEE MEALS</v>
      </c>
      <c r="C85" s="10"/>
      <c r="D85" s="6"/>
      <c r="E85" s="2"/>
      <c r="F85" s="7">
        <f t="shared" si="19"/>
        <v>0</v>
      </c>
      <c r="G85" s="2"/>
      <c r="H85" s="6"/>
      <c r="I85" s="2"/>
      <c r="J85" s="7">
        <f t="shared" si="20"/>
        <v>0</v>
      </c>
      <c r="K85" s="2"/>
      <c r="L85" s="6">
        <f t="shared" si="21"/>
        <v>0</v>
      </c>
      <c r="M85" s="2"/>
      <c r="N85" s="7">
        <f t="shared" si="22"/>
        <v>0</v>
      </c>
      <c r="O85" s="10"/>
      <c r="P85" s="6"/>
      <c r="Q85" s="2"/>
      <c r="R85" s="7">
        <f t="shared" si="23"/>
        <v>0</v>
      </c>
      <c r="S85" s="2"/>
      <c r="T85" s="6">
        <v>1301.25</v>
      </c>
      <c r="U85" s="2"/>
      <c r="V85" s="7">
        <f t="shared" si="24"/>
        <v>3.1695330043563065E-3</v>
      </c>
      <c r="W85" s="2"/>
      <c r="X85" s="6">
        <f t="shared" si="25"/>
        <v>-1301.25</v>
      </c>
      <c r="Y85" s="2"/>
      <c r="Z85" s="7">
        <f t="shared" si="26"/>
        <v>-1</v>
      </c>
    </row>
    <row r="86" spans="1:26" s="26" customFormat="1" outlineLevel="1" collapsed="1" x14ac:dyDescent="0.25">
      <c r="A86" s="25"/>
      <c r="B86" s="12" t="str">
        <f>CONCATENATE("     ","*Payroll                                          ")</f>
        <v xml:space="preserve">     *Payroll                                          </v>
      </c>
      <c r="C86" s="12"/>
      <c r="D86" s="1">
        <f>SUM(OSRRefD22_1x_0)</f>
        <v>0</v>
      </c>
      <c r="E86" s="1"/>
      <c r="F86" s="5">
        <f t="shared" ref="F86:F90" si="27">IF(D$12=0,0,D86/D$12)</f>
        <v>0</v>
      </c>
      <c r="G86" s="1"/>
      <c r="H86" s="1">
        <f>SUM(OSRRefH22_1x_0)</f>
        <v>0</v>
      </c>
      <c r="I86" s="1"/>
      <c r="J86" s="5">
        <f t="shared" ref="J86:J90" si="28">IF(H$12=0,0,H86/H$12)</f>
        <v>0</v>
      </c>
      <c r="K86" s="1"/>
      <c r="L86" s="1">
        <f t="shared" ref="L86:L90" si="29">+D86-H86</f>
        <v>0</v>
      </c>
      <c r="M86" s="1"/>
      <c r="N86" s="5">
        <f t="shared" ref="N86:N90" si="30">IF(H86=0,0,L86/H86)</f>
        <v>0</v>
      </c>
      <c r="O86" s="12"/>
      <c r="P86" s="1">
        <f>SUM(OSRRefP22_1x_0)</f>
        <v>8152.5399999999991</v>
      </c>
      <c r="Q86" s="1"/>
      <c r="R86" s="5">
        <f t="shared" ref="R86:R90" si="31">IF(P$12=0,0,P86/P$12)</f>
        <v>0.38253428128483963</v>
      </c>
      <c r="S86" s="1"/>
      <c r="T86" s="1">
        <f>SUM(OSRRefT22_1x_0)</f>
        <v>74046.41</v>
      </c>
      <c r="U86" s="1"/>
      <c r="V86" s="5">
        <f t="shared" ref="V86:V90" si="32">IF(T$12=0,0,T86/T$12)</f>
        <v>0.18035930094070998</v>
      </c>
      <c r="W86" s="1"/>
      <c r="X86" s="1">
        <f t="shared" ref="X86:X90" si="33">+P86-T86</f>
        <v>-65893.87000000001</v>
      </c>
      <c r="Y86" s="1"/>
      <c r="Z86" s="5">
        <f t="shared" ref="Z86:Z90" si="34">IF(T86=0,0,X86/T86)</f>
        <v>-0.88989959135088392</v>
      </c>
    </row>
    <row r="87" spans="1:26" s="23" customFormat="1" hidden="1" outlineLevel="2" x14ac:dyDescent="0.25">
      <c r="A87" s="27"/>
      <c r="B87" s="10" t="str">
        <f>CONCATENATE("          ", "6002", " - ", "STAFF SALARIES")</f>
        <v xml:space="preserve">          6002 - STAFF SALARIES</v>
      </c>
      <c r="C87" s="10"/>
      <c r="D87" s="6"/>
      <c r="E87" s="2"/>
      <c r="F87" s="7">
        <f t="shared" si="27"/>
        <v>0</v>
      </c>
      <c r="G87" s="2"/>
      <c r="H87" s="6"/>
      <c r="I87" s="2"/>
      <c r="J87" s="7">
        <f t="shared" si="28"/>
        <v>0</v>
      </c>
      <c r="K87" s="2"/>
      <c r="L87" s="6">
        <f t="shared" si="29"/>
        <v>0</v>
      </c>
      <c r="M87" s="2"/>
      <c r="N87" s="7">
        <f t="shared" si="30"/>
        <v>0</v>
      </c>
      <c r="O87" s="10"/>
      <c r="P87" s="6"/>
      <c r="Q87" s="2"/>
      <c r="R87" s="7">
        <f t="shared" si="31"/>
        <v>0</v>
      </c>
      <c r="S87" s="2"/>
      <c r="T87" s="6">
        <v>20966.810000000001</v>
      </c>
      <c r="U87" s="2"/>
      <c r="V87" s="7">
        <f t="shared" si="32"/>
        <v>5.1070122029639085E-2</v>
      </c>
      <c r="W87" s="2"/>
      <c r="X87" s="6">
        <f t="shared" si="33"/>
        <v>-20966.810000000001</v>
      </c>
      <c r="Y87" s="2"/>
      <c r="Z87" s="7">
        <f t="shared" si="34"/>
        <v>-1</v>
      </c>
    </row>
    <row r="88" spans="1:26" s="23" customFormat="1" hidden="1" outlineLevel="2" x14ac:dyDescent="0.25">
      <c r="A88" s="27"/>
      <c r="B88" s="10" t="str">
        <f>CONCATENATE("          ", "6005", " - ", "TEMPORARY WAGES-HOURLY")</f>
        <v xml:space="preserve">          6005 - TEMPORARY WAGES-HOURLY</v>
      </c>
      <c r="C88" s="10"/>
      <c r="D88" s="6"/>
      <c r="E88" s="2"/>
      <c r="F88" s="7">
        <f t="shared" si="27"/>
        <v>0</v>
      </c>
      <c r="G88" s="2"/>
      <c r="H88" s="6"/>
      <c r="I88" s="2"/>
      <c r="J88" s="7">
        <f t="shared" si="28"/>
        <v>0</v>
      </c>
      <c r="K88" s="2"/>
      <c r="L88" s="6">
        <f t="shared" si="29"/>
        <v>0</v>
      </c>
      <c r="M88" s="2"/>
      <c r="N88" s="7">
        <f t="shared" si="30"/>
        <v>0</v>
      </c>
      <c r="O88" s="10"/>
      <c r="P88" s="6">
        <v>5379.19</v>
      </c>
      <c r="Q88" s="2"/>
      <c r="R88" s="7">
        <f t="shared" si="31"/>
        <v>0.25240288064144384</v>
      </c>
      <c r="S88" s="2"/>
      <c r="T88" s="6">
        <v>7121.65</v>
      </c>
      <c r="U88" s="2"/>
      <c r="V88" s="7">
        <f t="shared" si="32"/>
        <v>1.7346631869720724E-2</v>
      </c>
      <c r="W88" s="2"/>
      <c r="X88" s="6">
        <f t="shared" si="33"/>
        <v>-1742.46</v>
      </c>
      <c r="Y88" s="2"/>
      <c r="Z88" s="7">
        <f t="shared" si="34"/>
        <v>-0.24467082768740392</v>
      </c>
    </row>
    <row r="89" spans="1:26" s="23" customFormat="1" hidden="1" outlineLevel="2" x14ac:dyDescent="0.25">
      <c r="A89" s="27"/>
      <c r="B89" s="10" t="str">
        <f>CONCATENATE("          ", "6006", " - ", "TEMPORARY PART TIME")</f>
        <v xml:space="preserve">          6006 - TEMPORARY PART TIME</v>
      </c>
      <c r="C89" s="10"/>
      <c r="D89" s="6"/>
      <c r="E89" s="2"/>
      <c r="F89" s="7">
        <f t="shared" si="27"/>
        <v>0</v>
      </c>
      <c r="G89" s="2"/>
      <c r="H89" s="6"/>
      <c r="I89" s="2"/>
      <c r="J89" s="7">
        <f t="shared" si="28"/>
        <v>0</v>
      </c>
      <c r="K89" s="2"/>
      <c r="L89" s="6">
        <f t="shared" si="29"/>
        <v>0</v>
      </c>
      <c r="M89" s="2"/>
      <c r="N89" s="7">
        <f t="shared" si="30"/>
        <v>0</v>
      </c>
      <c r="O89" s="10"/>
      <c r="P89" s="6"/>
      <c r="Q89" s="2"/>
      <c r="R89" s="7">
        <f t="shared" si="31"/>
        <v>0</v>
      </c>
      <c r="S89" s="2"/>
      <c r="T89" s="6">
        <v>25.5</v>
      </c>
      <c r="U89" s="2"/>
      <c r="V89" s="7">
        <f t="shared" si="32"/>
        <v>6.2111885964331076E-5</v>
      </c>
      <c r="W89" s="2"/>
      <c r="X89" s="6">
        <f t="shared" si="33"/>
        <v>-25.5</v>
      </c>
      <c r="Y89" s="2"/>
      <c r="Z89" s="7">
        <f t="shared" si="34"/>
        <v>-1</v>
      </c>
    </row>
    <row r="90" spans="1:26" s="23" customFormat="1" hidden="1" outlineLevel="2" x14ac:dyDescent="0.25">
      <c r="A90" s="27"/>
      <c r="B90" s="10" t="str">
        <f>CONCATENATE("          ", "6007", " - ", "STUDENT HOURLY")</f>
        <v xml:space="preserve">          6007 - STUDENT HOURLY</v>
      </c>
      <c r="C90" s="10"/>
      <c r="D90" s="6"/>
      <c r="E90" s="2"/>
      <c r="F90" s="7">
        <f t="shared" si="27"/>
        <v>0</v>
      </c>
      <c r="G90" s="2"/>
      <c r="H90" s="6"/>
      <c r="I90" s="2"/>
      <c r="J90" s="7">
        <f t="shared" si="28"/>
        <v>0</v>
      </c>
      <c r="K90" s="2"/>
      <c r="L90" s="6">
        <f t="shared" si="29"/>
        <v>0</v>
      </c>
      <c r="M90" s="2"/>
      <c r="N90" s="7">
        <f t="shared" si="30"/>
        <v>0</v>
      </c>
      <c r="O90" s="10"/>
      <c r="P90" s="6">
        <v>2773.35</v>
      </c>
      <c r="Q90" s="2"/>
      <c r="R90" s="7">
        <f t="shared" si="31"/>
        <v>0.13013140064339582</v>
      </c>
      <c r="S90" s="2"/>
      <c r="T90" s="6">
        <v>45932.45</v>
      </c>
      <c r="U90" s="2"/>
      <c r="V90" s="7">
        <f t="shared" si="32"/>
        <v>0.11188043515538584</v>
      </c>
      <c r="W90" s="2"/>
      <c r="X90" s="6">
        <f t="shared" si="33"/>
        <v>-43159.1</v>
      </c>
      <c r="Y90" s="2"/>
      <c r="Z90" s="7">
        <f t="shared" si="34"/>
        <v>-0.93962111753237643</v>
      </c>
    </row>
    <row r="91" spans="1:26" s="26" customFormat="1" outlineLevel="1" collapsed="1" x14ac:dyDescent="0.25">
      <c r="A91" s="25"/>
      <c r="B91" s="12" t="str">
        <f>CONCATENATE("     ","Advertising/Promo                                 ")</f>
        <v xml:space="preserve">     Advertising/Promo                                 </v>
      </c>
      <c r="C91" s="12"/>
      <c r="D91" s="1">
        <f>SUM(OSRRefD22_2x_0)</f>
        <v>0</v>
      </c>
      <c r="E91" s="1"/>
      <c r="F91" s="5">
        <f t="shared" ref="F91:F97" si="35">IF(D$12=0,0,D91/D$12)</f>
        <v>0</v>
      </c>
      <c r="G91" s="1"/>
      <c r="H91" s="1">
        <f>SUM(OSRRefH22_2x_0)</f>
        <v>0</v>
      </c>
      <c r="I91" s="1"/>
      <c r="J91" s="5">
        <f t="shared" ref="J91:J97" si="36">IF(H$12=0,0,H91/H$12)</f>
        <v>0</v>
      </c>
      <c r="K91" s="1"/>
      <c r="L91" s="1">
        <f t="shared" ref="L91:L97" si="37">+D91-H91</f>
        <v>0</v>
      </c>
      <c r="M91" s="1"/>
      <c r="N91" s="5">
        <f t="shared" ref="N91:N97" si="38">IF(H91=0,0,L91/H91)</f>
        <v>0</v>
      </c>
      <c r="O91" s="12"/>
      <c r="P91" s="1">
        <f>SUM(OSRRefP22_2x_0)</f>
        <v>124.72</v>
      </c>
      <c r="Q91" s="1"/>
      <c r="R91" s="5">
        <f t="shared" ref="R91:R97" si="39">IF(P$12=0,0,P91/P$12)</f>
        <v>5.8521240695347957E-3</v>
      </c>
      <c r="S91" s="1"/>
      <c r="T91" s="1">
        <f>SUM(OSRRefT22_2x_0)</f>
        <v>963.62</v>
      </c>
      <c r="U91" s="1"/>
      <c r="V91" s="5">
        <f t="shared" ref="V91:V97" si="40">IF(T$12=0,0,T91/T$12)</f>
        <v>2.3471472765862244E-3</v>
      </c>
      <c r="W91" s="1"/>
      <c r="X91" s="1">
        <f t="shared" ref="X91:X97" si="41">+P91-T91</f>
        <v>-838.9</v>
      </c>
      <c r="Y91" s="1"/>
      <c r="Z91" s="5">
        <f t="shared" ref="Z91:Z97" si="42">IF(T91=0,0,X91/T91)</f>
        <v>-0.87057138706128967</v>
      </c>
    </row>
    <row r="92" spans="1:26" s="23" customFormat="1" hidden="1" outlineLevel="2" x14ac:dyDescent="0.25">
      <c r="A92" s="27"/>
      <c r="B92" s="10" t="str">
        <f>CONCATENATE("          ", "6362", " - ", "ADVERTISING EXPENSE")</f>
        <v xml:space="preserve">          6362 - ADVERTISING EXPENSE</v>
      </c>
      <c r="C92" s="10"/>
      <c r="D92" s="6"/>
      <c r="E92" s="2"/>
      <c r="F92" s="7">
        <f t="shared" si="35"/>
        <v>0</v>
      </c>
      <c r="G92" s="2"/>
      <c r="H92" s="6"/>
      <c r="I92" s="2"/>
      <c r="J92" s="7">
        <f t="shared" si="36"/>
        <v>0</v>
      </c>
      <c r="K92" s="2"/>
      <c r="L92" s="6">
        <f t="shared" si="37"/>
        <v>0</v>
      </c>
      <c r="M92" s="2"/>
      <c r="N92" s="7">
        <f t="shared" si="38"/>
        <v>0</v>
      </c>
      <c r="O92" s="10"/>
      <c r="P92" s="6">
        <v>124.72</v>
      </c>
      <c r="Q92" s="2"/>
      <c r="R92" s="7">
        <f t="shared" si="39"/>
        <v>5.8521240695347957E-3</v>
      </c>
      <c r="S92" s="2"/>
      <c r="T92" s="6">
        <v>963.62</v>
      </c>
      <c r="U92" s="2"/>
      <c r="V92" s="7">
        <f t="shared" si="40"/>
        <v>2.3471472765862244E-3</v>
      </c>
      <c r="W92" s="2"/>
      <c r="X92" s="6">
        <f t="shared" si="41"/>
        <v>-838.9</v>
      </c>
      <c r="Y92" s="2"/>
      <c r="Z92" s="7">
        <f t="shared" si="42"/>
        <v>-0.87057138706128967</v>
      </c>
    </row>
    <row r="93" spans="1:26" s="26" customFormat="1" outlineLevel="1" collapsed="1" x14ac:dyDescent="0.25">
      <c r="A93" s="25"/>
      <c r="B93" s="12" t="str">
        <f>CONCATENATE("     ","Bad Debts/Over/Short                              ")</f>
        <v xml:space="preserve">     Bad Debts/Over/Short                              </v>
      </c>
      <c r="C93" s="12"/>
      <c r="D93" s="1">
        <f>SUM(OSRRefD22_3x_0)</f>
        <v>0</v>
      </c>
      <c r="E93" s="1"/>
      <c r="F93" s="5">
        <f t="shared" si="35"/>
        <v>0</v>
      </c>
      <c r="G93" s="1"/>
      <c r="H93" s="1">
        <f>SUM(OSRRefH22_3x_0)</f>
        <v>0</v>
      </c>
      <c r="I93" s="1"/>
      <c r="J93" s="5">
        <f t="shared" si="36"/>
        <v>0</v>
      </c>
      <c r="K93" s="1"/>
      <c r="L93" s="1">
        <f t="shared" si="37"/>
        <v>0</v>
      </c>
      <c r="M93" s="1"/>
      <c r="N93" s="5">
        <f t="shared" si="38"/>
        <v>0</v>
      </c>
      <c r="O93" s="12"/>
      <c r="P93" s="1">
        <f>SUM(OSRRefP22_3x_0)</f>
        <v>1.1000000000000001</v>
      </c>
      <c r="Q93" s="1"/>
      <c r="R93" s="5">
        <f t="shared" si="39"/>
        <v>5.1614307861516002E-5</v>
      </c>
      <c r="S93" s="1"/>
      <c r="T93" s="1">
        <f>SUM(OSRRefT22_3x_0)</f>
        <v>-55.84</v>
      </c>
      <c r="U93" s="1"/>
      <c r="V93" s="5">
        <f t="shared" si="40"/>
        <v>-1.360128514607156E-4</v>
      </c>
      <c r="W93" s="1"/>
      <c r="X93" s="1">
        <f t="shared" si="41"/>
        <v>56.940000000000005</v>
      </c>
      <c r="Y93" s="1"/>
      <c r="Z93" s="5">
        <f t="shared" si="42"/>
        <v>-1.0196991404011462</v>
      </c>
    </row>
    <row r="94" spans="1:26" s="23" customFormat="1" hidden="1" outlineLevel="2" x14ac:dyDescent="0.25">
      <c r="A94" s="27"/>
      <c r="B94" s="10" t="str">
        <f>CONCATENATE("          ", "6272", " - ", "CASH (OVER/SHORT)")</f>
        <v xml:space="preserve">          6272 - CASH (OVER/SHORT)</v>
      </c>
      <c r="C94" s="10"/>
      <c r="D94" s="6"/>
      <c r="E94" s="2"/>
      <c r="F94" s="7">
        <f t="shared" si="35"/>
        <v>0</v>
      </c>
      <c r="G94" s="2"/>
      <c r="H94" s="6"/>
      <c r="I94" s="2"/>
      <c r="J94" s="7">
        <f t="shared" si="36"/>
        <v>0</v>
      </c>
      <c r="K94" s="2"/>
      <c r="L94" s="6">
        <f t="shared" si="37"/>
        <v>0</v>
      </c>
      <c r="M94" s="2"/>
      <c r="N94" s="7">
        <f t="shared" si="38"/>
        <v>0</v>
      </c>
      <c r="O94" s="10"/>
      <c r="P94" s="6">
        <v>1.1000000000000001</v>
      </c>
      <c r="Q94" s="2"/>
      <c r="R94" s="7">
        <f t="shared" si="39"/>
        <v>5.1614307861516002E-5</v>
      </c>
      <c r="S94" s="2"/>
      <c r="T94" s="6">
        <v>-55.84</v>
      </c>
      <c r="U94" s="2"/>
      <c r="V94" s="7">
        <f t="shared" si="40"/>
        <v>-1.360128514607156E-4</v>
      </c>
      <c r="W94" s="2"/>
      <c r="X94" s="6">
        <f t="shared" si="41"/>
        <v>56.940000000000005</v>
      </c>
      <c r="Y94" s="2"/>
      <c r="Z94" s="7">
        <f t="shared" si="42"/>
        <v>-1.0196991404011462</v>
      </c>
    </row>
    <row r="95" spans="1:26" s="26" customFormat="1" outlineLevel="1" collapsed="1" x14ac:dyDescent="0.25">
      <c r="A95" s="25"/>
      <c r="B95" s="12" t="str">
        <f>CONCATENATE("     ","Discounts and Markdowns                           ")</f>
        <v xml:space="preserve">     Discounts and Markdowns                           </v>
      </c>
      <c r="C95" s="12"/>
      <c r="D95" s="1">
        <f>SUM(OSRRefD22_4x_0)</f>
        <v>0</v>
      </c>
      <c r="E95" s="1"/>
      <c r="F95" s="5">
        <f t="shared" si="35"/>
        <v>0</v>
      </c>
      <c r="G95" s="1"/>
      <c r="H95" s="1">
        <f>SUM(OSRRefH22_4x_0)</f>
        <v>0</v>
      </c>
      <c r="I95" s="1"/>
      <c r="J95" s="5">
        <f t="shared" si="36"/>
        <v>0</v>
      </c>
      <c r="K95" s="1"/>
      <c r="L95" s="1">
        <f t="shared" si="37"/>
        <v>0</v>
      </c>
      <c r="M95" s="1"/>
      <c r="N95" s="5">
        <f t="shared" si="38"/>
        <v>0</v>
      </c>
      <c r="O95" s="12"/>
      <c r="P95" s="1">
        <f>SUM(OSRRefP22_4x_0)</f>
        <v>0</v>
      </c>
      <c r="Q95" s="1"/>
      <c r="R95" s="5">
        <f t="shared" si="39"/>
        <v>0</v>
      </c>
      <c r="S95" s="1"/>
      <c r="T95" s="1">
        <f>SUM(OSRRefT22_4x_0)</f>
        <v>8936.44</v>
      </c>
      <c r="U95" s="1"/>
      <c r="V95" s="5">
        <f t="shared" si="40"/>
        <v>2.1767025184591643E-2</v>
      </c>
      <c r="W95" s="1"/>
      <c r="X95" s="1">
        <f t="shared" si="41"/>
        <v>-8936.44</v>
      </c>
      <c r="Y95" s="1"/>
      <c r="Z95" s="5">
        <f t="shared" si="42"/>
        <v>-1</v>
      </c>
    </row>
    <row r="96" spans="1:26" s="23" customFormat="1" hidden="1" outlineLevel="2" x14ac:dyDescent="0.25">
      <c r="A96" s="27"/>
      <c r="B96" s="10" t="str">
        <f>CONCATENATE("          ", "6382", " - ", "DISCOUNTS/MARK DOWNS")</f>
        <v xml:space="preserve">          6382 - DISCOUNTS/MARK DOWNS</v>
      </c>
      <c r="C96" s="10"/>
      <c r="D96" s="6"/>
      <c r="E96" s="2"/>
      <c r="F96" s="7">
        <f t="shared" si="35"/>
        <v>0</v>
      </c>
      <c r="G96" s="2"/>
      <c r="H96" s="6"/>
      <c r="I96" s="2"/>
      <c r="J96" s="7">
        <f t="shared" si="36"/>
        <v>0</v>
      </c>
      <c r="K96" s="2"/>
      <c r="L96" s="6">
        <f t="shared" si="37"/>
        <v>0</v>
      </c>
      <c r="M96" s="2"/>
      <c r="N96" s="7">
        <f t="shared" si="38"/>
        <v>0</v>
      </c>
      <c r="O96" s="10"/>
      <c r="P96" s="6">
        <v>0</v>
      </c>
      <c r="Q96" s="2"/>
      <c r="R96" s="7">
        <f t="shared" si="39"/>
        <v>0</v>
      </c>
      <c r="S96" s="2"/>
      <c r="T96" s="6">
        <v>8936.44</v>
      </c>
      <c r="U96" s="2"/>
      <c r="V96" s="7">
        <f t="shared" si="40"/>
        <v>2.1767025184591643E-2</v>
      </c>
      <c r="W96" s="2"/>
      <c r="X96" s="6">
        <f t="shared" si="41"/>
        <v>-8936.44</v>
      </c>
      <c r="Y96" s="2"/>
      <c r="Z96" s="7">
        <f t="shared" si="42"/>
        <v>-1</v>
      </c>
    </row>
    <row r="97" spans="1:26" s="23" customFormat="1" hidden="1" outlineLevel="2" x14ac:dyDescent="0.25">
      <c r="A97" s="27"/>
      <c r="B97" s="10" t="str">
        <f>CONCATENATE("          ", "9175", " - ", "EARNED DISCOUNTS")</f>
        <v xml:space="preserve">          9175 - EARNED DISCOUNTS</v>
      </c>
      <c r="C97" s="10"/>
      <c r="D97" s="6"/>
      <c r="E97" s="2"/>
      <c r="F97" s="7">
        <f t="shared" si="35"/>
        <v>0</v>
      </c>
      <c r="G97" s="2"/>
      <c r="H97" s="6">
        <v>0</v>
      </c>
      <c r="I97" s="2"/>
      <c r="J97" s="7">
        <f t="shared" si="36"/>
        <v>0</v>
      </c>
      <c r="K97" s="2"/>
      <c r="L97" s="6">
        <f t="shared" si="37"/>
        <v>0</v>
      </c>
      <c r="M97" s="2"/>
      <c r="N97" s="7">
        <f t="shared" si="38"/>
        <v>0</v>
      </c>
      <c r="O97" s="10"/>
      <c r="P97" s="6">
        <v>0</v>
      </c>
      <c r="Q97" s="2"/>
      <c r="R97" s="7">
        <f t="shared" si="39"/>
        <v>0</v>
      </c>
      <c r="S97" s="2"/>
      <c r="T97" s="6">
        <v>0</v>
      </c>
      <c r="U97" s="2"/>
      <c r="V97" s="7">
        <f t="shared" si="40"/>
        <v>0</v>
      </c>
      <c r="W97" s="2"/>
      <c r="X97" s="6">
        <f t="shared" si="41"/>
        <v>0</v>
      </c>
      <c r="Y97" s="2"/>
      <c r="Z97" s="7">
        <f t="shared" si="42"/>
        <v>0</v>
      </c>
    </row>
    <row r="98" spans="1:26" s="26" customFormat="1" outlineLevel="1" collapsed="1" x14ac:dyDescent="0.25">
      <c r="A98" s="25"/>
      <c r="B98" s="12" t="str">
        <f>CONCATENATE("     ","General                                           ")</f>
        <v xml:space="preserve">     General                                           </v>
      </c>
      <c r="C98" s="12"/>
      <c r="D98" s="1">
        <f>SUM(OSRRefD22_5x_0)</f>
        <v>0</v>
      </c>
      <c r="E98" s="1"/>
      <c r="F98" s="5">
        <f t="shared" ref="F98:F104" si="43">IF(D$12=0,0,D98/D$12)</f>
        <v>0</v>
      </c>
      <c r="G98" s="1"/>
      <c r="H98" s="1">
        <f>SUM(OSRRefH22_5x_0)</f>
        <v>0</v>
      </c>
      <c r="I98" s="1"/>
      <c r="J98" s="5">
        <f t="shared" ref="J98:J104" si="44">IF(H$12=0,0,H98/H$12)</f>
        <v>0</v>
      </c>
      <c r="K98" s="1"/>
      <c r="L98" s="1">
        <f t="shared" ref="L98:L104" si="45">+D98-H98</f>
        <v>0</v>
      </c>
      <c r="M98" s="1"/>
      <c r="N98" s="5">
        <f t="shared" ref="N98:N104" si="46">IF(H98=0,0,L98/H98)</f>
        <v>0</v>
      </c>
      <c r="O98" s="12"/>
      <c r="P98" s="1">
        <f>SUM(OSRRefP22_5x_0)</f>
        <v>879.55</v>
      </c>
      <c r="Q98" s="1"/>
      <c r="R98" s="5">
        <f t="shared" ref="R98:R104" si="47">IF(P$12=0,0,P98/P$12)</f>
        <v>4.1270331345087632E-2</v>
      </c>
      <c r="S98" s="1"/>
      <c r="T98" s="1">
        <f>SUM(OSRRefT22_5x_0)</f>
        <v>954.05</v>
      </c>
      <c r="U98" s="1"/>
      <c r="V98" s="5">
        <f t="shared" ref="V98:V104" si="48">IF(T$12=0,0,T98/T$12)</f>
        <v>2.3238370511478455E-3</v>
      </c>
      <c r="W98" s="1"/>
      <c r="X98" s="1">
        <f t="shared" ref="X98:X104" si="49">+P98-T98</f>
        <v>-74.5</v>
      </c>
      <c r="Y98" s="1"/>
      <c r="Z98" s="5">
        <f t="shared" ref="Z98:Z104" si="50">IF(T98=0,0,X98/T98)</f>
        <v>-7.8088150516220325E-2</v>
      </c>
    </row>
    <row r="99" spans="1:26" s="23" customFormat="1" hidden="1" outlineLevel="2" x14ac:dyDescent="0.25">
      <c r="A99" s="27"/>
      <c r="B99" s="10" t="str">
        <f>CONCATENATE("          ", "6279", " - ", "GENERAL EXPENSE")</f>
        <v xml:space="preserve">          6279 - GENERAL EXPENSE</v>
      </c>
      <c r="C99" s="10"/>
      <c r="D99" s="6"/>
      <c r="E99" s="2"/>
      <c r="F99" s="7">
        <f t="shared" si="43"/>
        <v>0</v>
      </c>
      <c r="G99" s="2"/>
      <c r="H99" s="6"/>
      <c r="I99" s="2"/>
      <c r="J99" s="7">
        <f t="shared" si="44"/>
        <v>0</v>
      </c>
      <c r="K99" s="2"/>
      <c r="L99" s="6">
        <f t="shared" si="45"/>
        <v>0</v>
      </c>
      <c r="M99" s="2"/>
      <c r="N99" s="7">
        <f t="shared" si="46"/>
        <v>0</v>
      </c>
      <c r="O99" s="10"/>
      <c r="P99" s="6">
        <v>879.55</v>
      </c>
      <c r="Q99" s="2"/>
      <c r="R99" s="7">
        <f t="shared" si="47"/>
        <v>4.1270331345087632E-2</v>
      </c>
      <c r="S99" s="2"/>
      <c r="T99" s="6">
        <v>954.05</v>
      </c>
      <c r="U99" s="2"/>
      <c r="V99" s="7">
        <f t="shared" si="48"/>
        <v>2.3238370511478455E-3</v>
      </c>
      <c r="W99" s="2"/>
      <c r="X99" s="6">
        <f t="shared" si="49"/>
        <v>-74.5</v>
      </c>
      <c r="Y99" s="2"/>
      <c r="Z99" s="7">
        <f t="shared" si="50"/>
        <v>-7.8088150516220325E-2</v>
      </c>
    </row>
    <row r="100" spans="1:26" s="26" customFormat="1" outlineLevel="1" collapsed="1" x14ac:dyDescent="0.25">
      <c r="A100" s="25"/>
      <c r="B100" s="12" t="str">
        <f>CONCATENATE("     ","Professional Services                             ")</f>
        <v xml:space="preserve">     Professional Services                             </v>
      </c>
      <c r="C100" s="12"/>
      <c r="D100" s="1">
        <f>SUM(OSRRefD22_6x_0)</f>
        <v>0</v>
      </c>
      <c r="E100" s="1"/>
      <c r="F100" s="5">
        <f t="shared" si="43"/>
        <v>0</v>
      </c>
      <c r="G100" s="1"/>
      <c r="H100" s="1">
        <f>SUM(OSRRefH22_6x_0)</f>
        <v>0</v>
      </c>
      <c r="I100" s="1"/>
      <c r="J100" s="5">
        <f t="shared" si="44"/>
        <v>0</v>
      </c>
      <c r="K100" s="1"/>
      <c r="L100" s="1">
        <f t="shared" si="45"/>
        <v>0</v>
      </c>
      <c r="M100" s="1"/>
      <c r="N100" s="5">
        <f t="shared" si="46"/>
        <v>0</v>
      </c>
      <c r="O100" s="12"/>
      <c r="P100" s="1">
        <f>SUM(OSRRefP22_6x_0)</f>
        <v>0</v>
      </c>
      <c r="Q100" s="1"/>
      <c r="R100" s="5">
        <f t="shared" si="47"/>
        <v>0</v>
      </c>
      <c r="S100" s="1"/>
      <c r="T100" s="1">
        <f>SUM(OSRRefT22_6x_0)</f>
        <v>791.15</v>
      </c>
      <c r="U100" s="1"/>
      <c r="V100" s="5">
        <f t="shared" si="48"/>
        <v>1.9270517090462954E-3</v>
      </c>
      <c r="W100" s="1"/>
      <c r="X100" s="1">
        <f t="shared" si="49"/>
        <v>-791.15</v>
      </c>
      <c r="Y100" s="1"/>
      <c r="Z100" s="5">
        <f t="shared" si="50"/>
        <v>-1</v>
      </c>
    </row>
    <row r="101" spans="1:26" s="23" customFormat="1" hidden="1" outlineLevel="2" x14ac:dyDescent="0.25">
      <c r="A101" s="27"/>
      <c r="B101" s="10" t="str">
        <f>CONCATENATE("          ", "6336", " - ", "PROFESSIONAL SERVICES")</f>
        <v xml:space="preserve">          6336 - PROFESSIONAL SERVICES</v>
      </c>
      <c r="C101" s="10"/>
      <c r="D101" s="6"/>
      <c r="E101" s="2"/>
      <c r="F101" s="7">
        <f t="shared" si="43"/>
        <v>0</v>
      </c>
      <c r="G101" s="2"/>
      <c r="H101" s="6"/>
      <c r="I101" s="2"/>
      <c r="J101" s="7">
        <f t="shared" si="44"/>
        <v>0</v>
      </c>
      <c r="K101" s="2"/>
      <c r="L101" s="6">
        <f t="shared" si="45"/>
        <v>0</v>
      </c>
      <c r="M101" s="2"/>
      <c r="N101" s="7">
        <f t="shared" si="46"/>
        <v>0</v>
      </c>
      <c r="O101" s="10"/>
      <c r="P101" s="6"/>
      <c r="Q101" s="2"/>
      <c r="R101" s="7">
        <f t="shared" si="47"/>
        <v>0</v>
      </c>
      <c r="S101" s="2"/>
      <c r="T101" s="6">
        <v>791.15</v>
      </c>
      <c r="U101" s="2"/>
      <c r="V101" s="7">
        <f t="shared" si="48"/>
        <v>1.9270517090462954E-3</v>
      </c>
      <c r="W101" s="2"/>
      <c r="X101" s="6">
        <f t="shared" si="49"/>
        <v>-791.15</v>
      </c>
      <c r="Y101" s="2"/>
      <c r="Z101" s="7">
        <f t="shared" si="50"/>
        <v>-1</v>
      </c>
    </row>
    <row r="102" spans="1:26" s="26" customFormat="1" outlineLevel="1" collapsed="1" x14ac:dyDescent="0.25">
      <c r="A102" s="25"/>
      <c r="B102" s="12" t="str">
        <f>CONCATENATE("     ","Repair and Maintenance                            ")</f>
        <v xml:space="preserve">     Repair and Maintenance                            </v>
      </c>
      <c r="C102" s="12"/>
      <c r="D102" s="1">
        <f>SUM(OSRRefD22_7x_0)</f>
        <v>0</v>
      </c>
      <c r="E102" s="1"/>
      <c r="F102" s="5">
        <f t="shared" si="43"/>
        <v>0</v>
      </c>
      <c r="G102" s="1"/>
      <c r="H102" s="1">
        <f>SUM(OSRRefH22_7x_0)</f>
        <v>0</v>
      </c>
      <c r="I102" s="1"/>
      <c r="J102" s="5">
        <f t="shared" si="44"/>
        <v>0</v>
      </c>
      <c r="K102" s="1"/>
      <c r="L102" s="1">
        <f t="shared" si="45"/>
        <v>0</v>
      </c>
      <c r="M102" s="1"/>
      <c r="N102" s="5">
        <f t="shared" si="46"/>
        <v>0</v>
      </c>
      <c r="O102" s="12"/>
      <c r="P102" s="1">
        <f>SUM(OSRRefP22_7x_0)</f>
        <v>261.93</v>
      </c>
      <c r="Q102" s="1"/>
      <c r="R102" s="5">
        <f t="shared" si="47"/>
        <v>1.2290305143788078E-2</v>
      </c>
      <c r="S102" s="1"/>
      <c r="T102" s="1">
        <f>SUM(OSRRefT22_7x_0)</f>
        <v>190.64000000000001</v>
      </c>
      <c r="U102" s="1"/>
      <c r="V102" s="5">
        <f t="shared" si="48"/>
        <v>4.6435333098980699E-4</v>
      </c>
      <c r="W102" s="1"/>
      <c r="X102" s="1">
        <f t="shared" si="49"/>
        <v>71.289999999999992</v>
      </c>
      <c r="Y102" s="1"/>
      <c r="Z102" s="5">
        <f t="shared" si="50"/>
        <v>0.37395090222408722</v>
      </c>
    </row>
    <row r="103" spans="1:26" s="23" customFormat="1" hidden="1" outlineLevel="2" x14ac:dyDescent="0.25">
      <c r="A103" s="27"/>
      <c r="B103" s="10" t="str">
        <f>CONCATENATE("          ", "6373", " - ", "MAINTENANCE CONTRACTS")</f>
        <v xml:space="preserve">          6373 - MAINTENANCE CONTRACTS</v>
      </c>
      <c r="C103" s="10"/>
      <c r="D103" s="6"/>
      <c r="E103" s="2"/>
      <c r="F103" s="7">
        <f t="shared" si="43"/>
        <v>0</v>
      </c>
      <c r="G103" s="2"/>
      <c r="H103" s="6"/>
      <c r="I103" s="2"/>
      <c r="J103" s="7">
        <f t="shared" si="44"/>
        <v>0</v>
      </c>
      <c r="K103" s="2"/>
      <c r="L103" s="6">
        <f t="shared" si="45"/>
        <v>0</v>
      </c>
      <c r="M103" s="2"/>
      <c r="N103" s="7">
        <f t="shared" si="46"/>
        <v>0</v>
      </c>
      <c r="O103" s="10"/>
      <c r="P103" s="6">
        <v>261.93</v>
      </c>
      <c r="Q103" s="2"/>
      <c r="R103" s="7">
        <f t="shared" si="47"/>
        <v>1.2290305143788078E-2</v>
      </c>
      <c r="S103" s="2"/>
      <c r="T103" s="6">
        <v>180.84</v>
      </c>
      <c r="U103" s="2"/>
      <c r="V103" s="7">
        <f t="shared" si="48"/>
        <v>4.4048288069763268E-4</v>
      </c>
      <c r="W103" s="2"/>
      <c r="X103" s="6">
        <f t="shared" si="49"/>
        <v>81.09</v>
      </c>
      <c r="Y103" s="2"/>
      <c r="Z103" s="7">
        <f t="shared" si="50"/>
        <v>0.44840743198407434</v>
      </c>
    </row>
    <row r="104" spans="1:26" s="23" customFormat="1" hidden="1" outlineLevel="2" x14ac:dyDescent="0.25">
      <c r="A104" s="27"/>
      <c r="B104" s="10" t="str">
        <f>CONCATENATE("          ", "6375", " - ", "OUTSIDE REPAIRS &amp; MAINTENANCE")</f>
        <v xml:space="preserve">          6375 - OUTSIDE REPAIRS &amp; MAINTENANCE</v>
      </c>
      <c r="C104" s="10"/>
      <c r="D104" s="6"/>
      <c r="E104" s="2"/>
      <c r="F104" s="7">
        <f t="shared" si="43"/>
        <v>0</v>
      </c>
      <c r="G104" s="2"/>
      <c r="H104" s="6"/>
      <c r="I104" s="2"/>
      <c r="J104" s="7">
        <f t="shared" si="44"/>
        <v>0</v>
      </c>
      <c r="K104" s="2"/>
      <c r="L104" s="6">
        <f t="shared" si="45"/>
        <v>0</v>
      </c>
      <c r="M104" s="2"/>
      <c r="N104" s="7">
        <f t="shared" si="46"/>
        <v>0</v>
      </c>
      <c r="O104" s="10"/>
      <c r="P104" s="6"/>
      <c r="Q104" s="2"/>
      <c r="R104" s="7">
        <f t="shared" si="47"/>
        <v>0</v>
      </c>
      <c r="S104" s="2"/>
      <c r="T104" s="6">
        <v>9.8000000000000007</v>
      </c>
      <c r="U104" s="2"/>
      <c r="V104" s="7">
        <f t="shared" si="48"/>
        <v>2.3870450292174299E-5</v>
      </c>
      <c r="W104" s="2"/>
      <c r="X104" s="6">
        <f t="shared" si="49"/>
        <v>-9.8000000000000007</v>
      </c>
      <c r="Y104" s="2"/>
      <c r="Z104" s="7">
        <f t="shared" si="50"/>
        <v>-1</v>
      </c>
    </row>
    <row r="105" spans="1:26" s="26" customFormat="1" outlineLevel="1" collapsed="1" x14ac:dyDescent="0.25">
      <c r="A105" s="25"/>
      <c r="B105" s="12" t="str">
        <f>CONCATENATE("     ","Services                                          ")</f>
        <v xml:space="preserve">     Services                                          </v>
      </c>
      <c r="C105" s="12"/>
      <c r="D105" s="1">
        <f>SUM(OSRRefD22_8x_0)</f>
        <v>0</v>
      </c>
      <c r="E105" s="1"/>
      <c r="F105" s="5">
        <f t="shared" ref="F105:F107" si="51">IF(D$12=0,0,D105/D$12)</f>
        <v>0</v>
      </c>
      <c r="G105" s="1"/>
      <c r="H105" s="1">
        <f>SUM(OSRRefH22_8x_0)</f>
        <v>196.55</v>
      </c>
      <c r="I105" s="1"/>
      <c r="J105" s="5">
        <f t="shared" ref="J105:J107" si="52">IF(H$12=0,0,H105/H$12)</f>
        <v>0</v>
      </c>
      <c r="K105" s="1"/>
      <c r="L105" s="1">
        <f t="shared" ref="L105:L107" si="53">+D105-H105</f>
        <v>-196.55</v>
      </c>
      <c r="M105" s="1"/>
      <c r="N105" s="5">
        <f t="shared" ref="N105:N107" si="54">IF(H105=0,0,L105/H105)</f>
        <v>-1</v>
      </c>
      <c r="O105" s="12"/>
      <c r="P105" s="1">
        <f>SUM(OSRRefP22_8x_0)</f>
        <v>18.5</v>
      </c>
      <c r="Q105" s="1"/>
      <c r="R105" s="5">
        <f t="shared" ref="R105:R107" si="55">IF(P$12=0,0,P105/P$12)</f>
        <v>8.6805881403458724E-4</v>
      </c>
      <c r="S105" s="1"/>
      <c r="T105" s="1">
        <f>SUM(OSRRefT22_8x_0)</f>
        <v>2015.16</v>
      </c>
      <c r="U105" s="1"/>
      <c r="V105" s="5">
        <f t="shared" ref="V105:V107" si="56">IF(T$12=0,0,T105/T$12)</f>
        <v>4.9084465929365266E-3</v>
      </c>
      <c r="W105" s="1"/>
      <c r="X105" s="1">
        <f t="shared" ref="X105:X107" si="57">+P105-T105</f>
        <v>-1996.66</v>
      </c>
      <c r="Y105" s="1"/>
      <c r="Z105" s="5">
        <f t="shared" ref="Z105:Z107" si="58">IF(T105=0,0,X105/T105)</f>
        <v>-0.99081958752654875</v>
      </c>
    </row>
    <row r="106" spans="1:26" s="23" customFormat="1" hidden="1" outlineLevel="2" x14ac:dyDescent="0.25">
      <c r="A106" s="27"/>
      <c r="B106" s="10" t="str">
        <f>CONCATENATE("          ", "6282", " - ", "JANITORIAL/EXTERMINATOR EXPENS")</f>
        <v xml:space="preserve">          6282 - JANITORIAL/EXTERMINATOR EXPENS</v>
      </c>
      <c r="C106" s="10"/>
      <c r="D106" s="6"/>
      <c r="E106" s="2"/>
      <c r="F106" s="7">
        <f t="shared" si="51"/>
        <v>0</v>
      </c>
      <c r="G106" s="2"/>
      <c r="H106" s="6">
        <v>88</v>
      </c>
      <c r="I106" s="2"/>
      <c r="J106" s="7">
        <f t="shared" si="52"/>
        <v>0</v>
      </c>
      <c r="K106" s="2"/>
      <c r="L106" s="6">
        <f t="shared" si="53"/>
        <v>-88</v>
      </c>
      <c r="M106" s="2"/>
      <c r="N106" s="7">
        <f t="shared" si="54"/>
        <v>-1</v>
      </c>
      <c r="O106" s="10"/>
      <c r="P106" s="6">
        <v>176</v>
      </c>
      <c r="Q106" s="2"/>
      <c r="R106" s="7">
        <f t="shared" si="55"/>
        <v>8.2582892578425601E-3</v>
      </c>
      <c r="S106" s="2"/>
      <c r="T106" s="6">
        <v>461.02</v>
      </c>
      <c r="U106" s="2"/>
      <c r="V106" s="7">
        <f t="shared" si="56"/>
        <v>1.122934183030428E-3</v>
      </c>
      <c r="W106" s="2"/>
      <c r="X106" s="6">
        <f t="shared" si="57"/>
        <v>-285.02</v>
      </c>
      <c r="Y106" s="2"/>
      <c r="Z106" s="7">
        <f t="shared" si="58"/>
        <v>-0.61823782048501152</v>
      </c>
    </row>
    <row r="107" spans="1:26" s="23" customFormat="1" hidden="1" outlineLevel="2" x14ac:dyDescent="0.25">
      <c r="A107" s="27"/>
      <c r="B107" s="10" t="str">
        <f>CONCATENATE("          ", "6285", " - ", "JANITORIAL SERVICES")</f>
        <v xml:space="preserve">          6285 - JANITORIAL SERVICES</v>
      </c>
      <c r="C107" s="10"/>
      <c r="D107" s="6"/>
      <c r="E107" s="2"/>
      <c r="F107" s="7">
        <f t="shared" si="51"/>
        <v>0</v>
      </c>
      <c r="G107" s="2"/>
      <c r="H107" s="6">
        <v>108.55</v>
      </c>
      <c r="I107" s="2"/>
      <c r="J107" s="7">
        <f t="shared" si="52"/>
        <v>0</v>
      </c>
      <c r="K107" s="2"/>
      <c r="L107" s="6">
        <f t="shared" si="53"/>
        <v>-108.55</v>
      </c>
      <c r="M107" s="2"/>
      <c r="N107" s="7">
        <f t="shared" si="54"/>
        <v>-1</v>
      </c>
      <c r="O107" s="10"/>
      <c r="P107" s="6">
        <v>-157.5</v>
      </c>
      <c r="Q107" s="2"/>
      <c r="R107" s="7">
        <f t="shared" si="55"/>
        <v>-7.3902304438079732E-3</v>
      </c>
      <c r="S107" s="2"/>
      <c r="T107" s="6">
        <v>1554.14</v>
      </c>
      <c r="U107" s="2"/>
      <c r="V107" s="7">
        <f t="shared" si="56"/>
        <v>3.7855124099060986E-3</v>
      </c>
      <c r="W107" s="2"/>
      <c r="X107" s="6">
        <f t="shared" si="57"/>
        <v>-1711.64</v>
      </c>
      <c r="Y107" s="2"/>
      <c r="Z107" s="7">
        <f t="shared" si="58"/>
        <v>-1.1013422214214936</v>
      </c>
    </row>
    <row r="108" spans="1:26" s="26" customFormat="1" outlineLevel="1" collapsed="1" x14ac:dyDescent="0.25">
      <c r="A108" s="25"/>
      <c r="B108" s="12" t="str">
        <f>CONCATENATE("     ","Supplies                                          ")</f>
        <v xml:space="preserve">     Supplies                                          </v>
      </c>
      <c r="C108" s="12"/>
      <c r="D108" s="1">
        <f>SUM(OSRRefD22_9x_0)</f>
        <v>0</v>
      </c>
      <c r="E108" s="1"/>
      <c r="F108" s="5">
        <f t="shared" ref="F108:F112" si="59">IF(D$12=0,0,D108/D$12)</f>
        <v>0</v>
      </c>
      <c r="G108" s="1"/>
      <c r="H108" s="1">
        <f>SUM(OSRRefH22_9x_0)</f>
        <v>0</v>
      </c>
      <c r="I108" s="1"/>
      <c r="J108" s="5">
        <f t="shared" ref="J108:J112" si="60">IF(H$12=0,0,H108/H$12)</f>
        <v>0</v>
      </c>
      <c r="K108" s="1"/>
      <c r="L108" s="1">
        <f t="shared" ref="L108:L112" si="61">+D108-H108</f>
        <v>0</v>
      </c>
      <c r="M108" s="1"/>
      <c r="N108" s="5">
        <f t="shared" ref="N108:N112" si="62">IF(H108=0,0,L108/H108)</f>
        <v>0</v>
      </c>
      <c r="O108" s="12"/>
      <c r="P108" s="1">
        <f>SUM(OSRRefP22_9x_0)</f>
        <v>1892.27</v>
      </c>
      <c r="Q108" s="1"/>
      <c r="R108" s="5">
        <f t="shared" ref="R108:R112" si="63">IF(P$12=0,0,P108/P$12)</f>
        <v>8.8789278488282622E-2</v>
      </c>
      <c r="S108" s="1"/>
      <c r="T108" s="1">
        <f>SUM(OSRRefT22_9x_0)</f>
        <v>1612.07</v>
      </c>
      <c r="U108" s="1"/>
      <c r="V108" s="5">
        <f t="shared" ref="V108:V112" si="64">IF(T$12=0,0,T108/T$12)</f>
        <v>3.9266160002556548E-3</v>
      </c>
      <c r="W108" s="1"/>
      <c r="X108" s="1">
        <f t="shared" ref="X108:X112" si="65">+P108-T108</f>
        <v>280.20000000000005</v>
      </c>
      <c r="Y108" s="1"/>
      <c r="Z108" s="5">
        <f t="shared" ref="Z108:Z112" si="66">IF(T108=0,0,X108/T108)</f>
        <v>0.17381379220505316</v>
      </c>
    </row>
    <row r="109" spans="1:26" s="23" customFormat="1" hidden="1" outlineLevel="2" x14ac:dyDescent="0.25">
      <c r="A109" s="27"/>
      <c r="B109" s="10" t="str">
        <f>CONCATENATE("          ", "6235", " - ", "COVID-19 EXPENSES")</f>
        <v xml:space="preserve">          6235 - COVID-19 EXPENSES</v>
      </c>
      <c r="C109" s="10"/>
      <c r="D109" s="6"/>
      <c r="E109" s="2"/>
      <c r="F109" s="7">
        <f t="shared" si="59"/>
        <v>0</v>
      </c>
      <c r="G109" s="2"/>
      <c r="H109" s="6"/>
      <c r="I109" s="2"/>
      <c r="J109" s="7">
        <f t="shared" si="60"/>
        <v>0</v>
      </c>
      <c r="K109" s="2"/>
      <c r="L109" s="6">
        <f t="shared" si="61"/>
        <v>0</v>
      </c>
      <c r="M109" s="2"/>
      <c r="N109" s="7">
        <f t="shared" si="62"/>
        <v>0</v>
      </c>
      <c r="O109" s="10"/>
      <c r="P109" s="6">
        <v>444.3</v>
      </c>
      <c r="Q109" s="2"/>
      <c r="R109" s="7">
        <f t="shared" si="63"/>
        <v>2.0847488166246871E-2</v>
      </c>
      <c r="S109" s="2"/>
      <c r="T109" s="6"/>
      <c r="U109" s="2"/>
      <c r="V109" s="7">
        <f t="shared" si="64"/>
        <v>0</v>
      </c>
      <c r="W109" s="2"/>
      <c r="X109" s="6">
        <f t="shared" si="65"/>
        <v>444.3</v>
      </c>
      <c r="Y109" s="2"/>
      <c r="Z109" s="7">
        <f t="shared" si="66"/>
        <v>0</v>
      </c>
    </row>
    <row r="110" spans="1:26" s="23" customFormat="1" hidden="1" outlineLevel="2" x14ac:dyDescent="0.25">
      <c r="A110" s="27"/>
      <c r="B110" s="10" t="str">
        <f>CONCATENATE("          ", "6241", " - ", "OFFICE EXPENSE")</f>
        <v xml:space="preserve">          6241 - OFFICE EXPENSE</v>
      </c>
      <c r="C110" s="10"/>
      <c r="D110" s="6"/>
      <c r="E110" s="2"/>
      <c r="F110" s="7">
        <f t="shared" si="59"/>
        <v>0</v>
      </c>
      <c r="G110" s="2"/>
      <c r="H110" s="6"/>
      <c r="I110" s="2"/>
      <c r="J110" s="7">
        <f t="shared" si="60"/>
        <v>0</v>
      </c>
      <c r="K110" s="2"/>
      <c r="L110" s="6">
        <f t="shared" si="61"/>
        <v>0</v>
      </c>
      <c r="M110" s="2"/>
      <c r="N110" s="7">
        <f t="shared" si="62"/>
        <v>0</v>
      </c>
      <c r="O110" s="10"/>
      <c r="P110" s="6">
        <v>225.24</v>
      </c>
      <c r="Q110" s="2"/>
      <c r="R110" s="7">
        <f t="shared" si="63"/>
        <v>1.056873336611624E-2</v>
      </c>
      <c r="S110" s="2"/>
      <c r="T110" s="6">
        <v>1421.17</v>
      </c>
      <c r="U110" s="2"/>
      <c r="V110" s="7">
        <f t="shared" si="64"/>
        <v>3.4616293716050357E-3</v>
      </c>
      <c r="W110" s="2"/>
      <c r="X110" s="6">
        <f t="shared" si="65"/>
        <v>-1195.93</v>
      </c>
      <c r="Y110" s="2"/>
      <c r="Z110" s="7">
        <f t="shared" si="66"/>
        <v>-0.8415108678061034</v>
      </c>
    </row>
    <row r="111" spans="1:26" s="23" customFormat="1" hidden="1" outlineLevel="2" x14ac:dyDescent="0.25">
      <c r="A111" s="27"/>
      <c r="B111" s="10" t="str">
        <f>CONCATENATE("          ", "6245", " - ", "PRINTING")</f>
        <v xml:space="preserve">          6245 - PRINTING</v>
      </c>
      <c r="C111" s="10"/>
      <c r="D111" s="6"/>
      <c r="E111" s="2"/>
      <c r="F111" s="7">
        <f t="shared" si="59"/>
        <v>0</v>
      </c>
      <c r="G111" s="2"/>
      <c r="H111" s="6"/>
      <c r="I111" s="2"/>
      <c r="J111" s="7">
        <f t="shared" si="60"/>
        <v>0</v>
      </c>
      <c r="K111" s="2"/>
      <c r="L111" s="6">
        <f t="shared" si="61"/>
        <v>0</v>
      </c>
      <c r="M111" s="2"/>
      <c r="N111" s="7">
        <f t="shared" si="62"/>
        <v>0</v>
      </c>
      <c r="O111" s="10"/>
      <c r="P111" s="6"/>
      <c r="Q111" s="2"/>
      <c r="R111" s="7">
        <f t="shared" si="63"/>
        <v>0</v>
      </c>
      <c r="S111" s="2"/>
      <c r="T111" s="6">
        <v>22.05</v>
      </c>
      <c r="U111" s="2"/>
      <c r="V111" s="7">
        <f t="shared" si="64"/>
        <v>5.3708513157392171E-5</v>
      </c>
      <c r="W111" s="2"/>
      <c r="X111" s="6">
        <f t="shared" si="65"/>
        <v>-22.05</v>
      </c>
      <c r="Y111" s="2"/>
      <c r="Z111" s="7">
        <f t="shared" si="66"/>
        <v>-1</v>
      </c>
    </row>
    <row r="112" spans="1:26" s="23" customFormat="1" hidden="1" outlineLevel="2" x14ac:dyDescent="0.25">
      <c r="A112" s="27"/>
      <c r="B112" s="10" t="str">
        <f>CONCATENATE("          ", "6247", " - ", "STORE SUPPLIES")</f>
        <v xml:space="preserve">          6247 - STORE SUPPLIES</v>
      </c>
      <c r="C112" s="10"/>
      <c r="D112" s="6"/>
      <c r="E112" s="2"/>
      <c r="F112" s="7">
        <f t="shared" si="59"/>
        <v>0</v>
      </c>
      <c r="G112" s="2"/>
      <c r="H112" s="6"/>
      <c r="I112" s="2"/>
      <c r="J112" s="7">
        <f t="shared" si="60"/>
        <v>0</v>
      </c>
      <c r="K112" s="2"/>
      <c r="L112" s="6">
        <f t="shared" si="61"/>
        <v>0</v>
      </c>
      <c r="M112" s="2"/>
      <c r="N112" s="7">
        <f t="shared" si="62"/>
        <v>0</v>
      </c>
      <c r="O112" s="10"/>
      <c r="P112" s="6">
        <v>1222.73</v>
      </c>
      <c r="Q112" s="2"/>
      <c r="R112" s="7">
        <f t="shared" si="63"/>
        <v>5.7373056955919509E-2</v>
      </c>
      <c r="S112" s="2"/>
      <c r="T112" s="6">
        <v>168.85</v>
      </c>
      <c r="U112" s="2"/>
      <c r="V112" s="7">
        <f t="shared" si="64"/>
        <v>4.1127811549322756E-4</v>
      </c>
      <c r="W112" s="2"/>
      <c r="X112" s="6">
        <f t="shared" si="65"/>
        <v>1053.8800000000001</v>
      </c>
      <c r="Y112" s="2"/>
      <c r="Z112" s="7">
        <f t="shared" si="66"/>
        <v>6.2415161385845437</v>
      </c>
    </row>
    <row r="113" spans="1:26" s="26" customFormat="1" outlineLevel="1" collapsed="1" x14ac:dyDescent="0.25">
      <c r="A113" s="25"/>
      <c r="B113" s="12" t="str">
        <f>CONCATENATE("     ","Telephone/Data Lines                              ")</f>
        <v xml:space="preserve">     Telephone/Data Lines                              </v>
      </c>
      <c r="C113" s="12"/>
      <c r="D113" s="1">
        <f>SUM(OSRRefD22_10x_0)</f>
        <v>53</v>
      </c>
      <c r="E113" s="1"/>
      <c r="F113" s="5">
        <f t="shared" ref="F113:F116" si="67">IF(D$12=0,0,D113/D$12)</f>
        <v>0</v>
      </c>
      <c r="G113" s="1"/>
      <c r="H113" s="1">
        <f>SUM(OSRRefH22_10x_0)</f>
        <v>103</v>
      </c>
      <c r="I113" s="1"/>
      <c r="J113" s="5">
        <f t="shared" ref="J113:J116" si="68">IF(H$12=0,0,H113/H$12)</f>
        <v>0</v>
      </c>
      <c r="K113" s="1"/>
      <c r="L113" s="1">
        <f t="shared" ref="L113:L116" si="69">+D113-H113</f>
        <v>-50</v>
      </c>
      <c r="M113" s="1"/>
      <c r="N113" s="5">
        <f t="shared" ref="N113:N116" si="70">IF(H113=0,0,L113/H113)</f>
        <v>-0.4854368932038835</v>
      </c>
      <c r="O113" s="12"/>
      <c r="P113" s="1">
        <f>SUM(OSRRefP22_10x_0)</f>
        <v>578.04999999999995</v>
      </c>
      <c r="Q113" s="1"/>
      <c r="R113" s="5">
        <f t="shared" ref="R113:R116" si="71">IF(P$12=0,0,P113/P$12)</f>
        <v>2.7123318781226657E-2</v>
      </c>
      <c r="S113" s="1"/>
      <c r="T113" s="1">
        <f>SUM(OSRRefT22_10x_0)</f>
        <v>990.37</v>
      </c>
      <c r="U113" s="1"/>
      <c r="V113" s="5">
        <f t="shared" ref="V113:V116" si="72">IF(T$12=0,0,T113/T$12)</f>
        <v>2.4123038628429245E-3</v>
      </c>
      <c r="W113" s="1"/>
      <c r="X113" s="1">
        <f t="shared" ref="X113:X116" si="73">+P113-T113</f>
        <v>-412.32000000000005</v>
      </c>
      <c r="Y113" s="1"/>
      <c r="Z113" s="5">
        <f t="shared" ref="Z113:Z116" si="74">IF(T113=0,0,X113/T113)</f>
        <v>-0.41632925068408783</v>
      </c>
    </row>
    <row r="114" spans="1:26" s="23" customFormat="1" hidden="1" outlineLevel="2" x14ac:dyDescent="0.25">
      <c r="A114" s="27"/>
      <c r="B114" s="10" t="str">
        <f>CONCATENATE("          ", "6309", " - ", "TELEPHONE")</f>
        <v xml:space="preserve">          6309 - TELEPHONE</v>
      </c>
      <c r="C114" s="10"/>
      <c r="D114" s="6">
        <v>53</v>
      </c>
      <c r="E114" s="2"/>
      <c r="F114" s="7">
        <f t="shared" si="67"/>
        <v>0</v>
      </c>
      <c r="G114" s="2"/>
      <c r="H114" s="6">
        <v>103</v>
      </c>
      <c r="I114" s="2"/>
      <c r="J114" s="7">
        <f t="shared" si="68"/>
        <v>0</v>
      </c>
      <c r="K114" s="2"/>
      <c r="L114" s="6">
        <f t="shared" si="69"/>
        <v>-50</v>
      </c>
      <c r="M114" s="2"/>
      <c r="N114" s="7">
        <f t="shared" si="70"/>
        <v>-0.4854368932038835</v>
      </c>
      <c r="O114" s="10"/>
      <c r="P114" s="6">
        <v>578.04999999999995</v>
      </c>
      <c r="Q114" s="2"/>
      <c r="R114" s="7">
        <f t="shared" si="71"/>
        <v>2.7123318781226657E-2</v>
      </c>
      <c r="S114" s="2"/>
      <c r="T114" s="6">
        <v>990.37</v>
      </c>
      <c r="U114" s="2"/>
      <c r="V114" s="7">
        <f t="shared" si="72"/>
        <v>2.4123038628429245E-3</v>
      </c>
      <c r="W114" s="2"/>
      <c r="X114" s="6">
        <f t="shared" si="73"/>
        <v>-412.32000000000005</v>
      </c>
      <c r="Y114" s="2"/>
      <c r="Z114" s="7">
        <f t="shared" si="74"/>
        <v>-0.41632925068408783</v>
      </c>
    </row>
    <row r="115" spans="1:26" s="26" customFormat="1" outlineLevel="1" collapsed="1" x14ac:dyDescent="0.25">
      <c r="A115" s="25"/>
      <c r="B115" s="12" t="str">
        <f>CONCATENATE("     ","Training                                          ")</f>
        <v xml:space="preserve">     Training                                          </v>
      </c>
      <c r="C115" s="12"/>
      <c r="D115" s="1">
        <f>SUM(OSRRefD22_11x_0)</f>
        <v>0</v>
      </c>
      <c r="E115" s="1"/>
      <c r="F115" s="5">
        <f t="shared" si="67"/>
        <v>0</v>
      </c>
      <c r="G115" s="1"/>
      <c r="H115" s="1">
        <f>SUM(OSRRefH22_11x_0)</f>
        <v>0</v>
      </c>
      <c r="I115" s="1"/>
      <c r="J115" s="5">
        <f t="shared" si="68"/>
        <v>0</v>
      </c>
      <c r="K115" s="1"/>
      <c r="L115" s="1">
        <f t="shared" si="69"/>
        <v>0</v>
      </c>
      <c r="M115" s="1"/>
      <c r="N115" s="5">
        <f t="shared" si="70"/>
        <v>0</v>
      </c>
      <c r="O115" s="12"/>
      <c r="P115" s="1">
        <f>SUM(OSRRefP22_11x_0)</f>
        <v>14</v>
      </c>
      <c r="Q115" s="1"/>
      <c r="R115" s="5">
        <f t="shared" si="71"/>
        <v>6.5690937278293094E-4</v>
      </c>
      <c r="S115" s="1"/>
      <c r="T115" s="1">
        <f>SUM(OSRRefT22_11x_0)</f>
        <v>254.8</v>
      </c>
      <c r="U115" s="1"/>
      <c r="V115" s="5">
        <f t="shared" si="72"/>
        <v>6.2063170759653178E-4</v>
      </c>
      <c r="W115" s="1"/>
      <c r="X115" s="1">
        <f t="shared" si="73"/>
        <v>-240.8</v>
      </c>
      <c r="Y115" s="1"/>
      <c r="Z115" s="5">
        <f t="shared" si="74"/>
        <v>-0.94505494505494503</v>
      </c>
    </row>
    <row r="116" spans="1:26" s="23" customFormat="1" hidden="1" outlineLevel="2" x14ac:dyDescent="0.25">
      <c r="A116" s="27"/>
      <c r="B116" s="10" t="str">
        <f>CONCATENATE("          ", "6376", " - ", "TRAINING")</f>
        <v xml:space="preserve">          6376 - TRAINING</v>
      </c>
      <c r="C116" s="10"/>
      <c r="D116" s="6"/>
      <c r="E116" s="2"/>
      <c r="F116" s="7">
        <f t="shared" si="67"/>
        <v>0</v>
      </c>
      <c r="G116" s="2"/>
      <c r="H116" s="6"/>
      <c r="I116" s="2"/>
      <c r="J116" s="7">
        <f t="shared" si="68"/>
        <v>0</v>
      </c>
      <c r="K116" s="2"/>
      <c r="L116" s="6">
        <f t="shared" si="69"/>
        <v>0</v>
      </c>
      <c r="M116" s="2"/>
      <c r="N116" s="7">
        <f t="shared" si="70"/>
        <v>0</v>
      </c>
      <c r="O116" s="10"/>
      <c r="P116" s="6">
        <v>14</v>
      </c>
      <c r="Q116" s="2"/>
      <c r="R116" s="7">
        <f t="shared" si="71"/>
        <v>6.5690937278293094E-4</v>
      </c>
      <c r="S116" s="2"/>
      <c r="T116" s="6">
        <v>254.8</v>
      </c>
      <c r="U116" s="2"/>
      <c r="V116" s="7">
        <f t="shared" si="72"/>
        <v>6.2063170759653178E-4</v>
      </c>
      <c r="W116" s="2"/>
      <c r="X116" s="6">
        <f t="shared" si="73"/>
        <v>-240.8</v>
      </c>
      <c r="Y116" s="2"/>
      <c r="Z116" s="7">
        <f t="shared" si="74"/>
        <v>-0.94505494505494503</v>
      </c>
    </row>
    <row r="117" spans="1:26" s="62" customFormat="1" x14ac:dyDescent="0.25">
      <c r="A117" s="37"/>
      <c r="B117" s="37"/>
      <c r="C117" s="37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7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4" customFormat="1" collapsed="1" x14ac:dyDescent="0.25">
      <c r="A118" s="11"/>
      <c r="B118" s="28" t="s">
        <v>292</v>
      </c>
      <c r="C118" s="11"/>
      <c r="D118" s="4">
        <f>SUM(OSRRefD25x_0)</f>
        <v>0</v>
      </c>
      <c r="E118" s="4"/>
      <c r="F118" s="13">
        <f t="shared" ref="F118:F119" si="75">IF(D$12=0,0,D118/D$12)</f>
        <v>0</v>
      </c>
      <c r="G118" s="4"/>
      <c r="H118" s="4">
        <f>SUM(OSRRefH25x_0)</f>
        <v>0</v>
      </c>
      <c r="I118" s="4"/>
      <c r="J118" s="13">
        <f t="shared" ref="J118:J119" si="76">IF(H$12=0,0,H118/H$12)</f>
        <v>0</v>
      </c>
      <c r="K118" s="4"/>
      <c r="L118" s="4">
        <f t="shared" ref="L118:L119" si="77">+D118-H118</f>
        <v>0</v>
      </c>
      <c r="M118" s="4"/>
      <c r="N118" s="13">
        <f t="shared" ref="N118:N119" si="78">IF(H118=0,0,L118/H118)</f>
        <v>0</v>
      </c>
      <c r="O118" s="11"/>
      <c r="P118" s="4">
        <f>SUM(OSRRefP25x_0)</f>
        <v>0</v>
      </c>
      <c r="Q118" s="4"/>
      <c r="R118" s="13">
        <f t="shared" ref="R118:R119" si="79">IF(P$12=0,0,P118/P$12)</f>
        <v>0</v>
      </c>
      <c r="S118" s="4"/>
      <c r="T118" s="4">
        <f>SUM(OSRRefT25x_0)</f>
        <v>68.760000000000005</v>
      </c>
      <c r="U118" s="4"/>
      <c r="V118" s="13">
        <f t="shared" ref="V118:V119" si="80">IF(T$12=0,0,T118/T$12)</f>
        <v>1.6748287368264334E-4</v>
      </c>
      <c r="W118" s="4"/>
      <c r="X118" s="4">
        <f t="shared" ref="X118:X119" si="81">+P118-T118</f>
        <v>-68.760000000000005</v>
      </c>
      <c r="Y118" s="4"/>
      <c r="Z118" s="13">
        <f t="shared" ref="Z118:Z119" si="82">IF(T118=0,0,X118/T118)</f>
        <v>-1</v>
      </c>
    </row>
    <row r="119" spans="1:26" s="23" customFormat="1" hidden="1" outlineLevel="1" x14ac:dyDescent="0.25">
      <c r="A119" s="44"/>
      <c r="B119" s="10" t="str">
        <f>CONCATENATE("          ", "9150", " - ", "MISC. INCOME")</f>
        <v xml:space="preserve">          9150 - MISC. INCOME</v>
      </c>
      <c r="C119" s="10"/>
      <c r="D119" s="2">
        <f>0</f>
        <v>0</v>
      </c>
      <c r="E119" s="2"/>
      <c r="F119" s="19">
        <f t="shared" si="75"/>
        <v>0</v>
      </c>
      <c r="G119" s="2"/>
      <c r="H119" s="2">
        <f>0</f>
        <v>0</v>
      </c>
      <c r="I119" s="2"/>
      <c r="J119" s="19">
        <f t="shared" si="76"/>
        <v>0</v>
      </c>
      <c r="K119" s="2"/>
      <c r="L119" s="2">
        <f t="shared" si="77"/>
        <v>0</v>
      </c>
      <c r="M119" s="2"/>
      <c r="N119" s="19">
        <f t="shared" si="78"/>
        <v>0</v>
      </c>
      <c r="O119" s="10"/>
      <c r="P119" s="2">
        <f>0</f>
        <v>0</v>
      </c>
      <c r="Q119" s="2"/>
      <c r="R119" s="19">
        <f t="shared" si="79"/>
        <v>0</v>
      </c>
      <c r="S119" s="2"/>
      <c r="T119" s="2">
        <f>--68.76</f>
        <v>68.760000000000005</v>
      </c>
      <c r="U119" s="2"/>
      <c r="V119" s="19">
        <f t="shared" si="80"/>
        <v>1.6748287368264334E-4</v>
      </c>
      <c r="W119" s="2"/>
      <c r="X119" s="2">
        <f t="shared" si="81"/>
        <v>-68.760000000000005</v>
      </c>
      <c r="Y119" s="2"/>
      <c r="Z119" s="19">
        <f t="shared" si="82"/>
        <v>-1</v>
      </c>
    </row>
    <row r="120" spans="1:26" x14ac:dyDescent="0.25">
      <c r="A120" s="9"/>
      <c r="B120" s="11"/>
      <c r="C120" s="11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1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4" customFormat="1" x14ac:dyDescent="0.25">
      <c r="A121" s="11"/>
      <c r="B121" s="29" t="s">
        <v>276</v>
      </c>
      <c r="C121" s="29"/>
      <c r="D121" s="20">
        <f>+D74-D76+D118</f>
        <v>-72.489999999999995</v>
      </c>
      <c r="E121" s="14"/>
      <c r="F121" s="22">
        <f>IF(D$12=0,0,D121/D$12)</f>
        <v>0</v>
      </c>
      <c r="G121" s="14"/>
      <c r="H121" s="20">
        <f>+H74-H76+H118</f>
        <v>-299.9300000000008</v>
      </c>
      <c r="I121" s="14"/>
      <c r="J121" s="22">
        <f>IF(H$12=0,0,H121/H$12)</f>
        <v>0</v>
      </c>
      <c r="K121" s="16"/>
      <c r="L121" s="20">
        <f>+D121-H121</f>
        <v>227.44000000000079</v>
      </c>
      <c r="M121" s="16"/>
      <c r="N121" s="22">
        <f>IF(H121=0,0,L121/H121)</f>
        <v>-0.75831027239689319</v>
      </c>
      <c r="O121" s="28"/>
      <c r="P121" s="20">
        <f>+P74-P76+P118</f>
        <v>-5181.929999999993</v>
      </c>
      <c r="Q121" s="14"/>
      <c r="R121" s="22">
        <f>IF(P$12=0,0,P121/P$12)</f>
        <v>-0.24314702757893206</v>
      </c>
      <c r="S121" s="14"/>
      <c r="T121" s="20">
        <f>+T74-T76+T118</f>
        <v>86464.720000000234</v>
      </c>
      <c r="U121" s="14"/>
      <c r="V121" s="22">
        <f>IF(T$12=0,0,T121/T$12)</f>
        <v>0.21060732661089535</v>
      </c>
      <c r="W121" s="16"/>
      <c r="X121" s="20">
        <f>+P121-T121</f>
        <v>-91646.650000000227</v>
      </c>
      <c r="Y121" s="16"/>
      <c r="Z121" s="22">
        <f>IF(T121=0,0,X121/T121)</f>
        <v>-1.0599311487968732</v>
      </c>
    </row>
    <row r="122" spans="1:26" x14ac:dyDescent="0.25">
      <c r="A122" s="9"/>
      <c r="B122" s="11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4" customFormat="1" x14ac:dyDescent="0.25">
      <c r="A123" s="51"/>
      <c r="B123" s="11" t="s">
        <v>127</v>
      </c>
      <c r="C123" s="11"/>
      <c r="D123" s="4">
        <v>66.33</v>
      </c>
      <c r="E123" s="4"/>
      <c r="F123" s="13">
        <f>IF(D$12=0,0,D123/D$12)</f>
        <v>0</v>
      </c>
      <c r="G123" s="4"/>
      <c r="H123" s="4">
        <v>2623.58</v>
      </c>
      <c r="I123" s="4"/>
      <c r="J123" s="13">
        <f>IF(H$12=0,0,H123/H$12)</f>
        <v>0</v>
      </c>
      <c r="K123" s="4"/>
      <c r="L123" s="4">
        <f>+D123-H123</f>
        <v>-2557.25</v>
      </c>
      <c r="M123" s="4"/>
      <c r="N123" s="13">
        <f>IF(H123=0,0,L123/H123)</f>
        <v>-0.97471775207922007</v>
      </c>
      <c r="O123" s="11"/>
      <c r="P123" s="4">
        <v>4458.54</v>
      </c>
      <c r="Q123" s="4"/>
      <c r="R123" s="13">
        <f>IF(P$12=0,0,P123/P$12)</f>
        <v>0.20920405106625778</v>
      </c>
      <c r="S123" s="4"/>
      <c r="T123" s="4">
        <v>46614.95</v>
      </c>
      <c r="U123" s="4"/>
      <c r="V123" s="13">
        <f>IF(T$12=0,0,T123/T$12)</f>
        <v>0.11354284151501941</v>
      </c>
      <c r="W123" s="4"/>
      <c r="X123" s="4">
        <f>+P123-T123</f>
        <v>-42156.409999999996</v>
      </c>
      <c r="Y123" s="4"/>
      <c r="Z123" s="13">
        <f>IF(T123=0,0,X123/T123)</f>
        <v>-0.90435386072493906</v>
      </c>
    </row>
    <row r="124" spans="1:26" x14ac:dyDescent="0.25">
      <c r="A124" s="9"/>
      <c r="B124" s="11"/>
      <c r="C124" s="11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1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4" customFormat="1" ht="15.75" thickBot="1" x14ac:dyDescent="0.3">
      <c r="A125" s="11"/>
      <c r="B125" s="29" t="s">
        <v>125</v>
      </c>
      <c r="C125" s="29"/>
      <c r="D125" s="30">
        <f>+D121-D123</f>
        <v>-138.82</v>
      </c>
      <c r="E125" s="14"/>
      <c r="F125" s="34">
        <f>IF(D$12=0,0,D125/D$12)</f>
        <v>0</v>
      </c>
      <c r="G125" s="14"/>
      <c r="H125" s="30">
        <f>+H121-H123</f>
        <v>-2923.5100000000007</v>
      </c>
      <c r="I125" s="14"/>
      <c r="J125" s="34">
        <f>IF(H$12=0,0,H125/H$12)</f>
        <v>0</v>
      </c>
      <c r="K125" s="16"/>
      <c r="L125" s="30">
        <f>D125-H125</f>
        <v>2784.6900000000005</v>
      </c>
      <c r="M125" s="16"/>
      <c r="N125" s="34">
        <f>IF(H125=0,0,L125/H125)</f>
        <v>-0.95251598250048741</v>
      </c>
      <c r="O125" s="28"/>
      <c r="P125" s="30">
        <f>+P121-P123</f>
        <v>-9640.4699999999939</v>
      </c>
      <c r="Q125" s="14"/>
      <c r="R125" s="34">
        <f>IF(P$12=0,0,P125/P$12)</f>
        <v>-0.45235107864518986</v>
      </c>
      <c r="S125" s="14"/>
      <c r="T125" s="30">
        <f>+T121-T123</f>
        <v>39849.770000000237</v>
      </c>
      <c r="U125" s="14"/>
      <c r="V125" s="34">
        <f>IF(T$12=0,0,T125/T$12)</f>
        <v>9.7064485095875938E-2</v>
      </c>
      <c r="W125" s="16"/>
      <c r="X125" s="30">
        <f>P125-T125</f>
        <v>-49490.240000000231</v>
      </c>
      <c r="Y125" s="16"/>
      <c r="Z125" s="34">
        <f>IF(T125=0,0,X125/T125)</f>
        <v>-1.2419203423256882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4" customFormat="1" ht="15.75" thickBot="1" x14ac:dyDescent="0.3">
      <c r="A128" s="11"/>
      <c r="B128" s="29" t="s">
        <v>293</v>
      </c>
      <c r="C128" s="29"/>
      <c r="D128" s="32">
        <f>SUM(D125:D127)</f>
        <v>-138.82</v>
      </c>
      <c r="E128" s="14"/>
      <c r="F128" s="35">
        <f>IF(D$12=0,0,D128/D$12)</f>
        <v>0</v>
      </c>
      <c r="G128" s="14"/>
      <c r="H128" s="32">
        <f>SUM(H125:H127)</f>
        <v>-2923.5100000000007</v>
      </c>
      <c r="I128" s="14"/>
      <c r="J128" s="35">
        <f>IF(H$12=0,0,H128/H$12)</f>
        <v>0</v>
      </c>
      <c r="K128" s="16"/>
      <c r="L128" s="32">
        <f>+D128-H128</f>
        <v>2784.6900000000005</v>
      </c>
      <c r="M128" s="16"/>
      <c r="N128" s="35">
        <f>IF(H128=0,0,L128/H128)</f>
        <v>-0.95251598250048741</v>
      </c>
      <c r="O128" s="28"/>
      <c r="P128" s="32">
        <f>SUM(P125:P127)</f>
        <v>-9640.4699999999939</v>
      </c>
      <c r="Q128" s="14"/>
      <c r="R128" s="35">
        <f>IF(P$12=0,0,P128/P$12)</f>
        <v>-0.45235107864518986</v>
      </c>
      <c r="S128" s="14"/>
      <c r="T128" s="32">
        <f>SUM(T125:T127)</f>
        <v>39849.770000000237</v>
      </c>
      <c r="U128" s="14"/>
      <c r="V128" s="35">
        <f>IF(T$12=0,0,T128/T$12)</f>
        <v>9.7064485095875938E-2</v>
      </c>
      <c r="W128" s="16"/>
      <c r="X128" s="32">
        <f>+P128-T128</f>
        <v>-49490.240000000231</v>
      </c>
      <c r="Y128" s="16"/>
      <c r="Z128" s="35">
        <f>IF(T128=0,0,X128/T128)</f>
        <v>-1.2419203423256882</v>
      </c>
    </row>
    <row r="129" spans="1:24" ht="15.75" thickTop="1" x14ac:dyDescent="0.25">
      <c r="A129" s="9"/>
      <c r="C129" s="9"/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25">
      <c r="A130" s="9"/>
      <c r="B130" s="59">
        <v>44330.00886898148</v>
      </c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4" x14ac:dyDescent="0.25">
      <c r="A131" s="9"/>
      <c r="B131" s="52" t="s">
        <v>56</v>
      </c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4" x14ac:dyDescent="0.25">
      <c r="A132" s="9"/>
      <c r="B132" s="55"/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4" x14ac:dyDescent="0.25"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","314", " - ", "Tech/Supplies")</f>
        <v>Department 314 - Tech/Supplies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3159.7599999999998</v>
      </c>
      <c r="I12" s="4"/>
      <c r="J12" s="13"/>
      <c r="K12" s="4"/>
      <c r="L12" s="4">
        <f t="shared" ref="L12:L33" si="0">+D12-H12</f>
        <v>-3159.7599999999998</v>
      </c>
      <c r="M12" s="4"/>
      <c r="N12" s="13">
        <f t="shared" ref="N12:N33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404150.52000000008</v>
      </c>
      <c r="U12" s="4"/>
      <c r="V12" s="13"/>
      <c r="W12" s="4"/>
      <c r="X12" s="4">
        <f t="shared" ref="X12:X33" si="2">+P12-T12</f>
        <v>-404150.52000000008</v>
      </c>
      <c r="Y12" s="4"/>
      <c r="Z12" s="13">
        <f t="shared" ref="Z12:Z33" si="3">IF(T12=0,0,X12/T12)</f>
        <v>-1</v>
      </c>
    </row>
    <row r="13" spans="1:26" s="23" customFormat="1" hidden="1" outlineLevel="1" x14ac:dyDescent="0.25">
      <c r="A13" s="44"/>
      <c r="B13" s="10" t="str">
        <f>CONCATENATE("          ", "4017", " - ", "TAXABLE SALES-DORM/HOUSEWARES")</f>
        <v xml:space="preserve">          4017 - TAXABLE SALES-DORM/HOUSEWARES</v>
      </c>
      <c r="C13" s="10"/>
      <c r="D13" s="2">
        <f t="shared" ref="D13:D33" si="4">0</f>
        <v>0</v>
      </c>
      <c r="E13" s="2"/>
      <c r="F13" s="19"/>
      <c r="G13" s="2"/>
      <c r="H13" s="2">
        <f>--64.95</f>
        <v>64.95</v>
      </c>
      <c r="I13" s="2"/>
      <c r="J13" s="19"/>
      <c r="K13" s="2"/>
      <c r="L13" s="2">
        <f t="shared" si="0"/>
        <v>-64.95</v>
      </c>
      <c r="M13" s="2"/>
      <c r="N13" s="19">
        <f t="shared" si="1"/>
        <v>-1</v>
      </c>
      <c r="O13" s="10"/>
      <c r="P13" s="2">
        <f t="shared" ref="P13:P33" si="5">0</f>
        <v>0</v>
      </c>
      <c r="Q13" s="2"/>
      <c r="R13" s="19"/>
      <c r="S13" s="2"/>
      <c r="T13" s="2">
        <f>--276.15</f>
        <v>276.14999999999998</v>
      </c>
      <c r="U13" s="2"/>
      <c r="V13" s="19"/>
      <c r="W13" s="2"/>
      <c r="X13" s="2">
        <f t="shared" si="2"/>
        <v>-276.14999999999998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"4019", " - ", "TAXABLE SALES-BOOK RELATED")</f>
        <v xml:space="preserve">          4019 - TAXABLE SALES-BOOK RELATED</v>
      </c>
      <c r="C14" s="10"/>
      <c r="D14" s="2">
        <f t="shared" si="4"/>
        <v>0</v>
      </c>
      <c r="E14" s="2"/>
      <c r="F14" s="19"/>
      <c r="G14" s="2"/>
      <c r="H14" s="2">
        <f t="shared" ref="H14:H15" si="6"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5"/>
        <v>0</v>
      </c>
      <c r="Q14" s="2"/>
      <c r="R14" s="19"/>
      <c r="S14" s="2"/>
      <c r="T14" s="2">
        <f>--42.85</f>
        <v>42.85</v>
      </c>
      <c r="U14" s="2"/>
      <c r="V14" s="19"/>
      <c r="W14" s="2"/>
      <c r="X14" s="2">
        <f t="shared" si="2"/>
        <v>-42.85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"4025", " - ", "TAXABLE SALES-TEST FORMS")</f>
        <v xml:space="preserve">          4025 - TAXABLE SALES-TEST FORMS</v>
      </c>
      <c r="C15" s="10"/>
      <c r="D15" s="2">
        <f t="shared" si="4"/>
        <v>0</v>
      </c>
      <c r="E15" s="2"/>
      <c r="F15" s="19"/>
      <c r="G15" s="2"/>
      <c r="H15" s="2">
        <f t="shared" si="6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5"/>
        <v>0</v>
      </c>
      <c r="Q15" s="2"/>
      <c r="R15" s="19"/>
      <c r="S15" s="2"/>
      <c r="T15" s="2">
        <f>--52426.3</f>
        <v>52426.3</v>
      </c>
      <c r="U15" s="2"/>
      <c r="V15" s="19"/>
      <c r="W15" s="2"/>
      <c r="X15" s="2">
        <f t="shared" si="2"/>
        <v>-52426.3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"4026", " - ", "TAXABLE SALES-WRITING INSTRUME")</f>
        <v xml:space="preserve">          4026 - TAXABLE SALES-WRITING INSTRUME</v>
      </c>
      <c r="C16" s="10"/>
      <c r="D16" s="2">
        <f t="shared" si="4"/>
        <v>0</v>
      </c>
      <c r="E16" s="2"/>
      <c r="F16" s="19"/>
      <c r="G16" s="2"/>
      <c r="H16" s="2">
        <f>--81.65</f>
        <v>81.650000000000006</v>
      </c>
      <c r="I16" s="2"/>
      <c r="J16" s="19"/>
      <c r="K16" s="2"/>
      <c r="L16" s="2">
        <f t="shared" si="0"/>
        <v>-81.650000000000006</v>
      </c>
      <c r="M16" s="2"/>
      <c r="N16" s="19">
        <f t="shared" si="1"/>
        <v>-1</v>
      </c>
      <c r="O16" s="10"/>
      <c r="P16" s="2">
        <f t="shared" si="5"/>
        <v>0</v>
      </c>
      <c r="Q16" s="2"/>
      <c r="R16" s="19"/>
      <c r="S16" s="2"/>
      <c r="T16" s="2">
        <f>--73056.82</f>
        <v>73056.820000000007</v>
      </c>
      <c r="U16" s="2"/>
      <c r="V16" s="19"/>
      <c r="W16" s="2"/>
      <c r="X16" s="2">
        <f t="shared" si="2"/>
        <v>-73056.820000000007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"4027", " - ", "TAXABLE SALES-SCHOOL SUPPLIES")</f>
        <v xml:space="preserve">          4027 - TAXABLE SALES-SCHOOL SUPPLIES</v>
      </c>
      <c r="C17" s="10"/>
      <c r="D17" s="2">
        <f t="shared" si="4"/>
        <v>0</v>
      </c>
      <c r="E17" s="2"/>
      <c r="F17" s="19"/>
      <c r="G17" s="2"/>
      <c r="H17" s="2">
        <f>--1399.98</f>
        <v>1399.98</v>
      </c>
      <c r="I17" s="2"/>
      <c r="J17" s="19"/>
      <c r="K17" s="2"/>
      <c r="L17" s="2">
        <f t="shared" si="0"/>
        <v>-1399.98</v>
      </c>
      <c r="M17" s="2"/>
      <c r="N17" s="19">
        <f t="shared" si="1"/>
        <v>-1</v>
      </c>
      <c r="O17" s="10"/>
      <c r="P17" s="2">
        <f t="shared" si="5"/>
        <v>0</v>
      </c>
      <c r="Q17" s="2"/>
      <c r="R17" s="19"/>
      <c r="S17" s="2"/>
      <c r="T17" s="2">
        <f>--261853.84</f>
        <v>261853.84</v>
      </c>
      <c r="U17" s="2"/>
      <c r="V17" s="19"/>
      <c r="W17" s="2"/>
      <c r="X17" s="2">
        <f t="shared" si="2"/>
        <v>-261853.84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"4028", " - ", "TAXABLE SALES-ART/TECH")</f>
        <v xml:space="preserve">          4028 - TAXABLE SALES-ART/TECH</v>
      </c>
      <c r="C18" s="10"/>
      <c r="D18" s="2">
        <f t="shared" si="4"/>
        <v>0</v>
      </c>
      <c r="E18" s="2"/>
      <c r="F18" s="19"/>
      <c r="G18" s="2"/>
      <c r="H18" s="2">
        <f>--168.82</f>
        <v>168.82</v>
      </c>
      <c r="I18" s="2"/>
      <c r="J18" s="19"/>
      <c r="K18" s="2"/>
      <c r="L18" s="2">
        <f t="shared" si="0"/>
        <v>-168.82</v>
      </c>
      <c r="M18" s="2"/>
      <c r="N18" s="19">
        <f t="shared" si="1"/>
        <v>-1</v>
      </c>
      <c r="O18" s="10"/>
      <c r="P18" s="2">
        <f t="shared" si="5"/>
        <v>0</v>
      </c>
      <c r="Q18" s="2"/>
      <c r="R18" s="19"/>
      <c r="S18" s="2"/>
      <c r="T18" s="2">
        <f>--12272.15</f>
        <v>12272.15</v>
      </c>
      <c r="U18" s="2"/>
      <c r="V18" s="19"/>
      <c r="W18" s="2"/>
      <c r="X18" s="2">
        <f t="shared" si="2"/>
        <v>-12272.15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"4031", " - ", "TAXABLE SALES-FOOD")</f>
        <v xml:space="preserve">          4031 - TAXABLE SALES-FOOD</v>
      </c>
      <c r="C19" s="10"/>
      <c r="D19" s="2">
        <f t="shared" si="4"/>
        <v>0</v>
      </c>
      <c r="E19" s="2"/>
      <c r="F19" s="19"/>
      <c r="G19" s="2"/>
      <c r="H19" s="2">
        <f t="shared" ref="H19:H21" si="7"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0"/>
      <c r="P19" s="2">
        <f t="shared" si="5"/>
        <v>0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0</v>
      </c>
      <c r="Y19" s="2"/>
      <c r="Z19" s="19">
        <f t="shared" si="3"/>
        <v>0</v>
      </c>
    </row>
    <row r="20" spans="1:26" s="23" customFormat="1" hidden="1" outlineLevel="1" x14ac:dyDescent="0.25">
      <c r="A20" s="44"/>
      <c r="B20" s="10" t="str">
        <f>CONCATENATE("          ", "4035", " - ", "TAXABLE SALES-HEALTH &amp; BEAUTY")</f>
        <v xml:space="preserve">          4035 - TAXABLE SALES-HEALTH &amp; BEAUTY</v>
      </c>
      <c r="C20" s="10"/>
      <c r="D20" s="2">
        <f t="shared" si="4"/>
        <v>0</v>
      </c>
      <c r="E20" s="2"/>
      <c r="F20" s="19"/>
      <c r="G20" s="2"/>
      <c r="H20" s="2">
        <f t="shared" si="7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0"/>
      <c r="P20" s="2">
        <f t="shared" si="5"/>
        <v>0</v>
      </c>
      <c r="Q20" s="2"/>
      <c r="R20" s="19"/>
      <c r="S20" s="2"/>
      <c r="T20" s="2">
        <f>--20.15</f>
        <v>20.149999999999999</v>
      </c>
      <c r="U20" s="2"/>
      <c r="V20" s="19"/>
      <c r="W20" s="2"/>
      <c r="X20" s="2">
        <f t="shared" si="2"/>
        <v>-20.149999999999999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"4125", " - ", "NON-TAXABLE SALES-TEST FORMS")</f>
        <v xml:space="preserve">          4125 - NON-TAXABLE SALES-TEST FORMS</v>
      </c>
      <c r="C21" s="10"/>
      <c r="D21" s="2">
        <f t="shared" si="4"/>
        <v>0</v>
      </c>
      <c r="E21" s="2"/>
      <c r="F21" s="19"/>
      <c r="G21" s="2"/>
      <c r="H21" s="2">
        <f t="shared" si="7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si="5"/>
        <v>0</v>
      </c>
      <c r="Q21" s="2"/>
      <c r="R21" s="19"/>
      <c r="S21" s="2"/>
      <c r="T21" s="2">
        <f>--267.61</f>
        <v>267.61</v>
      </c>
      <c r="U21" s="2"/>
      <c r="V21" s="19"/>
      <c r="W21" s="2"/>
      <c r="X21" s="2">
        <f t="shared" si="2"/>
        <v>-267.61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"4126", " - ", "NON-TAXABLE SALES-WRITING INST")</f>
        <v xml:space="preserve">          4126 - NON-TAXABLE SALES-WRITING INST</v>
      </c>
      <c r="C22" s="10"/>
      <c r="D22" s="2">
        <f t="shared" si="4"/>
        <v>0</v>
      </c>
      <c r="E22" s="2"/>
      <c r="F22" s="19"/>
      <c r="G22" s="2"/>
      <c r="H22" s="2">
        <f>--5.57</f>
        <v>5.57</v>
      </c>
      <c r="I22" s="2"/>
      <c r="J22" s="19"/>
      <c r="K22" s="2"/>
      <c r="L22" s="2">
        <f t="shared" si="0"/>
        <v>-5.57</v>
      </c>
      <c r="M22" s="2"/>
      <c r="N22" s="19">
        <f t="shared" si="1"/>
        <v>-1</v>
      </c>
      <c r="O22" s="10"/>
      <c r="P22" s="2">
        <f t="shared" si="5"/>
        <v>0</v>
      </c>
      <c r="Q22" s="2"/>
      <c r="R22" s="19"/>
      <c r="S22" s="2"/>
      <c r="T22" s="2">
        <f>--3020.37</f>
        <v>3020.37</v>
      </c>
      <c r="U22" s="2"/>
      <c r="V22" s="19"/>
      <c r="W22" s="2"/>
      <c r="X22" s="2">
        <f t="shared" si="2"/>
        <v>-3020.37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"4127", " - ", "NON-TAXABLE SALES-SCHOOL SUPPL")</f>
        <v xml:space="preserve">          4127 - NON-TAXABLE SALES-SCHOOL SUPPL</v>
      </c>
      <c r="C23" s="10"/>
      <c r="D23" s="2">
        <f t="shared" si="4"/>
        <v>0</v>
      </c>
      <c r="E23" s="2"/>
      <c r="F23" s="19"/>
      <c r="G23" s="2"/>
      <c r="H23" s="2">
        <f>--1430.65</f>
        <v>1430.65</v>
      </c>
      <c r="I23" s="2"/>
      <c r="J23" s="19"/>
      <c r="K23" s="2"/>
      <c r="L23" s="2">
        <f t="shared" si="0"/>
        <v>-1430.65</v>
      </c>
      <c r="M23" s="2"/>
      <c r="N23" s="19">
        <f t="shared" si="1"/>
        <v>-1</v>
      </c>
      <c r="O23" s="10"/>
      <c r="P23" s="2">
        <f t="shared" si="5"/>
        <v>0</v>
      </c>
      <c r="Q23" s="2"/>
      <c r="R23" s="19"/>
      <c r="S23" s="2"/>
      <c r="T23" s="2">
        <f>--6130.42</f>
        <v>6130.42</v>
      </c>
      <c r="U23" s="2"/>
      <c r="V23" s="19"/>
      <c r="W23" s="2"/>
      <c r="X23" s="2">
        <f t="shared" si="2"/>
        <v>-6130.42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"4128", " - ", "NON-TAXABLE SALES-ART/TECH")</f>
        <v xml:space="preserve">          4128 - NON-TAXABLE SALES-ART/TECH</v>
      </c>
      <c r="C24" s="10"/>
      <c r="D24" s="2">
        <f t="shared" si="4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 t="shared" si="5"/>
        <v>0</v>
      </c>
      <c r="Q24" s="2"/>
      <c r="R24" s="19"/>
      <c r="S24" s="2"/>
      <c r="T24" s="2">
        <f>--488.53</f>
        <v>488.53</v>
      </c>
      <c r="U24" s="2"/>
      <c r="V24" s="19"/>
      <c r="W24" s="2"/>
      <c r="X24" s="2">
        <f t="shared" si="2"/>
        <v>-488.53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"4131", " - ", "NON-TAXABLE SALES-FOOD")</f>
        <v xml:space="preserve">          4131 - NON-TAXABLE SALES-FOOD</v>
      </c>
      <c r="C25" s="10"/>
      <c r="D25" s="2">
        <f t="shared" si="4"/>
        <v>0</v>
      </c>
      <c r="E25" s="2"/>
      <c r="F25" s="19"/>
      <c r="G25" s="2"/>
      <c r="H25" s="2">
        <f>--3.97</f>
        <v>3.97</v>
      </c>
      <c r="I25" s="2"/>
      <c r="J25" s="19"/>
      <c r="K25" s="2"/>
      <c r="L25" s="2">
        <f t="shared" si="0"/>
        <v>-3.97</v>
      </c>
      <c r="M25" s="2"/>
      <c r="N25" s="19">
        <f t="shared" si="1"/>
        <v>-1</v>
      </c>
      <c r="O25" s="10"/>
      <c r="P25" s="2">
        <f t="shared" si="5"/>
        <v>0</v>
      </c>
      <c r="Q25" s="2"/>
      <c r="R25" s="19"/>
      <c r="S25" s="2"/>
      <c r="T25" s="2">
        <f>--1577.4</f>
        <v>1577.4</v>
      </c>
      <c r="U25" s="2"/>
      <c r="V25" s="19"/>
      <c r="W25" s="2"/>
      <c r="X25" s="2">
        <f t="shared" si="2"/>
        <v>-1577.4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"4133", " - ", "NON-TAXABLE SALES-CANDY")</f>
        <v xml:space="preserve">          4133 - NON-TAXABLE SALES-CANDY</v>
      </c>
      <c r="C26" s="10"/>
      <c r="D26" s="2">
        <f t="shared" si="4"/>
        <v>0</v>
      </c>
      <c r="E26" s="2"/>
      <c r="F26" s="19"/>
      <c r="G26" s="2"/>
      <c r="H26" s="2">
        <f>--4.17</f>
        <v>4.17</v>
      </c>
      <c r="I26" s="2"/>
      <c r="J26" s="19"/>
      <c r="K26" s="2"/>
      <c r="L26" s="2">
        <f t="shared" si="0"/>
        <v>-4.17</v>
      </c>
      <c r="M26" s="2"/>
      <c r="N26" s="19">
        <f t="shared" si="1"/>
        <v>-1</v>
      </c>
      <c r="O26" s="10"/>
      <c r="P26" s="2">
        <f t="shared" si="5"/>
        <v>0</v>
      </c>
      <c r="Q26" s="2"/>
      <c r="R26" s="19"/>
      <c r="S26" s="2"/>
      <c r="T26" s="2">
        <f>--2264.62</f>
        <v>2264.62</v>
      </c>
      <c r="U26" s="2"/>
      <c r="V26" s="19"/>
      <c r="W26" s="2"/>
      <c r="X26" s="2">
        <f t="shared" si="2"/>
        <v>-2264.62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"4135", " - ", "NON-TAXABLE SALES")</f>
        <v xml:space="preserve">          4135 - NON-TAXABLE SALES</v>
      </c>
      <c r="C27" s="10"/>
      <c r="D27" s="2">
        <f t="shared" si="4"/>
        <v>0</v>
      </c>
      <c r="E27" s="2"/>
      <c r="F27" s="19"/>
      <c r="G27" s="2"/>
      <c r="H27" s="2">
        <f t="shared" ref="H27:H33" si="8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si="5"/>
        <v>0</v>
      </c>
      <c r="Q27" s="2"/>
      <c r="R27" s="19"/>
      <c r="S27" s="2"/>
      <c r="T27" s="2">
        <f>--50.16</f>
        <v>50.16</v>
      </c>
      <c r="U27" s="2"/>
      <c r="V27" s="19"/>
      <c r="W27" s="2"/>
      <c r="X27" s="2">
        <f t="shared" si="2"/>
        <v>-50.16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"4217", " - ", "NON-TAXABLE SALES-DORM/HOUSEWA")</f>
        <v xml:space="preserve">          4217 - NON-TAXABLE SALES-DORM/HOUSEWA</v>
      </c>
      <c r="C28" s="10"/>
      <c r="D28" s="2">
        <f t="shared" si="4"/>
        <v>0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 t="shared" si="5"/>
        <v>0</v>
      </c>
      <c r="Q28" s="2"/>
      <c r="R28" s="19"/>
      <c r="S28" s="2"/>
      <c r="T28" s="2">
        <f>-2.98</f>
        <v>-2.98</v>
      </c>
      <c r="U28" s="2"/>
      <c r="V28" s="19"/>
      <c r="W28" s="2"/>
      <c r="X28" s="2">
        <f t="shared" si="2"/>
        <v>2.98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"4225", " - ", "SALES RETURN TAXABLE-TEST FORM")</f>
        <v xml:space="preserve">          4225 - SALES RETURN TAXABLE-TEST FORM</v>
      </c>
      <c r="C29" s="10"/>
      <c r="D29" s="2">
        <f t="shared" si="4"/>
        <v>0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 t="shared" si="5"/>
        <v>0</v>
      </c>
      <c r="Q29" s="2"/>
      <c r="R29" s="19"/>
      <c r="S29" s="2"/>
      <c r="T29" s="2">
        <f>-141.28</f>
        <v>-141.28</v>
      </c>
      <c r="U29" s="2"/>
      <c r="V29" s="19"/>
      <c r="W29" s="2"/>
      <c r="X29" s="2">
        <f t="shared" si="2"/>
        <v>141.28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"4226", " - ", "SALES RETURN TAXABLE-WRITING I")</f>
        <v xml:space="preserve">          4226 - SALES RETURN TAXABLE-WRITING I</v>
      </c>
      <c r="C30" s="10"/>
      <c r="D30" s="2">
        <f t="shared" si="4"/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 t="shared" si="5"/>
        <v>0</v>
      </c>
      <c r="Q30" s="2"/>
      <c r="R30" s="19"/>
      <c r="S30" s="2"/>
      <c r="T30" s="2">
        <f>-619.19</f>
        <v>-619.19000000000005</v>
      </c>
      <c r="U30" s="2"/>
      <c r="V30" s="19"/>
      <c r="W30" s="2"/>
      <c r="X30" s="2">
        <f t="shared" si="2"/>
        <v>619.19000000000005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"4227", " - ", "SALES RETURN TAXABLE-SCHOOL SU")</f>
        <v xml:space="preserve">          4227 - SALES RETURN TAXABLE-SCHOOL SU</v>
      </c>
      <c r="C31" s="10"/>
      <c r="D31" s="2">
        <f t="shared" si="4"/>
        <v>0</v>
      </c>
      <c r="E31" s="2"/>
      <c r="F31" s="19"/>
      <c r="G31" s="2"/>
      <c r="H31" s="2">
        <f t="shared" si="8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 t="shared" si="5"/>
        <v>0</v>
      </c>
      <c r="Q31" s="2"/>
      <c r="R31" s="19"/>
      <c r="S31" s="2"/>
      <c r="T31" s="2">
        <f>-8551.55</f>
        <v>-8551.5499999999993</v>
      </c>
      <c r="U31" s="2"/>
      <c r="V31" s="19"/>
      <c r="W31" s="2"/>
      <c r="X31" s="2">
        <f t="shared" si="2"/>
        <v>8551.5499999999993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"4228", " - ", "SALES RETURN TAXABLE-ART/TECH")</f>
        <v xml:space="preserve">          4228 - SALES RETURN TAXABLE-ART/TECH</v>
      </c>
      <c r="C32" s="10"/>
      <c r="D32" s="2">
        <f t="shared" si="4"/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 t="shared" si="5"/>
        <v>0</v>
      </c>
      <c r="Q32" s="2"/>
      <c r="R32" s="19"/>
      <c r="S32" s="2"/>
      <c r="T32" s="2">
        <f>-259.98</f>
        <v>-259.98</v>
      </c>
      <c r="U32" s="2"/>
      <c r="V32" s="19"/>
      <c r="W32" s="2"/>
      <c r="X32" s="2">
        <f t="shared" si="2"/>
        <v>259.98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"4327", " - ", "SALES RETURN NON TAXABLE-SCHOO")</f>
        <v xml:space="preserve">          4327 - SALES RETURN NON TAXABLE-SCHOO</v>
      </c>
      <c r="C33" s="10"/>
      <c r="D33" s="2">
        <f t="shared" si="4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 t="shared" si="5"/>
        <v>0</v>
      </c>
      <c r="Q33" s="2"/>
      <c r="R33" s="19"/>
      <c r="S33" s="2"/>
      <c r="T33" s="2">
        <f>-21.87</f>
        <v>-21.87</v>
      </c>
      <c r="U33" s="2"/>
      <c r="V33" s="19"/>
      <c r="W33" s="2"/>
      <c r="X33" s="2">
        <f t="shared" si="2"/>
        <v>21.87</v>
      </c>
      <c r="Y33" s="2"/>
      <c r="Z33" s="19">
        <f t="shared" si="3"/>
        <v>-1</v>
      </c>
    </row>
    <row r="34" spans="1:26" x14ac:dyDescent="0.25">
      <c r="A34" s="9"/>
      <c r="B34" s="11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4" customFormat="1" collapsed="1" x14ac:dyDescent="0.25">
      <c r="A35" s="11"/>
      <c r="B35" s="28" t="s">
        <v>256</v>
      </c>
      <c r="C35" s="11"/>
      <c r="D35" s="4">
        <f>SUM(OSRRefD16x_0)</f>
        <v>0</v>
      </c>
      <c r="E35" s="4"/>
      <c r="F35" s="13">
        <f t="shared" ref="F35:F50" si="9">IF(D$12=0,0,D35/D$12)</f>
        <v>0</v>
      </c>
      <c r="G35" s="4"/>
      <c r="H35" s="4">
        <f>SUM(OSRRefH16x_0)</f>
        <v>1571.2899999999997</v>
      </c>
      <c r="I35" s="4"/>
      <c r="J35" s="13">
        <f t="shared" ref="J35:J50" si="10">IF(H$12=0,0,H35/H$12)</f>
        <v>0.49728143909664019</v>
      </c>
      <c r="K35" s="4"/>
      <c r="L35" s="4">
        <f t="shared" ref="L35:L50" si="11">+D35-H35</f>
        <v>-1571.2899999999997</v>
      </c>
      <c r="M35" s="4"/>
      <c r="N35" s="13">
        <f t="shared" ref="N35:N50" si="12">IF(H35=0,0,L35/H35)</f>
        <v>-1</v>
      </c>
      <c r="O35" s="11"/>
      <c r="P35" s="4">
        <f>SUM(OSRRefP16x_0)</f>
        <v>0</v>
      </c>
      <c r="Q35" s="4"/>
      <c r="R35" s="13">
        <f t="shared" ref="R35:R50" si="13">IF(P$12=0,0,P35/P$12)</f>
        <v>0</v>
      </c>
      <c r="S35" s="4"/>
      <c r="T35" s="4">
        <f>SUM(OSRRefT16x_0)</f>
        <v>192220.50999999998</v>
      </c>
      <c r="U35" s="4"/>
      <c r="V35" s="13">
        <f t="shared" ref="V35:V50" si="14">IF(T$12=0,0,T35/T$12)</f>
        <v>0.47561613925425594</v>
      </c>
      <c r="W35" s="4"/>
      <c r="X35" s="4">
        <f t="shared" ref="X35:X50" si="15">+P35-T35</f>
        <v>-192220.50999999998</v>
      </c>
      <c r="Y35" s="4"/>
      <c r="Z35" s="13">
        <f t="shared" ref="Z35:Z50" si="16">IF(T35=0,0,X35/T35)</f>
        <v>-1</v>
      </c>
    </row>
    <row r="36" spans="1:26" s="23" customFormat="1" hidden="1" outlineLevel="1" x14ac:dyDescent="0.25">
      <c r="A36" s="44"/>
      <c r="B36" s="10" t="str">
        <f>CONCATENATE("          ", "5017", " - ", "PURCHASES @ COST-DORM/HOUSEWAR")</f>
        <v xml:space="preserve">          5017 - PURCHASES @ COST-DORM/HOUSEWAR</v>
      </c>
      <c r="C36" s="10"/>
      <c r="D36" s="2"/>
      <c r="E36" s="2"/>
      <c r="F36" s="19">
        <f t="shared" si="9"/>
        <v>0</v>
      </c>
      <c r="G36" s="2"/>
      <c r="H36" s="2"/>
      <c r="I36" s="2"/>
      <c r="J36" s="19">
        <f t="shared" si="10"/>
        <v>0</v>
      </c>
      <c r="K36" s="2"/>
      <c r="L36" s="2">
        <f t="shared" si="11"/>
        <v>0</v>
      </c>
      <c r="M36" s="2"/>
      <c r="N36" s="19">
        <f t="shared" si="12"/>
        <v>0</v>
      </c>
      <c r="O36" s="10"/>
      <c r="P36" s="2"/>
      <c r="Q36" s="2"/>
      <c r="R36" s="19">
        <f t="shared" si="13"/>
        <v>0</v>
      </c>
      <c r="S36" s="2"/>
      <c r="T36" s="2">
        <v>14.46</v>
      </c>
      <c r="U36" s="2"/>
      <c r="V36" s="19">
        <f t="shared" si="14"/>
        <v>3.5778748967092754E-5</v>
      </c>
      <c r="W36" s="2"/>
      <c r="X36" s="2">
        <f t="shared" si="15"/>
        <v>-14.46</v>
      </c>
      <c r="Y36" s="2"/>
      <c r="Z36" s="19">
        <f t="shared" si="16"/>
        <v>-1</v>
      </c>
    </row>
    <row r="37" spans="1:26" s="23" customFormat="1" hidden="1" outlineLevel="1" x14ac:dyDescent="0.25">
      <c r="A37" s="44"/>
      <c r="B37" s="10" t="str">
        <f>CONCATENATE("          ", "5025", " - ", "PURCHASES @ COST-TEST FORMS")</f>
        <v xml:space="preserve">          5025 - PURCHASES @ COST-TEST FORMS</v>
      </c>
      <c r="C37" s="10"/>
      <c r="D37" s="2"/>
      <c r="E37" s="2"/>
      <c r="F37" s="19">
        <f t="shared" si="9"/>
        <v>0</v>
      </c>
      <c r="G37" s="2"/>
      <c r="H37" s="2"/>
      <c r="I37" s="2"/>
      <c r="J37" s="19">
        <f t="shared" si="10"/>
        <v>0</v>
      </c>
      <c r="K37" s="2"/>
      <c r="L37" s="2">
        <f t="shared" si="11"/>
        <v>0</v>
      </c>
      <c r="M37" s="2"/>
      <c r="N37" s="19">
        <f t="shared" si="12"/>
        <v>0</v>
      </c>
      <c r="O37" s="10"/>
      <c r="P37" s="2"/>
      <c r="Q37" s="2"/>
      <c r="R37" s="19">
        <f t="shared" si="13"/>
        <v>0</v>
      </c>
      <c r="S37" s="2"/>
      <c r="T37" s="2">
        <v>25706.15</v>
      </c>
      <c r="U37" s="2"/>
      <c r="V37" s="19">
        <f t="shared" si="14"/>
        <v>6.3605386428798844E-2</v>
      </c>
      <c r="W37" s="2"/>
      <c r="X37" s="2">
        <f t="shared" si="15"/>
        <v>-25706.15</v>
      </c>
      <c r="Y37" s="2"/>
      <c r="Z37" s="19">
        <f t="shared" si="16"/>
        <v>-1</v>
      </c>
    </row>
    <row r="38" spans="1:26" s="23" customFormat="1" hidden="1" outlineLevel="1" x14ac:dyDescent="0.25">
      <c r="A38" s="44"/>
      <c r="B38" s="10" t="str">
        <f>CONCATENATE("          ", "5026", " - ", "PURCHASES @ COST-WRITING INSTR")</f>
        <v xml:space="preserve">          5026 - PURCHASES @ COST-WRITING INSTR</v>
      </c>
      <c r="C38" s="10"/>
      <c r="D38" s="2"/>
      <c r="E38" s="2"/>
      <c r="F38" s="19">
        <f t="shared" si="9"/>
        <v>0</v>
      </c>
      <c r="G38" s="2"/>
      <c r="H38" s="2">
        <v>2353.4899999999998</v>
      </c>
      <c r="I38" s="2"/>
      <c r="J38" s="19">
        <f t="shared" si="10"/>
        <v>0.74483188596602268</v>
      </c>
      <c r="K38" s="2"/>
      <c r="L38" s="2">
        <f t="shared" si="11"/>
        <v>-2353.4899999999998</v>
      </c>
      <c r="M38" s="2"/>
      <c r="N38" s="19">
        <f t="shared" si="12"/>
        <v>-1</v>
      </c>
      <c r="O38" s="10"/>
      <c r="P38" s="2">
        <v>0</v>
      </c>
      <c r="Q38" s="2"/>
      <c r="R38" s="19">
        <f t="shared" si="13"/>
        <v>0</v>
      </c>
      <c r="S38" s="2"/>
      <c r="T38" s="2">
        <v>45713.99</v>
      </c>
      <c r="U38" s="2"/>
      <c r="V38" s="19">
        <f t="shared" si="14"/>
        <v>0.1131112982361126</v>
      </c>
      <c r="W38" s="2"/>
      <c r="X38" s="2">
        <f t="shared" si="15"/>
        <v>-45713.99</v>
      </c>
      <c r="Y38" s="2"/>
      <c r="Z38" s="19">
        <f t="shared" si="16"/>
        <v>-1</v>
      </c>
    </row>
    <row r="39" spans="1:26" s="23" customFormat="1" hidden="1" outlineLevel="1" x14ac:dyDescent="0.25">
      <c r="A39" s="44"/>
      <c r="B39" s="10" t="str">
        <f>CONCATENATE("          ", "5027", " - ", "PURCHASES @ COST-SCHOOL SUPPLI")</f>
        <v xml:space="preserve">          5027 - PURCHASES @ COST-SCHOOL SUPPLI</v>
      </c>
      <c r="C39" s="10"/>
      <c r="D39" s="2"/>
      <c r="E39" s="2"/>
      <c r="F39" s="19">
        <f t="shared" si="9"/>
        <v>0</v>
      </c>
      <c r="G39" s="2"/>
      <c r="H39" s="2">
        <v>5806.71</v>
      </c>
      <c r="I39" s="2"/>
      <c r="J39" s="19">
        <f t="shared" si="10"/>
        <v>1.8377060283059474</v>
      </c>
      <c r="K39" s="2"/>
      <c r="L39" s="2">
        <f t="shared" si="11"/>
        <v>-5806.71</v>
      </c>
      <c r="M39" s="2"/>
      <c r="N39" s="19">
        <f t="shared" si="12"/>
        <v>-1</v>
      </c>
      <c r="O39" s="10"/>
      <c r="P39" s="2">
        <v>0</v>
      </c>
      <c r="Q39" s="2"/>
      <c r="R39" s="19">
        <f t="shared" si="13"/>
        <v>0</v>
      </c>
      <c r="S39" s="2"/>
      <c r="T39" s="2">
        <v>139218.15</v>
      </c>
      <c r="U39" s="2"/>
      <c r="V39" s="19">
        <f t="shared" si="14"/>
        <v>0.34447104014613161</v>
      </c>
      <c r="W39" s="2"/>
      <c r="X39" s="2">
        <f t="shared" si="15"/>
        <v>-139218.15</v>
      </c>
      <c r="Y39" s="2"/>
      <c r="Z39" s="19">
        <f t="shared" si="16"/>
        <v>-1</v>
      </c>
    </row>
    <row r="40" spans="1:26" s="23" customFormat="1" hidden="1" outlineLevel="1" x14ac:dyDescent="0.25">
      <c r="A40" s="44"/>
      <c r="B40" s="10" t="str">
        <f>CONCATENATE("          ", "5028", " - ", "PURCHASES @ COST-ART/TECH")</f>
        <v xml:space="preserve">          5028 - PURCHASES @ COST-ART/TECH</v>
      </c>
      <c r="C40" s="10"/>
      <c r="D40" s="2"/>
      <c r="E40" s="2"/>
      <c r="F40" s="19">
        <f t="shared" si="9"/>
        <v>0</v>
      </c>
      <c r="G40" s="2"/>
      <c r="H40" s="2">
        <v>917.54</v>
      </c>
      <c r="I40" s="2"/>
      <c r="J40" s="19">
        <f t="shared" si="10"/>
        <v>0.29038281388459886</v>
      </c>
      <c r="K40" s="2"/>
      <c r="L40" s="2">
        <f t="shared" si="11"/>
        <v>-917.54</v>
      </c>
      <c r="M40" s="2"/>
      <c r="N40" s="19">
        <f t="shared" si="12"/>
        <v>-1</v>
      </c>
      <c r="O40" s="10"/>
      <c r="P40" s="2">
        <v>0</v>
      </c>
      <c r="Q40" s="2"/>
      <c r="R40" s="19">
        <f t="shared" si="13"/>
        <v>0</v>
      </c>
      <c r="S40" s="2"/>
      <c r="T40" s="2">
        <v>7649.52</v>
      </c>
      <c r="U40" s="2"/>
      <c r="V40" s="19">
        <f t="shared" si="14"/>
        <v>1.8927403582209911E-2</v>
      </c>
      <c r="W40" s="2"/>
      <c r="X40" s="2">
        <f t="shared" si="15"/>
        <v>-7649.52</v>
      </c>
      <c r="Y40" s="2"/>
      <c r="Z40" s="19">
        <f t="shared" si="16"/>
        <v>-1</v>
      </c>
    </row>
    <row r="41" spans="1:26" s="23" customFormat="1" hidden="1" outlineLevel="1" x14ac:dyDescent="0.25">
      <c r="A41" s="44"/>
      <c r="B41" s="10" t="str">
        <f>CONCATENATE("          ", "5031", " - ", "PURCHASES @ COST-FOOD")</f>
        <v xml:space="preserve">          5031 - PURCHASES @ COST-FOOD</v>
      </c>
      <c r="C41" s="10"/>
      <c r="D41" s="2"/>
      <c r="E41" s="2"/>
      <c r="F41" s="19">
        <f t="shared" si="9"/>
        <v>0</v>
      </c>
      <c r="G41" s="2"/>
      <c r="H41" s="2"/>
      <c r="I41" s="2"/>
      <c r="J41" s="19">
        <f t="shared" si="10"/>
        <v>0</v>
      </c>
      <c r="K41" s="2"/>
      <c r="L41" s="2">
        <f t="shared" si="11"/>
        <v>0</v>
      </c>
      <c r="M41" s="2"/>
      <c r="N41" s="19">
        <f t="shared" si="12"/>
        <v>0</v>
      </c>
      <c r="O41" s="10"/>
      <c r="P41" s="2"/>
      <c r="Q41" s="2"/>
      <c r="R41" s="19">
        <f t="shared" si="13"/>
        <v>0</v>
      </c>
      <c r="S41" s="2"/>
      <c r="T41" s="2">
        <v>780.53</v>
      </c>
      <c r="U41" s="2"/>
      <c r="V41" s="19">
        <f t="shared" si="14"/>
        <v>1.9312854032700485E-3</v>
      </c>
      <c r="W41" s="2"/>
      <c r="X41" s="2">
        <f t="shared" si="15"/>
        <v>-780.53</v>
      </c>
      <c r="Y41" s="2"/>
      <c r="Z41" s="19">
        <f t="shared" si="16"/>
        <v>-1</v>
      </c>
    </row>
    <row r="42" spans="1:26" s="23" customFormat="1" hidden="1" outlineLevel="1" x14ac:dyDescent="0.25">
      <c r="A42" s="44"/>
      <c r="B42" s="10" t="str">
        <f>CONCATENATE("          ", "5033", " - ", "PURCHASES @ COST-CANDY")</f>
        <v xml:space="preserve">          5033 - PURCHASES @ COST-CANDY</v>
      </c>
      <c r="C42" s="10"/>
      <c r="D42" s="2"/>
      <c r="E42" s="2"/>
      <c r="F42" s="19">
        <f t="shared" si="9"/>
        <v>0</v>
      </c>
      <c r="G42" s="2"/>
      <c r="H42" s="2"/>
      <c r="I42" s="2"/>
      <c r="J42" s="19">
        <f t="shared" si="10"/>
        <v>0</v>
      </c>
      <c r="K42" s="2"/>
      <c r="L42" s="2">
        <f t="shared" si="11"/>
        <v>0</v>
      </c>
      <c r="M42" s="2"/>
      <c r="N42" s="19">
        <f t="shared" si="12"/>
        <v>0</v>
      </c>
      <c r="O42" s="10"/>
      <c r="P42" s="2"/>
      <c r="Q42" s="2"/>
      <c r="R42" s="19">
        <f t="shared" si="13"/>
        <v>0</v>
      </c>
      <c r="S42" s="2"/>
      <c r="T42" s="2">
        <v>1119.08</v>
      </c>
      <c r="U42" s="2"/>
      <c r="V42" s="19">
        <f t="shared" si="14"/>
        <v>2.7689683536717947E-3</v>
      </c>
      <c r="W42" s="2"/>
      <c r="X42" s="2">
        <f t="shared" si="15"/>
        <v>-1119.08</v>
      </c>
      <c r="Y42" s="2"/>
      <c r="Z42" s="19">
        <f t="shared" si="16"/>
        <v>-1</v>
      </c>
    </row>
    <row r="43" spans="1:26" s="23" customFormat="1" hidden="1" outlineLevel="1" x14ac:dyDescent="0.25">
      <c r="A43" s="44"/>
      <c r="B43" s="10" t="str">
        <f>CONCATENATE("          ", "5035", " - ", "PURCHASES @ COST-HEALTH &amp; BEAU")</f>
        <v xml:space="preserve">          5035 - PURCHASES @ COST-HEALTH &amp; BEAU</v>
      </c>
      <c r="C43" s="10"/>
      <c r="D43" s="2"/>
      <c r="E43" s="2"/>
      <c r="F43" s="19">
        <f t="shared" si="9"/>
        <v>0</v>
      </c>
      <c r="G43" s="2"/>
      <c r="H43" s="2"/>
      <c r="I43" s="2"/>
      <c r="J43" s="19">
        <f t="shared" si="10"/>
        <v>0</v>
      </c>
      <c r="K43" s="2"/>
      <c r="L43" s="2">
        <f t="shared" si="11"/>
        <v>0</v>
      </c>
      <c r="M43" s="2"/>
      <c r="N43" s="19">
        <f t="shared" si="12"/>
        <v>0</v>
      </c>
      <c r="O43" s="10"/>
      <c r="P43" s="2"/>
      <c r="Q43" s="2"/>
      <c r="R43" s="19">
        <f t="shared" si="13"/>
        <v>0</v>
      </c>
      <c r="S43" s="2"/>
      <c r="T43" s="2">
        <v>36.25</v>
      </c>
      <c r="U43" s="2"/>
      <c r="V43" s="19">
        <f t="shared" si="14"/>
        <v>8.9694304983202781E-5</v>
      </c>
      <c r="W43" s="2"/>
      <c r="X43" s="2">
        <f t="shared" si="15"/>
        <v>-36.25</v>
      </c>
      <c r="Y43" s="2"/>
      <c r="Z43" s="19">
        <f t="shared" si="16"/>
        <v>-1</v>
      </c>
    </row>
    <row r="44" spans="1:26" s="23" customFormat="1" hidden="1" outlineLevel="1" x14ac:dyDescent="0.25">
      <c r="A44" s="44"/>
      <c r="B44" s="10" t="str">
        <f>CONCATENATE("          ", "5200", " - ", "PURCHASES OFFSET")</f>
        <v xml:space="preserve">          5200 - PURCHASES OFFSET</v>
      </c>
      <c r="C44" s="10"/>
      <c r="D44" s="2"/>
      <c r="E44" s="2"/>
      <c r="F44" s="19">
        <f t="shared" si="9"/>
        <v>0</v>
      </c>
      <c r="G44" s="2"/>
      <c r="H44" s="2">
        <v>-9114</v>
      </c>
      <c r="I44" s="2"/>
      <c r="J44" s="19">
        <f t="shared" si="10"/>
        <v>-2.8843962832620202</v>
      </c>
      <c r="K44" s="2"/>
      <c r="L44" s="2">
        <f t="shared" si="11"/>
        <v>9114</v>
      </c>
      <c r="M44" s="2"/>
      <c r="N44" s="19">
        <f t="shared" si="12"/>
        <v>-1</v>
      </c>
      <c r="O44" s="10"/>
      <c r="P44" s="2"/>
      <c r="Q44" s="2"/>
      <c r="R44" s="19">
        <f t="shared" si="13"/>
        <v>0</v>
      </c>
      <c r="S44" s="2"/>
      <c r="T44" s="2">
        <v>-223458</v>
      </c>
      <c r="U44" s="2"/>
      <c r="V44" s="19">
        <f t="shared" si="14"/>
        <v>-0.55290786214997312</v>
      </c>
      <c r="W44" s="2"/>
      <c r="X44" s="2">
        <f t="shared" si="15"/>
        <v>223458</v>
      </c>
      <c r="Y44" s="2"/>
      <c r="Z44" s="19">
        <f t="shared" si="16"/>
        <v>-1</v>
      </c>
    </row>
    <row r="45" spans="1:26" s="23" customFormat="1" hidden="1" outlineLevel="1" x14ac:dyDescent="0.25">
      <c r="A45" s="44"/>
      <c r="B45" s="10" t="str">
        <f>CONCATENATE("          ", "5300", " - ", "COG$ OFFSET")</f>
        <v xml:space="preserve">          5300 - COG$ OFFSET</v>
      </c>
      <c r="C45" s="10"/>
      <c r="D45" s="2"/>
      <c r="E45" s="2"/>
      <c r="F45" s="19">
        <f t="shared" si="9"/>
        <v>0</v>
      </c>
      <c r="G45" s="2"/>
      <c r="H45" s="2">
        <v>1571</v>
      </c>
      <c r="I45" s="2"/>
      <c r="J45" s="19">
        <f t="shared" si="10"/>
        <v>0.4971896599741753</v>
      </c>
      <c r="K45" s="2"/>
      <c r="L45" s="2">
        <f t="shared" si="11"/>
        <v>-1571</v>
      </c>
      <c r="M45" s="2"/>
      <c r="N45" s="19">
        <f t="shared" si="12"/>
        <v>-1</v>
      </c>
      <c r="O45" s="10"/>
      <c r="P45" s="2"/>
      <c r="Q45" s="2"/>
      <c r="R45" s="19">
        <f t="shared" si="13"/>
        <v>0</v>
      </c>
      <c r="S45" s="2"/>
      <c r="T45" s="2">
        <v>192215</v>
      </c>
      <c r="U45" s="2"/>
      <c r="V45" s="19">
        <f t="shared" si="14"/>
        <v>0.47560250571989854</v>
      </c>
      <c r="W45" s="2"/>
      <c r="X45" s="2">
        <f t="shared" si="15"/>
        <v>-192215</v>
      </c>
      <c r="Y45" s="2"/>
      <c r="Z45" s="19">
        <f t="shared" si="16"/>
        <v>-1</v>
      </c>
    </row>
    <row r="46" spans="1:26" s="23" customFormat="1" hidden="1" outlineLevel="1" x14ac:dyDescent="0.25">
      <c r="A46" s="44"/>
      <c r="B46" s="10" t="str">
        <f>CONCATENATE("          ", "5500", " - ", "FREIGHT-IN")</f>
        <v xml:space="preserve">          5500 - FREIGHT-IN</v>
      </c>
      <c r="C46" s="10"/>
      <c r="D46" s="2"/>
      <c r="E46" s="2"/>
      <c r="F46" s="19">
        <f t="shared" si="9"/>
        <v>0</v>
      </c>
      <c r="G46" s="2"/>
      <c r="H46" s="2"/>
      <c r="I46" s="2"/>
      <c r="J46" s="19">
        <f t="shared" si="10"/>
        <v>0</v>
      </c>
      <c r="K46" s="2"/>
      <c r="L46" s="2">
        <f t="shared" si="11"/>
        <v>0</v>
      </c>
      <c r="M46" s="2"/>
      <c r="N46" s="19">
        <f t="shared" si="12"/>
        <v>0</v>
      </c>
      <c r="O46" s="10"/>
      <c r="P46" s="2"/>
      <c r="Q46" s="2"/>
      <c r="R46" s="19">
        <f t="shared" si="13"/>
        <v>0</v>
      </c>
      <c r="S46" s="2"/>
      <c r="T46" s="2">
        <v>6</v>
      </c>
      <c r="U46" s="2"/>
      <c r="V46" s="19">
        <f t="shared" si="14"/>
        <v>1.4845953928254252E-5</v>
      </c>
      <c r="W46" s="2"/>
      <c r="X46" s="2">
        <f t="shared" si="15"/>
        <v>-6</v>
      </c>
      <c r="Y46" s="2"/>
      <c r="Z46" s="19">
        <f t="shared" si="16"/>
        <v>-1</v>
      </c>
    </row>
    <row r="47" spans="1:26" s="23" customFormat="1" hidden="1" outlineLevel="1" x14ac:dyDescent="0.25">
      <c r="A47" s="44"/>
      <c r="B47" s="10" t="str">
        <f>CONCATENATE("          ", "5525", " - ", "FREIGHT-IN-TEST FORMS")</f>
        <v xml:space="preserve">          5525 - FREIGHT-IN-TEST FORMS</v>
      </c>
      <c r="C47" s="10"/>
      <c r="D47" s="2"/>
      <c r="E47" s="2"/>
      <c r="F47" s="19">
        <f t="shared" si="9"/>
        <v>0</v>
      </c>
      <c r="G47" s="2"/>
      <c r="H47" s="2"/>
      <c r="I47" s="2"/>
      <c r="J47" s="19">
        <f t="shared" si="10"/>
        <v>0</v>
      </c>
      <c r="K47" s="2"/>
      <c r="L47" s="2">
        <f t="shared" si="11"/>
        <v>0</v>
      </c>
      <c r="M47" s="2"/>
      <c r="N47" s="19">
        <f t="shared" si="12"/>
        <v>0</v>
      </c>
      <c r="O47" s="10"/>
      <c r="P47" s="2"/>
      <c r="Q47" s="2"/>
      <c r="R47" s="19">
        <f t="shared" si="13"/>
        <v>0</v>
      </c>
      <c r="S47" s="2"/>
      <c r="T47" s="2">
        <v>1237.22</v>
      </c>
      <c r="U47" s="2"/>
      <c r="V47" s="19">
        <f t="shared" si="14"/>
        <v>3.0612851865191213E-3</v>
      </c>
      <c r="W47" s="2"/>
      <c r="X47" s="2">
        <f t="shared" si="15"/>
        <v>-1237.22</v>
      </c>
      <c r="Y47" s="2"/>
      <c r="Z47" s="19">
        <f t="shared" si="16"/>
        <v>-1</v>
      </c>
    </row>
    <row r="48" spans="1:26" s="23" customFormat="1" hidden="1" outlineLevel="1" x14ac:dyDescent="0.25">
      <c r="A48" s="44"/>
      <c r="B48" s="10" t="str">
        <f>CONCATENATE("          ", "5526", " - ", "FREIGHT-IN-WRITING INSTRUMENTS")</f>
        <v xml:space="preserve">          5526 - FREIGHT-IN-WRITING INSTRUMENTS</v>
      </c>
      <c r="C48" s="10"/>
      <c r="D48" s="2"/>
      <c r="E48" s="2"/>
      <c r="F48" s="19">
        <f t="shared" si="9"/>
        <v>0</v>
      </c>
      <c r="G48" s="2"/>
      <c r="H48" s="2"/>
      <c r="I48" s="2"/>
      <c r="J48" s="19">
        <f t="shared" si="10"/>
        <v>0</v>
      </c>
      <c r="K48" s="2"/>
      <c r="L48" s="2">
        <f t="shared" si="11"/>
        <v>0</v>
      </c>
      <c r="M48" s="2"/>
      <c r="N48" s="19">
        <f t="shared" si="12"/>
        <v>0</v>
      </c>
      <c r="O48" s="10"/>
      <c r="P48" s="2"/>
      <c r="Q48" s="2"/>
      <c r="R48" s="19">
        <f t="shared" si="13"/>
        <v>0</v>
      </c>
      <c r="S48" s="2"/>
      <c r="T48" s="2">
        <v>260.35000000000002</v>
      </c>
      <c r="U48" s="2"/>
      <c r="V48" s="19">
        <f t="shared" si="14"/>
        <v>6.4419068420349919E-4</v>
      </c>
      <c r="W48" s="2"/>
      <c r="X48" s="2">
        <f t="shared" si="15"/>
        <v>-260.35000000000002</v>
      </c>
      <c r="Y48" s="2"/>
      <c r="Z48" s="19">
        <f t="shared" si="16"/>
        <v>-1</v>
      </c>
    </row>
    <row r="49" spans="1:26" s="23" customFormat="1" hidden="1" outlineLevel="1" x14ac:dyDescent="0.25">
      <c r="A49" s="44"/>
      <c r="B49" s="10" t="str">
        <f>CONCATENATE("          ", "5527", " - ", "FREIGHT-IN-SCHOOL SUPPLIES")</f>
        <v xml:space="preserve">          5527 - FREIGHT-IN-SCHOOL SUPPLIES</v>
      </c>
      <c r="C49" s="10"/>
      <c r="D49" s="2"/>
      <c r="E49" s="2"/>
      <c r="F49" s="19">
        <f t="shared" si="9"/>
        <v>0</v>
      </c>
      <c r="G49" s="2"/>
      <c r="H49" s="2"/>
      <c r="I49" s="2"/>
      <c r="J49" s="19">
        <f t="shared" si="10"/>
        <v>0</v>
      </c>
      <c r="K49" s="2"/>
      <c r="L49" s="2">
        <f t="shared" si="11"/>
        <v>0</v>
      </c>
      <c r="M49" s="2"/>
      <c r="N49" s="19">
        <f t="shared" si="12"/>
        <v>0</v>
      </c>
      <c r="O49" s="10"/>
      <c r="P49" s="2"/>
      <c r="Q49" s="2"/>
      <c r="R49" s="19">
        <f t="shared" si="13"/>
        <v>0</v>
      </c>
      <c r="S49" s="2"/>
      <c r="T49" s="2">
        <v>1594.03</v>
      </c>
      <c r="U49" s="2"/>
      <c r="V49" s="19">
        <f t="shared" si="14"/>
        <v>3.944149323375854E-3</v>
      </c>
      <c r="W49" s="2"/>
      <c r="X49" s="2">
        <f t="shared" si="15"/>
        <v>-1594.03</v>
      </c>
      <c r="Y49" s="2"/>
      <c r="Z49" s="19">
        <f t="shared" si="16"/>
        <v>-1</v>
      </c>
    </row>
    <row r="50" spans="1:26" s="23" customFormat="1" hidden="1" outlineLevel="1" x14ac:dyDescent="0.25">
      <c r="A50" s="44"/>
      <c r="B50" s="10" t="str">
        <f>CONCATENATE("          ", "5528", " - ", "FREIGHT-IN-ART/TECH")</f>
        <v xml:space="preserve">          5528 - FREIGHT-IN-ART/TECH</v>
      </c>
      <c r="C50" s="10"/>
      <c r="D50" s="2"/>
      <c r="E50" s="2"/>
      <c r="F50" s="19">
        <f t="shared" si="9"/>
        <v>0</v>
      </c>
      <c r="G50" s="2"/>
      <c r="H50" s="2">
        <v>36.549999999999997</v>
      </c>
      <c r="I50" s="2"/>
      <c r="J50" s="19">
        <f t="shared" si="10"/>
        <v>1.1567334227916044E-2</v>
      </c>
      <c r="K50" s="2"/>
      <c r="L50" s="2">
        <f t="shared" si="11"/>
        <v>-36.549999999999997</v>
      </c>
      <c r="M50" s="2"/>
      <c r="N50" s="19">
        <f t="shared" si="12"/>
        <v>-1</v>
      </c>
      <c r="O50" s="10"/>
      <c r="P50" s="2"/>
      <c r="Q50" s="2"/>
      <c r="R50" s="19">
        <f t="shared" si="13"/>
        <v>0</v>
      </c>
      <c r="S50" s="2"/>
      <c r="T50" s="2">
        <v>127.78</v>
      </c>
      <c r="U50" s="2"/>
      <c r="V50" s="19">
        <f t="shared" si="14"/>
        <v>3.1616933215872141E-4</v>
      </c>
      <c r="W50" s="2"/>
      <c r="X50" s="2">
        <f t="shared" si="15"/>
        <v>-127.78</v>
      </c>
      <c r="Y50" s="2"/>
      <c r="Z50" s="19">
        <f t="shared" si="16"/>
        <v>-1</v>
      </c>
    </row>
    <row r="51" spans="1:26" x14ac:dyDescent="0.25">
      <c r="A51" s="9"/>
      <c r="B51" s="11"/>
      <c r="C51" s="11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1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4" customFormat="1" x14ac:dyDescent="0.25">
      <c r="A52" s="11"/>
      <c r="B52" s="29" t="s">
        <v>107</v>
      </c>
      <c r="C52" s="29"/>
      <c r="D52" s="20">
        <f>D12-D35</f>
        <v>0</v>
      </c>
      <c r="E52" s="14"/>
      <c r="F52" s="22">
        <f>IF(D$12=0,0,D52/D$12)</f>
        <v>0</v>
      </c>
      <c r="G52" s="14"/>
      <c r="H52" s="20">
        <f>H12-H35</f>
        <v>1588.47</v>
      </c>
      <c r="I52" s="14"/>
      <c r="J52" s="22">
        <f>IF(H$12=0,0,H52/H$12)</f>
        <v>0.50271856090335976</v>
      </c>
      <c r="K52" s="16"/>
      <c r="L52" s="20">
        <f>+D52-H52</f>
        <v>-1588.47</v>
      </c>
      <c r="M52" s="16"/>
      <c r="N52" s="22">
        <f>IF(H52=0,0,L52/H52)</f>
        <v>-1</v>
      </c>
      <c r="O52" s="28"/>
      <c r="P52" s="20">
        <f>P12-P35</f>
        <v>0</v>
      </c>
      <c r="Q52" s="14"/>
      <c r="R52" s="22">
        <f>IF(P$12=0,0,P52/P$12)</f>
        <v>0</v>
      </c>
      <c r="S52" s="14"/>
      <c r="T52" s="20">
        <f>T12-T35</f>
        <v>211930.0100000001</v>
      </c>
      <c r="U52" s="14"/>
      <c r="V52" s="22">
        <f>IF(T$12=0,0,T52/T$12)</f>
        <v>0.52438386074574406</v>
      </c>
      <c r="W52" s="16"/>
      <c r="X52" s="20">
        <f>+P52-T52</f>
        <v>-211930.0100000001</v>
      </c>
      <c r="Y52" s="16"/>
      <c r="Z52" s="22">
        <f>IF(T52=0,0,X52/T52)</f>
        <v>-1</v>
      </c>
    </row>
    <row r="53" spans="1:26" x14ac:dyDescent="0.25">
      <c r="A53" s="9"/>
      <c r="B53" s="11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4" customFormat="1" x14ac:dyDescent="0.25">
      <c r="A54" s="11"/>
      <c r="B54" s="28" t="s">
        <v>294</v>
      </c>
      <c r="C54" s="11"/>
      <c r="D54" s="21">
        <f>SUM(OSRRefD22x_0)</f>
        <v>0</v>
      </c>
      <c r="E54" s="21"/>
      <c r="F54" s="31">
        <f t="shared" ref="F54:F64" si="17">IF(D$12=0,0,D54/D$12)</f>
        <v>0</v>
      </c>
      <c r="G54" s="21"/>
      <c r="H54" s="21">
        <f>SUM(OSRRefH22x_0)</f>
        <v>7073.23</v>
      </c>
      <c r="I54" s="21"/>
      <c r="J54" s="31">
        <f t="shared" ref="J54:J64" si="18">IF(H$12=0,0,H54/H$12)</f>
        <v>2.238533939286528</v>
      </c>
      <c r="K54" s="4"/>
      <c r="L54" s="21">
        <f t="shared" ref="L54:L64" si="19">+D54-H54</f>
        <v>-7073.23</v>
      </c>
      <c r="M54" s="4"/>
      <c r="N54" s="31">
        <f t="shared" ref="N54:N64" si="20">IF(H54=0,0,L54/H54)</f>
        <v>-1</v>
      </c>
      <c r="O54" s="11"/>
      <c r="P54" s="21">
        <f>SUM(OSRRefP22x_0)</f>
        <v>0</v>
      </c>
      <c r="Q54" s="21"/>
      <c r="R54" s="31">
        <f t="shared" ref="R54:R64" si="21">IF(P$12=0,0,P54/P$12)</f>
        <v>0</v>
      </c>
      <c r="S54" s="21"/>
      <c r="T54" s="21">
        <f>SUM(OSRRefT22x_0)</f>
        <v>99700.829999999987</v>
      </c>
      <c r="U54" s="21"/>
      <c r="V54" s="31">
        <f t="shared" ref="V54:V64" si="22">IF(T$12=0,0,T54/T$12)</f>
        <v>0.24669232146478487</v>
      </c>
      <c r="W54" s="4"/>
      <c r="X54" s="21">
        <f t="shared" ref="X54:X64" si="23">+P54-T54</f>
        <v>-99700.829999999987</v>
      </c>
      <c r="Y54" s="4"/>
      <c r="Z54" s="31">
        <f t="shared" ref="Z54:Z64" si="24">IF(T54=0,0,X54/T54)</f>
        <v>-1</v>
      </c>
    </row>
    <row r="55" spans="1:26" s="26" customFormat="1" outlineLevel="1" collapsed="1" x14ac:dyDescent="0.25">
      <c r="A55" s="25"/>
      <c r="B55" s="12" t="str">
        <f>CONCATENATE("     ","*Benefits                                         ")</f>
        <v xml:space="preserve">     *Benefits                                         </v>
      </c>
      <c r="C55" s="12"/>
      <c r="D55" s="1">
        <f>SUM(OSRRefD22_0x_0)</f>
        <v>0</v>
      </c>
      <c r="E55" s="1"/>
      <c r="F55" s="5">
        <f t="shared" si="17"/>
        <v>0</v>
      </c>
      <c r="G55" s="1"/>
      <c r="H55" s="1">
        <f>SUM(OSRRefH22_0x_0)</f>
        <v>3216.9900000000002</v>
      </c>
      <c r="I55" s="1"/>
      <c r="J55" s="5">
        <f t="shared" si="18"/>
        <v>1.0181121350988684</v>
      </c>
      <c r="K55" s="1"/>
      <c r="L55" s="1">
        <f t="shared" si="19"/>
        <v>-3216.9900000000002</v>
      </c>
      <c r="M55" s="1"/>
      <c r="N55" s="5">
        <f t="shared" si="20"/>
        <v>-1</v>
      </c>
      <c r="O55" s="12"/>
      <c r="P55" s="1">
        <f>SUM(OSRRefP22_0x_0)</f>
        <v>0</v>
      </c>
      <c r="Q55" s="1"/>
      <c r="R55" s="5">
        <f t="shared" si="21"/>
        <v>0</v>
      </c>
      <c r="S55" s="1"/>
      <c r="T55" s="1">
        <f>SUM(OSRRefT22_0x_0)</f>
        <v>13057.670000000004</v>
      </c>
      <c r="U55" s="1"/>
      <c r="V55" s="5">
        <f t="shared" si="22"/>
        <v>3.2308927871724624E-2</v>
      </c>
      <c r="W55" s="1"/>
      <c r="X55" s="1">
        <f t="shared" si="23"/>
        <v>-13057.670000000004</v>
      </c>
      <c r="Y55" s="1"/>
      <c r="Z55" s="5">
        <f t="shared" si="24"/>
        <v>-1</v>
      </c>
    </row>
    <row r="56" spans="1:26" s="23" customFormat="1" hidden="1" outlineLevel="2" x14ac:dyDescent="0.25">
      <c r="A56" s="27"/>
      <c r="B56" s="10" t="str">
        <f>CONCATENATE("          ", "6111", " - ", "F.I.C.A.")</f>
        <v xml:space="preserve">          6111 - F.I.C.A.</v>
      </c>
      <c r="C56" s="10"/>
      <c r="D56" s="6"/>
      <c r="E56" s="2"/>
      <c r="F56" s="7">
        <f t="shared" si="17"/>
        <v>0</v>
      </c>
      <c r="G56" s="2"/>
      <c r="H56" s="6">
        <v>477.36</v>
      </c>
      <c r="I56" s="2"/>
      <c r="J56" s="7">
        <f t="shared" si="18"/>
        <v>0.15107476517203841</v>
      </c>
      <c r="K56" s="2"/>
      <c r="L56" s="6">
        <f t="shared" si="19"/>
        <v>-477.36</v>
      </c>
      <c r="M56" s="2"/>
      <c r="N56" s="7">
        <f t="shared" si="20"/>
        <v>-1</v>
      </c>
      <c r="O56" s="10"/>
      <c r="P56" s="6"/>
      <c r="Q56" s="2"/>
      <c r="R56" s="7">
        <f t="shared" si="21"/>
        <v>0</v>
      </c>
      <c r="S56" s="2"/>
      <c r="T56" s="6">
        <v>3257.66</v>
      </c>
      <c r="U56" s="2"/>
      <c r="V56" s="7">
        <f t="shared" si="22"/>
        <v>8.060511712319458E-3</v>
      </c>
      <c r="W56" s="2"/>
      <c r="X56" s="6">
        <f t="shared" si="23"/>
        <v>-3257.66</v>
      </c>
      <c r="Y56" s="2"/>
      <c r="Z56" s="7">
        <f t="shared" si="24"/>
        <v>-1</v>
      </c>
    </row>
    <row r="57" spans="1:26" s="23" customFormat="1" hidden="1" outlineLevel="2" x14ac:dyDescent="0.25">
      <c r="A57" s="27"/>
      <c r="B57" s="10" t="str">
        <f>CONCATENATE("          ", "6112", " - ", "COMPENSATION INSURANCE")</f>
        <v xml:space="preserve">          6112 - COMPENSATION INSURANCE</v>
      </c>
      <c r="C57" s="10"/>
      <c r="D57" s="6"/>
      <c r="E57" s="2"/>
      <c r="F57" s="7">
        <f t="shared" si="17"/>
        <v>0</v>
      </c>
      <c r="G57" s="2"/>
      <c r="H57" s="6">
        <v>79.040000000000006</v>
      </c>
      <c r="I57" s="2"/>
      <c r="J57" s="7">
        <f t="shared" si="18"/>
        <v>2.5014558067701347E-2</v>
      </c>
      <c r="K57" s="2"/>
      <c r="L57" s="6">
        <f t="shared" si="19"/>
        <v>-79.040000000000006</v>
      </c>
      <c r="M57" s="2"/>
      <c r="N57" s="7">
        <f t="shared" si="20"/>
        <v>-1</v>
      </c>
      <c r="O57" s="10"/>
      <c r="P57" s="6"/>
      <c r="Q57" s="2"/>
      <c r="R57" s="7">
        <f t="shared" si="21"/>
        <v>0</v>
      </c>
      <c r="S57" s="2"/>
      <c r="T57" s="6">
        <v>1310.81</v>
      </c>
      <c r="U57" s="2"/>
      <c r="V57" s="7">
        <f t="shared" si="22"/>
        <v>3.2433708114491594E-3</v>
      </c>
      <c r="W57" s="2"/>
      <c r="X57" s="6">
        <f t="shared" si="23"/>
        <v>-1310.81</v>
      </c>
      <c r="Y57" s="2"/>
      <c r="Z57" s="7">
        <f t="shared" si="24"/>
        <v>-1</v>
      </c>
    </row>
    <row r="58" spans="1:26" s="23" customFormat="1" hidden="1" outlineLevel="2" x14ac:dyDescent="0.25">
      <c r="A58" s="27"/>
      <c r="B58" s="10" t="str">
        <f>CONCATENATE("          ", "6113", " - ", "GROUP INSURANCE")</f>
        <v xml:space="preserve">          6113 - GROUP INSURANCE</v>
      </c>
      <c r="C58" s="10"/>
      <c r="D58" s="6"/>
      <c r="E58" s="2"/>
      <c r="F58" s="7">
        <f t="shared" si="17"/>
        <v>0</v>
      </c>
      <c r="G58" s="2"/>
      <c r="H58" s="6">
        <v>1362.23</v>
      </c>
      <c r="I58" s="2"/>
      <c r="J58" s="7">
        <f t="shared" si="18"/>
        <v>0.43111818619135633</v>
      </c>
      <c r="K58" s="2"/>
      <c r="L58" s="6">
        <f t="shared" si="19"/>
        <v>-1362.23</v>
      </c>
      <c r="M58" s="2"/>
      <c r="N58" s="7">
        <f t="shared" si="20"/>
        <v>-1</v>
      </c>
      <c r="O58" s="10"/>
      <c r="P58" s="6">
        <v>0</v>
      </c>
      <c r="Q58" s="2"/>
      <c r="R58" s="7">
        <f t="shared" si="21"/>
        <v>0</v>
      </c>
      <c r="S58" s="2"/>
      <c r="T58" s="6">
        <v>10030.280000000001</v>
      </c>
      <c r="U58" s="2"/>
      <c r="V58" s="7">
        <f t="shared" si="22"/>
        <v>2.4818179127915011E-2</v>
      </c>
      <c r="W58" s="2"/>
      <c r="X58" s="6">
        <f t="shared" si="23"/>
        <v>-10030.280000000001</v>
      </c>
      <c r="Y58" s="2"/>
      <c r="Z58" s="7">
        <f t="shared" si="24"/>
        <v>-1</v>
      </c>
    </row>
    <row r="59" spans="1:26" s="23" customFormat="1" hidden="1" outlineLevel="2" x14ac:dyDescent="0.25">
      <c r="A59" s="27"/>
      <c r="B59" s="10" t="str">
        <f>CONCATENATE("          ", "6114", " - ", "STATE UNEMPLOYMENT INSURANCE")</f>
        <v xml:space="preserve">          6114 - STATE UNEMPLOYMENT INSURANCE</v>
      </c>
      <c r="C59" s="10"/>
      <c r="D59" s="6"/>
      <c r="E59" s="2"/>
      <c r="F59" s="7">
        <f t="shared" si="17"/>
        <v>0</v>
      </c>
      <c r="G59" s="2"/>
      <c r="H59" s="6">
        <v>10.82</v>
      </c>
      <c r="I59" s="2"/>
      <c r="J59" s="7">
        <f t="shared" si="18"/>
        <v>3.424310707142315E-3</v>
      </c>
      <c r="K59" s="2"/>
      <c r="L59" s="6">
        <f t="shared" si="19"/>
        <v>-10.82</v>
      </c>
      <c r="M59" s="2"/>
      <c r="N59" s="7">
        <f t="shared" si="20"/>
        <v>-1</v>
      </c>
      <c r="O59" s="10"/>
      <c r="P59" s="6"/>
      <c r="Q59" s="2"/>
      <c r="R59" s="7">
        <f t="shared" si="21"/>
        <v>0</v>
      </c>
      <c r="S59" s="2"/>
      <c r="T59" s="6">
        <v>198.95</v>
      </c>
      <c r="U59" s="2"/>
      <c r="V59" s="7">
        <f t="shared" si="22"/>
        <v>4.9226708900436389E-4</v>
      </c>
      <c r="W59" s="2"/>
      <c r="X59" s="6">
        <f t="shared" si="23"/>
        <v>-198.95</v>
      </c>
      <c r="Y59" s="2"/>
      <c r="Z59" s="7">
        <f t="shared" si="24"/>
        <v>-1</v>
      </c>
    </row>
    <row r="60" spans="1:26" s="23" customFormat="1" hidden="1" outlineLevel="2" x14ac:dyDescent="0.25">
      <c r="A60" s="27"/>
      <c r="B60" s="10" t="str">
        <f>CONCATENATE("          ", "6115", " - ", "P.E.R.S.")</f>
        <v xml:space="preserve">          6115 - P.E.R.S.</v>
      </c>
      <c r="C60" s="10"/>
      <c r="D60" s="6"/>
      <c r="E60" s="2"/>
      <c r="F60" s="7">
        <f t="shared" si="17"/>
        <v>0</v>
      </c>
      <c r="G60" s="2"/>
      <c r="H60" s="6">
        <v>425.19</v>
      </c>
      <c r="I60" s="2"/>
      <c r="J60" s="7">
        <f t="shared" si="18"/>
        <v>0.13456401752031802</v>
      </c>
      <c r="K60" s="2"/>
      <c r="L60" s="6">
        <f t="shared" si="19"/>
        <v>-425.19</v>
      </c>
      <c r="M60" s="2"/>
      <c r="N60" s="7">
        <f t="shared" si="20"/>
        <v>-1</v>
      </c>
      <c r="O60" s="10"/>
      <c r="P60" s="6"/>
      <c r="Q60" s="2"/>
      <c r="R60" s="7">
        <f t="shared" si="21"/>
        <v>0</v>
      </c>
      <c r="S60" s="2"/>
      <c r="T60" s="6">
        <v>2413.54</v>
      </c>
      <c r="U60" s="2"/>
      <c r="V60" s="7">
        <f t="shared" si="22"/>
        <v>5.9718839406664613E-3</v>
      </c>
      <c r="W60" s="2"/>
      <c r="X60" s="6">
        <f t="shared" si="23"/>
        <v>-2413.54</v>
      </c>
      <c r="Y60" s="2"/>
      <c r="Z60" s="7">
        <f t="shared" si="24"/>
        <v>-1</v>
      </c>
    </row>
    <row r="61" spans="1:26" s="23" customFormat="1" hidden="1" outlineLevel="2" x14ac:dyDescent="0.25">
      <c r="A61" s="27"/>
      <c r="B61" s="10" t="str">
        <f>CONCATENATE("          ", "6117", " - ", "RETIREMENT STAFF HOURLY")</f>
        <v xml:space="preserve">          6117 - RETIREMENT STAFF HOURLY</v>
      </c>
      <c r="C61" s="10"/>
      <c r="D61" s="6"/>
      <c r="E61" s="2"/>
      <c r="F61" s="7">
        <f t="shared" si="17"/>
        <v>0</v>
      </c>
      <c r="G61" s="2"/>
      <c r="H61" s="6">
        <v>46.65</v>
      </c>
      <c r="I61" s="2"/>
      <c r="J61" s="7">
        <f t="shared" si="18"/>
        <v>1.4763779527559055E-2</v>
      </c>
      <c r="K61" s="2"/>
      <c r="L61" s="6">
        <f t="shared" si="19"/>
        <v>-46.65</v>
      </c>
      <c r="M61" s="2"/>
      <c r="N61" s="7">
        <f t="shared" si="20"/>
        <v>-1</v>
      </c>
      <c r="O61" s="10"/>
      <c r="P61" s="6">
        <v>0</v>
      </c>
      <c r="Q61" s="2"/>
      <c r="R61" s="7">
        <f t="shared" si="21"/>
        <v>0</v>
      </c>
      <c r="S61" s="2"/>
      <c r="T61" s="6">
        <v>46.65</v>
      </c>
      <c r="U61" s="2"/>
      <c r="V61" s="7">
        <f t="shared" si="22"/>
        <v>1.1542729179217681E-4</v>
      </c>
      <c r="W61" s="2"/>
      <c r="X61" s="6">
        <f t="shared" si="23"/>
        <v>-46.65</v>
      </c>
      <c r="Y61" s="2"/>
      <c r="Z61" s="7">
        <f t="shared" si="24"/>
        <v>-1</v>
      </c>
    </row>
    <row r="62" spans="1:26" s="23" customFormat="1" hidden="1" outlineLevel="2" x14ac:dyDescent="0.25">
      <c r="A62" s="27"/>
      <c r="B62" s="10" t="str">
        <f>CONCATENATE("          ", "6118", " - ", "VACATION")</f>
        <v xml:space="preserve">          6118 - VACATION</v>
      </c>
      <c r="C62" s="10"/>
      <c r="D62" s="6"/>
      <c r="E62" s="2"/>
      <c r="F62" s="7">
        <f t="shared" si="17"/>
        <v>0</v>
      </c>
      <c r="G62" s="2"/>
      <c r="H62" s="6">
        <v>503.88</v>
      </c>
      <c r="I62" s="2"/>
      <c r="J62" s="7">
        <f t="shared" si="18"/>
        <v>0.15946780768159607</v>
      </c>
      <c r="K62" s="2"/>
      <c r="L62" s="6">
        <f t="shared" si="19"/>
        <v>-503.88</v>
      </c>
      <c r="M62" s="2"/>
      <c r="N62" s="7">
        <f t="shared" si="20"/>
        <v>-1</v>
      </c>
      <c r="O62" s="10"/>
      <c r="P62" s="6"/>
      <c r="Q62" s="2"/>
      <c r="R62" s="7">
        <f t="shared" si="21"/>
        <v>0</v>
      </c>
      <c r="S62" s="2"/>
      <c r="T62" s="6">
        <v>2077.64</v>
      </c>
      <c r="U62" s="2"/>
      <c r="V62" s="7">
        <f t="shared" si="22"/>
        <v>5.1407579532496937E-3</v>
      </c>
      <c r="W62" s="2"/>
      <c r="X62" s="6">
        <f t="shared" si="23"/>
        <v>-2077.64</v>
      </c>
      <c r="Y62" s="2"/>
      <c r="Z62" s="7">
        <f t="shared" si="24"/>
        <v>-1</v>
      </c>
    </row>
    <row r="63" spans="1:26" s="23" customFormat="1" hidden="1" outlineLevel="2" x14ac:dyDescent="0.25">
      <c r="A63" s="27"/>
      <c r="B63" s="10" t="str">
        <f>CONCATENATE("          ", "6119", " - ", "SICK LEAVE")</f>
        <v xml:space="preserve">          6119 - SICK LEAVE</v>
      </c>
      <c r="C63" s="10"/>
      <c r="D63" s="6"/>
      <c r="E63" s="2"/>
      <c r="F63" s="7">
        <f t="shared" si="17"/>
        <v>0</v>
      </c>
      <c r="G63" s="2"/>
      <c r="H63" s="6">
        <v>287.82</v>
      </c>
      <c r="I63" s="2"/>
      <c r="J63" s="7">
        <f t="shared" si="18"/>
        <v>9.1089196647846676E-2</v>
      </c>
      <c r="K63" s="2"/>
      <c r="L63" s="6">
        <f t="shared" si="19"/>
        <v>-287.82</v>
      </c>
      <c r="M63" s="2"/>
      <c r="N63" s="7">
        <f t="shared" si="20"/>
        <v>-1</v>
      </c>
      <c r="O63" s="10"/>
      <c r="P63" s="6"/>
      <c r="Q63" s="2"/>
      <c r="R63" s="7">
        <f t="shared" si="21"/>
        <v>0</v>
      </c>
      <c r="S63" s="2"/>
      <c r="T63" s="6">
        <v>-6666.71</v>
      </c>
      <c r="U63" s="2"/>
      <c r="V63" s="7">
        <f t="shared" si="22"/>
        <v>-1.6495611585505318E-2</v>
      </c>
      <c r="W63" s="2"/>
      <c r="X63" s="6">
        <f t="shared" si="23"/>
        <v>6666.71</v>
      </c>
      <c r="Y63" s="2"/>
      <c r="Z63" s="7">
        <f t="shared" si="24"/>
        <v>-1</v>
      </c>
    </row>
    <row r="64" spans="1:26" s="23" customFormat="1" hidden="1" outlineLevel="2" x14ac:dyDescent="0.25">
      <c r="A64" s="27"/>
      <c r="B64" s="10" t="str">
        <f>CONCATENATE("          ", "6156", " - ", "EMPLOYEE MEALS")</f>
        <v xml:space="preserve">          6156 - EMPLOYEE MEALS</v>
      </c>
      <c r="C64" s="10"/>
      <c r="D64" s="6"/>
      <c r="E64" s="2"/>
      <c r="F64" s="7">
        <f t="shared" si="17"/>
        <v>0</v>
      </c>
      <c r="G64" s="2"/>
      <c r="H64" s="6">
        <v>24</v>
      </c>
      <c r="I64" s="2"/>
      <c r="J64" s="7">
        <f t="shared" si="18"/>
        <v>7.5955135833101258E-3</v>
      </c>
      <c r="K64" s="2"/>
      <c r="L64" s="6">
        <f t="shared" si="19"/>
        <v>-24</v>
      </c>
      <c r="M64" s="2"/>
      <c r="N64" s="7">
        <f t="shared" si="20"/>
        <v>-1</v>
      </c>
      <c r="O64" s="10"/>
      <c r="P64" s="6"/>
      <c r="Q64" s="2"/>
      <c r="R64" s="7">
        <f t="shared" si="21"/>
        <v>0</v>
      </c>
      <c r="S64" s="2"/>
      <c r="T64" s="6">
        <v>388.85</v>
      </c>
      <c r="U64" s="2"/>
      <c r="V64" s="7">
        <f t="shared" si="22"/>
        <v>9.6214153083361102E-4</v>
      </c>
      <c r="W64" s="2"/>
      <c r="X64" s="6">
        <f t="shared" si="23"/>
        <v>-388.85</v>
      </c>
      <c r="Y64" s="2"/>
      <c r="Z64" s="7">
        <f t="shared" si="24"/>
        <v>-1</v>
      </c>
    </row>
    <row r="65" spans="1:26" s="26" customFormat="1" outlineLevel="1" collapsed="1" x14ac:dyDescent="0.25">
      <c r="A65" s="25"/>
      <c r="B65" s="12" t="str">
        <f>CONCATENATE("     ","*Payroll                                          ")</f>
        <v xml:space="preserve">     *Payroll                                          </v>
      </c>
      <c r="C65" s="12"/>
      <c r="D65" s="1">
        <f>SUM(OSRRefD22_1x_0)</f>
        <v>0</v>
      </c>
      <c r="E65" s="1"/>
      <c r="F65" s="5">
        <f t="shared" ref="F65:F68" si="25">IF(D$12=0,0,D65/D$12)</f>
        <v>0</v>
      </c>
      <c r="G65" s="1"/>
      <c r="H65" s="1">
        <f>SUM(OSRRefH22_1x_0)</f>
        <v>3328</v>
      </c>
      <c r="I65" s="1"/>
      <c r="J65" s="5">
        <f t="shared" ref="J65:J68" si="26">IF(H$12=0,0,H65/H$12)</f>
        <v>1.053244550219004</v>
      </c>
      <c r="K65" s="1"/>
      <c r="L65" s="1">
        <f t="shared" ref="L65:L68" si="27">+D65-H65</f>
        <v>-3328</v>
      </c>
      <c r="M65" s="1"/>
      <c r="N65" s="5">
        <f t="shared" ref="N65:N68" si="28">IF(H65=0,0,L65/H65)</f>
        <v>-1</v>
      </c>
      <c r="O65" s="12"/>
      <c r="P65" s="1">
        <f>SUM(OSRRefP22_1x_0)</f>
        <v>0</v>
      </c>
      <c r="Q65" s="1"/>
      <c r="R65" s="5">
        <f t="shared" ref="R65:R68" si="29">IF(P$12=0,0,P65/P$12)</f>
        <v>0</v>
      </c>
      <c r="S65" s="1"/>
      <c r="T65" s="1">
        <f>SUM(OSRRefT22_1x_0)</f>
        <v>75026.86</v>
      </c>
      <c r="U65" s="1"/>
      <c r="V65" s="5">
        <f t="shared" ref="V65:V68" si="30">IF(T$12=0,0,T65/T$12)</f>
        <v>0.18564088449026364</v>
      </c>
      <c r="W65" s="1"/>
      <c r="X65" s="1">
        <f t="shared" ref="X65:X68" si="31">+P65-T65</f>
        <v>-75026.86</v>
      </c>
      <c r="Y65" s="1"/>
      <c r="Z65" s="5">
        <f t="shared" ref="Z65:Z68" si="32">IF(T65=0,0,X65/T65)</f>
        <v>-1</v>
      </c>
    </row>
    <row r="66" spans="1:26" s="23" customFormat="1" hidden="1" outlineLevel="2" x14ac:dyDescent="0.25">
      <c r="A66" s="27"/>
      <c r="B66" s="10" t="str">
        <f>CONCATENATE("          ", "6002", " - ", "STAFF SALARIES")</f>
        <v xml:space="preserve">          6002 - STAFF SALARIES</v>
      </c>
      <c r="C66" s="10"/>
      <c r="D66" s="6"/>
      <c r="E66" s="2"/>
      <c r="F66" s="7">
        <f t="shared" si="25"/>
        <v>0</v>
      </c>
      <c r="G66" s="2"/>
      <c r="H66" s="6">
        <v>3328</v>
      </c>
      <c r="I66" s="2"/>
      <c r="J66" s="7">
        <f t="shared" si="26"/>
        <v>1.053244550219004</v>
      </c>
      <c r="K66" s="2"/>
      <c r="L66" s="6">
        <f t="shared" si="27"/>
        <v>-3328</v>
      </c>
      <c r="M66" s="2"/>
      <c r="N66" s="7">
        <f t="shared" si="28"/>
        <v>-1</v>
      </c>
      <c r="O66" s="10"/>
      <c r="P66" s="6"/>
      <c r="Q66" s="2"/>
      <c r="R66" s="7">
        <f t="shared" si="29"/>
        <v>0</v>
      </c>
      <c r="S66" s="2"/>
      <c r="T66" s="6">
        <v>30825.01</v>
      </c>
      <c r="U66" s="2"/>
      <c r="V66" s="7">
        <f t="shared" si="30"/>
        <v>7.6271113049662762E-2</v>
      </c>
      <c r="W66" s="2"/>
      <c r="X66" s="6">
        <f t="shared" si="31"/>
        <v>-30825.01</v>
      </c>
      <c r="Y66" s="2"/>
      <c r="Z66" s="7">
        <f t="shared" si="32"/>
        <v>-1</v>
      </c>
    </row>
    <row r="67" spans="1:26" s="23" customFormat="1" hidden="1" outlineLevel="2" x14ac:dyDescent="0.25">
      <c r="A67" s="27"/>
      <c r="B67" s="10" t="str">
        <f>CONCATENATE("          ", "6004", " - ", "STAFF HOURLY")</f>
        <v xml:space="preserve">          6004 - STAFF HOURLY</v>
      </c>
      <c r="C67" s="10"/>
      <c r="D67" s="6"/>
      <c r="E67" s="2"/>
      <c r="F67" s="7">
        <f t="shared" si="25"/>
        <v>0</v>
      </c>
      <c r="G67" s="2"/>
      <c r="H67" s="6"/>
      <c r="I67" s="2"/>
      <c r="J67" s="7">
        <f t="shared" si="26"/>
        <v>0</v>
      </c>
      <c r="K67" s="2"/>
      <c r="L67" s="6">
        <f t="shared" si="27"/>
        <v>0</v>
      </c>
      <c r="M67" s="2"/>
      <c r="N67" s="7">
        <f t="shared" si="28"/>
        <v>0</v>
      </c>
      <c r="O67" s="10"/>
      <c r="P67" s="6"/>
      <c r="Q67" s="2"/>
      <c r="R67" s="7">
        <f t="shared" si="29"/>
        <v>0</v>
      </c>
      <c r="S67" s="2"/>
      <c r="T67" s="6">
        <v>-48</v>
      </c>
      <c r="U67" s="2"/>
      <c r="V67" s="7">
        <f t="shared" si="30"/>
        <v>-1.1876763142603401E-4</v>
      </c>
      <c r="W67" s="2"/>
      <c r="X67" s="6">
        <f t="shared" si="31"/>
        <v>48</v>
      </c>
      <c r="Y67" s="2"/>
      <c r="Z67" s="7">
        <f t="shared" si="32"/>
        <v>-1</v>
      </c>
    </row>
    <row r="68" spans="1:26" s="23" customFormat="1" hidden="1" outlineLevel="2" x14ac:dyDescent="0.25">
      <c r="A68" s="27"/>
      <c r="B68" s="10" t="str">
        <f>CONCATENATE("          ", "6007", " - ", "STUDENT HOURLY")</f>
        <v xml:space="preserve">          6007 - STUDENT HOURLY</v>
      </c>
      <c r="C68" s="10"/>
      <c r="D68" s="6"/>
      <c r="E68" s="2"/>
      <c r="F68" s="7">
        <f t="shared" si="25"/>
        <v>0</v>
      </c>
      <c r="G68" s="2"/>
      <c r="H68" s="6"/>
      <c r="I68" s="2"/>
      <c r="J68" s="7">
        <f t="shared" si="26"/>
        <v>0</v>
      </c>
      <c r="K68" s="2"/>
      <c r="L68" s="6">
        <f t="shared" si="27"/>
        <v>0</v>
      </c>
      <c r="M68" s="2"/>
      <c r="N68" s="7">
        <f t="shared" si="28"/>
        <v>0</v>
      </c>
      <c r="O68" s="10"/>
      <c r="P68" s="6"/>
      <c r="Q68" s="2"/>
      <c r="R68" s="7">
        <f t="shared" si="29"/>
        <v>0</v>
      </c>
      <c r="S68" s="2"/>
      <c r="T68" s="6">
        <v>44249.85</v>
      </c>
      <c r="U68" s="2"/>
      <c r="V68" s="7">
        <f t="shared" si="30"/>
        <v>0.10948853907202691</v>
      </c>
      <c r="W68" s="2"/>
      <c r="X68" s="6">
        <f t="shared" si="31"/>
        <v>-44249.85</v>
      </c>
      <c r="Y68" s="2"/>
      <c r="Z68" s="7">
        <f t="shared" si="32"/>
        <v>-1</v>
      </c>
    </row>
    <row r="69" spans="1:26" s="26" customFormat="1" outlineLevel="1" collapsed="1" x14ac:dyDescent="0.25">
      <c r="A69" s="25"/>
      <c r="B69" s="12" t="str">
        <f>CONCATENATE("     ","Advertising/Promo                                 ")</f>
        <v xml:space="preserve">     Advertising/Promo                                 </v>
      </c>
      <c r="C69" s="12"/>
      <c r="D69" s="1">
        <f>SUM(OSRRefD22_2x_0)</f>
        <v>0</v>
      </c>
      <c r="E69" s="1"/>
      <c r="F69" s="5">
        <f t="shared" ref="F69:F73" si="33">IF(D$12=0,0,D69/D$12)</f>
        <v>0</v>
      </c>
      <c r="G69" s="1"/>
      <c r="H69" s="1">
        <f>SUM(OSRRefH22_2x_0)</f>
        <v>0</v>
      </c>
      <c r="I69" s="1"/>
      <c r="J69" s="5">
        <f t="shared" ref="J69:J73" si="34">IF(H$12=0,0,H69/H$12)</f>
        <v>0</v>
      </c>
      <c r="K69" s="1"/>
      <c r="L69" s="1">
        <f t="shared" ref="L69:L73" si="35">+D69-H69</f>
        <v>0</v>
      </c>
      <c r="M69" s="1"/>
      <c r="N69" s="5">
        <f t="shared" ref="N69:N73" si="36">IF(H69=0,0,L69/H69)</f>
        <v>0</v>
      </c>
      <c r="O69" s="12"/>
      <c r="P69" s="1">
        <f>SUM(OSRRefP22_2x_0)</f>
        <v>0</v>
      </c>
      <c r="Q69" s="1"/>
      <c r="R69" s="5">
        <f t="shared" ref="R69:R73" si="37">IF(P$12=0,0,P69/P$12)</f>
        <v>0</v>
      </c>
      <c r="S69" s="1"/>
      <c r="T69" s="1">
        <f>SUM(OSRRefT22_2x_0)</f>
        <v>1181.76</v>
      </c>
      <c r="U69" s="1"/>
      <c r="V69" s="5">
        <f t="shared" ref="V69:V73" si="38">IF(T$12=0,0,T69/T$12)</f>
        <v>2.9240590857089574E-3</v>
      </c>
      <c r="W69" s="1"/>
      <c r="X69" s="1">
        <f t="shared" ref="X69:X73" si="39">+P69-T69</f>
        <v>-1181.76</v>
      </c>
      <c r="Y69" s="1"/>
      <c r="Z69" s="5">
        <f t="shared" ref="Z69:Z73" si="40">IF(T69=0,0,X69/T69)</f>
        <v>-1</v>
      </c>
    </row>
    <row r="70" spans="1:26" s="23" customFormat="1" hidden="1" outlineLevel="2" x14ac:dyDescent="0.25">
      <c r="A70" s="27"/>
      <c r="B70" s="10" t="str">
        <f>CONCATENATE("          ", "6362", " - ", "ADVERTISING EXPENSE")</f>
        <v xml:space="preserve">          6362 - ADVERTISING EXPENSE</v>
      </c>
      <c r="C70" s="10"/>
      <c r="D70" s="6"/>
      <c r="E70" s="2"/>
      <c r="F70" s="7">
        <f t="shared" si="33"/>
        <v>0</v>
      </c>
      <c r="G70" s="2"/>
      <c r="H70" s="6"/>
      <c r="I70" s="2"/>
      <c r="J70" s="7">
        <f t="shared" si="34"/>
        <v>0</v>
      </c>
      <c r="K70" s="2"/>
      <c r="L70" s="6">
        <f t="shared" si="35"/>
        <v>0</v>
      </c>
      <c r="M70" s="2"/>
      <c r="N70" s="7">
        <f t="shared" si="36"/>
        <v>0</v>
      </c>
      <c r="O70" s="10"/>
      <c r="P70" s="6"/>
      <c r="Q70" s="2"/>
      <c r="R70" s="7">
        <f t="shared" si="37"/>
        <v>0</v>
      </c>
      <c r="S70" s="2"/>
      <c r="T70" s="6">
        <v>1181.76</v>
      </c>
      <c r="U70" s="2"/>
      <c r="V70" s="7">
        <f t="shared" si="38"/>
        <v>2.9240590857089574E-3</v>
      </c>
      <c r="W70" s="2"/>
      <c r="X70" s="6">
        <f t="shared" si="39"/>
        <v>-1181.76</v>
      </c>
      <c r="Y70" s="2"/>
      <c r="Z70" s="7">
        <f t="shared" si="40"/>
        <v>-1</v>
      </c>
    </row>
    <row r="71" spans="1:26" s="26" customFormat="1" outlineLevel="1" collapsed="1" x14ac:dyDescent="0.25">
      <c r="A71" s="25"/>
      <c r="B71" s="12" t="str">
        <f>CONCATENATE("     ","Discounts and Markdowns                           ")</f>
        <v xml:space="preserve">     Discounts and Markdowns                           </v>
      </c>
      <c r="C71" s="12"/>
      <c r="D71" s="1">
        <f>SUM(OSRRefD22_3x_0)</f>
        <v>0</v>
      </c>
      <c r="E71" s="1"/>
      <c r="F71" s="5">
        <f t="shared" si="33"/>
        <v>0</v>
      </c>
      <c r="G71" s="1"/>
      <c r="H71" s="1">
        <f>SUM(OSRRefH22_3x_0)</f>
        <v>425.01</v>
      </c>
      <c r="I71" s="1"/>
      <c r="J71" s="5">
        <f t="shared" si="34"/>
        <v>0.13450705116844319</v>
      </c>
      <c r="K71" s="1"/>
      <c r="L71" s="1">
        <f t="shared" si="35"/>
        <v>-425.01</v>
      </c>
      <c r="M71" s="1"/>
      <c r="N71" s="5">
        <f t="shared" si="36"/>
        <v>-1</v>
      </c>
      <c r="O71" s="12"/>
      <c r="P71" s="1">
        <f>SUM(OSRRefP22_3x_0)</f>
        <v>0</v>
      </c>
      <c r="Q71" s="1"/>
      <c r="R71" s="5">
        <f t="shared" si="37"/>
        <v>0</v>
      </c>
      <c r="S71" s="1"/>
      <c r="T71" s="1">
        <f>SUM(OSRRefT22_3x_0)</f>
        <v>10206.219999999999</v>
      </c>
      <c r="U71" s="1"/>
      <c r="V71" s="5">
        <f t="shared" si="38"/>
        <v>2.5253511983604517E-2</v>
      </c>
      <c r="W71" s="1"/>
      <c r="X71" s="1">
        <f t="shared" si="39"/>
        <v>-10206.219999999999</v>
      </c>
      <c r="Y71" s="1"/>
      <c r="Z71" s="5">
        <f t="shared" si="40"/>
        <v>-1</v>
      </c>
    </row>
    <row r="72" spans="1:26" s="23" customFormat="1" hidden="1" outlineLevel="2" x14ac:dyDescent="0.25">
      <c r="A72" s="27"/>
      <c r="B72" s="10" t="str">
        <f>CONCATENATE("          ", "6382", " - ", "DISCOUNTS/MARK DOWNS")</f>
        <v xml:space="preserve">          6382 - DISCOUNTS/MARK DOWNS</v>
      </c>
      <c r="C72" s="10"/>
      <c r="D72" s="6"/>
      <c r="E72" s="2"/>
      <c r="F72" s="7">
        <f t="shared" si="33"/>
        <v>0</v>
      </c>
      <c r="G72" s="2"/>
      <c r="H72" s="6">
        <v>425.01</v>
      </c>
      <c r="I72" s="2"/>
      <c r="J72" s="7">
        <f t="shared" si="34"/>
        <v>0.13450705116844319</v>
      </c>
      <c r="K72" s="2"/>
      <c r="L72" s="6">
        <f t="shared" si="35"/>
        <v>-425.01</v>
      </c>
      <c r="M72" s="2"/>
      <c r="N72" s="7">
        <f t="shared" si="36"/>
        <v>-1</v>
      </c>
      <c r="O72" s="10"/>
      <c r="P72" s="6">
        <v>0</v>
      </c>
      <c r="Q72" s="2"/>
      <c r="R72" s="7">
        <f t="shared" si="37"/>
        <v>0</v>
      </c>
      <c r="S72" s="2"/>
      <c r="T72" s="6">
        <v>10206.219999999999</v>
      </c>
      <c r="U72" s="2"/>
      <c r="V72" s="7">
        <f t="shared" si="38"/>
        <v>2.5253511983604517E-2</v>
      </c>
      <c r="W72" s="2"/>
      <c r="X72" s="6">
        <f t="shared" si="39"/>
        <v>-10206.219999999999</v>
      </c>
      <c r="Y72" s="2"/>
      <c r="Z72" s="7">
        <f t="shared" si="40"/>
        <v>-1</v>
      </c>
    </row>
    <row r="73" spans="1:26" s="23" customFormat="1" hidden="1" outlineLevel="2" x14ac:dyDescent="0.25">
      <c r="A73" s="27"/>
      <c r="B73" s="10" t="str">
        <f>CONCATENATE("          ", "9175", " - ", "EARNED DISCOUNTS")</f>
        <v xml:space="preserve">          9175 - EARNED DISCOUNTS</v>
      </c>
      <c r="C73" s="10"/>
      <c r="D73" s="6">
        <v>0</v>
      </c>
      <c r="E73" s="2"/>
      <c r="F73" s="7">
        <f t="shared" si="33"/>
        <v>0</v>
      </c>
      <c r="G73" s="2"/>
      <c r="H73" s="6"/>
      <c r="I73" s="2"/>
      <c r="J73" s="7">
        <f t="shared" si="34"/>
        <v>0</v>
      </c>
      <c r="K73" s="2"/>
      <c r="L73" s="6">
        <f t="shared" si="35"/>
        <v>0</v>
      </c>
      <c r="M73" s="2"/>
      <c r="N73" s="7">
        <f t="shared" si="36"/>
        <v>0</v>
      </c>
      <c r="O73" s="10"/>
      <c r="P73" s="6">
        <v>0</v>
      </c>
      <c r="Q73" s="2"/>
      <c r="R73" s="7">
        <f t="shared" si="37"/>
        <v>0</v>
      </c>
      <c r="S73" s="2"/>
      <c r="T73" s="6">
        <v>0</v>
      </c>
      <c r="U73" s="2"/>
      <c r="V73" s="7">
        <f t="shared" si="38"/>
        <v>0</v>
      </c>
      <c r="W73" s="2"/>
      <c r="X73" s="6">
        <f t="shared" si="39"/>
        <v>0</v>
      </c>
      <c r="Y73" s="2"/>
      <c r="Z73" s="7">
        <f t="shared" si="40"/>
        <v>0</v>
      </c>
    </row>
    <row r="74" spans="1:26" s="26" customFormat="1" outlineLevel="1" collapsed="1" x14ac:dyDescent="0.25">
      <c r="A74" s="25"/>
      <c r="B74" s="12" t="str">
        <f>CONCATENATE("     ","Freight out/Postage                               ")</f>
        <v xml:space="preserve">     Freight out/Postage                               </v>
      </c>
      <c r="C74" s="12"/>
      <c r="D74" s="1">
        <f>SUM(OSRRefD22_4x_0)</f>
        <v>0</v>
      </c>
      <c r="E74" s="1"/>
      <c r="F74" s="5">
        <f t="shared" ref="F74:F80" si="41">IF(D$12=0,0,D74/D$12)</f>
        <v>0</v>
      </c>
      <c r="G74" s="1"/>
      <c r="H74" s="1">
        <f>SUM(OSRRefH22_4x_0)</f>
        <v>0</v>
      </c>
      <c r="I74" s="1"/>
      <c r="J74" s="5">
        <f t="shared" ref="J74:J80" si="42">IF(H$12=0,0,H74/H$12)</f>
        <v>0</v>
      </c>
      <c r="K74" s="1"/>
      <c r="L74" s="1">
        <f t="shared" ref="L74:L80" si="43">+D74-H74</f>
        <v>0</v>
      </c>
      <c r="M74" s="1"/>
      <c r="N74" s="5">
        <f t="shared" ref="N74:N80" si="44">IF(H74=0,0,L74/H74)</f>
        <v>0</v>
      </c>
      <c r="O74" s="12"/>
      <c r="P74" s="1">
        <f>SUM(OSRRefP22_4x_0)</f>
        <v>0</v>
      </c>
      <c r="Q74" s="1"/>
      <c r="R74" s="5">
        <f t="shared" ref="R74:R80" si="45">IF(P$12=0,0,P74/P$12)</f>
        <v>0</v>
      </c>
      <c r="S74" s="1"/>
      <c r="T74" s="1">
        <f>SUM(OSRRefT22_4x_0)</f>
        <v>15.81</v>
      </c>
      <c r="U74" s="1"/>
      <c r="V74" s="5">
        <f t="shared" ref="V74:V80" si="46">IF(T$12=0,0,T74/T$12)</f>
        <v>3.9119088600949957E-5</v>
      </c>
      <c r="W74" s="1"/>
      <c r="X74" s="1">
        <f t="shared" ref="X74:X80" si="47">+P74-T74</f>
        <v>-15.81</v>
      </c>
      <c r="Y74" s="1"/>
      <c r="Z74" s="5">
        <f t="shared" ref="Z74:Z80" si="48">IF(T74=0,0,X74/T74)</f>
        <v>-1</v>
      </c>
    </row>
    <row r="75" spans="1:26" s="23" customFormat="1" hidden="1" outlineLevel="2" x14ac:dyDescent="0.25">
      <c r="A75" s="27"/>
      <c r="B75" s="10" t="str">
        <f>CONCATENATE("          ", "6305", " - ", "FREIGHT OUT")</f>
        <v xml:space="preserve">          6305 - FREIGHT OUT</v>
      </c>
      <c r="C75" s="10"/>
      <c r="D75" s="6"/>
      <c r="E75" s="2"/>
      <c r="F75" s="7">
        <f t="shared" si="41"/>
        <v>0</v>
      </c>
      <c r="G75" s="2"/>
      <c r="H75" s="6"/>
      <c r="I75" s="2"/>
      <c r="J75" s="7">
        <f t="shared" si="42"/>
        <v>0</v>
      </c>
      <c r="K75" s="2"/>
      <c r="L75" s="6">
        <f t="shared" si="43"/>
        <v>0</v>
      </c>
      <c r="M75" s="2"/>
      <c r="N75" s="7">
        <f t="shared" si="44"/>
        <v>0</v>
      </c>
      <c r="O75" s="10"/>
      <c r="P75" s="6">
        <v>0</v>
      </c>
      <c r="Q75" s="2"/>
      <c r="R75" s="7">
        <f t="shared" si="45"/>
        <v>0</v>
      </c>
      <c r="S75" s="2"/>
      <c r="T75" s="6">
        <v>15.81</v>
      </c>
      <c r="U75" s="2"/>
      <c r="V75" s="7">
        <f t="shared" si="46"/>
        <v>3.9119088600949957E-5</v>
      </c>
      <c r="W75" s="2"/>
      <c r="X75" s="6">
        <f t="shared" si="47"/>
        <v>-15.81</v>
      </c>
      <c r="Y75" s="2"/>
      <c r="Z75" s="7">
        <f t="shared" si="48"/>
        <v>-1</v>
      </c>
    </row>
    <row r="76" spans="1:26" s="26" customFormat="1" outlineLevel="1" collapsed="1" x14ac:dyDescent="0.25">
      <c r="A76" s="25"/>
      <c r="B76" s="12" t="str">
        <f>CONCATENATE("     ","Subscriptions &amp; Dues                              ")</f>
        <v xml:space="preserve">     Subscriptions &amp; Dues                              </v>
      </c>
      <c r="C76" s="12"/>
      <c r="D76" s="1">
        <f>SUM(OSRRefD22_5x_0)</f>
        <v>0</v>
      </c>
      <c r="E76" s="1"/>
      <c r="F76" s="5">
        <f t="shared" si="41"/>
        <v>0</v>
      </c>
      <c r="G76" s="1"/>
      <c r="H76" s="1">
        <f>SUM(OSRRefH22_5x_0)</f>
        <v>0</v>
      </c>
      <c r="I76" s="1"/>
      <c r="J76" s="5">
        <f t="shared" si="42"/>
        <v>0</v>
      </c>
      <c r="K76" s="1"/>
      <c r="L76" s="1">
        <f t="shared" si="43"/>
        <v>0</v>
      </c>
      <c r="M76" s="1"/>
      <c r="N76" s="5">
        <f t="shared" si="44"/>
        <v>0</v>
      </c>
      <c r="O76" s="12"/>
      <c r="P76" s="1">
        <f>SUM(OSRRefP22_5x_0)</f>
        <v>0</v>
      </c>
      <c r="Q76" s="1"/>
      <c r="R76" s="5">
        <f t="shared" si="45"/>
        <v>0</v>
      </c>
      <c r="S76" s="1"/>
      <c r="T76" s="1">
        <f>SUM(OSRRefT22_5x_0)</f>
        <v>120</v>
      </c>
      <c r="U76" s="1"/>
      <c r="V76" s="5">
        <f t="shared" si="46"/>
        <v>2.9691907856508503E-4</v>
      </c>
      <c r="W76" s="1"/>
      <c r="X76" s="1">
        <f t="shared" si="47"/>
        <v>-120</v>
      </c>
      <c r="Y76" s="1"/>
      <c r="Z76" s="5">
        <f t="shared" si="48"/>
        <v>-1</v>
      </c>
    </row>
    <row r="77" spans="1:26" s="23" customFormat="1" hidden="1" outlineLevel="2" x14ac:dyDescent="0.25">
      <c r="A77" s="27"/>
      <c r="B77" s="10" t="str">
        <f>CONCATENATE("          ", "6258", " - ", "MEMBERSHIP DUES")</f>
        <v xml:space="preserve">          6258 - MEMBERSHIP DUES</v>
      </c>
      <c r="C77" s="10"/>
      <c r="D77" s="6"/>
      <c r="E77" s="2"/>
      <c r="F77" s="7">
        <f t="shared" si="41"/>
        <v>0</v>
      </c>
      <c r="G77" s="2"/>
      <c r="H77" s="6"/>
      <c r="I77" s="2"/>
      <c r="J77" s="7">
        <f t="shared" si="42"/>
        <v>0</v>
      </c>
      <c r="K77" s="2"/>
      <c r="L77" s="6">
        <f t="shared" si="43"/>
        <v>0</v>
      </c>
      <c r="M77" s="2"/>
      <c r="N77" s="7">
        <f t="shared" si="44"/>
        <v>0</v>
      </c>
      <c r="O77" s="10"/>
      <c r="P77" s="6"/>
      <c r="Q77" s="2"/>
      <c r="R77" s="7">
        <f t="shared" si="45"/>
        <v>0</v>
      </c>
      <c r="S77" s="2"/>
      <c r="T77" s="6">
        <v>120</v>
      </c>
      <c r="U77" s="2"/>
      <c r="V77" s="7">
        <f t="shared" si="46"/>
        <v>2.9691907856508503E-4</v>
      </c>
      <c r="W77" s="2"/>
      <c r="X77" s="6">
        <f t="shared" si="47"/>
        <v>-120</v>
      </c>
      <c r="Y77" s="2"/>
      <c r="Z77" s="7">
        <f t="shared" si="48"/>
        <v>-1</v>
      </c>
    </row>
    <row r="78" spans="1:26" s="26" customFormat="1" outlineLevel="1" collapsed="1" x14ac:dyDescent="0.25">
      <c r="A78" s="25"/>
      <c r="B78" s="12" t="str">
        <f>CONCATENATE("     ","Supplies                                          ")</f>
        <v xml:space="preserve">     Supplies                                          </v>
      </c>
      <c r="C78" s="12"/>
      <c r="D78" s="1">
        <f>SUM(OSRRefD22_6x_0)</f>
        <v>0</v>
      </c>
      <c r="E78" s="1"/>
      <c r="F78" s="5">
        <f t="shared" si="41"/>
        <v>0</v>
      </c>
      <c r="G78" s="1"/>
      <c r="H78" s="1">
        <f>SUM(OSRRefH22_6x_0)</f>
        <v>103.23</v>
      </c>
      <c r="I78" s="1"/>
      <c r="J78" s="5">
        <f t="shared" si="42"/>
        <v>3.2670202800212676E-2</v>
      </c>
      <c r="K78" s="1"/>
      <c r="L78" s="1">
        <f t="shared" si="43"/>
        <v>-103.23</v>
      </c>
      <c r="M78" s="1"/>
      <c r="N78" s="5">
        <f t="shared" si="44"/>
        <v>-1</v>
      </c>
      <c r="O78" s="12"/>
      <c r="P78" s="1">
        <f>SUM(OSRRefP22_6x_0)</f>
        <v>0</v>
      </c>
      <c r="Q78" s="1"/>
      <c r="R78" s="5">
        <f t="shared" si="45"/>
        <v>0</v>
      </c>
      <c r="S78" s="1"/>
      <c r="T78" s="1">
        <f>SUM(OSRRefT22_6x_0)</f>
        <v>355.52</v>
      </c>
      <c r="U78" s="1"/>
      <c r="V78" s="5">
        <f t="shared" si="46"/>
        <v>8.7967225676215859E-4</v>
      </c>
      <c r="W78" s="1"/>
      <c r="X78" s="1">
        <f t="shared" si="47"/>
        <v>-355.52</v>
      </c>
      <c r="Y78" s="1"/>
      <c r="Z78" s="5">
        <f t="shared" si="48"/>
        <v>-1</v>
      </c>
    </row>
    <row r="79" spans="1:26" s="23" customFormat="1" hidden="1" outlineLevel="2" x14ac:dyDescent="0.25">
      <c r="A79" s="27"/>
      <c r="B79" s="10" t="str">
        <f>CONCATENATE("          ", "6241", " - ", "OFFICE EXPENSE")</f>
        <v xml:space="preserve">          6241 - OFFICE EXPENSE</v>
      </c>
      <c r="C79" s="10"/>
      <c r="D79" s="6"/>
      <c r="E79" s="2"/>
      <c r="F79" s="7">
        <f t="shared" si="41"/>
        <v>0</v>
      </c>
      <c r="G79" s="2"/>
      <c r="H79" s="6"/>
      <c r="I79" s="2"/>
      <c r="J79" s="7">
        <f t="shared" si="42"/>
        <v>0</v>
      </c>
      <c r="K79" s="2"/>
      <c r="L79" s="6">
        <f t="shared" si="43"/>
        <v>0</v>
      </c>
      <c r="M79" s="2"/>
      <c r="N79" s="7">
        <f t="shared" si="44"/>
        <v>0</v>
      </c>
      <c r="O79" s="10"/>
      <c r="P79" s="6"/>
      <c r="Q79" s="2"/>
      <c r="R79" s="7">
        <f t="shared" si="45"/>
        <v>0</v>
      </c>
      <c r="S79" s="2"/>
      <c r="T79" s="6">
        <v>252.29</v>
      </c>
      <c r="U79" s="2"/>
      <c r="V79" s="7">
        <f t="shared" si="46"/>
        <v>6.2424761942654421E-4</v>
      </c>
      <c r="W79" s="2"/>
      <c r="X79" s="6">
        <f t="shared" si="47"/>
        <v>-252.29</v>
      </c>
      <c r="Y79" s="2"/>
      <c r="Z79" s="7">
        <f t="shared" si="48"/>
        <v>-1</v>
      </c>
    </row>
    <row r="80" spans="1:26" s="23" customFormat="1" hidden="1" outlineLevel="2" x14ac:dyDescent="0.25">
      <c r="A80" s="27"/>
      <c r="B80" s="10" t="str">
        <f>CONCATENATE("          ", "6247", " - ", "STORE SUPPLIES")</f>
        <v xml:space="preserve">          6247 - STORE SUPPLIES</v>
      </c>
      <c r="C80" s="10"/>
      <c r="D80" s="6"/>
      <c r="E80" s="2"/>
      <c r="F80" s="7">
        <f t="shared" si="41"/>
        <v>0</v>
      </c>
      <c r="G80" s="2"/>
      <c r="H80" s="6">
        <v>103.23</v>
      </c>
      <c r="I80" s="2"/>
      <c r="J80" s="7">
        <f t="shared" si="42"/>
        <v>3.2670202800212676E-2</v>
      </c>
      <c r="K80" s="2"/>
      <c r="L80" s="6">
        <f t="shared" si="43"/>
        <v>-103.23</v>
      </c>
      <c r="M80" s="2"/>
      <c r="N80" s="7">
        <f t="shared" si="44"/>
        <v>-1</v>
      </c>
      <c r="O80" s="10"/>
      <c r="P80" s="6"/>
      <c r="Q80" s="2"/>
      <c r="R80" s="7">
        <f t="shared" si="45"/>
        <v>0</v>
      </c>
      <c r="S80" s="2"/>
      <c r="T80" s="6">
        <v>103.23</v>
      </c>
      <c r="U80" s="2"/>
      <c r="V80" s="7">
        <f t="shared" si="46"/>
        <v>2.5542463733561443E-4</v>
      </c>
      <c r="W80" s="2"/>
      <c r="X80" s="6">
        <f t="shared" si="47"/>
        <v>-103.23</v>
      </c>
      <c r="Y80" s="2"/>
      <c r="Z80" s="7">
        <f t="shared" si="48"/>
        <v>-1</v>
      </c>
    </row>
    <row r="81" spans="1:26" s="26" customFormat="1" outlineLevel="1" collapsed="1" x14ac:dyDescent="0.25">
      <c r="A81" s="25"/>
      <c r="B81" s="12" t="str">
        <f>CONCATENATE("     ","Training                                          ")</f>
        <v xml:space="preserve">     Training                                          </v>
      </c>
      <c r="C81" s="12"/>
      <c r="D81" s="1">
        <f>SUM(OSRRefD22_7x_0)</f>
        <v>0</v>
      </c>
      <c r="E81" s="1"/>
      <c r="F81" s="5">
        <f t="shared" ref="F81:F84" si="49">IF(D$12=0,0,D81/D$12)</f>
        <v>0</v>
      </c>
      <c r="G81" s="1"/>
      <c r="H81" s="1">
        <f>SUM(OSRRefH22_7x_0)</f>
        <v>0</v>
      </c>
      <c r="I81" s="1"/>
      <c r="J81" s="5">
        <f t="shared" ref="J81:J84" si="50">IF(H$12=0,0,H81/H$12)</f>
        <v>0</v>
      </c>
      <c r="K81" s="1"/>
      <c r="L81" s="1">
        <f t="shared" ref="L81:L84" si="51">+D81-H81</f>
        <v>0</v>
      </c>
      <c r="M81" s="1"/>
      <c r="N81" s="5">
        <f t="shared" ref="N81:N84" si="52">IF(H81=0,0,L81/H81)</f>
        <v>0</v>
      </c>
      <c r="O81" s="12"/>
      <c r="P81" s="1">
        <f>SUM(OSRRefP22_7x_0)</f>
        <v>0</v>
      </c>
      <c r="Q81" s="1"/>
      <c r="R81" s="5">
        <f t="shared" ref="R81:R84" si="53">IF(P$12=0,0,P81/P$12)</f>
        <v>0</v>
      </c>
      <c r="S81" s="1"/>
      <c r="T81" s="1">
        <f>SUM(OSRRefT22_7x_0)</f>
        <v>60</v>
      </c>
      <c r="U81" s="1"/>
      <c r="V81" s="5">
        <f t="shared" ref="V81:V84" si="54">IF(T$12=0,0,T81/T$12)</f>
        <v>1.4845953928254251E-4</v>
      </c>
      <c r="W81" s="1"/>
      <c r="X81" s="1">
        <f t="shared" ref="X81:X84" si="55">+P81-T81</f>
        <v>-60</v>
      </c>
      <c r="Y81" s="1"/>
      <c r="Z81" s="5">
        <f t="shared" ref="Z81:Z84" si="56">IF(T81=0,0,X81/T81)</f>
        <v>-1</v>
      </c>
    </row>
    <row r="82" spans="1:26" s="23" customFormat="1" hidden="1" outlineLevel="2" x14ac:dyDescent="0.25">
      <c r="A82" s="27"/>
      <c r="B82" s="10" t="str">
        <f>CONCATENATE("          ", "6376", " - ", "TRAINING")</f>
        <v xml:space="preserve">          6376 - TRAINING</v>
      </c>
      <c r="C82" s="10"/>
      <c r="D82" s="6"/>
      <c r="E82" s="2"/>
      <c r="F82" s="7">
        <f t="shared" si="49"/>
        <v>0</v>
      </c>
      <c r="G82" s="2"/>
      <c r="H82" s="6"/>
      <c r="I82" s="2"/>
      <c r="J82" s="7">
        <f t="shared" si="50"/>
        <v>0</v>
      </c>
      <c r="K82" s="2"/>
      <c r="L82" s="6">
        <f t="shared" si="51"/>
        <v>0</v>
      </c>
      <c r="M82" s="2"/>
      <c r="N82" s="7">
        <f t="shared" si="52"/>
        <v>0</v>
      </c>
      <c r="O82" s="10"/>
      <c r="P82" s="6"/>
      <c r="Q82" s="2"/>
      <c r="R82" s="7">
        <f t="shared" si="53"/>
        <v>0</v>
      </c>
      <c r="S82" s="2"/>
      <c r="T82" s="6">
        <v>60</v>
      </c>
      <c r="U82" s="2"/>
      <c r="V82" s="7">
        <f t="shared" si="54"/>
        <v>1.4845953928254251E-4</v>
      </c>
      <c r="W82" s="2"/>
      <c r="X82" s="6">
        <f t="shared" si="55"/>
        <v>-60</v>
      </c>
      <c r="Y82" s="2"/>
      <c r="Z82" s="7">
        <f t="shared" si="56"/>
        <v>-1</v>
      </c>
    </row>
    <row r="83" spans="1:26" s="26" customFormat="1" outlineLevel="1" collapsed="1" x14ac:dyDescent="0.25">
      <c r="A83" s="25"/>
      <c r="B83" s="12" t="str">
        <f>CONCATENATE("     ","Travel                                            ")</f>
        <v xml:space="preserve">     Travel                                            </v>
      </c>
      <c r="C83" s="12"/>
      <c r="D83" s="1">
        <f>SUM(OSRRefD22_8x_0)</f>
        <v>0</v>
      </c>
      <c r="E83" s="1"/>
      <c r="F83" s="5">
        <f t="shared" si="49"/>
        <v>0</v>
      </c>
      <c r="G83" s="1"/>
      <c r="H83" s="1">
        <f>SUM(OSRRefH22_8x_0)</f>
        <v>0</v>
      </c>
      <c r="I83" s="1"/>
      <c r="J83" s="5">
        <f t="shared" si="50"/>
        <v>0</v>
      </c>
      <c r="K83" s="1"/>
      <c r="L83" s="1">
        <f t="shared" si="51"/>
        <v>0</v>
      </c>
      <c r="M83" s="1"/>
      <c r="N83" s="5">
        <f t="shared" si="52"/>
        <v>0</v>
      </c>
      <c r="O83" s="12"/>
      <c r="P83" s="1">
        <f>SUM(OSRRefP22_8x_0)</f>
        <v>0</v>
      </c>
      <c r="Q83" s="1"/>
      <c r="R83" s="5">
        <f t="shared" si="53"/>
        <v>0</v>
      </c>
      <c r="S83" s="1"/>
      <c r="T83" s="1">
        <f>SUM(OSRRefT22_8x_0)</f>
        <v>-323.01</v>
      </c>
      <c r="U83" s="1"/>
      <c r="V83" s="5">
        <f t="shared" si="54"/>
        <v>-7.9923192972756768E-4</v>
      </c>
      <c r="W83" s="1"/>
      <c r="X83" s="1">
        <f t="shared" si="55"/>
        <v>323.01</v>
      </c>
      <c r="Y83" s="1"/>
      <c r="Z83" s="5">
        <f t="shared" si="56"/>
        <v>-1</v>
      </c>
    </row>
    <row r="84" spans="1:26" s="23" customFormat="1" hidden="1" outlineLevel="2" x14ac:dyDescent="0.25">
      <c r="A84" s="27"/>
      <c r="B84" s="10" t="str">
        <f>CONCATENATE("          ", "6292", " - ", "TRAVEL/CONFERENCE")</f>
        <v xml:space="preserve">          6292 - TRAVEL/CONFERENCE</v>
      </c>
      <c r="C84" s="10"/>
      <c r="D84" s="6"/>
      <c r="E84" s="2"/>
      <c r="F84" s="7">
        <f t="shared" si="49"/>
        <v>0</v>
      </c>
      <c r="G84" s="2"/>
      <c r="H84" s="6"/>
      <c r="I84" s="2"/>
      <c r="J84" s="7">
        <f t="shared" si="50"/>
        <v>0</v>
      </c>
      <c r="K84" s="2"/>
      <c r="L84" s="6">
        <f t="shared" si="51"/>
        <v>0</v>
      </c>
      <c r="M84" s="2"/>
      <c r="N84" s="7">
        <f t="shared" si="52"/>
        <v>0</v>
      </c>
      <c r="O84" s="10"/>
      <c r="P84" s="6"/>
      <c r="Q84" s="2"/>
      <c r="R84" s="7">
        <f t="shared" si="53"/>
        <v>0</v>
      </c>
      <c r="S84" s="2"/>
      <c r="T84" s="6">
        <v>-323.01</v>
      </c>
      <c r="U84" s="2"/>
      <c r="V84" s="7">
        <f t="shared" si="54"/>
        <v>-7.9923192972756768E-4</v>
      </c>
      <c r="W84" s="2"/>
      <c r="X84" s="6">
        <f t="shared" si="55"/>
        <v>323.01</v>
      </c>
      <c r="Y84" s="2"/>
      <c r="Z84" s="7">
        <f t="shared" si="56"/>
        <v>-1</v>
      </c>
    </row>
    <row r="85" spans="1:26" s="62" customFormat="1" x14ac:dyDescent="0.25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4" customFormat="1" x14ac:dyDescent="0.25">
      <c r="A86" s="11"/>
      <c r="B86" s="28" t="s">
        <v>292</v>
      </c>
      <c r="C86" s="11"/>
      <c r="D86" s="4">
        <f>SUM(0)</f>
        <v>0</v>
      </c>
      <c r="E86" s="4"/>
      <c r="F86" s="13">
        <f>IF(D$12=0,0,D86/D$12)</f>
        <v>0</v>
      </c>
      <c r="G86" s="4"/>
      <c r="H86" s="4">
        <f>SUM(0)</f>
        <v>0</v>
      </c>
      <c r="I86" s="4"/>
      <c r="J86" s="13">
        <f>IF(H$12=0,0,H86/H$12)</f>
        <v>0</v>
      </c>
      <c r="K86" s="4"/>
      <c r="L86" s="4">
        <f>+D86-H86</f>
        <v>0</v>
      </c>
      <c r="M86" s="4"/>
      <c r="N86" s="13">
        <f>IF(H86=0,0,L86/H86)</f>
        <v>0</v>
      </c>
      <c r="O86" s="11"/>
      <c r="P86" s="4">
        <f>SUM(0)</f>
        <v>0</v>
      </c>
      <c r="Q86" s="4"/>
      <c r="R86" s="13">
        <f>IF(P$12=0,0,P86/P$12)</f>
        <v>0</v>
      </c>
      <c r="S86" s="4"/>
      <c r="T86" s="4">
        <f>SUM(0)</f>
        <v>0</v>
      </c>
      <c r="U86" s="4"/>
      <c r="V86" s="13">
        <f>IF(T$12=0,0,T86/T$12)</f>
        <v>0</v>
      </c>
      <c r="W86" s="4"/>
      <c r="X86" s="4">
        <f>+P86-T86</f>
        <v>0</v>
      </c>
      <c r="Y86" s="4"/>
      <c r="Z86" s="13">
        <f>IF(T86=0,0,X86/T86)</f>
        <v>0</v>
      </c>
    </row>
    <row r="87" spans="1:26" x14ac:dyDescent="0.25">
      <c r="A87" s="9"/>
      <c r="B87" s="11"/>
      <c r="C87" s="11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1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4" customFormat="1" x14ac:dyDescent="0.25">
      <c r="A88" s="11"/>
      <c r="B88" s="29" t="s">
        <v>276</v>
      </c>
      <c r="C88" s="29"/>
      <c r="D88" s="20">
        <f>+D52-D54+D86</f>
        <v>0</v>
      </c>
      <c r="E88" s="14"/>
      <c r="F88" s="22">
        <f>IF(D$12=0,0,D88/D$12)</f>
        <v>0</v>
      </c>
      <c r="G88" s="14"/>
      <c r="H88" s="20">
        <f>+H52-H54+H86</f>
        <v>-5484.7599999999993</v>
      </c>
      <c r="I88" s="14"/>
      <c r="J88" s="22">
        <f>IF(H$12=0,0,H88/H$12)</f>
        <v>-1.7358153783831682</v>
      </c>
      <c r="K88" s="16"/>
      <c r="L88" s="20">
        <f>+D88-H88</f>
        <v>5484.7599999999993</v>
      </c>
      <c r="M88" s="16"/>
      <c r="N88" s="22">
        <f>IF(H88=0,0,L88/H88)</f>
        <v>-1</v>
      </c>
      <c r="O88" s="28"/>
      <c r="P88" s="20">
        <f>+P52-P54+P86</f>
        <v>0</v>
      </c>
      <c r="Q88" s="14"/>
      <c r="R88" s="22">
        <f>IF(P$12=0,0,P88/P$12)</f>
        <v>0</v>
      </c>
      <c r="S88" s="14"/>
      <c r="T88" s="20">
        <f>+T52-T54+T86</f>
        <v>112229.18000000011</v>
      </c>
      <c r="U88" s="14"/>
      <c r="V88" s="22">
        <f>IF(T$12=0,0,T88/T$12)</f>
        <v>0.27769153928095919</v>
      </c>
      <c r="W88" s="16"/>
      <c r="X88" s="20">
        <f>+P88-T88</f>
        <v>-112229.18000000011</v>
      </c>
      <c r="Y88" s="16"/>
      <c r="Z88" s="22">
        <f>IF(T88=0,0,X88/T88)</f>
        <v>-1</v>
      </c>
    </row>
    <row r="89" spans="1:26" x14ac:dyDescent="0.25">
      <c r="A89" s="9"/>
      <c r="B89" s="11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x14ac:dyDescent="0.25">
      <c r="A90" s="51"/>
      <c r="B90" s="11" t="s">
        <v>127</v>
      </c>
      <c r="C90" s="11"/>
      <c r="D90" s="4"/>
      <c r="E90" s="4"/>
      <c r="F90" s="13">
        <f>IF(D$12=0,0,D90/D$12)</f>
        <v>0</v>
      </c>
      <c r="G90" s="4"/>
      <c r="H90" s="4">
        <v>2921.27</v>
      </c>
      <c r="I90" s="4"/>
      <c r="J90" s="13">
        <f>IF(H$12=0,0,H90/H$12)</f>
        <v>0.92452274856318206</v>
      </c>
      <c r="K90" s="4"/>
      <c r="L90" s="4">
        <f>+D90-H90</f>
        <v>-2921.27</v>
      </c>
      <c r="M90" s="4"/>
      <c r="N90" s="13">
        <f>IF(H90=0,0,L90/H90)</f>
        <v>-1</v>
      </c>
      <c r="O90" s="11"/>
      <c r="P90" s="4"/>
      <c r="Q90" s="4"/>
      <c r="R90" s="13">
        <f>IF(P$12=0,0,P90/P$12)</f>
        <v>0</v>
      </c>
      <c r="S90" s="4"/>
      <c r="T90" s="4">
        <v>45888.4</v>
      </c>
      <c r="U90" s="4"/>
      <c r="V90" s="13">
        <f>IF(T$12=0,0,T90/T$12)</f>
        <v>0.11354284537355042</v>
      </c>
      <c r="W90" s="4"/>
      <c r="X90" s="4">
        <f>+P90-T90</f>
        <v>-45888.4</v>
      </c>
      <c r="Y90" s="4"/>
      <c r="Z90" s="13">
        <f>IF(T90=0,0,X90/T90)</f>
        <v>-1</v>
      </c>
    </row>
    <row r="91" spans="1:26" x14ac:dyDescent="0.25">
      <c r="A91" s="9"/>
      <c r="B91" s="11"/>
      <c r="C91" s="11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1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4" customFormat="1" ht="15.75" thickBot="1" x14ac:dyDescent="0.3">
      <c r="A92" s="11"/>
      <c r="B92" s="29" t="s">
        <v>125</v>
      </c>
      <c r="C92" s="29"/>
      <c r="D92" s="30">
        <f>+D88-D90</f>
        <v>0</v>
      </c>
      <c r="E92" s="14"/>
      <c r="F92" s="34">
        <f>IF(D$12=0,0,D92/D$12)</f>
        <v>0</v>
      </c>
      <c r="G92" s="14"/>
      <c r="H92" s="30">
        <f>+H88-H90</f>
        <v>-8406.0299999999988</v>
      </c>
      <c r="I92" s="14"/>
      <c r="J92" s="34">
        <f>IF(H$12=0,0,H92/H$12)</f>
        <v>-2.6603381269463502</v>
      </c>
      <c r="K92" s="16"/>
      <c r="L92" s="30">
        <f>D92-H92</f>
        <v>8406.0299999999988</v>
      </c>
      <c r="M92" s="16"/>
      <c r="N92" s="34">
        <f>IF(H92=0,0,L92/H92)</f>
        <v>-1</v>
      </c>
      <c r="O92" s="28"/>
      <c r="P92" s="30">
        <f>+P88-P90</f>
        <v>0</v>
      </c>
      <c r="Q92" s="14"/>
      <c r="R92" s="34">
        <f>IF(P$12=0,0,P92/P$12)</f>
        <v>0</v>
      </c>
      <c r="S92" s="14"/>
      <c r="T92" s="30">
        <f>+T88-T90</f>
        <v>66340.780000000115</v>
      </c>
      <c r="U92" s="14"/>
      <c r="V92" s="34">
        <f>IF(T$12=0,0,T92/T$12)</f>
        <v>0.1641486939074088</v>
      </c>
      <c r="W92" s="16"/>
      <c r="X92" s="30">
        <f>P92-T92</f>
        <v>-66340.780000000115</v>
      </c>
      <c r="Y92" s="16"/>
      <c r="Z92" s="34">
        <f>IF(T92=0,0,X92/T92)</f>
        <v>-1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4" customFormat="1" ht="15.75" thickBot="1" x14ac:dyDescent="0.3">
      <c r="A95" s="11"/>
      <c r="B95" s="29" t="s">
        <v>293</v>
      </c>
      <c r="C95" s="29"/>
      <c r="D95" s="32">
        <f>SUM(D92:D94)</f>
        <v>0</v>
      </c>
      <c r="E95" s="14"/>
      <c r="F95" s="35">
        <f>IF(D$12=0,0,D95/D$12)</f>
        <v>0</v>
      </c>
      <c r="G95" s="14"/>
      <c r="H95" s="32">
        <f>SUM(H92:H94)</f>
        <v>-8406.0299999999988</v>
      </c>
      <c r="I95" s="14"/>
      <c r="J95" s="35">
        <f>IF(H$12=0,0,H95/H$12)</f>
        <v>-2.6603381269463502</v>
      </c>
      <c r="K95" s="16"/>
      <c r="L95" s="32">
        <f>+D95-H95</f>
        <v>8406.0299999999988</v>
      </c>
      <c r="M95" s="16"/>
      <c r="N95" s="35">
        <f>IF(H95=0,0,L95/H95)</f>
        <v>-1</v>
      </c>
      <c r="O95" s="28"/>
      <c r="P95" s="32">
        <f>SUM(P92:P94)</f>
        <v>0</v>
      </c>
      <c r="Q95" s="14"/>
      <c r="R95" s="35">
        <f>IF(P$12=0,0,P95/P$12)</f>
        <v>0</v>
      </c>
      <c r="S95" s="14"/>
      <c r="T95" s="32">
        <f>SUM(T92:T94)</f>
        <v>66340.780000000115</v>
      </c>
      <c r="U95" s="14"/>
      <c r="V95" s="35">
        <f>IF(T$12=0,0,T95/T$12)</f>
        <v>0.1641486939074088</v>
      </c>
      <c r="W95" s="16"/>
      <c r="X95" s="32">
        <f>+P95-T95</f>
        <v>-66340.780000000115</v>
      </c>
      <c r="Y95" s="16"/>
      <c r="Z95" s="35">
        <f>IF(T95=0,0,X95/T95)</f>
        <v>-1</v>
      </c>
    </row>
    <row r="96" spans="1:26" ht="15.75" thickTop="1" x14ac:dyDescent="0.25">
      <c r="A96" s="9"/>
      <c r="C96" s="9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9">
        <v>44330.00886898148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52" t="s">
        <v>56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A99" s="9"/>
      <c r="B99" s="55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25"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21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25651.129999999997</v>
      </c>
      <c r="E12" s="4"/>
      <c r="F12" s="13"/>
      <c r="G12" s="4"/>
      <c r="H12" s="4">
        <f>SUM(OSRRefH13x_0)</f>
        <v>32752.599999999995</v>
      </c>
      <c r="I12" s="4"/>
      <c r="J12" s="13"/>
      <c r="K12" s="4"/>
      <c r="L12" s="4">
        <f t="shared" ref="L12:L42" si="0">+D12-H12</f>
        <v>-7101.4699999999975</v>
      </c>
      <c r="M12" s="4"/>
      <c r="N12" s="13">
        <f t="shared" ref="N12:N42" si="1">IF(H12=0,0,L12/H12)</f>
        <v>-0.21682156531084551</v>
      </c>
      <c r="O12" s="11"/>
      <c r="P12" s="4">
        <f>SUM(OSRRefP13x_0)</f>
        <v>2679636.5200000005</v>
      </c>
      <c r="Q12" s="4"/>
      <c r="R12" s="13"/>
      <c r="S12" s="4"/>
      <c r="T12" s="4">
        <f>SUM(OSRRefT13x_0)</f>
        <v>4868612.63</v>
      </c>
      <c r="U12" s="4"/>
      <c r="V12" s="13"/>
      <c r="W12" s="4"/>
      <c r="X12" s="4">
        <f t="shared" ref="X12:X42" si="2">+P12-T12</f>
        <v>-2188976.1099999994</v>
      </c>
      <c r="Y12" s="4"/>
      <c r="Z12" s="13">
        <f t="shared" ref="Z12:Z42" si="3">IF(T12=0,0,X12/T12)</f>
        <v>-0.44960983268861943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-219.91</f>
        <v>-219.91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-219.91</v>
      </c>
      <c r="M13" s="2"/>
      <c r="N13" s="19">
        <f t="shared" si="1"/>
        <v>0</v>
      </c>
      <c r="O13" s="10"/>
      <c r="P13" s="2">
        <f>-8578.72</f>
        <v>-8578.7199999999993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-8578.7199999999993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--31347.12</f>
        <v>31347.119999999999</v>
      </c>
      <c r="E14" s="2"/>
      <c r="F14" s="19"/>
      <c r="G14" s="2"/>
      <c r="H14" s="2">
        <f>--1084.45</f>
        <v>1084.45</v>
      </c>
      <c r="I14" s="2"/>
      <c r="J14" s="19"/>
      <c r="K14" s="2"/>
      <c r="L14" s="2">
        <f t="shared" si="0"/>
        <v>30262.67</v>
      </c>
      <c r="M14" s="2"/>
      <c r="N14" s="19">
        <f t="shared" si="1"/>
        <v>27.906007653649311</v>
      </c>
      <c r="O14" s="10"/>
      <c r="P14" s="2">
        <f>--1263810.36</f>
        <v>1263810.3600000001</v>
      </c>
      <c r="Q14" s="2"/>
      <c r="R14" s="19"/>
      <c r="S14" s="2"/>
      <c r="T14" s="2">
        <f>--2397977.73</f>
        <v>2397977.73</v>
      </c>
      <c r="U14" s="2"/>
      <c r="V14" s="19"/>
      <c r="W14" s="2"/>
      <c r="X14" s="2">
        <f t="shared" si="2"/>
        <v>-1134167.3699999999</v>
      </c>
      <c r="Y14" s="2"/>
      <c r="Z14" s="19">
        <f t="shared" si="3"/>
        <v>-0.47296826647343382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--1971.3</f>
        <v>1971.3</v>
      </c>
      <c r="E15" s="2"/>
      <c r="F15" s="19"/>
      <c r="G15" s="2"/>
      <c r="H15" s="2">
        <f>--602.5</f>
        <v>602.5</v>
      </c>
      <c r="I15" s="2"/>
      <c r="J15" s="19"/>
      <c r="K15" s="2"/>
      <c r="L15" s="2">
        <f t="shared" si="0"/>
        <v>1368.8</v>
      </c>
      <c r="M15" s="2"/>
      <c r="N15" s="19">
        <f t="shared" si="1"/>
        <v>2.2718672199170125</v>
      </c>
      <c r="O15" s="10"/>
      <c r="P15" s="2">
        <f>--578768.63</f>
        <v>578768.63</v>
      </c>
      <c r="Q15" s="2"/>
      <c r="R15" s="19"/>
      <c r="S15" s="2"/>
      <c r="T15" s="2">
        <f>--1244917.19</f>
        <v>1244917.19</v>
      </c>
      <c r="U15" s="2"/>
      <c r="V15" s="19"/>
      <c r="W15" s="2"/>
      <c r="X15" s="2">
        <f t="shared" si="2"/>
        <v>-666148.55999999994</v>
      </c>
      <c r="Y15" s="2"/>
      <c r="Z15" s="19">
        <f t="shared" si="3"/>
        <v>-0.53509467565469149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--20</f>
        <v>20</v>
      </c>
      <c r="E16" s="2"/>
      <c r="F16" s="19"/>
      <c r="G16" s="2"/>
      <c r="H16" s="2">
        <f t="shared" ref="H16:H18" si="4">0</f>
        <v>0</v>
      </c>
      <c r="I16" s="2"/>
      <c r="J16" s="19"/>
      <c r="K16" s="2"/>
      <c r="L16" s="2">
        <f t="shared" si="0"/>
        <v>20</v>
      </c>
      <c r="M16" s="2"/>
      <c r="N16" s="19">
        <f t="shared" si="1"/>
        <v>0</v>
      </c>
      <c r="O16" s="10"/>
      <c r="P16" s="2">
        <f>--17997.88</f>
        <v>17997.88</v>
      </c>
      <c r="Q16" s="2"/>
      <c r="R16" s="19"/>
      <c r="S16" s="2"/>
      <c r="T16" s="2">
        <f>--33694.89</f>
        <v>33694.89</v>
      </c>
      <c r="U16" s="2"/>
      <c r="V16" s="19"/>
      <c r="W16" s="2"/>
      <c r="X16" s="2">
        <f t="shared" si="2"/>
        <v>-15697.009999999998</v>
      </c>
      <c r="Y16" s="2"/>
      <c r="Z16" s="19">
        <f t="shared" si="3"/>
        <v>-0.46585728577834795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5"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5"/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--61.81</f>
        <v>61.81</v>
      </c>
      <c r="E19" s="2"/>
      <c r="F19" s="19"/>
      <c r="G19" s="2"/>
      <c r="H19" s="2">
        <f>--18.36</f>
        <v>18.36</v>
      </c>
      <c r="I19" s="2"/>
      <c r="J19" s="19"/>
      <c r="K19" s="2"/>
      <c r="L19" s="2">
        <f t="shared" si="0"/>
        <v>43.45</v>
      </c>
      <c r="M19" s="2"/>
      <c r="N19" s="19">
        <f t="shared" si="1"/>
        <v>2.3665577342047932</v>
      </c>
      <c r="O19" s="10"/>
      <c r="P19" s="2">
        <f>--1263.83</f>
        <v>1263.83</v>
      </c>
      <c r="Q19" s="2"/>
      <c r="R19" s="19"/>
      <c r="S19" s="2"/>
      <c r="T19" s="2">
        <f>--2713.36</f>
        <v>2713.36</v>
      </c>
      <c r="U19" s="2"/>
      <c r="V19" s="19"/>
      <c r="W19" s="2"/>
      <c r="X19" s="2">
        <f t="shared" si="2"/>
        <v>-1449.5300000000002</v>
      </c>
      <c r="Y19" s="2"/>
      <c r="Z19" s="19">
        <f t="shared" si="3"/>
        <v>-0.53421956540967663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--36.85</f>
        <v>36.85</v>
      </c>
      <c r="E20" s="2"/>
      <c r="F20" s="19"/>
      <c r="G20" s="2"/>
      <c r="H20" s="2">
        <f t="shared" ref="H20:H21" si="6">0</f>
        <v>0</v>
      </c>
      <c r="I20" s="2"/>
      <c r="J20" s="19"/>
      <c r="K20" s="2"/>
      <c r="L20" s="2">
        <f t="shared" si="0"/>
        <v>36.85</v>
      </c>
      <c r="M20" s="2"/>
      <c r="N20" s="19">
        <f t="shared" si="1"/>
        <v>0</v>
      </c>
      <c r="O20" s="10"/>
      <c r="P20" s="2">
        <f>--484.55</f>
        <v>484.55</v>
      </c>
      <c r="Q20" s="2"/>
      <c r="R20" s="19"/>
      <c r="S20" s="2"/>
      <c r="T20" s="2">
        <f>--1219.18</f>
        <v>1219.18</v>
      </c>
      <c r="U20" s="2"/>
      <c r="V20" s="19"/>
      <c r="W20" s="2"/>
      <c r="X20" s="2">
        <f t="shared" si="2"/>
        <v>-734.63000000000011</v>
      </c>
      <c r="Y20" s="2"/>
      <c r="Z20" s="19">
        <f t="shared" si="3"/>
        <v>-0.60256073754490724</v>
      </c>
    </row>
    <row r="21" spans="1:26" s="23" customFormat="1" hidden="1" outlineLevel="1" x14ac:dyDescent="0.25">
      <c r="A21" s="44"/>
      <c r="B21" s="10" t="str">
        <f>CONCATENATE("          ", "4018", " - ", "TAXABLE SALES-STUDY GUIDES")</f>
        <v xml:space="preserve">          4018 - TAXABLE SALES-STUDY GUIDES</v>
      </c>
      <c r="C21" s="10"/>
      <c r="D21" s="2">
        <f>--72.96</f>
        <v>72.959999999999994</v>
      </c>
      <c r="E21" s="2"/>
      <c r="F21" s="19"/>
      <c r="G21" s="2"/>
      <c r="H21" s="2">
        <f t="shared" si="6"/>
        <v>0</v>
      </c>
      <c r="I21" s="2"/>
      <c r="J21" s="19"/>
      <c r="K21" s="2"/>
      <c r="L21" s="2">
        <f t="shared" si="0"/>
        <v>72.959999999999994</v>
      </c>
      <c r="M21" s="2"/>
      <c r="N21" s="19">
        <f t="shared" si="1"/>
        <v>0</v>
      </c>
      <c r="O21" s="10"/>
      <c r="P21" s="2">
        <f>--473.1</f>
        <v>473.1</v>
      </c>
      <c r="Q21" s="2"/>
      <c r="R21" s="19"/>
      <c r="S21" s="2"/>
      <c r="T21" s="2">
        <f>--4154.31</f>
        <v>4154.3100000000004</v>
      </c>
      <c r="U21" s="2"/>
      <c r="V21" s="19"/>
      <c r="W21" s="2"/>
      <c r="X21" s="2">
        <f t="shared" si="2"/>
        <v>-3681.2100000000005</v>
      </c>
      <c r="Y21" s="2"/>
      <c r="Z21" s="19">
        <f t="shared" si="3"/>
        <v>-0.88611827234847662</v>
      </c>
    </row>
    <row r="22" spans="1:26" s="23" customFormat="1" hidden="1" outlineLevel="1" x14ac:dyDescent="0.25">
      <c r="A22" s="44"/>
      <c r="B22" s="10" t="str">
        <f>CONCATENATE("          ", "4100", " - ", "NON-TAXABLE SALES")</f>
        <v xml:space="preserve">          4100 - NON-TAXABLE SALES</v>
      </c>
      <c r="C22" s="10"/>
      <c r="D22" s="2">
        <f>-12385.33</f>
        <v>-12385.33</v>
      </c>
      <c r="E22" s="2"/>
      <c r="F22" s="19"/>
      <c r="G22" s="2"/>
      <c r="H22" s="2">
        <f>--27923.82</f>
        <v>27923.82</v>
      </c>
      <c r="I22" s="2"/>
      <c r="J22" s="19"/>
      <c r="K22" s="2"/>
      <c r="L22" s="2">
        <f t="shared" si="0"/>
        <v>-40309.15</v>
      </c>
      <c r="M22" s="2"/>
      <c r="N22" s="19">
        <f t="shared" si="1"/>
        <v>-1.4435399597906018</v>
      </c>
      <c r="O22" s="10"/>
      <c r="P22" s="2">
        <f>--273838.77</f>
        <v>273838.77</v>
      </c>
      <c r="Q22" s="2"/>
      <c r="R22" s="19"/>
      <c r="S22" s="2"/>
      <c r="T22" s="2">
        <f>--602236.47</f>
        <v>602236.47</v>
      </c>
      <c r="U22" s="2"/>
      <c r="V22" s="19"/>
      <c r="W22" s="2"/>
      <c r="X22" s="2">
        <f t="shared" si="2"/>
        <v>-328397.69999999995</v>
      </c>
      <c r="Y22" s="2"/>
      <c r="Z22" s="19">
        <f t="shared" si="3"/>
        <v>-0.54529693294728554</v>
      </c>
    </row>
    <row r="23" spans="1:26" s="23" customFormat="1" hidden="1" outlineLevel="1" x14ac:dyDescent="0.25">
      <c r="A23" s="44"/>
      <c r="B23" s="10" t="str">
        <f>CONCATENATE("          ", "4101", " - ", "NON-TAXABLE SALES-NEW TEXT")</f>
        <v xml:space="preserve">          4101 - NON-TAXABLE SALES-NEW TEXT</v>
      </c>
      <c r="C23" s="10"/>
      <c r="D23" s="2">
        <f>--741.03</f>
        <v>741.03</v>
      </c>
      <c r="E23" s="2"/>
      <c r="F23" s="19"/>
      <c r="G23" s="2"/>
      <c r="H23" s="2">
        <f>--1972.02</f>
        <v>1972.02</v>
      </c>
      <c r="I23" s="2"/>
      <c r="J23" s="19"/>
      <c r="K23" s="2"/>
      <c r="L23" s="2">
        <f t="shared" si="0"/>
        <v>-1230.99</v>
      </c>
      <c r="M23" s="2"/>
      <c r="N23" s="19">
        <f t="shared" si="1"/>
        <v>-0.62422794900660239</v>
      </c>
      <c r="O23" s="10"/>
      <c r="P23" s="2">
        <f>--112796.74</f>
        <v>112796.74</v>
      </c>
      <c r="Q23" s="2"/>
      <c r="R23" s="19"/>
      <c r="S23" s="2"/>
      <c r="T23" s="2">
        <f>--144163.44</f>
        <v>144163.44</v>
      </c>
      <c r="U23" s="2"/>
      <c r="V23" s="19"/>
      <c r="W23" s="2"/>
      <c r="X23" s="2">
        <f t="shared" si="2"/>
        <v>-31366.699999999997</v>
      </c>
      <c r="Y23" s="2"/>
      <c r="Z23" s="19">
        <f t="shared" si="3"/>
        <v>-0.21757735525733846</v>
      </c>
    </row>
    <row r="24" spans="1:26" s="23" customFormat="1" hidden="1" outlineLevel="1" x14ac:dyDescent="0.25">
      <c r="A24" s="44"/>
      <c r="B24" s="10" t="str">
        <f>CONCATENATE("          ", "4102", " - ", "NON-TAXABLE SALES-USED TEXT")</f>
        <v xml:space="preserve">          4102 - NON-TAXABLE SALES-USED TEXT</v>
      </c>
      <c r="C24" s="10"/>
      <c r="D24" s="2">
        <f>--743.99</f>
        <v>743.99</v>
      </c>
      <c r="E24" s="2"/>
      <c r="F24" s="19"/>
      <c r="G24" s="2"/>
      <c r="H24" s="2">
        <f>--804.2</f>
        <v>804.2</v>
      </c>
      <c r="I24" s="2"/>
      <c r="J24" s="19"/>
      <c r="K24" s="2"/>
      <c r="L24" s="2">
        <f t="shared" si="0"/>
        <v>-60.210000000000036</v>
      </c>
      <c r="M24" s="2"/>
      <c r="N24" s="19">
        <f t="shared" si="1"/>
        <v>-7.4869435463815012E-2</v>
      </c>
      <c r="O24" s="10"/>
      <c r="P24" s="2">
        <f>--48703.42</f>
        <v>48703.42</v>
      </c>
      <c r="Q24" s="2"/>
      <c r="R24" s="19"/>
      <c r="S24" s="2"/>
      <c r="T24" s="2">
        <f>--69659.9</f>
        <v>69659.899999999994</v>
      </c>
      <c r="U24" s="2"/>
      <c r="V24" s="19"/>
      <c r="W24" s="2"/>
      <c r="X24" s="2">
        <f t="shared" si="2"/>
        <v>-20956.479999999996</v>
      </c>
      <c r="Y24" s="2"/>
      <c r="Z24" s="19">
        <f t="shared" si="3"/>
        <v>-0.3008399380418289</v>
      </c>
    </row>
    <row r="25" spans="1:26" s="23" customFormat="1" hidden="1" outlineLevel="1" x14ac:dyDescent="0.25">
      <c r="A25" s="44"/>
      <c r="B25" s="10" t="str">
        <f>CONCATENATE("          ", "4103", " - ", "NON-TAXABLE SALES-RENTAL TEXT")</f>
        <v xml:space="preserve">          4103 - NON-TAXABLE SALES-RENTAL TEXT</v>
      </c>
      <c r="C25" s="10"/>
      <c r="D25" s="2">
        <f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>--1138.95</f>
        <v>1138.95</v>
      </c>
      <c r="Q25" s="2"/>
      <c r="R25" s="19"/>
      <c r="S25" s="2"/>
      <c r="T25" s="2">
        <f>--664.97</f>
        <v>664.97</v>
      </c>
      <c r="U25" s="2"/>
      <c r="V25" s="19"/>
      <c r="W25" s="2"/>
      <c r="X25" s="2">
        <f t="shared" si="2"/>
        <v>473.98</v>
      </c>
      <c r="Y25" s="2"/>
      <c r="Z25" s="19">
        <f t="shared" si="3"/>
        <v>0.71278403537001667</v>
      </c>
    </row>
    <row r="26" spans="1:26" s="23" customFormat="1" hidden="1" outlineLevel="1" x14ac:dyDescent="0.25">
      <c r="A26" s="44"/>
      <c r="B26" s="10" t="str">
        <f>CONCATENATE("          ", "4104", " - ", "NON-TAXABLE SALES-DIGITAL TEXT")</f>
        <v xml:space="preserve">          4104 - NON-TAXABLE SALES-DIGITAL TEXT</v>
      </c>
      <c r="C26" s="10"/>
      <c r="D26" s="2">
        <f>--3431.99</f>
        <v>3431.99</v>
      </c>
      <c r="E26" s="2"/>
      <c r="F26" s="19"/>
      <c r="G26" s="2"/>
      <c r="H26" s="2">
        <f>--2502.44</f>
        <v>2502.44</v>
      </c>
      <c r="I26" s="2"/>
      <c r="J26" s="19"/>
      <c r="K26" s="2"/>
      <c r="L26" s="2">
        <f t="shared" si="0"/>
        <v>929.54999999999973</v>
      </c>
      <c r="M26" s="2"/>
      <c r="N26" s="19">
        <f t="shared" si="1"/>
        <v>0.37145745752145892</v>
      </c>
      <c r="O26" s="10"/>
      <c r="P26" s="2">
        <f>--480403.17</f>
        <v>480403.17</v>
      </c>
      <c r="Q26" s="2"/>
      <c r="R26" s="19"/>
      <c r="S26" s="2"/>
      <c r="T26" s="2">
        <f>--526854.09</f>
        <v>526854.09</v>
      </c>
      <c r="U26" s="2"/>
      <c r="V26" s="19"/>
      <c r="W26" s="2"/>
      <c r="X26" s="2">
        <f t="shared" si="2"/>
        <v>-46450.919999999984</v>
      </c>
      <c r="Y26" s="2"/>
      <c r="Z26" s="19">
        <f t="shared" si="3"/>
        <v>-8.8166573785163155E-2</v>
      </c>
    </row>
    <row r="27" spans="1:26" s="23" customFormat="1" hidden="1" outlineLevel="1" x14ac:dyDescent="0.25">
      <c r="A27" s="44"/>
      <c r="B27" s="10" t="str">
        <f>CONCATENATE("          ", "4111", " - ", "NON-TAXABLE SALES-NO VALUE TEX")</f>
        <v xml:space="preserve">          4111 - NON-TAXABLE SALES-NO VALUE TEX</v>
      </c>
      <c r="C27" s="10"/>
      <c r="D27" s="2">
        <f>0</f>
        <v>0</v>
      </c>
      <c r="E27" s="2"/>
      <c r="F27" s="19"/>
      <c r="G27" s="2"/>
      <c r="H27" s="2">
        <f>--593.67</f>
        <v>593.66999999999996</v>
      </c>
      <c r="I27" s="2"/>
      <c r="J27" s="19"/>
      <c r="K27" s="2"/>
      <c r="L27" s="2">
        <f t="shared" si="0"/>
        <v>-593.66999999999996</v>
      </c>
      <c r="M27" s="2"/>
      <c r="N27" s="19">
        <f t="shared" si="1"/>
        <v>-1</v>
      </c>
      <c r="O27" s="10"/>
      <c r="P27" s="2">
        <f>0</f>
        <v>0</v>
      </c>
      <c r="Q27" s="2"/>
      <c r="R27" s="19"/>
      <c r="S27" s="2"/>
      <c r="T27" s="2">
        <f>--15323</f>
        <v>15323</v>
      </c>
      <c r="U27" s="2"/>
      <c r="V27" s="19"/>
      <c r="W27" s="2"/>
      <c r="X27" s="2">
        <f t="shared" si="2"/>
        <v>-15323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"4113", " - ", "NON-TAXABLE SALES-TRADE BOOKS")</f>
        <v xml:space="preserve">          4113 - NON-TAXABLE SALES-TRADE BOOKS</v>
      </c>
      <c r="C28" s="10"/>
      <c r="D28" s="2">
        <f>--738</f>
        <v>738</v>
      </c>
      <c r="E28" s="2"/>
      <c r="F28" s="19"/>
      <c r="G28" s="2"/>
      <c r="H28" s="2">
        <f>--2440</f>
        <v>2440</v>
      </c>
      <c r="I28" s="2"/>
      <c r="J28" s="19"/>
      <c r="K28" s="2"/>
      <c r="L28" s="2">
        <f t="shared" si="0"/>
        <v>-1702</v>
      </c>
      <c r="M28" s="2"/>
      <c r="N28" s="19">
        <f t="shared" si="1"/>
        <v>-0.69754098360655736</v>
      </c>
      <c r="O28" s="10"/>
      <c r="P28" s="2">
        <f>--12127.25</f>
        <v>12127.25</v>
      </c>
      <c r="Q28" s="2"/>
      <c r="R28" s="19"/>
      <c r="S28" s="2"/>
      <c r="T28" s="2">
        <f>--8241.92</f>
        <v>8241.92</v>
      </c>
      <c r="U28" s="2"/>
      <c r="V28" s="19"/>
      <c r="W28" s="2"/>
      <c r="X28" s="2">
        <f t="shared" si="2"/>
        <v>3885.33</v>
      </c>
      <c r="Y28" s="2"/>
      <c r="Z28" s="19">
        <f t="shared" si="3"/>
        <v>0.4714107877776052</v>
      </c>
    </row>
    <row r="29" spans="1:26" s="23" customFormat="1" hidden="1" outlineLevel="1" x14ac:dyDescent="0.25">
      <c r="A29" s="44"/>
      <c r="B29" s="10" t="str">
        <f>CONCATENATE("          ", "4118", " - ", "NON-TAXABLE SALES-STUDY GUIDES")</f>
        <v xml:space="preserve">          4118 - NON-TAXABLE SALES-STUDY GUIDES</v>
      </c>
      <c r="C29" s="10"/>
      <c r="D29" s="2">
        <f>0</f>
        <v>0</v>
      </c>
      <c r="E29" s="2"/>
      <c r="F29" s="19"/>
      <c r="G29" s="2"/>
      <c r="H29" s="2">
        <f>--7.02</f>
        <v>7.02</v>
      </c>
      <c r="I29" s="2"/>
      <c r="J29" s="19"/>
      <c r="K29" s="2"/>
      <c r="L29" s="2">
        <f t="shared" si="0"/>
        <v>-7.02</v>
      </c>
      <c r="M29" s="2"/>
      <c r="N29" s="19">
        <f t="shared" si="1"/>
        <v>-1</v>
      </c>
      <c r="O29" s="10"/>
      <c r="P29" s="2">
        <f>--771.73</f>
        <v>771.73</v>
      </c>
      <c r="Q29" s="2"/>
      <c r="R29" s="19"/>
      <c r="S29" s="2"/>
      <c r="T29" s="2">
        <f>--75.94</f>
        <v>75.94</v>
      </c>
      <c r="U29" s="2"/>
      <c r="V29" s="19"/>
      <c r="W29" s="2"/>
      <c r="X29" s="2">
        <f t="shared" si="2"/>
        <v>695.79</v>
      </c>
      <c r="Y29" s="2"/>
      <c r="Z29" s="19">
        <f t="shared" si="3"/>
        <v>9.1623650250197528</v>
      </c>
    </row>
    <row r="30" spans="1:26" s="23" customFormat="1" hidden="1" outlineLevel="1" x14ac:dyDescent="0.25">
      <c r="A30" s="44"/>
      <c r="B30" s="10" t="str">
        <f>CONCATENATE("          ", "4201", " - ", "SALES RETURN TAXABLE-NEW TEXT")</f>
        <v xml:space="preserve">          4201 - SALES RETURN TAXABLE-NEW TEXT</v>
      </c>
      <c r="C30" s="10"/>
      <c r="D30" s="2">
        <f>-376.85</f>
        <v>-376.85</v>
      </c>
      <c r="E30" s="2"/>
      <c r="F30" s="19"/>
      <c r="G30" s="2"/>
      <c r="H30" s="2">
        <f>-62.3</f>
        <v>-62.3</v>
      </c>
      <c r="I30" s="2"/>
      <c r="J30" s="19"/>
      <c r="K30" s="2"/>
      <c r="L30" s="2">
        <f t="shared" si="0"/>
        <v>-314.55</v>
      </c>
      <c r="M30" s="2"/>
      <c r="N30" s="19">
        <f t="shared" si="1"/>
        <v>5.048956661316212</v>
      </c>
      <c r="O30" s="10"/>
      <c r="P30" s="2">
        <f>-51638.02</f>
        <v>-51638.02</v>
      </c>
      <c r="Q30" s="2"/>
      <c r="R30" s="19"/>
      <c r="S30" s="2"/>
      <c r="T30" s="2">
        <f>-121223.01</f>
        <v>-121223.01</v>
      </c>
      <c r="U30" s="2"/>
      <c r="V30" s="19"/>
      <c r="W30" s="2"/>
      <c r="X30" s="2">
        <f t="shared" si="2"/>
        <v>69584.989999999991</v>
      </c>
      <c r="Y30" s="2"/>
      <c r="Z30" s="19">
        <f t="shared" si="3"/>
        <v>-0.57402460143499157</v>
      </c>
    </row>
    <row r="31" spans="1:26" s="23" customFormat="1" hidden="1" outlineLevel="1" x14ac:dyDescent="0.25">
      <c r="A31" s="44"/>
      <c r="B31" s="10" t="str">
        <f>CONCATENATE("          ", "4202", " - ", "SALES RETURN TAXABLE-USED TEXT")</f>
        <v xml:space="preserve">          4202 - SALES RETURN TAXABLE-USED TEXT</v>
      </c>
      <c r="C31" s="10"/>
      <c r="D31" s="2">
        <f>-206.95</f>
        <v>-206.95</v>
      </c>
      <c r="E31" s="2"/>
      <c r="F31" s="19"/>
      <c r="G31" s="2"/>
      <c r="H31" s="2">
        <f>-31.95</f>
        <v>-31.95</v>
      </c>
      <c r="I31" s="2"/>
      <c r="J31" s="19"/>
      <c r="K31" s="2"/>
      <c r="L31" s="2">
        <f t="shared" si="0"/>
        <v>-175</v>
      </c>
      <c r="M31" s="2"/>
      <c r="N31" s="19">
        <f t="shared" si="1"/>
        <v>5.4773082942097027</v>
      </c>
      <c r="O31" s="10"/>
      <c r="P31" s="2">
        <f>-20096.26</f>
        <v>-20096.259999999998</v>
      </c>
      <c r="Q31" s="2"/>
      <c r="R31" s="19"/>
      <c r="S31" s="2"/>
      <c r="T31" s="2">
        <f>-45552.71</f>
        <v>-45552.71</v>
      </c>
      <c r="U31" s="2"/>
      <c r="V31" s="19"/>
      <c r="W31" s="2"/>
      <c r="X31" s="2">
        <f t="shared" si="2"/>
        <v>25456.45</v>
      </c>
      <c r="Y31" s="2"/>
      <c r="Z31" s="19">
        <f t="shared" si="3"/>
        <v>-0.55883502869532897</v>
      </c>
    </row>
    <row r="32" spans="1:26" s="23" customFormat="1" hidden="1" outlineLevel="1" x14ac:dyDescent="0.25">
      <c r="A32" s="44"/>
      <c r="B32" s="10" t="str">
        <f>CONCATENATE("          ", "4203", " - ", "SALES RETURN TAXABLE-RENTAL TE")</f>
        <v xml:space="preserve">          4203 - SALES RETURN TAXABLE-RENTAL TE</v>
      </c>
      <c r="C32" s="10"/>
      <c r="D32" s="2">
        <f t="shared" ref="D32:D36" si="7">0</f>
        <v>0</v>
      </c>
      <c r="E32" s="2"/>
      <c r="F32" s="19"/>
      <c r="G32" s="2"/>
      <c r="H32" s="2">
        <f t="shared" ref="H32:H33" si="8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0</f>
        <v>0</v>
      </c>
      <c r="Q32" s="2"/>
      <c r="R32" s="19"/>
      <c r="S32" s="2"/>
      <c r="T32" s="2">
        <f>-144.99</f>
        <v>-144.99</v>
      </c>
      <c r="U32" s="2"/>
      <c r="V32" s="19"/>
      <c r="W32" s="2"/>
      <c r="X32" s="2">
        <f t="shared" si="2"/>
        <v>144.99</v>
      </c>
      <c r="Y32" s="2"/>
      <c r="Z32" s="19">
        <f t="shared" si="3"/>
        <v>-1</v>
      </c>
    </row>
    <row r="33" spans="1:26" s="23" customFormat="1" hidden="1" outlineLevel="1" x14ac:dyDescent="0.25">
      <c r="A33" s="44"/>
      <c r="B33" s="10" t="str">
        <f>CONCATENATE("          ", "4204", " - ", "SALES RETURN TAXABLE-DIGITAL T")</f>
        <v xml:space="preserve">          4204 - SALES RETURN TAXABLE-DIGITAL T</v>
      </c>
      <c r="C33" s="10"/>
      <c r="D33" s="2">
        <f t="shared" si="7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>-1763.1</f>
        <v>-1763.1</v>
      </c>
      <c r="Q33" s="2"/>
      <c r="R33" s="19"/>
      <c r="S33" s="2"/>
      <c r="T33" s="2">
        <f>-17255.33</f>
        <v>-17255.330000000002</v>
      </c>
      <c r="U33" s="2"/>
      <c r="V33" s="19"/>
      <c r="W33" s="2"/>
      <c r="X33" s="2">
        <f t="shared" si="2"/>
        <v>15492.230000000001</v>
      </c>
      <c r="Y33" s="2"/>
      <c r="Z33" s="19">
        <f t="shared" si="3"/>
        <v>-0.89782287559843832</v>
      </c>
    </row>
    <row r="34" spans="1:26" s="23" customFormat="1" hidden="1" outlineLevel="1" x14ac:dyDescent="0.25">
      <c r="A34" s="44"/>
      <c r="B34" s="10" t="str">
        <f>CONCATENATE("          ", "4213", " - ", "NON-TAXABLE SALES-TRADE BOOKS")</f>
        <v xml:space="preserve">          4213 - NON-TAXABLE SALES-TRADE BOOKS</v>
      </c>
      <c r="C34" s="10"/>
      <c r="D34" s="2">
        <f t="shared" si="7"/>
        <v>0</v>
      </c>
      <c r="E34" s="2"/>
      <c r="F34" s="19"/>
      <c r="G34" s="2"/>
      <c r="H34" s="2">
        <f>-2173.76</f>
        <v>-2173.7600000000002</v>
      </c>
      <c r="I34" s="2"/>
      <c r="J34" s="19"/>
      <c r="K34" s="2"/>
      <c r="L34" s="2">
        <f t="shared" si="0"/>
        <v>2173.7600000000002</v>
      </c>
      <c r="M34" s="2"/>
      <c r="N34" s="19">
        <f t="shared" si="1"/>
        <v>-1</v>
      </c>
      <c r="O34" s="10"/>
      <c r="P34" s="2">
        <f>-69.93</f>
        <v>-69.930000000000007</v>
      </c>
      <c r="Q34" s="2"/>
      <c r="R34" s="19"/>
      <c r="S34" s="2"/>
      <c r="T34" s="2">
        <f>-2768.67</f>
        <v>-2768.67</v>
      </c>
      <c r="U34" s="2"/>
      <c r="V34" s="19"/>
      <c r="W34" s="2"/>
      <c r="X34" s="2">
        <f t="shared" si="2"/>
        <v>2698.7400000000002</v>
      </c>
      <c r="Y34" s="2"/>
      <c r="Z34" s="19">
        <f t="shared" si="3"/>
        <v>-0.97474238533303004</v>
      </c>
    </row>
    <row r="35" spans="1:26" s="23" customFormat="1" hidden="1" outlineLevel="1" x14ac:dyDescent="0.25">
      <c r="A35" s="44"/>
      <c r="B35" s="10" t="str">
        <f>CONCATENATE("          ", "4214", " - ", "SALES RETURN TAXABLE-REMAINDER")</f>
        <v xml:space="preserve">          4214 - SALES RETURN TAXABLE-REMAINDER</v>
      </c>
      <c r="C35" s="10"/>
      <c r="D35" s="2">
        <f t="shared" si="7"/>
        <v>0</v>
      </c>
      <c r="E35" s="2"/>
      <c r="F35" s="19"/>
      <c r="G35" s="2"/>
      <c r="H35" s="2">
        <f t="shared" ref="H35:H36" si="9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0</f>
        <v>0</v>
      </c>
      <c r="Q35" s="2"/>
      <c r="R35" s="19"/>
      <c r="S35" s="2"/>
      <c r="T35" s="2">
        <f>-11.94</f>
        <v>-11.94</v>
      </c>
      <c r="U35" s="2"/>
      <c r="V35" s="19"/>
      <c r="W35" s="2"/>
      <c r="X35" s="2">
        <f t="shared" si="2"/>
        <v>11.94</v>
      </c>
      <c r="Y35" s="2"/>
      <c r="Z35" s="19">
        <f t="shared" si="3"/>
        <v>-1</v>
      </c>
    </row>
    <row r="36" spans="1:26" s="23" customFormat="1" hidden="1" outlineLevel="1" x14ac:dyDescent="0.25">
      <c r="A36" s="44"/>
      <c r="B36" s="10" t="str">
        <f>CONCATENATE("          ", "4218", " - ", "SALES RETURN TAXABLE-STUDY GUI")</f>
        <v xml:space="preserve">          4218 - SALES RETURN TAXABLE-STUDY GUI</v>
      </c>
      <c r="C36" s="10"/>
      <c r="D36" s="2">
        <f t="shared" si="7"/>
        <v>0</v>
      </c>
      <c r="E36" s="2"/>
      <c r="F36" s="19"/>
      <c r="G36" s="2"/>
      <c r="H36" s="2">
        <f t="shared" si="9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0"/>
      <c r="P36" s="2">
        <f>-5.21</f>
        <v>-5.21</v>
      </c>
      <c r="Q36" s="2"/>
      <c r="R36" s="19"/>
      <c r="S36" s="2"/>
      <c r="T36" s="2">
        <f>-39.25</f>
        <v>-39.25</v>
      </c>
      <c r="U36" s="2"/>
      <c r="V36" s="19"/>
      <c r="W36" s="2"/>
      <c r="X36" s="2">
        <f t="shared" si="2"/>
        <v>34.04</v>
      </c>
      <c r="Y36" s="2"/>
      <c r="Z36" s="19">
        <f t="shared" si="3"/>
        <v>-0.86726114649681529</v>
      </c>
    </row>
    <row r="37" spans="1:26" s="23" customFormat="1" hidden="1" outlineLevel="1" x14ac:dyDescent="0.25">
      <c r="A37" s="44"/>
      <c r="B37" s="10" t="str">
        <f>CONCATENATE("          ", "4301", " - ", "SALES RETURN NON TAXABLE-NEW T")</f>
        <v xml:space="preserve">          4301 - SALES RETURN NON TAXABLE-NEW T</v>
      </c>
      <c r="C37" s="10"/>
      <c r="D37" s="2">
        <f>-225.91</f>
        <v>-225.91</v>
      </c>
      <c r="E37" s="2"/>
      <c r="F37" s="19"/>
      <c r="G37" s="2"/>
      <c r="H37" s="2">
        <f>-357.81</f>
        <v>-357.81</v>
      </c>
      <c r="I37" s="2"/>
      <c r="J37" s="19"/>
      <c r="K37" s="2"/>
      <c r="L37" s="2">
        <f t="shared" si="0"/>
        <v>131.9</v>
      </c>
      <c r="M37" s="2"/>
      <c r="N37" s="19">
        <f t="shared" si="1"/>
        <v>-0.36863139655124227</v>
      </c>
      <c r="O37" s="10"/>
      <c r="P37" s="2">
        <f>-3463.2</f>
        <v>-3463.2</v>
      </c>
      <c r="Q37" s="2"/>
      <c r="R37" s="19"/>
      <c r="S37" s="2"/>
      <c r="T37" s="2">
        <f>-15579.43</f>
        <v>-15579.43</v>
      </c>
      <c r="U37" s="2"/>
      <c r="V37" s="19"/>
      <c r="W37" s="2"/>
      <c r="X37" s="2">
        <f t="shared" si="2"/>
        <v>12116.23</v>
      </c>
      <c r="Y37" s="2"/>
      <c r="Z37" s="19">
        <f t="shared" si="3"/>
        <v>-0.77770688658057452</v>
      </c>
    </row>
    <row r="38" spans="1:26" s="23" customFormat="1" hidden="1" outlineLevel="1" x14ac:dyDescent="0.25">
      <c r="A38" s="44"/>
      <c r="B38" s="10" t="str">
        <f>CONCATENATE("          ", "4302", " - ", "SALES RETURN NON TAXABLE-TEXT")</f>
        <v xml:space="preserve">          4302 - SALES RETURN NON TAXABLE-TEXT</v>
      </c>
      <c r="C38" s="10"/>
      <c r="D38" s="2">
        <f>-98.97</f>
        <v>-98.97</v>
      </c>
      <c r="E38" s="2"/>
      <c r="F38" s="19"/>
      <c r="G38" s="2"/>
      <c r="H38" s="2">
        <f t="shared" ref="H38:H40" si="10">0</f>
        <v>0</v>
      </c>
      <c r="I38" s="2"/>
      <c r="J38" s="19"/>
      <c r="K38" s="2"/>
      <c r="L38" s="2">
        <f t="shared" si="0"/>
        <v>-98.97</v>
      </c>
      <c r="M38" s="2"/>
      <c r="N38" s="19">
        <f t="shared" si="1"/>
        <v>0</v>
      </c>
      <c r="O38" s="10"/>
      <c r="P38" s="2">
        <f>-2443.32</f>
        <v>-2443.3200000000002</v>
      </c>
      <c r="Q38" s="2"/>
      <c r="R38" s="19"/>
      <c r="S38" s="2"/>
      <c r="T38" s="2">
        <f>-1312.37</f>
        <v>-1312.37</v>
      </c>
      <c r="U38" s="2"/>
      <c r="V38" s="19"/>
      <c r="W38" s="2"/>
      <c r="X38" s="2">
        <f t="shared" si="2"/>
        <v>-1130.9500000000003</v>
      </c>
      <c r="Y38" s="2"/>
      <c r="Z38" s="19">
        <f t="shared" si="3"/>
        <v>0.86176154590549947</v>
      </c>
    </row>
    <row r="39" spans="1:26" s="23" customFormat="1" hidden="1" outlineLevel="1" x14ac:dyDescent="0.25">
      <c r="A39" s="44"/>
      <c r="B39" s="10" t="str">
        <f>CONCATENATE("          ", "4303", " - ", "SALES RETURN NON-TAXABLE-RENTA")</f>
        <v xml:space="preserve">          4303 - SALES RETURN NON-TAXABLE-RENTA</v>
      </c>
      <c r="C39" s="10"/>
      <c r="D39" s="2">
        <f t="shared" ref="D39:D42" si="11">0</f>
        <v>0</v>
      </c>
      <c r="E39" s="2"/>
      <c r="F39" s="19"/>
      <c r="G39" s="2"/>
      <c r="H39" s="2">
        <f t="shared" si="10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0"/>
      <c r="P39" s="2">
        <f>0</f>
        <v>0</v>
      </c>
      <c r="Q39" s="2"/>
      <c r="R39" s="19"/>
      <c r="S39" s="2"/>
      <c r="T39" s="2">
        <f>-184.99</f>
        <v>-184.99</v>
      </c>
      <c r="U39" s="2"/>
      <c r="V39" s="19"/>
      <c r="W39" s="2"/>
      <c r="X39" s="2">
        <f t="shared" si="2"/>
        <v>184.99</v>
      </c>
      <c r="Y39" s="2"/>
      <c r="Z39" s="19">
        <f t="shared" si="3"/>
        <v>-1</v>
      </c>
    </row>
    <row r="40" spans="1:26" s="23" customFormat="1" hidden="1" outlineLevel="1" x14ac:dyDescent="0.25">
      <c r="A40" s="44"/>
      <c r="B40" s="10" t="str">
        <f>CONCATENATE("          ", "4304", " - ", "SALES RETURN NON TAXABLE-DIGIT")</f>
        <v xml:space="preserve">          4304 - SALES RETURN NON TAXABLE-DIGIT</v>
      </c>
      <c r="C40" s="10"/>
      <c r="D40" s="2">
        <f t="shared" si="11"/>
        <v>0</v>
      </c>
      <c r="E40" s="2"/>
      <c r="F40" s="19"/>
      <c r="G40" s="2"/>
      <c r="H40" s="2">
        <f t="shared" si="10"/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0"/>
      <c r="P40" s="2">
        <f>-27543.76</f>
        <v>-27543.759999999998</v>
      </c>
      <c r="Q40" s="2"/>
      <c r="R40" s="19"/>
      <c r="S40" s="2"/>
      <c r="T40" s="2">
        <f>-19036.13</f>
        <v>-19036.13</v>
      </c>
      <c r="U40" s="2"/>
      <c r="V40" s="19"/>
      <c r="W40" s="2"/>
      <c r="X40" s="2">
        <f t="shared" si="2"/>
        <v>-8507.6299999999974</v>
      </c>
      <c r="Y40" s="2"/>
      <c r="Z40" s="19">
        <f t="shared" si="3"/>
        <v>0.44692014605909902</v>
      </c>
    </row>
    <row r="41" spans="1:26" s="23" customFormat="1" hidden="1" outlineLevel="1" x14ac:dyDescent="0.25">
      <c r="A41" s="44"/>
      <c r="B41" s="10" t="str">
        <f>CONCATENATE("          ", "4311", " - ", "SALES RETURN NON TAXABLE-NO VA")</f>
        <v xml:space="preserve">          4311 - SALES RETURN NON TAXABLE-NO VA</v>
      </c>
      <c r="C41" s="10"/>
      <c r="D41" s="2">
        <f t="shared" si="11"/>
        <v>0</v>
      </c>
      <c r="E41" s="2"/>
      <c r="F41" s="19"/>
      <c r="G41" s="2"/>
      <c r="H41" s="2">
        <f>-88.62</f>
        <v>-88.62</v>
      </c>
      <c r="I41" s="2"/>
      <c r="J41" s="19"/>
      <c r="K41" s="2"/>
      <c r="L41" s="2">
        <f t="shared" si="0"/>
        <v>88.62</v>
      </c>
      <c r="M41" s="2"/>
      <c r="N41" s="19">
        <f t="shared" si="1"/>
        <v>-1</v>
      </c>
      <c r="O41" s="10"/>
      <c r="P41" s="2">
        <f t="shared" ref="P41:P42" si="12">0</f>
        <v>0</v>
      </c>
      <c r="Q41" s="2"/>
      <c r="R41" s="19"/>
      <c r="S41" s="2"/>
      <c r="T41" s="2">
        <f>-941.28</f>
        <v>-941.28</v>
      </c>
      <c r="U41" s="2"/>
      <c r="V41" s="19"/>
      <c r="W41" s="2"/>
      <c r="X41" s="2">
        <f t="shared" si="2"/>
        <v>941.28</v>
      </c>
      <c r="Y41" s="2"/>
      <c r="Z41" s="19">
        <f t="shared" si="3"/>
        <v>-1</v>
      </c>
    </row>
    <row r="42" spans="1:26" s="23" customFormat="1" hidden="1" outlineLevel="1" x14ac:dyDescent="0.25">
      <c r="A42" s="44"/>
      <c r="B42" s="10" t="str">
        <f>CONCATENATE("          ", "4313", " - ", "SALES RETURN NON TAXABLE-TRADE")</f>
        <v xml:space="preserve">          4313 - SALES RETURN NON TAXABLE-TRADE</v>
      </c>
      <c r="C42" s="10"/>
      <c r="D42" s="2">
        <f t="shared" si="11"/>
        <v>0</v>
      </c>
      <c r="E42" s="2"/>
      <c r="F42" s="19"/>
      <c r="G42" s="2"/>
      <c r="H42" s="2">
        <f>-2481.44</f>
        <v>-2481.44</v>
      </c>
      <c r="I42" s="2"/>
      <c r="J42" s="19"/>
      <c r="K42" s="2"/>
      <c r="L42" s="2">
        <f t="shared" si="0"/>
        <v>2481.44</v>
      </c>
      <c r="M42" s="2"/>
      <c r="N42" s="19">
        <f t="shared" si="1"/>
        <v>-1</v>
      </c>
      <c r="O42" s="10"/>
      <c r="P42" s="2">
        <f t="shared" si="12"/>
        <v>0</v>
      </c>
      <c r="Q42" s="2"/>
      <c r="R42" s="19"/>
      <c r="S42" s="2"/>
      <c r="T42" s="2">
        <f>-2481.44</f>
        <v>-2481.44</v>
      </c>
      <c r="U42" s="2"/>
      <c r="V42" s="19"/>
      <c r="W42" s="2"/>
      <c r="X42" s="2">
        <f t="shared" si="2"/>
        <v>2481.44</v>
      </c>
      <c r="Y42" s="2"/>
      <c r="Z42" s="19">
        <f t="shared" si="3"/>
        <v>-1</v>
      </c>
    </row>
    <row r="43" spans="1:26" x14ac:dyDescent="0.25">
      <c r="A43" s="9"/>
      <c r="B43" s="11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4" customFormat="1" collapsed="1" x14ac:dyDescent="0.25">
      <c r="A44" s="11"/>
      <c r="B44" s="28" t="s">
        <v>256</v>
      </c>
      <c r="C44" s="11"/>
      <c r="D44" s="4">
        <f>SUM(OSRRefD16x_0)</f>
        <v>31268.500000000022</v>
      </c>
      <c r="E44" s="4"/>
      <c r="F44" s="13">
        <f t="shared" ref="F44:F61" si="13">IF(D$12=0,0,D44/D$12)</f>
        <v>1.2189911321645488</v>
      </c>
      <c r="G44" s="4"/>
      <c r="H44" s="4">
        <f>SUM(OSRRefH16x_0)</f>
        <v>19660.770000000004</v>
      </c>
      <c r="I44" s="4"/>
      <c r="J44" s="13">
        <f t="shared" ref="J44:J61" si="14">IF(H$12=0,0,H44/H$12)</f>
        <v>0.60028119904984667</v>
      </c>
      <c r="K44" s="4"/>
      <c r="L44" s="4">
        <f t="shared" ref="L44:L61" si="15">+D44-H44</f>
        <v>11607.730000000018</v>
      </c>
      <c r="M44" s="4"/>
      <c r="N44" s="13">
        <f t="shared" ref="N44:N61" si="16">IF(H44=0,0,L44/H44)</f>
        <v>0.5904005794279682</v>
      </c>
      <c r="O44" s="11"/>
      <c r="P44" s="4">
        <f>SUM(OSRRefP16x_0)</f>
        <v>1904519.22</v>
      </c>
      <c r="Q44" s="4"/>
      <c r="R44" s="13">
        <f t="shared" ref="R44:R61" si="17">IF(P$12=0,0,P44/P$12)</f>
        <v>0.71073789515303354</v>
      </c>
      <c r="S44" s="4"/>
      <c r="T44" s="4">
        <f>SUM(OSRRefT16x_0)</f>
        <v>3484043.9900000007</v>
      </c>
      <c r="U44" s="4"/>
      <c r="V44" s="13">
        <f t="shared" ref="V44:V61" si="18">IF(T$12=0,0,T44/T$12)</f>
        <v>0.7156133080975885</v>
      </c>
      <c r="W44" s="4"/>
      <c r="X44" s="4">
        <f t="shared" ref="X44:X61" si="19">+P44-T44</f>
        <v>-1579524.7700000007</v>
      </c>
      <c r="Y44" s="4"/>
      <c r="Z44" s="13">
        <f t="shared" ref="Z44:Z61" si="20">IF(T44=0,0,X44/T44)</f>
        <v>-0.4533595943488648</v>
      </c>
    </row>
    <row r="45" spans="1:26" s="23" customFormat="1" hidden="1" outlineLevel="1" x14ac:dyDescent="0.25">
      <c r="A45" s="44"/>
      <c r="B45" s="10" t="str">
        <f>CONCATENATE("          ", "5000", " - ", "PURCHASES @ COST")</f>
        <v xml:space="preserve">          5000 - PURCHASES @ COST</v>
      </c>
      <c r="C45" s="10"/>
      <c r="D45" s="2"/>
      <c r="E45" s="2"/>
      <c r="F45" s="19">
        <f t="shared" si="13"/>
        <v>0</v>
      </c>
      <c r="G45" s="2"/>
      <c r="H45" s="2"/>
      <c r="I45" s="2"/>
      <c r="J45" s="19">
        <f t="shared" si="14"/>
        <v>0</v>
      </c>
      <c r="K45" s="2"/>
      <c r="L45" s="2">
        <f t="shared" si="15"/>
        <v>0</v>
      </c>
      <c r="M45" s="2"/>
      <c r="N45" s="19">
        <f t="shared" si="16"/>
        <v>0</v>
      </c>
      <c r="O45" s="10"/>
      <c r="P45" s="2">
        <v>0</v>
      </c>
      <c r="Q45" s="2"/>
      <c r="R45" s="19">
        <f t="shared" si="17"/>
        <v>0</v>
      </c>
      <c r="S45" s="2"/>
      <c r="T45" s="2">
        <v>0</v>
      </c>
      <c r="U45" s="2"/>
      <c r="V45" s="19">
        <f t="shared" si="18"/>
        <v>0</v>
      </c>
      <c r="W45" s="2"/>
      <c r="X45" s="2">
        <f t="shared" si="19"/>
        <v>0</v>
      </c>
      <c r="Y45" s="2"/>
      <c r="Z45" s="19">
        <f t="shared" si="20"/>
        <v>0</v>
      </c>
    </row>
    <row r="46" spans="1:26" s="23" customFormat="1" hidden="1" outlineLevel="1" x14ac:dyDescent="0.25">
      <c r="A46" s="44"/>
      <c r="B46" s="10" t="str">
        <f>CONCATENATE("          ", "5001", " - ", "PURCHASES @ COST-NEW TEXT")</f>
        <v xml:space="preserve">          5001 - PURCHASES @ COST-NEW TEXT</v>
      </c>
      <c r="C46" s="10"/>
      <c r="D46" s="2">
        <v>-28969.93</v>
      </c>
      <c r="E46" s="2"/>
      <c r="F46" s="19">
        <f t="shared" si="13"/>
        <v>-1.129382214350791</v>
      </c>
      <c r="G46" s="2"/>
      <c r="H46" s="2">
        <v>-24912.87</v>
      </c>
      <c r="I46" s="2"/>
      <c r="J46" s="19">
        <f t="shared" si="14"/>
        <v>-0.76063793408767555</v>
      </c>
      <c r="K46" s="2"/>
      <c r="L46" s="2">
        <f t="shared" si="15"/>
        <v>-4057.0600000000013</v>
      </c>
      <c r="M46" s="2"/>
      <c r="N46" s="19">
        <f t="shared" si="16"/>
        <v>0.16284996469696192</v>
      </c>
      <c r="O46" s="10"/>
      <c r="P46" s="2">
        <v>1006546.47</v>
      </c>
      <c r="Q46" s="2"/>
      <c r="R46" s="19">
        <f t="shared" si="17"/>
        <v>0.37562798629121524</v>
      </c>
      <c r="S46" s="2"/>
      <c r="T46" s="2">
        <v>1569752.25</v>
      </c>
      <c r="U46" s="2"/>
      <c r="V46" s="19">
        <f t="shared" si="18"/>
        <v>0.32242290962466652</v>
      </c>
      <c r="W46" s="2"/>
      <c r="X46" s="2">
        <f t="shared" si="19"/>
        <v>-563205.78</v>
      </c>
      <c r="Y46" s="2"/>
      <c r="Z46" s="19">
        <f t="shared" si="20"/>
        <v>-0.35878641358851376</v>
      </c>
    </row>
    <row r="47" spans="1:26" s="23" customFormat="1" hidden="1" outlineLevel="1" x14ac:dyDescent="0.25">
      <c r="A47" s="44"/>
      <c r="B47" s="10" t="str">
        <f>CONCATENATE("          ", "5002", " - ", "PURCHASES @ COST-USED TEXT")</f>
        <v xml:space="preserve">          5002 - PURCHASES @ COST-USED TEXT</v>
      </c>
      <c r="C47" s="10"/>
      <c r="D47" s="2">
        <v>-122091.65</v>
      </c>
      <c r="E47" s="2"/>
      <c r="F47" s="19">
        <f t="shared" si="13"/>
        <v>-4.7596986955350511</v>
      </c>
      <c r="G47" s="2"/>
      <c r="H47" s="2">
        <v>-3117.33</v>
      </c>
      <c r="I47" s="2"/>
      <c r="J47" s="19">
        <f t="shared" si="14"/>
        <v>-9.5178092731569408E-2</v>
      </c>
      <c r="K47" s="2"/>
      <c r="L47" s="2">
        <f t="shared" si="15"/>
        <v>-118974.31999999999</v>
      </c>
      <c r="M47" s="2"/>
      <c r="N47" s="19">
        <f t="shared" si="16"/>
        <v>38.165455694456469</v>
      </c>
      <c r="O47" s="10"/>
      <c r="P47" s="2">
        <v>274961.02</v>
      </c>
      <c r="Q47" s="2"/>
      <c r="R47" s="19">
        <f t="shared" si="17"/>
        <v>0.10261131237306766</v>
      </c>
      <c r="S47" s="2"/>
      <c r="T47" s="2">
        <v>595582.78</v>
      </c>
      <c r="U47" s="2"/>
      <c r="V47" s="19">
        <f t="shared" si="18"/>
        <v>0.12233110852362063</v>
      </c>
      <c r="W47" s="2"/>
      <c r="X47" s="2">
        <f t="shared" si="19"/>
        <v>-320621.76</v>
      </c>
      <c r="Y47" s="2"/>
      <c r="Z47" s="19">
        <f t="shared" si="20"/>
        <v>-0.53833282419615958</v>
      </c>
    </row>
    <row r="48" spans="1:26" s="23" customFormat="1" hidden="1" outlineLevel="1" x14ac:dyDescent="0.25">
      <c r="A48" s="44"/>
      <c r="B48" s="10" t="str">
        <f>CONCATENATE("          ", "5003", " - ", "PURCHASES @ COST-RENTAL TEXT")</f>
        <v xml:space="preserve">          5003 - PURCHASES @ COST-RENTAL TEXT</v>
      </c>
      <c r="C48" s="10"/>
      <c r="D48" s="2"/>
      <c r="E48" s="2"/>
      <c r="F48" s="19">
        <f t="shared" si="13"/>
        <v>0</v>
      </c>
      <c r="G48" s="2"/>
      <c r="H48" s="2"/>
      <c r="I48" s="2"/>
      <c r="J48" s="19">
        <f t="shared" si="14"/>
        <v>0</v>
      </c>
      <c r="K48" s="2"/>
      <c r="L48" s="2">
        <f t="shared" si="15"/>
        <v>0</v>
      </c>
      <c r="M48" s="2"/>
      <c r="N48" s="19">
        <f t="shared" si="16"/>
        <v>0</v>
      </c>
      <c r="O48" s="10"/>
      <c r="P48" s="2">
        <v>32.520000000000003</v>
      </c>
      <c r="Q48" s="2"/>
      <c r="R48" s="19">
        <f t="shared" si="17"/>
        <v>1.2135974322368169E-5</v>
      </c>
      <c r="S48" s="2"/>
      <c r="T48" s="2">
        <v>-78.400000000000006</v>
      </c>
      <c r="U48" s="2"/>
      <c r="V48" s="19">
        <f t="shared" si="18"/>
        <v>-1.6103150108288655E-5</v>
      </c>
      <c r="W48" s="2"/>
      <c r="X48" s="2">
        <f t="shared" si="19"/>
        <v>110.92000000000002</v>
      </c>
      <c r="Y48" s="2"/>
      <c r="Z48" s="19">
        <f t="shared" si="20"/>
        <v>-1.4147959183673471</v>
      </c>
    </row>
    <row r="49" spans="1:26" s="23" customFormat="1" hidden="1" outlineLevel="1" x14ac:dyDescent="0.25">
      <c r="A49" s="44"/>
      <c r="B49" s="10" t="str">
        <f>CONCATENATE("          ", "5004", " - ", "PURCHASES @ COST-DIGITAL TEXT")</f>
        <v xml:space="preserve">          5004 - PURCHASES @ COST-DIGITAL TEXT</v>
      </c>
      <c r="C49" s="10"/>
      <c r="D49" s="2">
        <v>887.88</v>
      </c>
      <c r="E49" s="2"/>
      <c r="F49" s="19">
        <f t="shared" si="13"/>
        <v>3.461367978720626E-2</v>
      </c>
      <c r="G49" s="2"/>
      <c r="H49" s="2">
        <v>54465.03</v>
      </c>
      <c r="I49" s="2"/>
      <c r="J49" s="19">
        <f t="shared" si="14"/>
        <v>1.6629223328834966</v>
      </c>
      <c r="K49" s="2"/>
      <c r="L49" s="2">
        <f t="shared" si="15"/>
        <v>-53577.15</v>
      </c>
      <c r="M49" s="2"/>
      <c r="N49" s="19">
        <f t="shared" si="16"/>
        <v>-0.98369816375755237</v>
      </c>
      <c r="O49" s="10"/>
      <c r="P49" s="2">
        <v>207450.38</v>
      </c>
      <c r="Q49" s="2"/>
      <c r="R49" s="19">
        <f t="shared" si="17"/>
        <v>7.7417358082580531E-2</v>
      </c>
      <c r="S49" s="2"/>
      <c r="T49" s="2">
        <v>492787.91</v>
      </c>
      <c r="U49" s="2"/>
      <c r="V49" s="19">
        <f t="shared" si="18"/>
        <v>0.10121731742703875</v>
      </c>
      <c r="W49" s="2"/>
      <c r="X49" s="2">
        <f t="shared" si="19"/>
        <v>-285337.52999999997</v>
      </c>
      <c r="Y49" s="2"/>
      <c r="Z49" s="19">
        <f t="shared" si="20"/>
        <v>-0.57902705039983626</v>
      </c>
    </row>
    <row r="50" spans="1:26" s="23" customFormat="1" hidden="1" outlineLevel="1" x14ac:dyDescent="0.25">
      <c r="A50" s="44"/>
      <c r="B50" s="10" t="str">
        <f>CONCATENATE("          ", "5011", " - ", "PURCHASES @ COST-NO VALUE TEXT")</f>
        <v xml:space="preserve">          5011 - PURCHASES @ COST-NO VALUE TEXT</v>
      </c>
      <c r="C50" s="10"/>
      <c r="D50" s="2"/>
      <c r="E50" s="2"/>
      <c r="F50" s="19">
        <f t="shared" si="13"/>
        <v>0</v>
      </c>
      <c r="G50" s="2"/>
      <c r="H50" s="2">
        <v>42</v>
      </c>
      <c r="I50" s="2"/>
      <c r="J50" s="19">
        <f t="shared" si="14"/>
        <v>1.2823409439250625E-3</v>
      </c>
      <c r="K50" s="2"/>
      <c r="L50" s="2">
        <f t="shared" si="15"/>
        <v>-42</v>
      </c>
      <c r="M50" s="2"/>
      <c r="N50" s="19">
        <f t="shared" si="16"/>
        <v>-1</v>
      </c>
      <c r="O50" s="10"/>
      <c r="P50" s="2">
        <v>67.17</v>
      </c>
      <c r="Q50" s="2"/>
      <c r="R50" s="19">
        <f t="shared" si="17"/>
        <v>2.5066832571754913E-5</v>
      </c>
      <c r="S50" s="2"/>
      <c r="T50" s="2">
        <v>6363</v>
      </c>
      <c r="U50" s="2"/>
      <c r="V50" s="19">
        <f t="shared" si="18"/>
        <v>1.3069431650387844E-3</v>
      </c>
      <c r="W50" s="2"/>
      <c r="X50" s="2">
        <f t="shared" si="19"/>
        <v>-6295.83</v>
      </c>
      <c r="Y50" s="2"/>
      <c r="Z50" s="19">
        <f t="shared" si="20"/>
        <v>-0.98944365865157946</v>
      </c>
    </row>
    <row r="51" spans="1:26" s="23" customFormat="1" hidden="1" outlineLevel="1" x14ac:dyDescent="0.25">
      <c r="A51" s="44"/>
      <c r="B51" s="10" t="str">
        <f>CONCATENATE("          ", "5013", " - ", "PURCHASES @ COST-TRADE BOOKS")</f>
        <v xml:space="preserve">          5013 - PURCHASES @ COST-TRADE BOOKS</v>
      </c>
      <c r="C51" s="10"/>
      <c r="D51" s="2">
        <v>800</v>
      </c>
      <c r="E51" s="2"/>
      <c r="F51" s="19">
        <f t="shared" si="13"/>
        <v>3.1187709859175797E-2</v>
      </c>
      <c r="G51" s="2"/>
      <c r="H51" s="2">
        <v>-3150.69</v>
      </c>
      <c r="I51" s="2"/>
      <c r="J51" s="19">
        <f t="shared" si="14"/>
        <v>-9.6196637824172759E-2</v>
      </c>
      <c r="K51" s="2"/>
      <c r="L51" s="2">
        <f t="shared" si="15"/>
        <v>3950.69</v>
      </c>
      <c r="M51" s="2"/>
      <c r="N51" s="19">
        <f t="shared" si="16"/>
        <v>-1.2539126350101089</v>
      </c>
      <c r="O51" s="10"/>
      <c r="P51" s="2">
        <v>9670.02</v>
      </c>
      <c r="Q51" s="2"/>
      <c r="R51" s="19">
        <f t="shared" si="17"/>
        <v>3.6087058553747426E-3</v>
      </c>
      <c r="S51" s="2"/>
      <c r="T51" s="2">
        <v>3197.85</v>
      </c>
      <c r="U51" s="2"/>
      <c r="V51" s="19">
        <f t="shared" si="18"/>
        <v>6.5682982874733253E-4</v>
      </c>
      <c r="W51" s="2"/>
      <c r="X51" s="2">
        <f t="shared" si="19"/>
        <v>6472.17</v>
      </c>
      <c r="Y51" s="2"/>
      <c r="Z51" s="19">
        <f t="shared" si="20"/>
        <v>2.0239129415075756</v>
      </c>
    </row>
    <row r="52" spans="1:26" s="23" customFormat="1" hidden="1" outlineLevel="1" x14ac:dyDescent="0.25">
      <c r="A52" s="44"/>
      <c r="B52" s="10" t="str">
        <f>CONCATENATE("          ", "5014", " - ", "PURCHASES @ COST-REMAINDERS")</f>
        <v xml:space="preserve">          5014 - PURCHASES @ COST-REMAINDERS</v>
      </c>
      <c r="C52" s="10"/>
      <c r="D52" s="2"/>
      <c r="E52" s="2"/>
      <c r="F52" s="19">
        <f t="shared" si="13"/>
        <v>0</v>
      </c>
      <c r="G52" s="2"/>
      <c r="H52" s="2"/>
      <c r="I52" s="2"/>
      <c r="J52" s="19">
        <f t="shared" si="14"/>
        <v>0</v>
      </c>
      <c r="K52" s="2"/>
      <c r="L52" s="2">
        <f t="shared" si="15"/>
        <v>0</v>
      </c>
      <c r="M52" s="2"/>
      <c r="N52" s="19">
        <f t="shared" si="16"/>
        <v>0</v>
      </c>
      <c r="O52" s="10"/>
      <c r="P52" s="2">
        <v>111.57</v>
      </c>
      <c r="Q52" s="2"/>
      <c r="R52" s="19">
        <f t="shared" si="17"/>
        <v>4.1636244008198533E-5</v>
      </c>
      <c r="S52" s="2"/>
      <c r="T52" s="2">
        <v>600.61</v>
      </c>
      <c r="U52" s="2"/>
      <c r="V52" s="19">
        <f t="shared" si="18"/>
        <v>1.2336368605279653E-4</v>
      </c>
      <c r="W52" s="2"/>
      <c r="X52" s="2">
        <f t="shared" si="19"/>
        <v>-489.04</v>
      </c>
      <c r="Y52" s="2"/>
      <c r="Z52" s="19">
        <f t="shared" si="20"/>
        <v>-0.81423885716188549</v>
      </c>
    </row>
    <row r="53" spans="1:26" s="23" customFormat="1" hidden="1" outlineLevel="1" x14ac:dyDescent="0.25">
      <c r="A53" s="44"/>
      <c r="B53" s="10" t="str">
        <f>CONCATENATE("          ", "5018", " - ", "PURCHASES @ COST-STUDY GUIDES")</f>
        <v xml:space="preserve">          5018 - PURCHASES @ COST-STUDY GUIDES</v>
      </c>
      <c r="C53" s="10"/>
      <c r="D53" s="2"/>
      <c r="E53" s="2"/>
      <c r="F53" s="19">
        <f t="shared" si="13"/>
        <v>0</v>
      </c>
      <c r="G53" s="2"/>
      <c r="H53" s="2">
        <v>-2582.4699999999998</v>
      </c>
      <c r="I53" s="2"/>
      <c r="J53" s="19">
        <f t="shared" si="14"/>
        <v>-7.8847786129956104E-2</v>
      </c>
      <c r="K53" s="2"/>
      <c r="L53" s="2">
        <f t="shared" si="15"/>
        <v>2582.4699999999998</v>
      </c>
      <c r="M53" s="2"/>
      <c r="N53" s="19">
        <f t="shared" si="16"/>
        <v>-1</v>
      </c>
      <c r="O53" s="10"/>
      <c r="P53" s="2">
        <v>967.21</v>
      </c>
      <c r="Q53" s="2"/>
      <c r="R53" s="19">
        <f t="shared" si="17"/>
        <v>3.6094820800546478E-4</v>
      </c>
      <c r="S53" s="2"/>
      <c r="T53" s="2">
        <v>-205.14</v>
      </c>
      <c r="U53" s="2"/>
      <c r="V53" s="19">
        <f t="shared" si="18"/>
        <v>-4.2135206801203239E-5</v>
      </c>
      <c r="W53" s="2"/>
      <c r="X53" s="2">
        <f t="shared" si="19"/>
        <v>1172.3499999999999</v>
      </c>
      <c r="Y53" s="2"/>
      <c r="Z53" s="19">
        <f t="shared" si="20"/>
        <v>-5.7148776445354388</v>
      </c>
    </row>
    <row r="54" spans="1:26" s="23" customFormat="1" hidden="1" outlineLevel="1" x14ac:dyDescent="0.25">
      <c r="A54" s="44"/>
      <c r="B54" s="10" t="str">
        <f>CONCATENATE("          ", "5200", " - ", "PURCHASES OFFSET")</f>
        <v xml:space="preserve">          5200 - PURCHASES OFFSET</v>
      </c>
      <c r="C54" s="10"/>
      <c r="D54" s="2">
        <v>149318.16</v>
      </c>
      <c r="E54" s="2"/>
      <c r="F54" s="19">
        <f t="shared" si="13"/>
        <v>5.8211143134824868</v>
      </c>
      <c r="G54" s="2"/>
      <c r="H54" s="2">
        <v>-6867</v>
      </c>
      <c r="I54" s="2"/>
      <c r="J54" s="19">
        <f t="shared" si="14"/>
        <v>-0.20966274433174775</v>
      </c>
      <c r="K54" s="2"/>
      <c r="L54" s="2">
        <f t="shared" si="15"/>
        <v>156185.16</v>
      </c>
      <c r="M54" s="2"/>
      <c r="N54" s="19">
        <f t="shared" si="16"/>
        <v>-22.744307557885541</v>
      </c>
      <c r="O54" s="10"/>
      <c r="P54" s="2">
        <v>-1024895.97</v>
      </c>
      <c r="Q54" s="2"/>
      <c r="R54" s="19">
        <f t="shared" si="17"/>
        <v>-0.38247574338925633</v>
      </c>
      <c r="S54" s="2"/>
      <c r="T54" s="2">
        <v>-1586767</v>
      </c>
      <c r="U54" s="2"/>
      <c r="V54" s="19">
        <f t="shared" si="18"/>
        <v>-0.32591769372294466</v>
      </c>
      <c r="W54" s="2"/>
      <c r="X54" s="2">
        <f t="shared" si="19"/>
        <v>561871.03</v>
      </c>
      <c r="Y54" s="2"/>
      <c r="Z54" s="19">
        <f t="shared" si="20"/>
        <v>-0.35409800556729504</v>
      </c>
    </row>
    <row r="55" spans="1:26" s="23" customFormat="1" hidden="1" outlineLevel="1" x14ac:dyDescent="0.25">
      <c r="A55" s="44"/>
      <c r="B55" s="10" t="str">
        <f>CONCATENATE("          ", "5300", " - ", "COG$ OFFSET")</f>
        <v xml:space="preserve">          5300 - COG$ OFFSET</v>
      </c>
      <c r="C55" s="10"/>
      <c r="D55" s="2">
        <v>30994</v>
      </c>
      <c r="E55" s="2"/>
      <c r="F55" s="19">
        <f t="shared" si="13"/>
        <v>1.2082898492191183</v>
      </c>
      <c r="G55" s="2"/>
      <c r="H55" s="2">
        <v>3319</v>
      </c>
      <c r="I55" s="2"/>
      <c r="J55" s="19">
        <f t="shared" si="14"/>
        <v>0.10133546649731626</v>
      </c>
      <c r="K55" s="2"/>
      <c r="L55" s="2">
        <f t="shared" si="15"/>
        <v>27675</v>
      </c>
      <c r="M55" s="2"/>
      <c r="N55" s="19">
        <f t="shared" si="16"/>
        <v>8.3383549261825856</v>
      </c>
      <c r="O55" s="10"/>
      <c r="P55" s="2">
        <v>1361322</v>
      </c>
      <c r="Q55" s="2"/>
      <c r="R55" s="19">
        <f t="shared" si="17"/>
        <v>0.5080248719703222</v>
      </c>
      <c r="S55" s="2"/>
      <c r="T55" s="2">
        <v>2317528.4700000002</v>
      </c>
      <c r="U55" s="2"/>
      <c r="V55" s="19">
        <f t="shared" si="18"/>
        <v>0.47601414327350178</v>
      </c>
      <c r="W55" s="2"/>
      <c r="X55" s="2">
        <f t="shared" si="19"/>
        <v>-956206.4700000002</v>
      </c>
      <c r="Y55" s="2"/>
      <c r="Z55" s="19">
        <f t="shared" si="20"/>
        <v>-0.41259750737819423</v>
      </c>
    </row>
    <row r="56" spans="1:26" s="23" customFormat="1" hidden="1" outlineLevel="1" x14ac:dyDescent="0.25">
      <c r="A56" s="44"/>
      <c r="B56" s="10" t="str">
        <f>CONCATENATE("          ", "5500", " - ", "FREIGHT-IN")</f>
        <v xml:space="preserve">          5500 - FREIGHT-IN</v>
      </c>
      <c r="C56" s="10"/>
      <c r="D56" s="2"/>
      <c r="E56" s="2"/>
      <c r="F56" s="19">
        <f t="shared" si="13"/>
        <v>0</v>
      </c>
      <c r="G56" s="2"/>
      <c r="H56" s="2"/>
      <c r="I56" s="2"/>
      <c r="J56" s="19">
        <f t="shared" si="14"/>
        <v>0</v>
      </c>
      <c r="K56" s="2"/>
      <c r="L56" s="2">
        <f t="shared" si="15"/>
        <v>0</v>
      </c>
      <c r="M56" s="2"/>
      <c r="N56" s="19">
        <f t="shared" si="16"/>
        <v>0</v>
      </c>
      <c r="O56" s="10"/>
      <c r="P56" s="2">
        <v>0</v>
      </c>
      <c r="Q56" s="2"/>
      <c r="R56" s="19">
        <f t="shared" si="17"/>
        <v>0</v>
      </c>
      <c r="S56" s="2"/>
      <c r="T56" s="2">
        <v>41.25</v>
      </c>
      <c r="U56" s="2"/>
      <c r="V56" s="19">
        <f t="shared" si="18"/>
        <v>8.4726395659044256E-6</v>
      </c>
      <c r="W56" s="2"/>
      <c r="X56" s="2">
        <f t="shared" si="19"/>
        <v>-41.25</v>
      </c>
      <c r="Y56" s="2"/>
      <c r="Z56" s="19">
        <f t="shared" si="20"/>
        <v>-1</v>
      </c>
    </row>
    <row r="57" spans="1:26" s="23" customFormat="1" hidden="1" outlineLevel="1" x14ac:dyDescent="0.25">
      <c r="A57" s="44"/>
      <c r="B57" s="10" t="str">
        <f>CONCATENATE("          ", "5501", " - ", "FREIGHT-IN-NEW TEXT")</f>
        <v xml:space="preserve">          5501 - FREIGHT-IN-NEW TEXT</v>
      </c>
      <c r="C57" s="10"/>
      <c r="D57" s="2">
        <v>271.27</v>
      </c>
      <c r="E57" s="2"/>
      <c r="F57" s="19">
        <f t="shared" si="13"/>
        <v>1.0575362566873272E-2</v>
      </c>
      <c r="G57" s="2"/>
      <c r="H57" s="2">
        <v>2428.4</v>
      </c>
      <c r="I57" s="2"/>
      <c r="J57" s="19">
        <f t="shared" si="14"/>
        <v>7.4143732100657667E-2</v>
      </c>
      <c r="K57" s="2"/>
      <c r="L57" s="2">
        <f t="shared" si="15"/>
        <v>-2157.13</v>
      </c>
      <c r="M57" s="2"/>
      <c r="N57" s="19">
        <f t="shared" si="16"/>
        <v>-0.88829270301433039</v>
      </c>
      <c r="O57" s="10"/>
      <c r="P57" s="2">
        <v>50313.73</v>
      </c>
      <c r="Q57" s="2"/>
      <c r="R57" s="19">
        <f t="shared" si="17"/>
        <v>1.8776326425048125E-2</v>
      </c>
      <c r="S57" s="2"/>
      <c r="T57" s="2">
        <v>69768.95</v>
      </c>
      <c r="U57" s="2"/>
      <c r="V57" s="19">
        <f t="shared" si="18"/>
        <v>1.433035554525109E-2</v>
      </c>
      <c r="W57" s="2"/>
      <c r="X57" s="2">
        <f t="shared" si="19"/>
        <v>-19455.219999999994</v>
      </c>
      <c r="Y57" s="2"/>
      <c r="Z57" s="19">
        <f t="shared" si="20"/>
        <v>-0.27885212547988747</v>
      </c>
    </row>
    <row r="58" spans="1:26" s="23" customFormat="1" hidden="1" outlineLevel="1" x14ac:dyDescent="0.25">
      <c r="A58" s="44"/>
      <c r="B58" s="10" t="str">
        <f>CONCATENATE("          ", "5502", " - ", "FREIGHT-IN-USED TEXT")</f>
        <v xml:space="preserve">          5502 - FREIGHT-IN-USED TEXT</v>
      </c>
      <c r="C58" s="10"/>
      <c r="D58" s="2">
        <v>58.77</v>
      </c>
      <c r="E58" s="2"/>
      <c r="F58" s="19">
        <f t="shared" si="13"/>
        <v>2.2911271355297021E-3</v>
      </c>
      <c r="G58" s="2"/>
      <c r="H58" s="2">
        <v>36.700000000000003</v>
      </c>
      <c r="I58" s="2"/>
      <c r="J58" s="19">
        <f t="shared" si="14"/>
        <v>1.1205217295726143E-3</v>
      </c>
      <c r="K58" s="2"/>
      <c r="L58" s="2">
        <f t="shared" si="15"/>
        <v>22.07</v>
      </c>
      <c r="M58" s="2"/>
      <c r="N58" s="19">
        <f t="shared" si="16"/>
        <v>0.60136239782016343</v>
      </c>
      <c r="O58" s="10"/>
      <c r="P58" s="2">
        <v>17858.900000000001</v>
      </c>
      <c r="Q58" s="2"/>
      <c r="R58" s="19">
        <f t="shared" si="17"/>
        <v>6.6646725653671862E-3</v>
      </c>
      <c r="S58" s="2"/>
      <c r="T58" s="2">
        <v>15301.34</v>
      </c>
      <c r="U58" s="2"/>
      <c r="V58" s="19">
        <f t="shared" si="18"/>
        <v>3.1428542714025702E-3</v>
      </c>
      <c r="W58" s="2"/>
      <c r="X58" s="2">
        <f t="shared" si="19"/>
        <v>2557.5600000000013</v>
      </c>
      <c r="Y58" s="2"/>
      <c r="Z58" s="19">
        <f t="shared" si="20"/>
        <v>0.16714614537027483</v>
      </c>
    </row>
    <row r="59" spans="1:26" s="23" customFormat="1" hidden="1" outlineLevel="1" x14ac:dyDescent="0.25">
      <c r="A59" s="44"/>
      <c r="B59" s="10" t="str">
        <f>CONCATENATE("          ", "5504", " - ", "FREIGHT-IN-DIGITAL TEXT")</f>
        <v xml:space="preserve">          5504 - FREIGHT-IN-DIGITAL TEXT</v>
      </c>
      <c r="C59" s="10"/>
      <c r="D59" s="2"/>
      <c r="E59" s="2"/>
      <c r="F59" s="19">
        <f t="shared" si="13"/>
        <v>0</v>
      </c>
      <c r="G59" s="2"/>
      <c r="H59" s="2"/>
      <c r="I59" s="2"/>
      <c r="J59" s="19">
        <f t="shared" si="14"/>
        <v>0</v>
      </c>
      <c r="K59" s="2"/>
      <c r="L59" s="2">
        <f t="shared" si="15"/>
        <v>0</v>
      </c>
      <c r="M59" s="2"/>
      <c r="N59" s="19">
        <f t="shared" si="16"/>
        <v>0</v>
      </c>
      <c r="O59" s="10"/>
      <c r="P59" s="2">
        <v>28.92</v>
      </c>
      <c r="Q59" s="2"/>
      <c r="R59" s="19">
        <f t="shared" si="17"/>
        <v>1.0792508530224091E-5</v>
      </c>
      <c r="S59" s="2"/>
      <c r="T59" s="2">
        <v>118.75</v>
      </c>
      <c r="U59" s="2"/>
      <c r="V59" s="19">
        <f t="shared" si="18"/>
        <v>2.4390932083664254E-5</v>
      </c>
      <c r="W59" s="2"/>
      <c r="X59" s="2">
        <f t="shared" si="19"/>
        <v>-89.83</v>
      </c>
      <c r="Y59" s="2"/>
      <c r="Z59" s="19">
        <f t="shared" si="20"/>
        <v>-0.75646315789473684</v>
      </c>
    </row>
    <row r="60" spans="1:26" s="23" customFormat="1" hidden="1" outlineLevel="1" x14ac:dyDescent="0.25">
      <c r="A60" s="44"/>
      <c r="B60" s="10" t="str">
        <f>CONCATENATE("          ", "5513", " - ", "FREIGHT-IN-TRADE BOOKS")</f>
        <v xml:space="preserve">          5513 - FREIGHT-IN-TRADE BOOKS</v>
      </c>
      <c r="C60" s="10"/>
      <c r="D60" s="2"/>
      <c r="E60" s="2"/>
      <c r="F60" s="19">
        <f t="shared" si="13"/>
        <v>0</v>
      </c>
      <c r="G60" s="2"/>
      <c r="H60" s="2"/>
      <c r="I60" s="2"/>
      <c r="J60" s="19">
        <f t="shared" si="14"/>
        <v>0</v>
      </c>
      <c r="K60" s="2"/>
      <c r="L60" s="2">
        <f t="shared" si="15"/>
        <v>0</v>
      </c>
      <c r="M60" s="2"/>
      <c r="N60" s="19">
        <f t="shared" si="16"/>
        <v>0</v>
      </c>
      <c r="O60" s="10"/>
      <c r="P60" s="2">
        <v>85.28</v>
      </c>
      <c r="Q60" s="2"/>
      <c r="R60" s="19">
        <f t="shared" si="17"/>
        <v>3.182521187612415E-5</v>
      </c>
      <c r="S60" s="2"/>
      <c r="T60" s="2">
        <v>30.24</v>
      </c>
      <c r="U60" s="2"/>
      <c r="V60" s="19">
        <f t="shared" si="18"/>
        <v>6.2112150417684797E-6</v>
      </c>
      <c r="W60" s="2"/>
      <c r="X60" s="2">
        <f t="shared" si="19"/>
        <v>55.040000000000006</v>
      </c>
      <c r="Y60" s="2"/>
      <c r="Z60" s="19">
        <f t="shared" si="20"/>
        <v>1.8201058201058204</v>
      </c>
    </row>
    <row r="61" spans="1:26" s="23" customFormat="1" hidden="1" outlineLevel="1" x14ac:dyDescent="0.25">
      <c r="A61" s="44"/>
      <c r="B61" s="10" t="str">
        <f>CONCATENATE("          ", "5518", " - ", "FREIGHT-IN-STUDY GUIDES")</f>
        <v xml:space="preserve">          5518 - FREIGHT-IN-STUDY GUIDES</v>
      </c>
      <c r="C61" s="10"/>
      <c r="D61" s="2"/>
      <c r="E61" s="2"/>
      <c r="F61" s="19">
        <f t="shared" si="13"/>
        <v>0</v>
      </c>
      <c r="G61" s="2"/>
      <c r="H61" s="2"/>
      <c r="I61" s="2"/>
      <c r="J61" s="19">
        <f t="shared" si="14"/>
        <v>0</v>
      </c>
      <c r="K61" s="2"/>
      <c r="L61" s="2">
        <f t="shared" si="15"/>
        <v>0</v>
      </c>
      <c r="M61" s="2"/>
      <c r="N61" s="19">
        <f t="shared" si="16"/>
        <v>0</v>
      </c>
      <c r="O61" s="10"/>
      <c r="P61" s="2"/>
      <c r="Q61" s="2"/>
      <c r="R61" s="19">
        <f t="shared" si="17"/>
        <v>0</v>
      </c>
      <c r="S61" s="2"/>
      <c r="T61" s="2">
        <v>21.13</v>
      </c>
      <c r="U61" s="2"/>
      <c r="V61" s="19">
        <f t="shared" si="18"/>
        <v>4.3400454309711637E-6</v>
      </c>
      <c r="W61" s="2"/>
      <c r="X61" s="2">
        <f t="shared" si="19"/>
        <v>-21.13</v>
      </c>
      <c r="Y61" s="2"/>
      <c r="Z61" s="19">
        <f t="shared" si="20"/>
        <v>-1</v>
      </c>
    </row>
    <row r="62" spans="1:26" x14ac:dyDescent="0.25">
      <c r="A62" s="9"/>
      <c r="B62" s="11"/>
      <c r="C62" s="11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1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4" customFormat="1" x14ac:dyDescent="0.25">
      <c r="A63" s="11"/>
      <c r="B63" s="29" t="s">
        <v>107</v>
      </c>
      <c r="C63" s="29"/>
      <c r="D63" s="20">
        <f>D12-D44</f>
        <v>-5617.3700000000244</v>
      </c>
      <c r="E63" s="14"/>
      <c r="F63" s="22">
        <f>IF(D$12=0,0,D63/D$12)</f>
        <v>-0.21899113216454888</v>
      </c>
      <c r="G63" s="14"/>
      <c r="H63" s="20">
        <f>H12-H44</f>
        <v>13091.829999999991</v>
      </c>
      <c r="I63" s="14"/>
      <c r="J63" s="22">
        <f>IF(H$12=0,0,H63/H$12)</f>
        <v>0.39971880095015333</v>
      </c>
      <c r="K63" s="16"/>
      <c r="L63" s="20">
        <f>+D63-H63</f>
        <v>-18709.200000000015</v>
      </c>
      <c r="M63" s="16"/>
      <c r="N63" s="22">
        <f>IF(H63=0,0,L63/H63)</f>
        <v>-1.4290744685807888</v>
      </c>
      <c r="O63" s="28"/>
      <c r="P63" s="20">
        <f>P12-P44</f>
        <v>775117.30000000051</v>
      </c>
      <c r="Q63" s="14"/>
      <c r="R63" s="22">
        <f>IF(P$12=0,0,P63/P$12)</f>
        <v>0.28926210484696646</v>
      </c>
      <c r="S63" s="14"/>
      <c r="T63" s="20">
        <f>T12-T44</f>
        <v>1384568.6399999992</v>
      </c>
      <c r="U63" s="14"/>
      <c r="V63" s="22">
        <f>IF(T$12=0,0,T63/T$12)</f>
        <v>0.28438669190241145</v>
      </c>
      <c r="W63" s="16"/>
      <c r="X63" s="20">
        <f>+P63-T63</f>
        <v>-609451.33999999869</v>
      </c>
      <c r="Y63" s="16"/>
      <c r="Z63" s="22">
        <f>IF(T63=0,0,X63/T63)</f>
        <v>-0.44017416139079896</v>
      </c>
    </row>
    <row r="64" spans="1:26" x14ac:dyDescent="0.25">
      <c r="A64" s="9"/>
      <c r="B64" s="11"/>
      <c r="C64" s="9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4" customFormat="1" x14ac:dyDescent="0.25">
      <c r="A65" s="11"/>
      <c r="B65" s="28" t="s">
        <v>294</v>
      </c>
      <c r="C65" s="11"/>
      <c r="D65" s="21">
        <f>SUM(OSRRefD22x_0)</f>
        <v>52574.149999999994</v>
      </c>
      <c r="E65" s="21"/>
      <c r="F65" s="31">
        <f t="shared" ref="F65:F75" si="21">IF(D$12=0,0,D65/D$12)</f>
        <v>2.0495841703659838</v>
      </c>
      <c r="G65" s="21"/>
      <c r="H65" s="21">
        <f>SUM(OSRRefH22x_0)</f>
        <v>51861.900000000009</v>
      </c>
      <c r="I65" s="21"/>
      <c r="J65" s="31">
        <f t="shared" ref="J65:J75" si="22">IF(H$12=0,0,H65/H$12)</f>
        <v>1.5834437571368385</v>
      </c>
      <c r="K65" s="4"/>
      <c r="L65" s="21">
        <f t="shared" ref="L65:L75" si="23">+D65-H65</f>
        <v>712.24999999998545</v>
      </c>
      <c r="M65" s="4"/>
      <c r="N65" s="31">
        <f t="shared" ref="N65:N75" si="24">IF(H65=0,0,L65/H65)</f>
        <v>1.3733588626717983E-2</v>
      </c>
      <c r="O65" s="11"/>
      <c r="P65" s="21">
        <f>SUM(OSRRefP22x_0)</f>
        <v>461844.33999999991</v>
      </c>
      <c r="Q65" s="21"/>
      <c r="R65" s="31">
        <f t="shared" ref="R65:R75" si="25">IF(P$12=0,0,P65/P$12)</f>
        <v>0.17235335335704405</v>
      </c>
      <c r="S65" s="21"/>
      <c r="T65" s="21">
        <f>SUM(OSRRefT22x_0)</f>
        <v>470997.50000000006</v>
      </c>
      <c r="U65" s="21"/>
      <c r="V65" s="31">
        <f t="shared" ref="V65:V75" si="26">IF(T$12=0,0,T65/T$12)</f>
        <v>9.6741625550110788E-2</v>
      </c>
      <c r="W65" s="4"/>
      <c r="X65" s="21">
        <f t="shared" ref="X65:X75" si="27">+P65-T65</f>
        <v>-9153.160000000149</v>
      </c>
      <c r="Y65" s="4"/>
      <c r="Z65" s="31">
        <f t="shared" ref="Z65:Z75" si="28">IF(T65=0,0,X65/T65)</f>
        <v>-1.9433563872420019E-2</v>
      </c>
    </row>
    <row r="66" spans="1:26" s="26" customFormat="1" outlineLevel="1" collapsed="1" x14ac:dyDescent="0.25">
      <c r="A66" s="25"/>
      <c r="B66" s="12" t="str">
        <f>CONCATENATE("     ","*Benefits                                         ")</f>
        <v xml:space="preserve">     *Benefits                                         </v>
      </c>
      <c r="C66" s="12"/>
      <c r="D66" s="1">
        <f>SUM(OSRRefD22_0x_0)</f>
        <v>14359.289999999997</v>
      </c>
      <c r="E66" s="1"/>
      <c r="F66" s="5">
        <f t="shared" si="21"/>
        <v>0.55979171287970542</v>
      </c>
      <c r="G66" s="1"/>
      <c r="H66" s="1">
        <f>SUM(OSRRefH22_0x_0)</f>
        <v>12230.73</v>
      </c>
      <c r="I66" s="1"/>
      <c r="J66" s="5">
        <f t="shared" si="22"/>
        <v>0.37342775840696618</v>
      </c>
      <c r="K66" s="1"/>
      <c r="L66" s="1">
        <f t="shared" si="23"/>
        <v>2128.5599999999977</v>
      </c>
      <c r="M66" s="1"/>
      <c r="N66" s="5">
        <f t="shared" si="24"/>
        <v>0.17403376576868246</v>
      </c>
      <c r="O66" s="12"/>
      <c r="P66" s="1">
        <f>SUM(OSRRefP22_0x_0)</f>
        <v>120169.99</v>
      </c>
      <c r="Q66" s="1"/>
      <c r="R66" s="5">
        <f t="shared" si="25"/>
        <v>4.4845630779804413E-2</v>
      </c>
      <c r="S66" s="1"/>
      <c r="T66" s="1">
        <f>SUM(OSRRefT22_0x_0)</f>
        <v>106386.24999999999</v>
      </c>
      <c r="U66" s="1"/>
      <c r="V66" s="5">
        <f t="shared" si="26"/>
        <v>2.1851450933774535E-2</v>
      </c>
      <c r="W66" s="1"/>
      <c r="X66" s="1">
        <f t="shared" si="27"/>
        <v>13783.74000000002</v>
      </c>
      <c r="Y66" s="1"/>
      <c r="Z66" s="5">
        <f t="shared" si="28"/>
        <v>0.12956317193246328</v>
      </c>
    </row>
    <row r="67" spans="1:26" s="23" customFormat="1" hidden="1" outlineLevel="2" x14ac:dyDescent="0.25">
      <c r="A67" s="27"/>
      <c r="B67" s="10" t="str">
        <f>CONCATENATE("          ", "6111", " - ", "F.I.C.A.")</f>
        <v xml:space="preserve">          6111 - F.I.C.A.</v>
      </c>
      <c r="C67" s="10"/>
      <c r="D67" s="6">
        <v>2997.29</v>
      </c>
      <c r="E67" s="2"/>
      <c r="F67" s="7">
        <f t="shared" si="21"/>
        <v>0.11684826360476128</v>
      </c>
      <c r="G67" s="2"/>
      <c r="H67" s="6">
        <v>2530.4499999999998</v>
      </c>
      <c r="I67" s="2"/>
      <c r="J67" s="7">
        <f t="shared" si="22"/>
        <v>7.7259515275123203E-2</v>
      </c>
      <c r="K67" s="2"/>
      <c r="L67" s="6">
        <f t="shared" si="23"/>
        <v>466.84000000000015</v>
      </c>
      <c r="M67" s="2"/>
      <c r="N67" s="7">
        <f t="shared" si="24"/>
        <v>0.18448892489478164</v>
      </c>
      <c r="O67" s="10"/>
      <c r="P67" s="6">
        <v>21909.06</v>
      </c>
      <c r="Q67" s="2"/>
      <c r="R67" s="7">
        <f t="shared" si="25"/>
        <v>8.1761312911200357E-3</v>
      </c>
      <c r="S67" s="2"/>
      <c r="T67" s="6">
        <v>18289.75</v>
      </c>
      <c r="U67" s="2"/>
      <c r="V67" s="7">
        <f t="shared" si="26"/>
        <v>3.7566656848606172E-3</v>
      </c>
      <c r="W67" s="2"/>
      <c r="X67" s="6">
        <f t="shared" si="27"/>
        <v>3619.3100000000013</v>
      </c>
      <c r="Y67" s="2"/>
      <c r="Z67" s="7">
        <f t="shared" si="28"/>
        <v>0.19788734127038377</v>
      </c>
    </row>
    <row r="68" spans="1:26" s="23" customFormat="1" hidden="1" outlineLevel="2" x14ac:dyDescent="0.25">
      <c r="A68" s="27"/>
      <c r="B68" s="10" t="str">
        <f>CONCATENATE("          ", "6112", " - ", "COMPENSATION INSURANCE")</f>
        <v xml:space="preserve">          6112 - COMPENSATION INSURANCE</v>
      </c>
      <c r="C68" s="10"/>
      <c r="D68" s="6">
        <v>137.72</v>
      </c>
      <c r="E68" s="2"/>
      <c r="F68" s="7">
        <f t="shared" si="21"/>
        <v>5.3689642522571131E-3</v>
      </c>
      <c r="G68" s="2"/>
      <c r="H68" s="6">
        <v>155.25</v>
      </c>
      <c r="I68" s="2"/>
      <c r="J68" s="7">
        <f t="shared" si="22"/>
        <v>4.7400817034372851E-3</v>
      </c>
      <c r="K68" s="2"/>
      <c r="L68" s="6">
        <f t="shared" si="23"/>
        <v>-17.53</v>
      </c>
      <c r="M68" s="2"/>
      <c r="N68" s="7">
        <f t="shared" si="24"/>
        <v>-0.11291465378421901</v>
      </c>
      <c r="O68" s="10"/>
      <c r="P68" s="6">
        <v>1185.44</v>
      </c>
      <c r="Q68" s="2"/>
      <c r="R68" s="7">
        <f t="shared" si="25"/>
        <v>4.4238835795535426E-4</v>
      </c>
      <c r="S68" s="2"/>
      <c r="T68" s="6">
        <v>865.6</v>
      </c>
      <c r="U68" s="2"/>
      <c r="V68" s="7">
        <f t="shared" si="26"/>
        <v>1.7779192262416655E-4</v>
      </c>
      <c r="W68" s="2"/>
      <c r="X68" s="6">
        <f t="shared" si="27"/>
        <v>319.84000000000003</v>
      </c>
      <c r="Y68" s="2"/>
      <c r="Z68" s="7">
        <f t="shared" si="28"/>
        <v>0.36950092421441777</v>
      </c>
    </row>
    <row r="69" spans="1:26" s="23" customFormat="1" hidden="1" outlineLevel="2" x14ac:dyDescent="0.25">
      <c r="A69" s="27"/>
      <c r="B69" s="10" t="str">
        <f>CONCATENATE("          ", "6113", " - ", "GROUP INSURANCE")</f>
        <v xml:space="preserve">          6113 - GROUP INSURANCE</v>
      </c>
      <c r="C69" s="10"/>
      <c r="D69" s="6">
        <v>4943.91</v>
      </c>
      <c r="E69" s="2"/>
      <c r="F69" s="7">
        <f t="shared" si="21"/>
        <v>0.19273653831234727</v>
      </c>
      <c r="G69" s="2"/>
      <c r="H69" s="6">
        <v>4248.21</v>
      </c>
      <c r="I69" s="2"/>
      <c r="J69" s="7">
        <f t="shared" si="22"/>
        <v>0.12970603860456881</v>
      </c>
      <c r="K69" s="2"/>
      <c r="L69" s="6">
        <f t="shared" si="23"/>
        <v>695.69999999999982</v>
      </c>
      <c r="M69" s="2"/>
      <c r="N69" s="7">
        <f t="shared" si="24"/>
        <v>0.16376309080765777</v>
      </c>
      <c r="O69" s="10"/>
      <c r="P69" s="6">
        <v>45163.86</v>
      </c>
      <c r="Q69" s="2"/>
      <c r="R69" s="7">
        <f t="shared" si="25"/>
        <v>1.6854472486440061E-2</v>
      </c>
      <c r="S69" s="2"/>
      <c r="T69" s="6">
        <v>42004.26</v>
      </c>
      <c r="U69" s="2"/>
      <c r="V69" s="7">
        <f t="shared" si="26"/>
        <v>8.627562550606949E-3</v>
      </c>
      <c r="W69" s="2"/>
      <c r="X69" s="6">
        <f t="shared" si="27"/>
        <v>3159.5999999999985</v>
      </c>
      <c r="Y69" s="2"/>
      <c r="Z69" s="7">
        <f t="shared" si="28"/>
        <v>7.5220941875895411E-2</v>
      </c>
    </row>
    <row r="70" spans="1:26" s="23" customFormat="1" hidden="1" outlineLevel="2" x14ac:dyDescent="0.25">
      <c r="A70" s="27"/>
      <c r="B70" s="10" t="str">
        <f>CONCATENATE("          ", "6114", " - ", "STATE UNEMPLOYMENT INSURANCE")</f>
        <v xml:space="preserve">          6114 - STATE UNEMPLOYMENT INSURANCE</v>
      </c>
      <c r="C70" s="10"/>
      <c r="D70" s="6">
        <v>91.65</v>
      </c>
      <c r="E70" s="2"/>
      <c r="F70" s="7">
        <f t="shared" si="21"/>
        <v>3.5729420107418275E-3</v>
      </c>
      <c r="G70" s="2"/>
      <c r="H70" s="6">
        <v>64.3</v>
      </c>
      <c r="I70" s="2"/>
      <c r="J70" s="7">
        <f t="shared" si="22"/>
        <v>1.9632029212947981E-3</v>
      </c>
      <c r="K70" s="2"/>
      <c r="L70" s="6">
        <f t="shared" si="23"/>
        <v>27.350000000000009</v>
      </c>
      <c r="M70" s="2"/>
      <c r="N70" s="7">
        <f t="shared" si="24"/>
        <v>0.42534992223950246</v>
      </c>
      <c r="O70" s="10"/>
      <c r="P70" s="6">
        <v>762.51</v>
      </c>
      <c r="Q70" s="2"/>
      <c r="R70" s="7">
        <f t="shared" si="25"/>
        <v>2.8455725032438352E-4</v>
      </c>
      <c r="S70" s="2"/>
      <c r="T70" s="6">
        <v>654.03</v>
      </c>
      <c r="U70" s="2"/>
      <c r="V70" s="7">
        <f t="shared" si="26"/>
        <v>1.3433601103729628E-4</v>
      </c>
      <c r="W70" s="2"/>
      <c r="X70" s="6">
        <f t="shared" si="27"/>
        <v>108.48000000000002</v>
      </c>
      <c r="Y70" s="2"/>
      <c r="Z70" s="7">
        <f t="shared" si="28"/>
        <v>0.16586395119489936</v>
      </c>
    </row>
    <row r="71" spans="1:26" s="23" customFormat="1" hidden="1" outlineLevel="2" x14ac:dyDescent="0.25">
      <c r="A71" s="27"/>
      <c r="B71" s="10" t="str">
        <f>CONCATENATE("          ", "6115", " - ", "P.E.R.S.")</f>
        <v xml:space="preserve">          6115 - P.E.R.S.</v>
      </c>
      <c r="C71" s="10"/>
      <c r="D71" s="6">
        <v>1722.62</v>
      </c>
      <c r="E71" s="2"/>
      <c r="F71" s="7">
        <f t="shared" si="21"/>
        <v>6.7155715947016761E-2</v>
      </c>
      <c r="G71" s="2"/>
      <c r="H71" s="6">
        <v>1363.4</v>
      </c>
      <c r="I71" s="2"/>
      <c r="J71" s="7">
        <f t="shared" si="22"/>
        <v>4.1627229593986438E-2</v>
      </c>
      <c r="K71" s="2"/>
      <c r="L71" s="6">
        <f t="shared" si="23"/>
        <v>359.2199999999998</v>
      </c>
      <c r="M71" s="2"/>
      <c r="N71" s="7">
        <f t="shared" si="24"/>
        <v>0.26347366876925316</v>
      </c>
      <c r="O71" s="10"/>
      <c r="P71" s="6">
        <v>18464.349999999999</v>
      </c>
      <c r="Q71" s="2"/>
      <c r="R71" s="7">
        <f t="shared" si="25"/>
        <v>6.8906173886598603E-3</v>
      </c>
      <c r="S71" s="2"/>
      <c r="T71" s="6">
        <v>14476.29</v>
      </c>
      <c r="U71" s="2"/>
      <c r="V71" s="7">
        <f t="shared" si="26"/>
        <v>2.9733912102183411E-3</v>
      </c>
      <c r="W71" s="2"/>
      <c r="X71" s="6">
        <f t="shared" si="27"/>
        <v>3988.0599999999977</v>
      </c>
      <c r="Y71" s="2"/>
      <c r="Z71" s="7">
        <f t="shared" si="28"/>
        <v>0.27548909285459172</v>
      </c>
    </row>
    <row r="72" spans="1:26" s="23" customFormat="1" hidden="1" outlineLevel="2" x14ac:dyDescent="0.25">
      <c r="A72" s="27"/>
      <c r="B72" s="10" t="str">
        <f>CONCATENATE("          ", "6117", " - ", "RETIREMENT STAFF HOURLY")</f>
        <v xml:space="preserve">          6117 - RETIREMENT STAFF HOURLY</v>
      </c>
      <c r="C72" s="10"/>
      <c r="D72" s="6">
        <v>246.24</v>
      </c>
      <c r="E72" s="2"/>
      <c r="F72" s="7">
        <f t="shared" si="21"/>
        <v>9.5995770946543102E-3</v>
      </c>
      <c r="G72" s="2"/>
      <c r="H72" s="6">
        <v>395.56</v>
      </c>
      <c r="I72" s="2"/>
      <c r="J72" s="7">
        <f t="shared" si="22"/>
        <v>1.2077209137595185E-2</v>
      </c>
      <c r="K72" s="2"/>
      <c r="L72" s="6">
        <f t="shared" si="23"/>
        <v>-149.32</v>
      </c>
      <c r="M72" s="2"/>
      <c r="N72" s="7">
        <f t="shared" si="24"/>
        <v>-0.3774901405602184</v>
      </c>
      <c r="O72" s="10"/>
      <c r="P72" s="6">
        <v>2755.82</v>
      </c>
      <c r="Q72" s="2"/>
      <c r="R72" s="7">
        <f t="shared" si="25"/>
        <v>1.0284305275851367E-3</v>
      </c>
      <c r="S72" s="2"/>
      <c r="T72" s="6">
        <v>1569.67</v>
      </c>
      <c r="U72" s="2"/>
      <c r="V72" s="7">
        <f t="shared" si="26"/>
        <v>3.2240601569486545E-4</v>
      </c>
      <c r="W72" s="2"/>
      <c r="X72" s="6">
        <f t="shared" si="27"/>
        <v>1186.1500000000001</v>
      </c>
      <c r="Y72" s="2"/>
      <c r="Z72" s="7">
        <f t="shared" si="28"/>
        <v>0.75566838889702936</v>
      </c>
    </row>
    <row r="73" spans="1:26" s="23" customFormat="1" hidden="1" outlineLevel="2" x14ac:dyDescent="0.25">
      <c r="A73" s="27"/>
      <c r="B73" s="10" t="str">
        <f>CONCATENATE("          ", "6118", " - ", "VACATION")</f>
        <v xml:space="preserve">          6118 - VACATION</v>
      </c>
      <c r="C73" s="10"/>
      <c r="D73" s="6">
        <v>2466.27</v>
      </c>
      <c r="E73" s="2"/>
      <c r="F73" s="7">
        <f t="shared" si="21"/>
        <v>9.6146641492986865E-2</v>
      </c>
      <c r="G73" s="2"/>
      <c r="H73" s="6">
        <v>1819.28</v>
      </c>
      <c r="I73" s="2"/>
      <c r="J73" s="7">
        <f t="shared" si="22"/>
        <v>5.5546124582475903E-2</v>
      </c>
      <c r="K73" s="2"/>
      <c r="L73" s="6">
        <f t="shared" si="23"/>
        <v>646.99</v>
      </c>
      <c r="M73" s="2"/>
      <c r="N73" s="7">
        <f t="shared" si="24"/>
        <v>0.35562969966140451</v>
      </c>
      <c r="O73" s="10"/>
      <c r="P73" s="6">
        <v>14500.95</v>
      </c>
      <c r="Q73" s="2"/>
      <c r="R73" s="7">
        <f t="shared" si="25"/>
        <v>5.4115361884976843E-3</v>
      </c>
      <c r="S73" s="2"/>
      <c r="T73" s="6">
        <v>10643.06</v>
      </c>
      <c r="U73" s="2"/>
      <c r="V73" s="7">
        <f t="shared" si="26"/>
        <v>2.1860560305041149E-3</v>
      </c>
      <c r="W73" s="2"/>
      <c r="X73" s="6">
        <f t="shared" si="27"/>
        <v>3857.8900000000012</v>
      </c>
      <c r="Y73" s="2"/>
      <c r="Z73" s="7">
        <f t="shared" si="28"/>
        <v>0.36247939972150878</v>
      </c>
    </row>
    <row r="74" spans="1:26" s="23" customFormat="1" hidden="1" outlineLevel="2" x14ac:dyDescent="0.25">
      <c r="A74" s="27"/>
      <c r="B74" s="10" t="str">
        <f>CONCATENATE("          ", "6119", " - ", "SICK LEAVE")</f>
        <v xml:space="preserve">          6119 - SICK LEAVE</v>
      </c>
      <c r="C74" s="10"/>
      <c r="D74" s="6">
        <v>1289.8800000000001</v>
      </c>
      <c r="E74" s="2"/>
      <c r="F74" s="7">
        <f t="shared" si="21"/>
        <v>5.0285503991442104E-2</v>
      </c>
      <c r="G74" s="2"/>
      <c r="H74" s="6">
        <v>1416.9</v>
      </c>
      <c r="I74" s="2"/>
      <c r="J74" s="7">
        <f t="shared" si="22"/>
        <v>4.3260687701129077E-2</v>
      </c>
      <c r="K74" s="2"/>
      <c r="L74" s="6">
        <f t="shared" si="23"/>
        <v>-127.01999999999998</v>
      </c>
      <c r="M74" s="2"/>
      <c r="N74" s="7">
        <f t="shared" si="24"/>
        <v>-8.9646411179335153E-2</v>
      </c>
      <c r="O74" s="10"/>
      <c r="P74" s="6">
        <v>11176.9</v>
      </c>
      <c r="Q74" s="2"/>
      <c r="R74" s="7">
        <f t="shared" si="25"/>
        <v>4.1710507811708718E-3</v>
      </c>
      <c r="S74" s="2"/>
      <c r="T74" s="6">
        <v>12014.29</v>
      </c>
      <c r="U74" s="2"/>
      <c r="V74" s="7">
        <f t="shared" si="26"/>
        <v>2.4677030014606033E-3</v>
      </c>
      <c r="W74" s="2"/>
      <c r="X74" s="6">
        <f t="shared" si="27"/>
        <v>-837.39000000000124</v>
      </c>
      <c r="Y74" s="2"/>
      <c r="Z74" s="7">
        <f t="shared" si="28"/>
        <v>-6.9699499512663771E-2</v>
      </c>
    </row>
    <row r="75" spans="1:26" s="23" customFormat="1" hidden="1" outlineLevel="2" x14ac:dyDescent="0.25">
      <c r="A75" s="27"/>
      <c r="B75" s="10" t="str">
        <f>CONCATENATE("          ", "6156", " - ", "EMPLOYEE MEALS")</f>
        <v xml:space="preserve">          6156 - EMPLOYEE MEALS</v>
      </c>
      <c r="C75" s="10"/>
      <c r="D75" s="6">
        <v>463.71</v>
      </c>
      <c r="E75" s="2"/>
      <c r="F75" s="7">
        <f t="shared" si="21"/>
        <v>1.8077566173498011E-2</v>
      </c>
      <c r="G75" s="2"/>
      <c r="H75" s="6">
        <v>237.38</v>
      </c>
      <c r="I75" s="2"/>
      <c r="J75" s="7">
        <f t="shared" si="22"/>
        <v>7.247668887355509E-3</v>
      </c>
      <c r="K75" s="2"/>
      <c r="L75" s="6">
        <f t="shared" si="23"/>
        <v>226.32999999999998</v>
      </c>
      <c r="M75" s="2"/>
      <c r="N75" s="7">
        <f t="shared" si="24"/>
        <v>0.95345016429353779</v>
      </c>
      <c r="O75" s="10"/>
      <c r="P75" s="6">
        <v>4251.1000000000004</v>
      </c>
      <c r="Q75" s="2"/>
      <c r="R75" s="7">
        <f t="shared" si="25"/>
        <v>1.5864465080510247E-3</v>
      </c>
      <c r="S75" s="2"/>
      <c r="T75" s="6">
        <v>5869.3</v>
      </c>
      <c r="U75" s="2"/>
      <c r="V75" s="7">
        <f t="shared" si="26"/>
        <v>1.205538506767584E-3</v>
      </c>
      <c r="W75" s="2"/>
      <c r="X75" s="6">
        <f t="shared" si="27"/>
        <v>-1618.1999999999998</v>
      </c>
      <c r="Y75" s="2"/>
      <c r="Z75" s="7">
        <f t="shared" si="28"/>
        <v>-0.27570579115056304</v>
      </c>
    </row>
    <row r="76" spans="1:26" s="26" customFormat="1" outlineLevel="1" collapsed="1" x14ac:dyDescent="0.25">
      <c r="A76" s="25"/>
      <c r="B76" s="12" t="str">
        <f>CONCATENATE("     ","*Payroll                                          ")</f>
        <v xml:space="preserve">     *Payroll                                          </v>
      </c>
      <c r="C76" s="12"/>
      <c r="D76" s="1">
        <f>SUM(OSRRefD22_1x_0)</f>
        <v>29075.89</v>
      </c>
      <c r="E76" s="1"/>
      <c r="F76" s="5">
        <f t="shared" ref="F76:F83" si="29">IF(D$12=0,0,D76/D$12)</f>
        <v>1.1335130265216387</v>
      </c>
      <c r="G76" s="1"/>
      <c r="H76" s="1">
        <f>SUM(OSRRefH22_1x_0)</f>
        <v>27174.41</v>
      </c>
      <c r="I76" s="1"/>
      <c r="J76" s="5">
        <f t="shared" ref="J76:J83" si="30">IF(H$12=0,0,H76/H$12)</f>
        <v>0.82968710880968244</v>
      </c>
      <c r="K76" s="1"/>
      <c r="L76" s="1">
        <f t="shared" ref="L76:L83" si="31">+D76-H76</f>
        <v>1901.4799999999996</v>
      </c>
      <c r="M76" s="1"/>
      <c r="N76" s="5">
        <f t="shared" ref="N76:N83" si="32">IF(H76=0,0,L76/H76)</f>
        <v>6.9973184330404947E-2</v>
      </c>
      <c r="O76" s="12"/>
      <c r="P76" s="1">
        <f>SUM(OSRRefP22_1x_0)</f>
        <v>282209.40999999997</v>
      </c>
      <c r="Q76" s="1"/>
      <c r="R76" s="5">
        <f t="shared" ref="R76:R83" si="33">IF(P$12=0,0,P76/P$12)</f>
        <v>0.10531630237671187</v>
      </c>
      <c r="S76" s="1"/>
      <c r="T76" s="1">
        <f>SUM(OSRRefT22_1x_0)</f>
        <v>283988.5</v>
      </c>
      <c r="U76" s="1"/>
      <c r="V76" s="5">
        <f t="shared" ref="V76:V83" si="34">IF(T$12=0,0,T76/T$12)</f>
        <v>5.8330477608772094E-2</v>
      </c>
      <c r="W76" s="1"/>
      <c r="X76" s="1">
        <f t="shared" ref="X76:X83" si="35">+P76-T76</f>
        <v>-1779.0900000000256</v>
      </c>
      <c r="Y76" s="1"/>
      <c r="Z76" s="5">
        <f t="shared" ref="Z76:Z83" si="36">IF(T76=0,0,X76/T76)</f>
        <v>-6.2646550828643613E-3</v>
      </c>
    </row>
    <row r="77" spans="1:26" s="23" customFormat="1" hidden="1" outlineLevel="2" x14ac:dyDescent="0.25">
      <c r="A77" s="27"/>
      <c r="B77" s="10" t="str">
        <f>CONCATENATE("          ", "6001", " - ", "ADMINISTRATIVE SALARIES")</f>
        <v xml:space="preserve">          6001 - ADMINISTRATIVE SALARIES</v>
      </c>
      <c r="C77" s="10"/>
      <c r="D77" s="6"/>
      <c r="E77" s="2"/>
      <c r="F77" s="7">
        <f t="shared" si="29"/>
        <v>0</v>
      </c>
      <c r="G77" s="2"/>
      <c r="H77" s="6"/>
      <c r="I77" s="2"/>
      <c r="J77" s="7">
        <f t="shared" si="30"/>
        <v>0</v>
      </c>
      <c r="K77" s="2"/>
      <c r="L77" s="6">
        <f t="shared" si="31"/>
        <v>0</v>
      </c>
      <c r="M77" s="2"/>
      <c r="N77" s="7">
        <f t="shared" si="32"/>
        <v>0</v>
      </c>
      <c r="O77" s="10"/>
      <c r="P77" s="6">
        <v>-311.32</v>
      </c>
      <c r="Q77" s="2"/>
      <c r="R77" s="7">
        <f t="shared" si="33"/>
        <v>-1.1617993622508173E-4</v>
      </c>
      <c r="S77" s="2"/>
      <c r="T77" s="6">
        <v>0</v>
      </c>
      <c r="U77" s="2"/>
      <c r="V77" s="7">
        <f t="shared" si="34"/>
        <v>0</v>
      </c>
      <c r="W77" s="2"/>
      <c r="X77" s="6">
        <f t="shared" si="35"/>
        <v>-311.32</v>
      </c>
      <c r="Y77" s="2"/>
      <c r="Z77" s="7">
        <f t="shared" si="36"/>
        <v>0</v>
      </c>
    </row>
    <row r="78" spans="1:26" s="23" customFormat="1" hidden="1" outlineLevel="2" x14ac:dyDescent="0.25">
      <c r="A78" s="27"/>
      <c r="B78" s="10" t="str">
        <f>CONCATENATE("          ", "6002", " - ", "STAFF SALARIES")</f>
        <v xml:space="preserve">          6002 - STAFF SALARIES</v>
      </c>
      <c r="C78" s="10"/>
      <c r="D78" s="6">
        <v>19208.37</v>
      </c>
      <c r="E78" s="2"/>
      <c r="F78" s="7">
        <f t="shared" si="29"/>
        <v>0.74883133803462076</v>
      </c>
      <c r="G78" s="2"/>
      <c r="H78" s="6">
        <v>14885.71</v>
      </c>
      <c r="I78" s="2"/>
      <c r="J78" s="7">
        <f t="shared" si="30"/>
        <v>0.4544894145808272</v>
      </c>
      <c r="K78" s="2"/>
      <c r="L78" s="6">
        <f t="shared" si="31"/>
        <v>4322.66</v>
      </c>
      <c r="M78" s="2"/>
      <c r="N78" s="7">
        <f t="shared" si="32"/>
        <v>0.29038991086081889</v>
      </c>
      <c r="O78" s="10"/>
      <c r="P78" s="6">
        <v>173924.05</v>
      </c>
      <c r="Q78" s="2"/>
      <c r="R78" s="7">
        <f t="shared" si="33"/>
        <v>6.4905836557265589E-2</v>
      </c>
      <c r="S78" s="2"/>
      <c r="T78" s="6">
        <v>157422.13</v>
      </c>
      <c r="U78" s="2"/>
      <c r="V78" s="7">
        <f t="shared" si="34"/>
        <v>3.2334084053016972E-2</v>
      </c>
      <c r="W78" s="2"/>
      <c r="X78" s="6">
        <f t="shared" si="35"/>
        <v>16501.919999999984</v>
      </c>
      <c r="Y78" s="2"/>
      <c r="Z78" s="7">
        <f t="shared" si="36"/>
        <v>0.10482592250530458</v>
      </c>
    </row>
    <row r="79" spans="1:26" s="23" customFormat="1" hidden="1" outlineLevel="2" x14ac:dyDescent="0.25">
      <c r="A79" s="27"/>
      <c r="B79" s="10" t="str">
        <f>CONCATENATE("          ", "6004", " - ", "STAFF HOURLY")</f>
        <v xml:space="preserve">          6004 - STAFF HOURLY</v>
      </c>
      <c r="C79" s="10"/>
      <c r="D79" s="6">
        <v>8559.48</v>
      </c>
      <c r="E79" s="2"/>
      <c r="F79" s="7">
        <f t="shared" si="29"/>
        <v>0.33368822348177257</v>
      </c>
      <c r="G79" s="2"/>
      <c r="H79" s="6">
        <v>8370.3799999999992</v>
      </c>
      <c r="I79" s="2"/>
      <c r="J79" s="7">
        <f t="shared" si="30"/>
        <v>0.25556383310027297</v>
      </c>
      <c r="K79" s="2"/>
      <c r="L79" s="6">
        <f t="shared" si="31"/>
        <v>189.10000000000036</v>
      </c>
      <c r="M79" s="2"/>
      <c r="N79" s="7">
        <f t="shared" si="32"/>
        <v>2.259156693005579E-2</v>
      </c>
      <c r="O79" s="10"/>
      <c r="P79" s="6">
        <v>68298.740000000005</v>
      </c>
      <c r="Q79" s="2"/>
      <c r="R79" s="7">
        <f t="shared" si="33"/>
        <v>2.5488061343484001E-2</v>
      </c>
      <c r="S79" s="2"/>
      <c r="T79" s="6">
        <v>40231.160000000003</v>
      </c>
      <c r="U79" s="2"/>
      <c r="V79" s="7">
        <f t="shared" si="34"/>
        <v>8.2633725575328842E-3</v>
      </c>
      <c r="W79" s="2"/>
      <c r="X79" s="6">
        <f t="shared" si="35"/>
        <v>28067.58</v>
      </c>
      <c r="Y79" s="2"/>
      <c r="Z79" s="7">
        <f t="shared" si="36"/>
        <v>0.69765773594397973</v>
      </c>
    </row>
    <row r="80" spans="1:26" s="23" customFormat="1" hidden="1" outlineLevel="2" x14ac:dyDescent="0.25">
      <c r="A80" s="27"/>
      <c r="B80" s="10" t="str">
        <f>CONCATENATE("          ", "6005", " - ", "TEMPORARY WAGES-HOURLY")</f>
        <v xml:space="preserve">          6005 - TEMPORARY WAGES-HOURLY</v>
      </c>
      <c r="C80" s="10"/>
      <c r="D80" s="6">
        <v>2368.27</v>
      </c>
      <c r="E80" s="2"/>
      <c r="F80" s="7">
        <f t="shared" si="29"/>
        <v>9.2326147035237838E-2</v>
      </c>
      <c r="G80" s="2"/>
      <c r="H80" s="6">
        <v>1821.22</v>
      </c>
      <c r="I80" s="2"/>
      <c r="J80" s="7">
        <f t="shared" si="30"/>
        <v>5.5605356521314347E-2</v>
      </c>
      <c r="K80" s="2"/>
      <c r="L80" s="6">
        <f t="shared" si="31"/>
        <v>547.04999999999995</v>
      </c>
      <c r="M80" s="2"/>
      <c r="N80" s="7">
        <f t="shared" si="32"/>
        <v>0.30037557241848867</v>
      </c>
      <c r="O80" s="10"/>
      <c r="P80" s="6">
        <v>15685.16</v>
      </c>
      <c r="Q80" s="2"/>
      <c r="R80" s="7">
        <f t="shared" si="33"/>
        <v>5.8534655289740551E-3</v>
      </c>
      <c r="S80" s="2"/>
      <c r="T80" s="6">
        <v>24213.51</v>
      </c>
      <c r="U80" s="2"/>
      <c r="V80" s="7">
        <f t="shared" si="34"/>
        <v>4.9733901298284226E-3</v>
      </c>
      <c r="W80" s="2"/>
      <c r="X80" s="6">
        <f t="shared" si="35"/>
        <v>-8528.3499999999985</v>
      </c>
      <c r="Y80" s="2"/>
      <c r="Z80" s="7">
        <f t="shared" si="36"/>
        <v>-0.35221452817043042</v>
      </c>
    </row>
    <row r="81" spans="1:26" s="23" customFormat="1" hidden="1" outlineLevel="2" x14ac:dyDescent="0.25">
      <c r="A81" s="27"/>
      <c r="B81" s="10" t="str">
        <f>CONCATENATE("          ", "6006", " - ", "TEMPORARY PART TIME")</f>
        <v xml:space="preserve">          6006 - TEMPORARY PART TIME</v>
      </c>
      <c r="C81" s="10"/>
      <c r="D81" s="6"/>
      <c r="E81" s="2"/>
      <c r="F81" s="7">
        <f t="shared" si="29"/>
        <v>0</v>
      </c>
      <c r="G81" s="2"/>
      <c r="H81" s="6">
        <v>1818.04</v>
      </c>
      <c r="I81" s="2"/>
      <c r="J81" s="7">
        <f t="shared" si="30"/>
        <v>5.550826499270288E-2</v>
      </c>
      <c r="K81" s="2"/>
      <c r="L81" s="6">
        <f t="shared" si="31"/>
        <v>-1818.04</v>
      </c>
      <c r="M81" s="2"/>
      <c r="N81" s="7">
        <f t="shared" si="32"/>
        <v>-1</v>
      </c>
      <c r="O81" s="10"/>
      <c r="P81" s="6">
        <v>502.29</v>
      </c>
      <c r="Q81" s="2"/>
      <c r="R81" s="7">
        <f t="shared" si="33"/>
        <v>1.8744706464890242E-4</v>
      </c>
      <c r="S81" s="2"/>
      <c r="T81" s="6">
        <v>4127.25</v>
      </c>
      <c r="U81" s="2"/>
      <c r="V81" s="7">
        <f t="shared" si="34"/>
        <v>8.4772610056676459E-4</v>
      </c>
      <c r="W81" s="2"/>
      <c r="X81" s="6">
        <f t="shared" si="35"/>
        <v>-3624.96</v>
      </c>
      <c r="Y81" s="2"/>
      <c r="Z81" s="7">
        <f t="shared" si="36"/>
        <v>-0.87829910957659463</v>
      </c>
    </row>
    <row r="82" spans="1:26" s="23" customFormat="1" hidden="1" outlineLevel="2" x14ac:dyDescent="0.25">
      <c r="A82" s="27"/>
      <c r="B82" s="10" t="str">
        <f>CONCATENATE("          ", "6007", " - ", "STUDENT HOURLY")</f>
        <v xml:space="preserve">          6007 - STUDENT HOURLY</v>
      </c>
      <c r="C82" s="10"/>
      <c r="D82" s="6">
        <v>-1060.23</v>
      </c>
      <c r="E82" s="2"/>
      <c r="F82" s="7">
        <f t="shared" si="29"/>
        <v>-4.1332682029992449E-2</v>
      </c>
      <c r="G82" s="2"/>
      <c r="H82" s="6">
        <v>279.06</v>
      </c>
      <c r="I82" s="2"/>
      <c r="J82" s="7">
        <f t="shared" si="30"/>
        <v>8.5202396145649516E-3</v>
      </c>
      <c r="K82" s="2"/>
      <c r="L82" s="6">
        <f t="shared" si="31"/>
        <v>-1339.29</v>
      </c>
      <c r="M82" s="2"/>
      <c r="N82" s="7">
        <f t="shared" si="32"/>
        <v>-4.7992904751666305</v>
      </c>
      <c r="O82" s="10"/>
      <c r="P82" s="6">
        <v>23143.23</v>
      </c>
      <c r="Q82" s="2"/>
      <c r="R82" s="7">
        <f t="shared" si="33"/>
        <v>8.6367049513118282E-3</v>
      </c>
      <c r="S82" s="2"/>
      <c r="T82" s="6">
        <v>57994.45</v>
      </c>
      <c r="U82" s="2"/>
      <c r="V82" s="7">
        <f t="shared" si="34"/>
        <v>1.1911904767827051E-2</v>
      </c>
      <c r="W82" s="2"/>
      <c r="X82" s="6">
        <f t="shared" si="35"/>
        <v>-34851.22</v>
      </c>
      <c r="Y82" s="2"/>
      <c r="Z82" s="7">
        <f t="shared" si="36"/>
        <v>-0.60094060724776255</v>
      </c>
    </row>
    <row r="83" spans="1:26" s="23" customFormat="1" hidden="1" outlineLevel="2" x14ac:dyDescent="0.25">
      <c r="A83" s="27"/>
      <c r="B83" s="10" t="str">
        <f>CONCATENATE("          ", "6008", " - ", "STUDENT HOURLY-FICA EXEMPT")</f>
        <v xml:space="preserve">          6008 - STUDENT HOURLY-FICA EXEMPT</v>
      </c>
      <c r="C83" s="10"/>
      <c r="D83" s="6"/>
      <c r="E83" s="2"/>
      <c r="F83" s="7">
        <f t="shared" si="29"/>
        <v>0</v>
      </c>
      <c r="G83" s="2"/>
      <c r="H83" s="6"/>
      <c r="I83" s="2"/>
      <c r="J83" s="7">
        <f t="shared" si="30"/>
        <v>0</v>
      </c>
      <c r="K83" s="2"/>
      <c r="L83" s="6">
        <f t="shared" si="31"/>
        <v>0</v>
      </c>
      <c r="M83" s="2"/>
      <c r="N83" s="7">
        <f t="shared" si="32"/>
        <v>0</v>
      </c>
      <c r="O83" s="10"/>
      <c r="P83" s="6">
        <v>967.26</v>
      </c>
      <c r="Q83" s="2"/>
      <c r="R83" s="7">
        <f t="shared" si="33"/>
        <v>3.6096686725257791E-4</v>
      </c>
      <c r="S83" s="2"/>
      <c r="T83" s="6"/>
      <c r="U83" s="2"/>
      <c r="V83" s="7">
        <f t="shared" si="34"/>
        <v>0</v>
      </c>
      <c r="W83" s="2"/>
      <c r="X83" s="6">
        <f t="shared" si="35"/>
        <v>967.26</v>
      </c>
      <c r="Y83" s="2"/>
      <c r="Z83" s="7">
        <f t="shared" si="36"/>
        <v>0</v>
      </c>
    </row>
    <row r="84" spans="1:26" s="26" customFormat="1" outlineLevel="1" collapsed="1" x14ac:dyDescent="0.25">
      <c r="A84" s="25"/>
      <c r="B84" s="12" t="str">
        <f>CONCATENATE("     ","Advertising/Promo                                 ")</f>
        <v xml:space="preserve">     Advertising/Promo                                 </v>
      </c>
      <c r="C84" s="12"/>
      <c r="D84" s="1">
        <f>SUM(OSRRefD22_2x_0)</f>
        <v>2.21</v>
      </c>
      <c r="E84" s="1"/>
      <c r="F84" s="5">
        <f t="shared" ref="F84:F88" si="37">IF(D$12=0,0,D84/D$12)</f>
        <v>8.6156048485973137E-5</v>
      </c>
      <c r="G84" s="1"/>
      <c r="H84" s="1">
        <f>SUM(OSRRefH22_2x_0)</f>
        <v>0</v>
      </c>
      <c r="I84" s="1"/>
      <c r="J84" s="5">
        <f t="shared" ref="J84:J88" si="38">IF(H$12=0,0,H84/H$12)</f>
        <v>0</v>
      </c>
      <c r="K84" s="1"/>
      <c r="L84" s="1">
        <f t="shared" ref="L84:L88" si="39">+D84-H84</f>
        <v>2.21</v>
      </c>
      <c r="M84" s="1"/>
      <c r="N84" s="5">
        <f t="shared" ref="N84:N88" si="40">IF(H84=0,0,L84/H84)</f>
        <v>0</v>
      </c>
      <c r="O84" s="12"/>
      <c r="P84" s="1">
        <f>SUM(OSRRefP22_2x_0)</f>
        <v>2032.59</v>
      </c>
      <c r="Q84" s="1"/>
      <c r="R84" s="5">
        <f t="shared" ref="R84:R88" si="41">IF(P$12=0,0,P84/P$12)</f>
        <v>7.5853198179281405E-4</v>
      </c>
      <c r="S84" s="1"/>
      <c r="T84" s="1">
        <f>SUM(OSRRefT22_2x_0)</f>
        <v>3981.59</v>
      </c>
      <c r="U84" s="1"/>
      <c r="V84" s="5">
        <f t="shared" ref="V84:V88" si="42">IF(T$12=0,0,T84/T$12)</f>
        <v>8.1780792652628846E-4</v>
      </c>
      <c r="W84" s="1"/>
      <c r="X84" s="1">
        <f t="shared" ref="X84:X88" si="43">+P84-T84</f>
        <v>-1949.0000000000002</v>
      </c>
      <c r="Y84" s="1"/>
      <c r="Z84" s="5">
        <f t="shared" ref="Z84:Z88" si="44">IF(T84=0,0,X84/T84)</f>
        <v>-0.48950293726877958</v>
      </c>
    </row>
    <row r="85" spans="1:26" s="23" customFormat="1" hidden="1" outlineLevel="2" x14ac:dyDescent="0.25">
      <c r="A85" s="27"/>
      <c r="B85" s="10" t="str">
        <f>CONCATENATE("          ", "6362", " - ", "ADVERTISING EXPENSE")</f>
        <v xml:space="preserve">          6362 - ADVERTISING EXPENSE</v>
      </c>
      <c r="C85" s="10"/>
      <c r="D85" s="6">
        <v>2.21</v>
      </c>
      <c r="E85" s="2"/>
      <c r="F85" s="7">
        <f t="shared" si="37"/>
        <v>8.6156048485973137E-5</v>
      </c>
      <c r="G85" s="2"/>
      <c r="H85" s="6"/>
      <c r="I85" s="2"/>
      <c r="J85" s="7">
        <f t="shared" si="38"/>
        <v>0</v>
      </c>
      <c r="K85" s="2"/>
      <c r="L85" s="6">
        <f t="shared" si="39"/>
        <v>2.21</v>
      </c>
      <c r="M85" s="2"/>
      <c r="N85" s="7">
        <f t="shared" si="40"/>
        <v>0</v>
      </c>
      <c r="O85" s="10"/>
      <c r="P85" s="6">
        <v>2032.59</v>
      </c>
      <c r="Q85" s="2"/>
      <c r="R85" s="7">
        <f t="shared" si="41"/>
        <v>7.5853198179281405E-4</v>
      </c>
      <c r="S85" s="2"/>
      <c r="T85" s="6">
        <v>3981.59</v>
      </c>
      <c r="U85" s="2"/>
      <c r="V85" s="7">
        <f t="shared" si="42"/>
        <v>8.1780792652628846E-4</v>
      </c>
      <c r="W85" s="2"/>
      <c r="X85" s="6">
        <f t="shared" si="43"/>
        <v>-1949.0000000000002</v>
      </c>
      <c r="Y85" s="2"/>
      <c r="Z85" s="7">
        <f t="shared" si="44"/>
        <v>-0.48950293726877958</v>
      </c>
    </row>
    <row r="86" spans="1:26" s="26" customFormat="1" outlineLevel="1" collapsed="1" x14ac:dyDescent="0.25">
      <c r="A86" s="25"/>
      <c r="B86" s="12" t="str">
        <f>CONCATENATE("     ","Discounts and Markdowns                           ")</f>
        <v xml:space="preserve">     Discounts and Markdowns                           </v>
      </c>
      <c r="C86" s="12"/>
      <c r="D86" s="1">
        <f>SUM(OSRRefD22_3x_0)</f>
        <v>0</v>
      </c>
      <c r="E86" s="1"/>
      <c r="F86" s="5">
        <f t="shared" si="37"/>
        <v>0</v>
      </c>
      <c r="G86" s="1"/>
      <c r="H86" s="1">
        <f>SUM(OSRRefH22_3x_0)</f>
        <v>271.08</v>
      </c>
      <c r="I86" s="1"/>
      <c r="J86" s="5">
        <f t="shared" si="38"/>
        <v>8.2765948352191889E-3</v>
      </c>
      <c r="K86" s="1"/>
      <c r="L86" s="1">
        <f t="shared" si="39"/>
        <v>-271.08</v>
      </c>
      <c r="M86" s="1"/>
      <c r="N86" s="5">
        <f t="shared" si="40"/>
        <v>-1</v>
      </c>
      <c r="O86" s="12"/>
      <c r="P86" s="1">
        <f>SUM(OSRRefP22_3x_0)</f>
        <v>0</v>
      </c>
      <c r="Q86" s="1"/>
      <c r="R86" s="5">
        <f t="shared" si="41"/>
        <v>0</v>
      </c>
      <c r="S86" s="1"/>
      <c r="T86" s="1">
        <f>SUM(OSRRefT22_3x_0)</f>
        <v>21.100000000000023</v>
      </c>
      <c r="U86" s="1"/>
      <c r="V86" s="5">
        <f t="shared" si="42"/>
        <v>4.3338835112868741E-6</v>
      </c>
      <c r="W86" s="1"/>
      <c r="X86" s="1">
        <f t="shared" si="43"/>
        <v>-21.100000000000023</v>
      </c>
      <c r="Y86" s="1"/>
      <c r="Z86" s="5">
        <f t="shared" si="44"/>
        <v>-1</v>
      </c>
    </row>
    <row r="87" spans="1:26" s="23" customFormat="1" hidden="1" outlineLevel="2" x14ac:dyDescent="0.25">
      <c r="A87" s="27"/>
      <c r="B87" s="10" t="str">
        <f>CONCATENATE("          ", "6382", " - ", "DISCOUNTS/MARK DOWNS")</f>
        <v xml:space="preserve">          6382 - DISCOUNTS/MARK DOWNS</v>
      </c>
      <c r="C87" s="10"/>
      <c r="D87" s="6">
        <v>0</v>
      </c>
      <c r="E87" s="2"/>
      <c r="F87" s="7">
        <f t="shared" si="37"/>
        <v>0</v>
      </c>
      <c r="G87" s="2"/>
      <c r="H87" s="6">
        <v>271.08</v>
      </c>
      <c r="I87" s="2"/>
      <c r="J87" s="7">
        <f t="shared" si="38"/>
        <v>8.2765948352191889E-3</v>
      </c>
      <c r="K87" s="2"/>
      <c r="L87" s="6">
        <f t="shared" si="39"/>
        <v>-271.08</v>
      </c>
      <c r="M87" s="2"/>
      <c r="N87" s="7">
        <f t="shared" si="40"/>
        <v>-1</v>
      </c>
      <c r="O87" s="10"/>
      <c r="P87" s="6">
        <v>0</v>
      </c>
      <c r="Q87" s="2"/>
      <c r="R87" s="7">
        <f t="shared" si="41"/>
        <v>0</v>
      </c>
      <c r="S87" s="2"/>
      <c r="T87" s="6">
        <v>473.37</v>
      </c>
      <c r="U87" s="2"/>
      <c r="V87" s="7">
        <f t="shared" si="42"/>
        <v>9.7228930698477038E-5</v>
      </c>
      <c r="W87" s="2"/>
      <c r="X87" s="6">
        <f t="shared" si="43"/>
        <v>-473.37</v>
      </c>
      <c r="Y87" s="2"/>
      <c r="Z87" s="7">
        <f t="shared" si="44"/>
        <v>-1</v>
      </c>
    </row>
    <row r="88" spans="1:26" s="23" customFormat="1" hidden="1" outlineLevel="2" x14ac:dyDescent="0.25">
      <c r="A88" s="27"/>
      <c r="B88" s="10" t="str">
        <f>CONCATENATE("          ", "9175", " - ", "EARNED DISCOUNTS")</f>
        <v xml:space="preserve">          9175 - EARNED DISCOUNTS</v>
      </c>
      <c r="C88" s="10"/>
      <c r="D88" s="6"/>
      <c r="E88" s="2"/>
      <c r="F88" s="7">
        <f t="shared" si="37"/>
        <v>0</v>
      </c>
      <c r="G88" s="2"/>
      <c r="H88" s="6"/>
      <c r="I88" s="2"/>
      <c r="J88" s="7">
        <f t="shared" si="38"/>
        <v>0</v>
      </c>
      <c r="K88" s="2"/>
      <c r="L88" s="6">
        <f t="shared" si="39"/>
        <v>0</v>
      </c>
      <c r="M88" s="2"/>
      <c r="N88" s="7">
        <f t="shared" si="40"/>
        <v>0</v>
      </c>
      <c r="O88" s="10"/>
      <c r="P88" s="6">
        <v>0</v>
      </c>
      <c r="Q88" s="2"/>
      <c r="R88" s="7">
        <f t="shared" si="41"/>
        <v>0</v>
      </c>
      <c r="S88" s="2"/>
      <c r="T88" s="6">
        <v>-452.27</v>
      </c>
      <c r="U88" s="2"/>
      <c r="V88" s="7">
        <f t="shared" si="42"/>
        <v>-9.2895047187190161E-5</v>
      </c>
      <c r="W88" s="2"/>
      <c r="X88" s="6">
        <f t="shared" si="43"/>
        <v>452.27</v>
      </c>
      <c r="Y88" s="2"/>
      <c r="Z88" s="7">
        <f t="shared" si="44"/>
        <v>-1</v>
      </c>
    </row>
    <row r="89" spans="1:26" s="26" customFormat="1" outlineLevel="1" collapsed="1" x14ac:dyDescent="0.25">
      <c r="A89" s="25"/>
      <c r="B89" s="12" t="str">
        <f>CONCATENATE("     ","Employees' Appreciation                           ")</f>
        <v xml:space="preserve">     Employees' Appreciation                           </v>
      </c>
      <c r="C89" s="12"/>
      <c r="D89" s="1">
        <f>SUM(OSRRefD22_4x_0)</f>
        <v>0</v>
      </c>
      <c r="E89" s="1"/>
      <c r="F89" s="5">
        <f t="shared" ref="F89:F95" si="45">IF(D$12=0,0,D89/D$12)</f>
        <v>0</v>
      </c>
      <c r="G89" s="1"/>
      <c r="H89" s="1">
        <f>SUM(OSRRefH22_4x_0)</f>
        <v>0</v>
      </c>
      <c r="I89" s="1"/>
      <c r="J89" s="5">
        <f t="shared" ref="J89:J95" si="46">IF(H$12=0,0,H89/H$12)</f>
        <v>0</v>
      </c>
      <c r="K89" s="1"/>
      <c r="L89" s="1">
        <f t="shared" ref="L89:L95" si="47">+D89-H89</f>
        <v>0</v>
      </c>
      <c r="M89" s="1"/>
      <c r="N89" s="5">
        <f t="shared" ref="N89:N95" si="48">IF(H89=0,0,L89/H89)</f>
        <v>0</v>
      </c>
      <c r="O89" s="12"/>
      <c r="P89" s="1">
        <f>SUM(OSRRefP22_4x_0)</f>
        <v>107.7</v>
      </c>
      <c r="Q89" s="1"/>
      <c r="R89" s="5">
        <f t="shared" ref="R89:R95" si="49">IF(P$12=0,0,P89/P$12)</f>
        <v>4.0192018281643652E-5</v>
      </c>
      <c r="S89" s="1"/>
      <c r="T89" s="1">
        <f>SUM(OSRRefT22_4x_0)</f>
        <v>120.18</v>
      </c>
      <c r="U89" s="1"/>
      <c r="V89" s="5">
        <f t="shared" ref="V89:V95" si="50">IF(T$12=0,0,T89/T$12)</f>
        <v>2.4684650255282277E-5</v>
      </c>
      <c r="W89" s="1"/>
      <c r="X89" s="1">
        <f t="shared" ref="X89:X95" si="51">+P89-T89</f>
        <v>-12.480000000000004</v>
      </c>
      <c r="Y89" s="1"/>
      <c r="Z89" s="5">
        <f t="shared" ref="Z89:Z95" si="52">IF(T89=0,0,X89/T89)</f>
        <v>-0.10384423364952573</v>
      </c>
    </row>
    <row r="90" spans="1:26" s="23" customFormat="1" hidden="1" outlineLevel="2" x14ac:dyDescent="0.25">
      <c r="A90" s="27"/>
      <c r="B90" s="10" t="str">
        <f>CONCATENATE("          ", "6277", " - ", "EMPLOYEE APPRECIATION")</f>
        <v xml:space="preserve">          6277 - EMPLOYEE APPRECIATION</v>
      </c>
      <c r="C90" s="10"/>
      <c r="D90" s="6"/>
      <c r="E90" s="2"/>
      <c r="F90" s="7">
        <f t="shared" si="45"/>
        <v>0</v>
      </c>
      <c r="G90" s="2"/>
      <c r="H90" s="6"/>
      <c r="I90" s="2"/>
      <c r="J90" s="7">
        <f t="shared" si="46"/>
        <v>0</v>
      </c>
      <c r="K90" s="2"/>
      <c r="L90" s="6">
        <f t="shared" si="47"/>
        <v>0</v>
      </c>
      <c r="M90" s="2"/>
      <c r="N90" s="7">
        <f t="shared" si="48"/>
        <v>0</v>
      </c>
      <c r="O90" s="10"/>
      <c r="P90" s="6">
        <v>107.7</v>
      </c>
      <c r="Q90" s="2"/>
      <c r="R90" s="7">
        <f t="shared" si="49"/>
        <v>4.0192018281643652E-5</v>
      </c>
      <c r="S90" s="2"/>
      <c r="T90" s="6">
        <v>120.18</v>
      </c>
      <c r="U90" s="2"/>
      <c r="V90" s="7">
        <f t="shared" si="50"/>
        <v>2.4684650255282277E-5</v>
      </c>
      <c r="W90" s="2"/>
      <c r="X90" s="6">
        <f t="shared" si="51"/>
        <v>-12.480000000000004</v>
      </c>
      <c r="Y90" s="2"/>
      <c r="Z90" s="7">
        <f t="shared" si="52"/>
        <v>-0.10384423364952573</v>
      </c>
    </row>
    <row r="91" spans="1:26" s="26" customFormat="1" outlineLevel="1" collapsed="1" x14ac:dyDescent="0.25">
      <c r="A91" s="25"/>
      <c r="B91" s="12" t="str">
        <f>CONCATENATE("     ","Equipment Rental                                  ")</f>
        <v xml:space="preserve">     Equipment Rental                                  </v>
      </c>
      <c r="C91" s="12"/>
      <c r="D91" s="1">
        <f>SUM(OSRRefD22_5x_0)</f>
        <v>91.26</v>
      </c>
      <c r="E91" s="1"/>
      <c r="F91" s="5">
        <f t="shared" si="45"/>
        <v>3.5577380021854792E-3</v>
      </c>
      <c r="G91" s="1"/>
      <c r="H91" s="1">
        <f>SUM(OSRRefH22_5x_0)</f>
        <v>91.26</v>
      </c>
      <c r="I91" s="1"/>
      <c r="J91" s="5">
        <f t="shared" si="46"/>
        <v>2.7863436795857433E-3</v>
      </c>
      <c r="K91" s="1"/>
      <c r="L91" s="1">
        <f t="shared" si="47"/>
        <v>0</v>
      </c>
      <c r="M91" s="1"/>
      <c r="N91" s="5">
        <f t="shared" si="48"/>
        <v>0</v>
      </c>
      <c r="O91" s="12"/>
      <c r="P91" s="1">
        <f>SUM(OSRRefP22_5x_0)</f>
        <v>912.6</v>
      </c>
      <c r="Q91" s="1"/>
      <c r="R91" s="5">
        <f t="shared" si="49"/>
        <v>3.4056857830852365E-4</v>
      </c>
      <c r="S91" s="1"/>
      <c r="T91" s="1">
        <f>SUM(OSRRefT22_5x_0)</f>
        <v>912.6</v>
      </c>
      <c r="U91" s="1"/>
      <c r="V91" s="5">
        <f t="shared" si="50"/>
        <v>1.8744559679622735E-4</v>
      </c>
      <c r="W91" s="1"/>
      <c r="X91" s="1">
        <f t="shared" si="51"/>
        <v>0</v>
      </c>
      <c r="Y91" s="1"/>
      <c r="Z91" s="5">
        <f t="shared" si="52"/>
        <v>0</v>
      </c>
    </row>
    <row r="92" spans="1:26" s="23" customFormat="1" hidden="1" outlineLevel="2" x14ac:dyDescent="0.25">
      <c r="A92" s="27"/>
      <c r="B92" s="10" t="str">
        <f>CONCATENATE("          ", "6351", " - ", "EQUIPMENT RENTAL")</f>
        <v xml:space="preserve">          6351 - EQUIPMENT RENTAL</v>
      </c>
      <c r="C92" s="10"/>
      <c r="D92" s="6">
        <v>91.26</v>
      </c>
      <c r="E92" s="2"/>
      <c r="F92" s="7">
        <f t="shared" si="45"/>
        <v>3.5577380021854792E-3</v>
      </c>
      <c r="G92" s="2"/>
      <c r="H92" s="6">
        <v>91.26</v>
      </c>
      <c r="I92" s="2"/>
      <c r="J92" s="7">
        <f t="shared" si="46"/>
        <v>2.7863436795857433E-3</v>
      </c>
      <c r="K92" s="2"/>
      <c r="L92" s="6">
        <f t="shared" si="47"/>
        <v>0</v>
      </c>
      <c r="M92" s="2"/>
      <c r="N92" s="7">
        <f t="shared" si="48"/>
        <v>0</v>
      </c>
      <c r="O92" s="10"/>
      <c r="P92" s="6">
        <v>912.6</v>
      </c>
      <c r="Q92" s="2"/>
      <c r="R92" s="7">
        <f t="shared" si="49"/>
        <v>3.4056857830852365E-4</v>
      </c>
      <c r="S92" s="2"/>
      <c r="T92" s="6">
        <v>912.6</v>
      </c>
      <c r="U92" s="2"/>
      <c r="V92" s="7">
        <f t="shared" si="50"/>
        <v>1.8744559679622735E-4</v>
      </c>
      <c r="W92" s="2"/>
      <c r="X92" s="6">
        <f t="shared" si="51"/>
        <v>0</v>
      </c>
      <c r="Y92" s="2"/>
      <c r="Z92" s="7">
        <f t="shared" si="52"/>
        <v>0</v>
      </c>
    </row>
    <row r="93" spans="1:26" s="26" customFormat="1" outlineLevel="1" collapsed="1" x14ac:dyDescent="0.25">
      <c r="A93" s="25"/>
      <c r="B93" s="12" t="str">
        <f>CONCATENATE("     ","Freight out/Postage                               ")</f>
        <v xml:space="preserve">     Freight out/Postage                               </v>
      </c>
      <c r="C93" s="12"/>
      <c r="D93" s="1">
        <f>SUM(OSRRefD22_6x_0)</f>
        <v>6096.13</v>
      </c>
      <c r="E93" s="1"/>
      <c r="F93" s="5">
        <f t="shared" si="45"/>
        <v>0.2376554171297717</v>
      </c>
      <c r="G93" s="1"/>
      <c r="H93" s="1">
        <f>SUM(OSRRefH22_6x_0)</f>
        <v>7517.84</v>
      </c>
      <c r="I93" s="1"/>
      <c r="J93" s="5">
        <f t="shared" si="46"/>
        <v>0.22953414385422841</v>
      </c>
      <c r="K93" s="1"/>
      <c r="L93" s="1">
        <f t="shared" si="47"/>
        <v>-1421.71</v>
      </c>
      <c r="M93" s="1"/>
      <c r="N93" s="5">
        <f t="shared" si="48"/>
        <v>-0.18911150011173422</v>
      </c>
      <c r="O93" s="12"/>
      <c r="P93" s="1">
        <f>SUM(OSRRefP22_6x_0)</f>
        <v>23777.99</v>
      </c>
      <c r="Q93" s="1"/>
      <c r="R93" s="5">
        <f t="shared" si="49"/>
        <v>8.8735878252622098E-3</v>
      </c>
      <c r="S93" s="1"/>
      <c r="T93" s="1">
        <f>SUM(OSRRefT22_6x_0)</f>
        <v>22766.240000000002</v>
      </c>
      <c r="U93" s="1"/>
      <c r="V93" s="5">
        <f t="shared" si="50"/>
        <v>4.6761247464454777E-3</v>
      </c>
      <c r="W93" s="1"/>
      <c r="X93" s="1">
        <f t="shared" si="51"/>
        <v>1011.75</v>
      </c>
      <c r="Y93" s="1"/>
      <c r="Z93" s="5">
        <f t="shared" si="52"/>
        <v>4.4440803575821038E-2</v>
      </c>
    </row>
    <row r="94" spans="1:26" s="23" customFormat="1" hidden="1" outlineLevel="2" x14ac:dyDescent="0.25">
      <c r="A94" s="27"/>
      <c r="B94" s="10" t="str">
        <f>CONCATENATE("          ", "6305", " - ", "FREIGHT OUT")</f>
        <v xml:space="preserve">          6305 - FREIGHT OUT</v>
      </c>
      <c r="C94" s="10"/>
      <c r="D94" s="6">
        <v>6096.13</v>
      </c>
      <c r="E94" s="2"/>
      <c r="F94" s="7">
        <f t="shared" si="45"/>
        <v>0.2376554171297717</v>
      </c>
      <c r="G94" s="2"/>
      <c r="H94" s="6">
        <v>7517.84</v>
      </c>
      <c r="I94" s="2"/>
      <c r="J94" s="7">
        <f t="shared" si="46"/>
        <v>0.22953414385422841</v>
      </c>
      <c r="K94" s="2"/>
      <c r="L94" s="6">
        <f t="shared" si="47"/>
        <v>-1421.71</v>
      </c>
      <c r="M94" s="2"/>
      <c r="N94" s="7">
        <f t="shared" si="48"/>
        <v>-0.18911150011173422</v>
      </c>
      <c r="O94" s="10"/>
      <c r="P94" s="6">
        <v>23777.49</v>
      </c>
      <c r="Q94" s="2"/>
      <c r="R94" s="7">
        <f t="shared" si="49"/>
        <v>8.8734012327910793E-3</v>
      </c>
      <c r="S94" s="2"/>
      <c r="T94" s="6">
        <v>22764.29</v>
      </c>
      <c r="U94" s="2"/>
      <c r="V94" s="7">
        <f t="shared" si="50"/>
        <v>4.675724221665999E-3</v>
      </c>
      <c r="W94" s="2"/>
      <c r="X94" s="6">
        <f t="shared" si="51"/>
        <v>1013.2000000000007</v>
      </c>
      <c r="Y94" s="2"/>
      <c r="Z94" s="7">
        <f t="shared" si="52"/>
        <v>4.4508306650460024E-2</v>
      </c>
    </row>
    <row r="95" spans="1:26" s="23" customFormat="1" hidden="1" outlineLevel="2" x14ac:dyDescent="0.25">
      <c r="A95" s="27"/>
      <c r="B95" s="10" t="str">
        <f>CONCATENATE("          ", "6307", " - ", "POSTAGE")</f>
        <v xml:space="preserve">          6307 - POSTAGE</v>
      </c>
      <c r="C95" s="10"/>
      <c r="D95" s="6"/>
      <c r="E95" s="2"/>
      <c r="F95" s="7">
        <f t="shared" si="45"/>
        <v>0</v>
      </c>
      <c r="G95" s="2"/>
      <c r="H95" s="6"/>
      <c r="I95" s="2"/>
      <c r="J95" s="7">
        <f t="shared" si="46"/>
        <v>0</v>
      </c>
      <c r="K95" s="2"/>
      <c r="L95" s="6">
        <f t="shared" si="47"/>
        <v>0</v>
      </c>
      <c r="M95" s="2"/>
      <c r="N95" s="7">
        <f t="shared" si="48"/>
        <v>0</v>
      </c>
      <c r="O95" s="10"/>
      <c r="P95" s="6">
        <v>0.5</v>
      </c>
      <c r="Q95" s="2"/>
      <c r="R95" s="7">
        <f t="shared" si="49"/>
        <v>1.8659247113112189E-7</v>
      </c>
      <c r="S95" s="2"/>
      <c r="T95" s="6">
        <v>1.95</v>
      </c>
      <c r="U95" s="2"/>
      <c r="V95" s="7">
        <f t="shared" si="50"/>
        <v>4.0052477947911827E-7</v>
      </c>
      <c r="W95" s="2"/>
      <c r="X95" s="6">
        <f t="shared" si="51"/>
        <v>-1.45</v>
      </c>
      <c r="Y95" s="2"/>
      <c r="Z95" s="7">
        <f t="shared" si="52"/>
        <v>-0.74358974358974361</v>
      </c>
    </row>
    <row r="96" spans="1:26" s="26" customFormat="1" outlineLevel="1" collapsed="1" x14ac:dyDescent="0.25">
      <c r="A96" s="25"/>
      <c r="B96" s="12" t="str">
        <f>CONCATENATE("     ","General                                           ")</f>
        <v xml:space="preserve">     General                                           </v>
      </c>
      <c r="C96" s="12"/>
      <c r="D96" s="1">
        <f>SUM(OSRRefD22_7x_0)</f>
        <v>-0.99</v>
      </c>
      <c r="E96" s="1"/>
      <c r="F96" s="5">
        <f t="shared" ref="F96:F100" si="53">IF(D$12=0,0,D96/D$12)</f>
        <v>-3.8594790950730052E-5</v>
      </c>
      <c r="G96" s="1"/>
      <c r="H96" s="1">
        <f>SUM(OSRRefH22_7x_0)</f>
        <v>-660.03</v>
      </c>
      <c r="I96" s="1"/>
      <c r="J96" s="5">
        <f t="shared" ref="J96:J100" si="54">IF(H$12=0,0,H96/H$12)</f>
        <v>-2.015198793378236E-2</v>
      </c>
      <c r="K96" s="1"/>
      <c r="L96" s="1">
        <f t="shared" ref="L96:L100" si="55">+D96-H96</f>
        <v>659.04</v>
      </c>
      <c r="M96" s="1"/>
      <c r="N96" s="5">
        <f t="shared" ref="N96:N100" si="56">IF(H96=0,0,L96/H96)</f>
        <v>-0.99850006817871917</v>
      </c>
      <c r="O96" s="12"/>
      <c r="P96" s="1">
        <f>SUM(OSRRefP22_7x_0)</f>
        <v>-1043.02</v>
      </c>
      <c r="Q96" s="1"/>
      <c r="R96" s="5">
        <f t="shared" ref="R96:R100" si="57">IF(P$12=0,0,P96/P$12)</f>
        <v>-3.8923935847836547E-4</v>
      </c>
      <c r="S96" s="1"/>
      <c r="T96" s="1">
        <f>SUM(OSRRefT22_7x_0)</f>
        <v>7593.03</v>
      </c>
      <c r="U96" s="1"/>
      <c r="V96" s="5">
        <f t="shared" ref="V96:V100" si="58">IF(T$12=0,0,T96/T$12)</f>
        <v>1.5595880340145279E-3</v>
      </c>
      <c r="W96" s="1"/>
      <c r="X96" s="1">
        <f t="shared" ref="X96:X100" si="59">+P96-T96</f>
        <v>-8636.0499999999993</v>
      </c>
      <c r="Y96" s="1"/>
      <c r="Z96" s="5">
        <f t="shared" ref="Z96:Z100" si="60">IF(T96=0,0,X96/T96)</f>
        <v>-1.1373654522634573</v>
      </c>
    </row>
    <row r="97" spans="1:26" s="23" customFormat="1" hidden="1" outlineLevel="2" x14ac:dyDescent="0.25">
      <c r="A97" s="27"/>
      <c r="B97" s="10" t="str">
        <f>CONCATENATE("          ", "6279", " - ", "GENERAL EXPENSE")</f>
        <v xml:space="preserve">          6279 - GENERAL EXPENSE</v>
      </c>
      <c r="C97" s="10"/>
      <c r="D97" s="6">
        <v>-0.99</v>
      </c>
      <c r="E97" s="2"/>
      <c r="F97" s="7">
        <f t="shared" si="53"/>
        <v>-3.8594790950730052E-5</v>
      </c>
      <c r="G97" s="2"/>
      <c r="H97" s="6">
        <v>-660.03</v>
      </c>
      <c r="I97" s="2"/>
      <c r="J97" s="7">
        <f t="shared" si="54"/>
        <v>-2.015198793378236E-2</v>
      </c>
      <c r="K97" s="2"/>
      <c r="L97" s="6">
        <f t="shared" si="55"/>
        <v>659.04</v>
      </c>
      <c r="M97" s="2"/>
      <c r="N97" s="7">
        <f t="shared" si="56"/>
        <v>-0.99850006817871917</v>
      </c>
      <c r="O97" s="10"/>
      <c r="P97" s="6">
        <v>-1043.02</v>
      </c>
      <c r="Q97" s="2"/>
      <c r="R97" s="7">
        <f t="shared" si="57"/>
        <v>-3.8923935847836547E-4</v>
      </c>
      <c r="S97" s="2"/>
      <c r="T97" s="6">
        <v>7593.03</v>
      </c>
      <c r="U97" s="2"/>
      <c r="V97" s="7">
        <f t="shared" si="58"/>
        <v>1.5595880340145279E-3</v>
      </c>
      <c r="W97" s="2"/>
      <c r="X97" s="6">
        <f t="shared" si="59"/>
        <v>-8636.0499999999993</v>
      </c>
      <c r="Y97" s="2"/>
      <c r="Z97" s="7">
        <f t="shared" si="60"/>
        <v>-1.1373654522634573</v>
      </c>
    </row>
    <row r="98" spans="1:26" s="26" customFormat="1" outlineLevel="1" collapsed="1" x14ac:dyDescent="0.25">
      <c r="A98" s="25"/>
      <c r="B98" s="12" t="str">
        <f>CONCATENATE("     ","Inventory Adjustment                              ")</f>
        <v xml:space="preserve">     Inventory Adjustment                              </v>
      </c>
      <c r="C98" s="12"/>
      <c r="D98" s="1">
        <f>SUM(OSRRefD22_8x_0)</f>
        <v>1000</v>
      </c>
      <c r="E98" s="1"/>
      <c r="F98" s="5">
        <f t="shared" si="53"/>
        <v>3.8984637323969749E-2</v>
      </c>
      <c r="G98" s="1"/>
      <c r="H98" s="1">
        <f>SUM(OSRRefH22_8x_0)</f>
        <v>1000</v>
      </c>
      <c r="I98" s="1"/>
      <c r="J98" s="5">
        <f t="shared" si="54"/>
        <v>3.0531927236311016E-2</v>
      </c>
      <c r="K98" s="1"/>
      <c r="L98" s="1">
        <f t="shared" si="55"/>
        <v>0</v>
      </c>
      <c r="M98" s="1"/>
      <c r="N98" s="5">
        <f t="shared" si="56"/>
        <v>0</v>
      </c>
      <c r="O98" s="12"/>
      <c r="P98" s="1">
        <f>SUM(OSRRefP22_8x_0)</f>
        <v>15000</v>
      </c>
      <c r="Q98" s="1"/>
      <c r="R98" s="5">
        <f t="shared" si="57"/>
        <v>5.5977741339336565E-3</v>
      </c>
      <c r="S98" s="1"/>
      <c r="T98" s="1">
        <f>SUM(OSRRefT22_8x_0)</f>
        <v>15800</v>
      </c>
      <c r="U98" s="1"/>
      <c r="V98" s="5">
        <f t="shared" si="58"/>
        <v>3.245277700394907E-3</v>
      </c>
      <c r="W98" s="1"/>
      <c r="X98" s="1">
        <f t="shared" si="59"/>
        <v>-800</v>
      </c>
      <c r="Y98" s="1"/>
      <c r="Z98" s="5">
        <f t="shared" si="60"/>
        <v>-5.0632911392405063E-2</v>
      </c>
    </row>
    <row r="99" spans="1:26" s="23" customFormat="1" hidden="1" outlineLevel="2" x14ac:dyDescent="0.25">
      <c r="A99" s="27"/>
      <c r="B99" s="10" t="str">
        <f>CONCATENATE("          ", "6408", " - ", "INVENTORY ADJUSTMENT")</f>
        <v xml:space="preserve">          6408 - INVENTORY ADJUSTMENT</v>
      </c>
      <c r="C99" s="10"/>
      <c r="D99" s="6">
        <v>1000</v>
      </c>
      <c r="E99" s="2"/>
      <c r="F99" s="7">
        <f t="shared" si="53"/>
        <v>3.8984637323969749E-2</v>
      </c>
      <c r="G99" s="2"/>
      <c r="H99" s="6">
        <v>1000</v>
      </c>
      <c r="I99" s="2"/>
      <c r="J99" s="7">
        <f t="shared" si="54"/>
        <v>3.0531927236311016E-2</v>
      </c>
      <c r="K99" s="2"/>
      <c r="L99" s="6">
        <f t="shared" si="55"/>
        <v>0</v>
      </c>
      <c r="M99" s="2"/>
      <c r="N99" s="7">
        <f t="shared" si="56"/>
        <v>0</v>
      </c>
      <c r="O99" s="10"/>
      <c r="P99" s="6">
        <v>15000</v>
      </c>
      <c r="Q99" s="2"/>
      <c r="R99" s="7">
        <f t="shared" si="57"/>
        <v>5.5977741339336565E-3</v>
      </c>
      <c r="S99" s="2"/>
      <c r="T99" s="6">
        <v>15800</v>
      </c>
      <c r="U99" s="2"/>
      <c r="V99" s="7">
        <f t="shared" si="58"/>
        <v>3.245277700394907E-3</v>
      </c>
      <c r="W99" s="2"/>
      <c r="X99" s="6">
        <f t="shared" si="59"/>
        <v>-800</v>
      </c>
      <c r="Y99" s="2"/>
      <c r="Z99" s="7">
        <f t="shared" si="60"/>
        <v>-5.0632911392405063E-2</v>
      </c>
    </row>
    <row r="100" spans="1:26" s="23" customFormat="1" hidden="1" outlineLevel="2" x14ac:dyDescent="0.25">
      <c r="A100" s="27"/>
      <c r="B100" s="10" t="str">
        <f>CONCATENATE("          ", "7701", " - ", "INV. SHRINKAGE-NEW TEXT")</f>
        <v xml:space="preserve">          7701 - INV. SHRINKAGE-NEW TEXT</v>
      </c>
      <c r="C100" s="10"/>
      <c r="D100" s="6"/>
      <c r="E100" s="2"/>
      <c r="F100" s="7">
        <f t="shared" si="53"/>
        <v>0</v>
      </c>
      <c r="G100" s="2"/>
      <c r="H100" s="6"/>
      <c r="I100" s="2"/>
      <c r="J100" s="7">
        <f t="shared" si="54"/>
        <v>0</v>
      </c>
      <c r="K100" s="2"/>
      <c r="L100" s="6">
        <f t="shared" si="55"/>
        <v>0</v>
      </c>
      <c r="M100" s="2"/>
      <c r="N100" s="7">
        <f t="shared" si="56"/>
        <v>0</v>
      </c>
      <c r="O100" s="10"/>
      <c r="P100" s="6"/>
      <c r="Q100" s="2"/>
      <c r="R100" s="7">
        <f t="shared" si="57"/>
        <v>0</v>
      </c>
      <c r="S100" s="2"/>
      <c r="T100" s="6">
        <v>0</v>
      </c>
      <c r="U100" s="2"/>
      <c r="V100" s="7">
        <f t="shared" si="58"/>
        <v>0</v>
      </c>
      <c r="W100" s="2"/>
      <c r="X100" s="6">
        <f t="shared" si="59"/>
        <v>0</v>
      </c>
      <c r="Y100" s="2"/>
      <c r="Z100" s="7">
        <f t="shared" si="60"/>
        <v>0</v>
      </c>
    </row>
    <row r="101" spans="1:26" s="26" customFormat="1" outlineLevel="1" collapsed="1" x14ac:dyDescent="0.25">
      <c r="A101" s="25"/>
      <c r="B101" s="12" t="str">
        <f>CONCATENATE("     ","Repair and Maintenance                            ")</f>
        <v xml:space="preserve">     Repair and Maintenance                            </v>
      </c>
      <c r="C101" s="12"/>
      <c r="D101" s="1">
        <f>SUM(OSRRefD22_9x_0)</f>
        <v>254.93</v>
      </c>
      <c r="E101" s="1"/>
      <c r="F101" s="5">
        <f t="shared" ref="F101:F103" si="61">IF(D$12=0,0,D101/D$12)</f>
        <v>9.9383535929996082E-3</v>
      </c>
      <c r="G101" s="1"/>
      <c r="H101" s="1">
        <f>SUM(OSRRefH22_9x_0)</f>
        <v>32.15</v>
      </c>
      <c r="I101" s="1"/>
      <c r="J101" s="5">
        <f t="shared" ref="J101:J103" si="62">IF(H$12=0,0,H101/H$12)</f>
        <v>9.8160146064739905E-4</v>
      </c>
      <c r="K101" s="1"/>
      <c r="L101" s="1">
        <f t="shared" ref="L101:L103" si="63">+D101-H101</f>
        <v>222.78</v>
      </c>
      <c r="M101" s="1"/>
      <c r="N101" s="5">
        <f t="shared" ref="N101:N103" si="64">IF(H101=0,0,L101/H101)</f>
        <v>6.9293934681181959</v>
      </c>
      <c r="O101" s="12"/>
      <c r="P101" s="1">
        <f>SUM(OSRRefP22_9x_0)</f>
        <v>462.25</v>
      </c>
      <c r="Q101" s="1"/>
      <c r="R101" s="5">
        <f t="shared" ref="R101:R103" si="65">IF(P$12=0,0,P101/P$12)</f>
        <v>1.7250473956072218E-4</v>
      </c>
      <c r="S101" s="1"/>
      <c r="T101" s="1">
        <f>SUM(OSRRefT22_9x_0)</f>
        <v>242.45</v>
      </c>
      <c r="U101" s="1"/>
      <c r="V101" s="5">
        <f t="shared" ref="V101:V103" si="66">IF(T$12=0,0,T101/T$12)</f>
        <v>4.9798580915237036E-5</v>
      </c>
      <c r="W101" s="1"/>
      <c r="X101" s="1">
        <f t="shared" ref="X101:X103" si="67">+P101-T101</f>
        <v>219.8</v>
      </c>
      <c r="Y101" s="1"/>
      <c r="Z101" s="5">
        <f t="shared" ref="Z101:Z103" si="68">IF(T101=0,0,X101/T101)</f>
        <v>0.90657867601567343</v>
      </c>
    </row>
    <row r="102" spans="1:26" s="23" customFormat="1" hidden="1" outlineLevel="2" x14ac:dyDescent="0.25">
      <c r="A102" s="27"/>
      <c r="B102" s="10" t="str">
        <f>CONCATENATE("          ", "6373", " - ", "MAINTENANCE CONTRACTS")</f>
        <v xml:space="preserve">          6373 - MAINTENANCE CONTRACTS</v>
      </c>
      <c r="C102" s="10"/>
      <c r="D102" s="6">
        <v>22.53</v>
      </c>
      <c r="E102" s="2"/>
      <c r="F102" s="7">
        <f t="shared" si="61"/>
        <v>8.783238789090384E-4</v>
      </c>
      <c r="G102" s="2"/>
      <c r="H102" s="6">
        <v>32.15</v>
      </c>
      <c r="I102" s="2"/>
      <c r="J102" s="7">
        <f t="shared" si="62"/>
        <v>9.8160146064739905E-4</v>
      </c>
      <c r="K102" s="2"/>
      <c r="L102" s="6">
        <f t="shared" si="63"/>
        <v>-9.6199999999999974</v>
      </c>
      <c r="M102" s="2"/>
      <c r="N102" s="7">
        <f t="shared" si="64"/>
        <v>-0.29922239502332809</v>
      </c>
      <c r="O102" s="10"/>
      <c r="P102" s="6">
        <v>204.74</v>
      </c>
      <c r="Q102" s="2"/>
      <c r="R102" s="7">
        <f t="shared" si="65"/>
        <v>7.6405885078771786E-5</v>
      </c>
      <c r="S102" s="2"/>
      <c r="T102" s="6">
        <v>242.45</v>
      </c>
      <c r="U102" s="2"/>
      <c r="V102" s="7">
        <f t="shared" si="66"/>
        <v>4.9798580915237036E-5</v>
      </c>
      <c r="W102" s="2"/>
      <c r="X102" s="6">
        <f t="shared" si="67"/>
        <v>-37.70999999999998</v>
      </c>
      <c r="Y102" s="2"/>
      <c r="Z102" s="7">
        <f t="shared" si="68"/>
        <v>-0.15553722416993188</v>
      </c>
    </row>
    <row r="103" spans="1:26" s="23" customFormat="1" hidden="1" outlineLevel="2" x14ac:dyDescent="0.25">
      <c r="A103" s="27"/>
      <c r="B103" s="10" t="str">
        <f>CONCATENATE("          ", "6375", " - ", "OUTSIDE REPAIRS &amp; MAINTENANCE")</f>
        <v xml:space="preserve">          6375 - OUTSIDE REPAIRS &amp; MAINTENANCE</v>
      </c>
      <c r="C103" s="10"/>
      <c r="D103" s="6">
        <v>232.4</v>
      </c>
      <c r="E103" s="2"/>
      <c r="F103" s="7">
        <f t="shared" si="61"/>
        <v>9.0600297140905686E-3</v>
      </c>
      <c r="G103" s="2"/>
      <c r="H103" s="6"/>
      <c r="I103" s="2"/>
      <c r="J103" s="7">
        <f t="shared" si="62"/>
        <v>0</v>
      </c>
      <c r="K103" s="2"/>
      <c r="L103" s="6">
        <f t="shared" si="63"/>
        <v>232.4</v>
      </c>
      <c r="M103" s="2"/>
      <c r="N103" s="7">
        <f t="shared" si="64"/>
        <v>0</v>
      </c>
      <c r="O103" s="10"/>
      <c r="P103" s="6">
        <v>257.51</v>
      </c>
      <c r="Q103" s="2"/>
      <c r="R103" s="7">
        <f t="shared" si="65"/>
        <v>9.6098854481950393E-5</v>
      </c>
      <c r="S103" s="2"/>
      <c r="T103" s="6"/>
      <c r="U103" s="2"/>
      <c r="V103" s="7">
        <f t="shared" si="66"/>
        <v>0</v>
      </c>
      <c r="W103" s="2"/>
      <c r="X103" s="6">
        <f t="shared" si="67"/>
        <v>257.51</v>
      </c>
      <c r="Y103" s="2"/>
      <c r="Z103" s="7">
        <f t="shared" si="68"/>
        <v>0</v>
      </c>
    </row>
    <row r="104" spans="1:26" s="26" customFormat="1" outlineLevel="1" collapsed="1" x14ac:dyDescent="0.25">
      <c r="A104" s="25"/>
      <c r="B104" s="12" t="str">
        <f>CONCATENATE("     ","Subscriptions &amp; Dues                              ")</f>
        <v xml:space="preserve">     Subscriptions &amp; Dues                              </v>
      </c>
      <c r="C104" s="12"/>
      <c r="D104" s="1">
        <f>SUM(OSRRefD22_10x_0)</f>
        <v>328.71</v>
      </c>
      <c r="E104" s="1"/>
      <c r="F104" s="5">
        <f t="shared" ref="F104:F106" si="69">IF(D$12=0,0,D104/D$12)</f>
        <v>1.2814640134762094E-2</v>
      </c>
      <c r="G104" s="1"/>
      <c r="H104" s="1">
        <f>SUM(OSRRefH22_10x_0)</f>
        <v>2102.08</v>
      </c>
      <c r="I104" s="1"/>
      <c r="J104" s="5">
        <f t="shared" ref="J104:J106" si="70">IF(H$12=0,0,H104/H$12)</f>
        <v>6.4180553604904655E-2</v>
      </c>
      <c r="K104" s="1"/>
      <c r="L104" s="1">
        <f t="shared" ref="L104:L106" si="71">+D104-H104</f>
        <v>-1773.37</v>
      </c>
      <c r="M104" s="1"/>
      <c r="N104" s="5">
        <f t="shared" ref="N104:N106" si="72">IF(H104=0,0,L104/H104)</f>
        <v>-0.84362631298523361</v>
      </c>
      <c r="O104" s="12"/>
      <c r="P104" s="1">
        <f>SUM(OSRRefP22_10x_0)</f>
        <v>4655.34</v>
      </c>
      <c r="Q104" s="1"/>
      <c r="R104" s="5">
        <f t="shared" ref="R104:R106" si="73">IF(P$12=0,0,P104/P$12)</f>
        <v>1.7373027891111139E-3</v>
      </c>
      <c r="S104" s="1"/>
      <c r="T104" s="1">
        <f>SUM(OSRRefT22_10x_0)</f>
        <v>5050.5599999999995</v>
      </c>
      <c r="U104" s="1"/>
      <c r="V104" s="5">
        <f t="shared" ref="V104:V106" si="74">IF(T$12=0,0,T104/T$12)</f>
        <v>1.0373715026902848E-3</v>
      </c>
      <c r="W104" s="1"/>
      <c r="X104" s="1">
        <f t="shared" ref="X104:X106" si="75">+P104-T104</f>
        <v>-395.21999999999935</v>
      </c>
      <c r="Y104" s="1"/>
      <c r="Z104" s="5">
        <f t="shared" ref="Z104:Z106" si="76">IF(T104=0,0,X104/T104)</f>
        <v>-7.82527086105302E-2</v>
      </c>
    </row>
    <row r="105" spans="1:26" s="23" customFormat="1" hidden="1" outlineLevel="2" x14ac:dyDescent="0.25">
      <c r="A105" s="27"/>
      <c r="B105" s="10" t="str">
        <f>CONCATENATE("          ", "6258", " - ", "MEMBERSHIP DUES")</f>
        <v xml:space="preserve">          6258 - MEMBERSHIP DUES</v>
      </c>
      <c r="C105" s="10"/>
      <c r="D105" s="6">
        <v>328.71</v>
      </c>
      <c r="E105" s="2"/>
      <c r="F105" s="7">
        <f t="shared" si="69"/>
        <v>1.2814640134762094E-2</v>
      </c>
      <c r="G105" s="2"/>
      <c r="H105" s="6">
        <v>250</v>
      </c>
      <c r="I105" s="2"/>
      <c r="J105" s="7">
        <f t="shared" si="70"/>
        <v>7.6329818090777541E-3</v>
      </c>
      <c r="K105" s="2"/>
      <c r="L105" s="6">
        <f t="shared" si="71"/>
        <v>78.70999999999998</v>
      </c>
      <c r="M105" s="2"/>
      <c r="N105" s="7">
        <f t="shared" si="72"/>
        <v>0.3148399999999999</v>
      </c>
      <c r="O105" s="10"/>
      <c r="P105" s="6">
        <v>2803.26</v>
      </c>
      <c r="Q105" s="2"/>
      <c r="R105" s="7">
        <f t="shared" si="73"/>
        <v>1.0461344212460576E-3</v>
      </c>
      <c r="S105" s="2"/>
      <c r="T105" s="6">
        <v>3198.48</v>
      </c>
      <c r="U105" s="2"/>
      <c r="V105" s="7">
        <f t="shared" si="74"/>
        <v>6.5695922906070263E-4</v>
      </c>
      <c r="W105" s="2"/>
      <c r="X105" s="6">
        <f t="shared" si="75"/>
        <v>-395.2199999999998</v>
      </c>
      <c r="Y105" s="2"/>
      <c r="Z105" s="7">
        <f t="shared" si="76"/>
        <v>-0.12356494334809028</v>
      </c>
    </row>
    <row r="106" spans="1:26" s="23" customFormat="1" hidden="1" outlineLevel="2" x14ac:dyDescent="0.25">
      <c r="A106" s="27"/>
      <c r="B106" s="10" t="str">
        <f>CONCATENATE("          ", "6275", " - ", "SUBSCRIPTIONS")</f>
        <v xml:space="preserve">          6275 - SUBSCRIPTIONS</v>
      </c>
      <c r="C106" s="10"/>
      <c r="D106" s="6"/>
      <c r="E106" s="2"/>
      <c r="F106" s="7">
        <f t="shared" si="69"/>
        <v>0</v>
      </c>
      <c r="G106" s="2"/>
      <c r="H106" s="6">
        <v>1852.08</v>
      </c>
      <c r="I106" s="2"/>
      <c r="J106" s="7">
        <f t="shared" si="70"/>
        <v>5.6547571795826902E-2</v>
      </c>
      <c r="K106" s="2"/>
      <c r="L106" s="6">
        <f t="shared" si="71"/>
        <v>-1852.08</v>
      </c>
      <c r="M106" s="2"/>
      <c r="N106" s="7">
        <f t="shared" si="72"/>
        <v>-1</v>
      </c>
      <c r="O106" s="10"/>
      <c r="P106" s="6">
        <v>1852.08</v>
      </c>
      <c r="Q106" s="2"/>
      <c r="R106" s="7">
        <f t="shared" si="73"/>
        <v>6.9116836786505638E-4</v>
      </c>
      <c r="S106" s="2"/>
      <c r="T106" s="6">
        <v>1852.08</v>
      </c>
      <c r="U106" s="2"/>
      <c r="V106" s="7">
        <f t="shared" si="74"/>
        <v>3.8041227362958221E-4</v>
      </c>
      <c r="W106" s="2"/>
      <c r="X106" s="6">
        <f t="shared" si="75"/>
        <v>0</v>
      </c>
      <c r="Y106" s="2"/>
      <c r="Z106" s="7">
        <f t="shared" si="76"/>
        <v>0</v>
      </c>
    </row>
    <row r="107" spans="1:26" s="26" customFormat="1" outlineLevel="1" collapsed="1" x14ac:dyDescent="0.25">
      <c r="A107" s="25"/>
      <c r="B107" s="12" t="str">
        <f>CONCATENATE("     ","Supplies                                          ")</f>
        <v xml:space="preserve">     Supplies                                          </v>
      </c>
      <c r="C107" s="12"/>
      <c r="D107" s="1">
        <f>SUM(OSRRefD22_11x_0)</f>
        <v>362.77</v>
      </c>
      <c r="E107" s="1"/>
      <c r="F107" s="5">
        <f t="shared" ref="F107:F110" si="77">IF(D$12=0,0,D107/D$12)</f>
        <v>1.4142456882016504E-2</v>
      </c>
      <c r="G107" s="1"/>
      <c r="H107" s="1">
        <f>SUM(OSRRefH22_11x_0)</f>
        <v>1628.03</v>
      </c>
      <c r="I107" s="1"/>
      <c r="J107" s="5">
        <f t="shared" ref="J107:J110" si="78">IF(H$12=0,0,H107/H$12)</f>
        <v>4.970689349853142E-2</v>
      </c>
      <c r="K107" s="1"/>
      <c r="L107" s="1">
        <f t="shared" ref="L107:L110" si="79">+D107-H107</f>
        <v>-1265.26</v>
      </c>
      <c r="M107" s="1"/>
      <c r="N107" s="5">
        <f t="shared" ref="N107:N110" si="80">IF(H107=0,0,L107/H107)</f>
        <v>-0.7771724108278103</v>
      </c>
      <c r="O107" s="12"/>
      <c r="P107" s="1">
        <f>SUM(OSRRefP22_11x_0)</f>
        <v>5373.43</v>
      </c>
      <c r="Q107" s="1"/>
      <c r="R107" s="5">
        <f t="shared" ref="R107:R110" si="81">IF(P$12=0,0,P107/P$12)</f>
        <v>2.0052831643002085E-3</v>
      </c>
      <c r="S107" s="1"/>
      <c r="T107" s="1">
        <f>SUM(OSRRefT22_11x_0)</f>
        <v>12747.93</v>
      </c>
      <c r="U107" s="1"/>
      <c r="V107" s="5">
        <f t="shared" ref="V107:V110" si="82">IF(T$12=0,0,T107/T$12)</f>
        <v>2.618390693366788E-3</v>
      </c>
      <c r="W107" s="1"/>
      <c r="X107" s="1">
        <f t="shared" ref="X107:X110" si="83">+P107-T107</f>
        <v>-7374.5</v>
      </c>
      <c r="Y107" s="1"/>
      <c r="Z107" s="5">
        <f t="shared" ref="Z107:Z110" si="84">IF(T107=0,0,X107/T107)</f>
        <v>-0.57848607577857736</v>
      </c>
    </row>
    <row r="108" spans="1:26" s="23" customFormat="1" hidden="1" outlineLevel="2" x14ac:dyDescent="0.25">
      <c r="A108" s="27"/>
      <c r="B108" s="10" t="str">
        <f>CONCATENATE("          ", "6241", " - ", "OFFICE EXPENSE")</f>
        <v xml:space="preserve">          6241 - OFFICE EXPENSE</v>
      </c>
      <c r="C108" s="10"/>
      <c r="D108" s="6">
        <v>151.37</v>
      </c>
      <c r="E108" s="2"/>
      <c r="F108" s="7">
        <f t="shared" si="77"/>
        <v>5.901104551729301E-3</v>
      </c>
      <c r="G108" s="2"/>
      <c r="H108" s="6"/>
      <c r="I108" s="2"/>
      <c r="J108" s="7">
        <f t="shared" si="78"/>
        <v>0</v>
      </c>
      <c r="K108" s="2"/>
      <c r="L108" s="6">
        <f t="shared" si="79"/>
        <v>151.37</v>
      </c>
      <c r="M108" s="2"/>
      <c r="N108" s="7">
        <f t="shared" si="80"/>
        <v>0</v>
      </c>
      <c r="O108" s="10"/>
      <c r="P108" s="6">
        <v>1566.67</v>
      </c>
      <c r="Q108" s="2"/>
      <c r="R108" s="7">
        <f t="shared" si="81"/>
        <v>5.8465765349398943E-4</v>
      </c>
      <c r="S108" s="2"/>
      <c r="T108" s="6">
        <v>4027.86</v>
      </c>
      <c r="U108" s="2"/>
      <c r="V108" s="7">
        <f t="shared" si="82"/>
        <v>8.2731166065269819E-4</v>
      </c>
      <c r="W108" s="2"/>
      <c r="X108" s="6">
        <f t="shared" si="83"/>
        <v>-2461.19</v>
      </c>
      <c r="Y108" s="2"/>
      <c r="Z108" s="7">
        <f t="shared" si="84"/>
        <v>-0.61104159528881341</v>
      </c>
    </row>
    <row r="109" spans="1:26" s="23" customFormat="1" hidden="1" outlineLevel="2" x14ac:dyDescent="0.25">
      <c r="A109" s="27"/>
      <c r="B109" s="10" t="str">
        <f>CONCATENATE("          ", "6245", " - ", "PRINTING")</f>
        <v xml:space="preserve">          6245 - PRINTING</v>
      </c>
      <c r="C109" s="10"/>
      <c r="D109" s="6"/>
      <c r="E109" s="2"/>
      <c r="F109" s="7">
        <f t="shared" si="77"/>
        <v>0</v>
      </c>
      <c r="G109" s="2"/>
      <c r="H109" s="6">
        <v>220.5</v>
      </c>
      <c r="I109" s="2"/>
      <c r="J109" s="7">
        <f t="shared" si="78"/>
        <v>6.7322899556065789E-3</v>
      </c>
      <c r="K109" s="2"/>
      <c r="L109" s="6">
        <f t="shared" si="79"/>
        <v>-220.5</v>
      </c>
      <c r="M109" s="2"/>
      <c r="N109" s="7">
        <f t="shared" si="80"/>
        <v>-1</v>
      </c>
      <c r="O109" s="10"/>
      <c r="P109" s="6"/>
      <c r="Q109" s="2"/>
      <c r="R109" s="7">
        <f t="shared" si="81"/>
        <v>0</v>
      </c>
      <c r="S109" s="2"/>
      <c r="T109" s="6">
        <v>5198.58</v>
      </c>
      <c r="U109" s="2"/>
      <c r="V109" s="7">
        <f t="shared" si="82"/>
        <v>1.0677744144125922E-3</v>
      </c>
      <c r="W109" s="2"/>
      <c r="X109" s="6">
        <f t="shared" si="83"/>
        <v>-5198.58</v>
      </c>
      <c r="Y109" s="2"/>
      <c r="Z109" s="7">
        <f t="shared" si="84"/>
        <v>-1</v>
      </c>
    </row>
    <row r="110" spans="1:26" s="23" customFormat="1" hidden="1" outlineLevel="2" x14ac:dyDescent="0.25">
      <c r="A110" s="27"/>
      <c r="B110" s="10" t="str">
        <f>CONCATENATE("          ", "6247", " - ", "STORE SUPPLIES")</f>
        <v xml:space="preserve">          6247 - STORE SUPPLIES</v>
      </c>
      <c r="C110" s="10"/>
      <c r="D110" s="6">
        <v>211.4</v>
      </c>
      <c r="E110" s="2"/>
      <c r="F110" s="7">
        <f t="shared" si="77"/>
        <v>8.2413523302872042E-3</v>
      </c>
      <c r="G110" s="2"/>
      <c r="H110" s="6">
        <v>1407.53</v>
      </c>
      <c r="I110" s="2"/>
      <c r="J110" s="7">
        <f t="shared" si="78"/>
        <v>4.2974603542924844E-2</v>
      </c>
      <c r="K110" s="2"/>
      <c r="L110" s="6">
        <f t="shared" si="79"/>
        <v>-1196.1299999999999</v>
      </c>
      <c r="M110" s="2"/>
      <c r="N110" s="7">
        <f t="shared" si="80"/>
        <v>-0.84980781937152305</v>
      </c>
      <c r="O110" s="10"/>
      <c r="P110" s="6">
        <v>3806.76</v>
      </c>
      <c r="Q110" s="2"/>
      <c r="R110" s="7">
        <f t="shared" si="81"/>
        <v>1.4206255108062192E-3</v>
      </c>
      <c r="S110" s="2"/>
      <c r="T110" s="6">
        <v>3521.49</v>
      </c>
      <c r="U110" s="2"/>
      <c r="V110" s="7">
        <f t="shared" si="82"/>
        <v>7.2330461830149748E-4</v>
      </c>
      <c r="W110" s="2"/>
      <c r="X110" s="6">
        <f t="shared" si="83"/>
        <v>285.27000000000044</v>
      </c>
      <c r="Y110" s="2"/>
      <c r="Z110" s="7">
        <f t="shared" si="84"/>
        <v>8.1008323181380737E-2</v>
      </c>
    </row>
    <row r="111" spans="1:26" s="26" customFormat="1" outlineLevel="1" collapsed="1" x14ac:dyDescent="0.25">
      <c r="A111" s="25"/>
      <c r="B111" s="12" t="str">
        <f>CONCATENATE("     ","Telephone/Data Lines                              ")</f>
        <v xml:space="preserve">     Telephone/Data Lines                              </v>
      </c>
      <c r="C111" s="12"/>
      <c r="D111" s="1">
        <f>SUM(OSRRefD22_12x_0)</f>
        <v>1003.95</v>
      </c>
      <c r="E111" s="1"/>
      <c r="F111" s="5">
        <f t="shared" ref="F111:F113" si="85">IF(D$12=0,0,D111/D$12)</f>
        <v>3.9138626641399429E-2</v>
      </c>
      <c r="G111" s="1"/>
      <c r="H111" s="1">
        <f>SUM(OSRRefH22_12x_0)</f>
        <v>474.35</v>
      </c>
      <c r="I111" s="1"/>
      <c r="J111" s="5">
        <f t="shared" ref="J111:J113" si="86">IF(H$12=0,0,H111/H$12)</f>
        <v>1.4482819684544131E-2</v>
      </c>
      <c r="K111" s="1"/>
      <c r="L111" s="1">
        <f t="shared" ref="L111:L113" si="87">+D111-H111</f>
        <v>529.6</v>
      </c>
      <c r="M111" s="1"/>
      <c r="N111" s="5">
        <f t="shared" ref="N111:N113" si="88">IF(H111=0,0,L111/H111)</f>
        <v>1.1164751765573944</v>
      </c>
      <c r="O111" s="12"/>
      <c r="P111" s="1">
        <f>SUM(OSRRefP22_12x_0)</f>
        <v>8185.9</v>
      </c>
      <c r="Q111" s="1"/>
      <c r="R111" s="5">
        <f t="shared" ref="R111:R113" si="89">IF(P$12=0,0,P111/P$12)</f>
        <v>3.054854618864501E-3</v>
      </c>
      <c r="S111" s="1"/>
      <c r="T111" s="1">
        <f>SUM(OSRRefT22_12x_0)</f>
        <v>7145.99</v>
      </c>
      <c r="U111" s="1"/>
      <c r="V111" s="5">
        <f t="shared" ref="V111:V113" si="90">IF(T$12=0,0,T111/T$12)</f>
        <v>1.467767214825633E-3</v>
      </c>
      <c r="W111" s="1"/>
      <c r="X111" s="1">
        <f t="shared" ref="X111:X113" si="91">+P111-T111</f>
        <v>1039.9099999999999</v>
      </c>
      <c r="Y111" s="1"/>
      <c r="Z111" s="5">
        <f t="shared" ref="Z111:Z113" si="92">IF(T111=0,0,X111/T111)</f>
        <v>0.14552357336072397</v>
      </c>
    </row>
    <row r="112" spans="1:26" s="23" customFormat="1" hidden="1" outlineLevel="2" x14ac:dyDescent="0.25">
      <c r="A112" s="27"/>
      <c r="B112" s="10" t="str">
        <f>CONCATENATE("          ", "6303", " - ", "DATA PHONE LINES")</f>
        <v xml:space="preserve">          6303 - DATA PHONE LINES</v>
      </c>
      <c r="C112" s="10"/>
      <c r="D112" s="6">
        <v>590</v>
      </c>
      <c r="E112" s="2"/>
      <c r="F112" s="7">
        <f t="shared" si="85"/>
        <v>2.300093602114215E-2</v>
      </c>
      <c r="G112" s="2"/>
      <c r="H112" s="6"/>
      <c r="I112" s="2"/>
      <c r="J112" s="7">
        <f t="shared" si="86"/>
        <v>0</v>
      </c>
      <c r="K112" s="2"/>
      <c r="L112" s="6">
        <f t="shared" si="87"/>
        <v>590</v>
      </c>
      <c r="M112" s="2"/>
      <c r="N112" s="7">
        <f t="shared" si="88"/>
        <v>0</v>
      </c>
      <c r="O112" s="10"/>
      <c r="P112" s="6">
        <v>3540</v>
      </c>
      <c r="Q112" s="2"/>
      <c r="R112" s="7">
        <f t="shared" si="89"/>
        <v>1.3210746956083428E-3</v>
      </c>
      <c r="S112" s="2"/>
      <c r="T112" s="6">
        <v>2360</v>
      </c>
      <c r="U112" s="2"/>
      <c r="V112" s="7">
        <f t="shared" si="90"/>
        <v>4.8473768183113799E-4</v>
      </c>
      <c r="W112" s="2"/>
      <c r="X112" s="6">
        <f t="shared" si="91"/>
        <v>1180</v>
      </c>
      <c r="Y112" s="2"/>
      <c r="Z112" s="7">
        <f t="shared" si="92"/>
        <v>0.5</v>
      </c>
    </row>
    <row r="113" spans="1:26" s="23" customFormat="1" hidden="1" outlineLevel="2" x14ac:dyDescent="0.25">
      <c r="A113" s="27"/>
      <c r="B113" s="10" t="str">
        <f>CONCATENATE("          ", "6309", " - ", "TELEPHONE")</f>
        <v xml:space="preserve">          6309 - TELEPHONE</v>
      </c>
      <c r="C113" s="10"/>
      <c r="D113" s="6">
        <v>413.95</v>
      </c>
      <c r="E113" s="2"/>
      <c r="F113" s="7">
        <f t="shared" si="85"/>
        <v>1.6137690620257276E-2</v>
      </c>
      <c r="G113" s="2"/>
      <c r="H113" s="6">
        <v>474.35</v>
      </c>
      <c r="I113" s="2"/>
      <c r="J113" s="7">
        <f t="shared" si="86"/>
        <v>1.4482819684544131E-2</v>
      </c>
      <c r="K113" s="2"/>
      <c r="L113" s="6">
        <f t="shared" si="87"/>
        <v>-60.400000000000034</v>
      </c>
      <c r="M113" s="2"/>
      <c r="N113" s="7">
        <f t="shared" si="88"/>
        <v>-0.12733213871613794</v>
      </c>
      <c r="O113" s="10"/>
      <c r="P113" s="6">
        <v>4645.8999999999996</v>
      </c>
      <c r="Q113" s="2"/>
      <c r="R113" s="7">
        <f t="shared" si="89"/>
        <v>1.7337799232561581E-3</v>
      </c>
      <c r="S113" s="2"/>
      <c r="T113" s="6">
        <v>4785.99</v>
      </c>
      <c r="U113" s="2"/>
      <c r="V113" s="7">
        <f t="shared" si="90"/>
        <v>9.8302953299449496E-4</v>
      </c>
      <c r="W113" s="2"/>
      <c r="X113" s="6">
        <f t="shared" si="91"/>
        <v>-140.09000000000015</v>
      </c>
      <c r="Y113" s="2"/>
      <c r="Z113" s="7">
        <f t="shared" si="92"/>
        <v>-2.9270850962914707E-2</v>
      </c>
    </row>
    <row r="114" spans="1:26" s="26" customFormat="1" outlineLevel="1" collapsed="1" x14ac:dyDescent="0.25">
      <c r="A114" s="25"/>
      <c r="B114" s="12" t="str">
        <f>CONCATENATE("     ","Training                                          ")</f>
        <v xml:space="preserve">     Training                                          </v>
      </c>
      <c r="C114" s="12"/>
      <c r="D114" s="1">
        <f>SUM(OSRRefD22_13x_0)</f>
        <v>0</v>
      </c>
      <c r="E114" s="1"/>
      <c r="F114" s="5">
        <f t="shared" ref="F114:F117" si="93">IF(D$12=0,0,D114/D$12)</f>
        <v>0</v>
      </c>
      <c r="G114" s="1"/>
      <c r="H114" s="1">
        <f>SUM(OSRRefH22_13x_0)</f>
        <v>0</v>
      </c>
      <c r="I114" s="1"/>
      <c r="J114" s="5">
        <f t="shared" ref="J114:J117" si="94">IF(H$12=0,0,H114/H$12)</f>
        <v>0</v>
      </c>
      <c r="K114" s="1"/>
      <c r="L114" s="1">
        <f t="shared" ref="L114:L117" si="95">+D114-H114</f>
        <v>0</v>
      </c>
      <c r="M114" s="1"/>
      <c r="N114" s="5">
        <f t="shared" ref="N114:N117" si="96">IF(H114=0,0,L114/H114)</f>
        <v>0</v>
      </c>
      <c r="O114" s="12"/>
      <c r="P114" s="1">
        <f>SUM(OSRRefP22_13x_0)</f>
        <v>0</v>
      </c>
      <c r="Q114" s="1"/>
      <c r="R114" s="5">
        <f t="shared" ref="R114:R117" si="97">IF(P$12=0,0,P114/P$12)</f>
        <v>0</v>
      </c>
      <c r="S114" s="1"/>
      <c r="T114" s="1">
        <f>SUM(OSRRefT22_13x_0)</f>
        <v>4157.1499999999996</v>
      </c>
      <c r="U114" s="1"/>
      <c r="V114" s="5">
        <f t="shared" ref="V114:V117" si="98">IF(T$12=0,0,T114/T$12)</f>
        <v>8.5386748051877767E-4</v>
      </c>
      <c r="W114" s="1"/>
      <c r="X114" s="1">
        <f t="shared" ref="X114:X117" si="99">+P114-T114</f>
        <v>-4157.1499999999996</v>
      </c>
      <c r="Y114" s="1"/>
      <c r="Z114" s="5">
        <f t="shared" ref="Z114:Z117" si="100">IF(T114=0,0,X114/T114)</f>
        <v>-1</v>
      </c>
    </row>
    <row r="115" spans="1:26" s="23" customFormat="1" hidden="1" outlineLevel="2" x14ac:dyDescent="0.25">
      <c r="A115" s="27"/>
      <c r="B115" s="10" t="str">
        <f>CONCATENATE("          ", "6376", " - ", "TRAINING")</f>
        <v xml:space="preserve">          6376 - TRAINING</v>
      </c>
      <c r="C115" s="10"/>
      <c r="D115" s="6"/>
      <c r="E115" s="2"/>
      <c r="F115" s="7">
        <f t="shared" si="93"/>
        <v>0</v>
      </c>
      <c r="G115" s="2"/>
      <c r="H115" s="6"/>
      <c r="I115" s="2"/>
      <c r="J115" s="7">
        <f t="shared" si="94"/>
        <v>0</v>
      </c>
      <c r="K115" s="2"/>
      <c r="L115" s="6">
        <f t="shared" si="95"/>
        <v>0</v>
      </c>
      <c r="M115" s="2"/>
      <c r="N115" s="7">
        <f t="shared" si="96"/>
        <v>0</v>
      </c>
      <c r="O115" s="10"/>
      <c r="P115" s="6"/>
      <c r="Q115" s="2"/>
      <c r="R115" s="7">
        <f t="shared" si="97"/>
        <v>0</v>
      </c>
      <c r="S115" s="2"/>
      <c r="T115" s="6">
        <v>4157.1499999999996</v>
      </c>
      <c r="U115" s="2"/>
      <c r="V115" s="7">
        <f t="shared" si="98"/>
        <v>8.5386748051877767E-4</v>
      </c>
      <c r="W115" s="2"/>
      <c r="X115" s="6">
        <f t="shared" si="99"/>
        <v>-4157.1499999999996</v>
      </c>
      <c r="Y115" s="2"/>
      <c r="Z115" s="7">
        <f t="shared" si="100"/>
        <v>-1</v>
      </c>
    </row>
    <row r="116" spans="1:26" s="26" customFormat="1" outlineLevel="1" collapsed="1" x14ac:dyDescent="0.25">
      <c r="A116" s="25"/>
      <c r="B116" s="12" t="str">
        <f>CONCATENATE("     ","Travel                                            ")</f>
        <v xml:space="preserve">     Travel                                            </v>
      </c>
      <c r="C116" s="12"/>
      <c r="D116" s="1">
        <f>SUM(OSRRefD22_14x_0)</f>
        <v>0</v>
      </c>
      <c r="E116" s="1"/>
      <c r="F116" s="5">
        <f t="shared" si="93"/>
        <v>0</v>
      </c>
      <c r="G116" s="1"/>
      <c r="H116" s="1">
        <f>SUM(OSRRefH22_14x_0)</f>
        <v>0</v>
      </c>
      <c r="I116" s="1"/>
      <c r="J116" s="5">
        <f t="shared" si="94"/>
        <v>0</v>
      </c>
      <c r="K116" s="1"/>
      <c r="L116" s="1">
        <f t="shared" si="95"/>
        <v>0</v>
      </c>
      <c r="M116" s="1"/>
      <c r="N116" s="5">
        <f t="shared" si="96"/>
        <v>0</v>
      </c>
      <c r="O116" s="12"/>
      <c r="P116" s="1">
        <f>SUM(OSRRefP22_14x_0)</f>
        <v>0.16</v>
      </c>
      <c r="Q116" s="1"/>
      <c r="R116" s="5">
        <f t="shared" si="97"/>
        <v>5.9709590761959001E-8</v>
      </c>
      <c r="S116" s="1"/>
      <c r="T116" s="1">
        <f>SUM(OSRRefT22_14x_0)</f>
        <v>83.93</v>
      </c>
      <c r="U116" s="1"/>
      <c r="V116" s="5">
        <f t="shared" si="98"/>
        <v>1.723899730342687E-5</v>
      </c>
      <c r="W116" s="1"/>
      <c r="X116" s="1">
        <f t="shared" si="99"/>
        <v>-83.77000000000001</v>
      </c>
      <c r="Y116" s="1"/>
      <c r="Z116" s="5">
        <f t="shared" si="100"/>
        <v>-0.99809364946979628</v>
      </c>
    </row>
    <row r="117" spans="1:26" s="23" customFormat="1" hidden="1" outlineLevel="2" x14ac:dyDescent="0.25">
      <c r="A117" s="27"/>
      <c r="B117" s="10" t="str">
        <f>CONCATENATE("          ", "6292", " - ", "TRAVEL/CONFERENCE")</f>
        <v xml:space="preserve">          6292 - TRAVEL/CONFERENCE</v>
      </c>
      <c r="C117" s="10"/>
      <c r="D117" s="6"/>
      <c r="E117" s="2"/>
      <c r="F117" s="7">
        <f t="shared" si="93"/>
        <v>0</v>
      </c>
      <c r="G117" s="2"/>
      <c r="H117" s="6"/>
      <c r="I117" s="2"/>
      <c r="J117" s="7">
        <f t="shared" si="94"/>
        <v>0</v>
      </c>
      <c r="K117" s="2"/>
      <c r="L117" s="6">
        <f t="shared" si="95"/>
        <v>0</v>
      </c>
      <c r="M117" s="2"/>
      <c r="N117" s="7">
        <f t="shared" si="96"/>
        <v>0</v>
      </c>
      <c r="O117" s="10"/>
      <c r="P117" s="6">
        <v>0.16</v>
      </c>
      <c r="Q117" s="2"/>
      <c r="R117" s="7">
        <f t="shared" si="97"/>
        <v>5.9709590761959001E-8</v>
      </c>
      <c r="S117" s="2"/>
      <c r="T117" s="6">
        <v>83.93</v>
      </c>
      <c r="U117" s="2"/>
      <c r="V117" s="7">
        <f t="shared" si="98"/>
        <v>1.723899730342687E-5</v>
      </c>
      <c r="W117" s="2"/>
      <c r="X117" s="6">
        <f t="shared" si="99"/>
        <v>-83.77000000000001</v>
      </c>
      <c r="Y117" s="2"/>
      <c r="Z117" s="7">
        <f t="shared" si="100"/>
        <v>-0.99809364946979628</v>
      </c>
    </row>
    <row r="118" spans="1:26" s="62" customFormat="1" x14ac:dyDescent="0.25">
      <c r="A118" s="37"/>
      <c r="B118" s="37"/>
      <c r="C118" s="37"/>
      <c r="D118" s="1"/>
      <c r="E118" s="1"/>
      <c r="F118" s="5"/>
      <c r="G118" s="1"/>
      <c r="H118" s="1"/>
      <c r="I118" s="1"/>
      <c r="J118" s="5"/>
      <c r="K118" s="1"/>
      <c r="L118" s="1"/>
      <c r="M118" s="1"/>
      <c r="N118" s="5"/>
      <c r="O118" s="37"/>
      <c r="P118" s="1"/>
      <c r="Q118" s="1"/>
      <c r="R118" s="5"/>
      <c r="S118" s="1"/>
      <c r="T118" s="1"/>
      <c r="U118" s="1"/>
      <c r="V118" s="5"/>
      <c r="W118" s="1"/>
      <c r="X118" s="1"/>
      <c r="Y118" s="1"/>
      <c r="Z118" s="5"/>
    </row>
    <row r="119" spans="1:26" s="24" customFormat="1" collapsed="1" x14ac:dyDescent="0.25">
      <c r="A119" s="11"/>
      <c r="B119" s="28" t="s">
        <v>292</v>
      </c>
      <c r="C119" s="11"/>
      <c r="D119" s="4">
        <f>SUM(OSRRefD25x_0)</f>
        <v>505.94</v>
      </c>
      <c r="E119" s="4"/>
      <c r="F119" s="13">
        <f t="shared" ref="F119:F122" si="101">IF(D$12=0,0,D119/D$12)</f>
        <v>1.9723887407689253E-2</v>
      </c>
      <c r="G119" s="4"/>
      <c r="H119" s="4">
        <f>SUM(OSRRefH25x_0)</f>
        <v>186.38</v>
      </c>
      <c r="I119" s="4"/>
      <c r="J119" s="13">
        <f t="shared" ref="J119:J122" si="102">IF(H$12=0,0,H119/H$12)</f>
        <v>5.6905405983036471E-3</v>
      </c>
      <c r="K119" s="4"/>
      <c r="L119" s="4">
        <f t="shared" ref="L119:L122" si="103">+D119-H119</f>
        <v>319.56</v>
      </c>
      <c r="M119" s="4"/>
      <c r="N119" s="13">
        <f t="shared" ref="N119:N122" si="104">IF(H119=0,0,L119/H119)</f>
        <v>1.7145616482455199</v>
      </c>
      <c r="O119" s="11"/>
      <c r="P119" s="4">
        <f>SUM(OSRRefP25x_0)</f>
        <v>331308.07</v>
      </c>
      <c r="Q119" s="4"/>
      <c r="R119" s="13">
        <f t="shared" ref="R119:R122" si="105">IF(P$12=0,0,P119/P$12)</f>
        <v>0.12363918297396542</v>
      </c>
      <c r="S119" s="4"/>
      <c r="T119" s="4">
        <f>SUM(OSRRefT25x_0)</f>
        <v>188042.77999999997</v>
      </c>
      <c r="U119" s="4"/>
      <c r="V119" s="13">
        <f t="shared" ref="V119:V122" si="106">IF(T$12=0,0,T119/T$12)</f>
        <v>3.8623483585712992E-2</v>
      </c>
      <c r="W119" s="4"/>
      <c r="X119" s="4">
        <f t="shared" ref="X119:X122" si="107">+P119-T119</f>
        <v>143265.29000000004</v>
      </c>
      <c r="Y119" s="4"/>
      <c r="Z119" s="13">
        <f t="shared" ref="Z119:Z122" si="108">IF(T119=0,0,X119/T119)</f>
        <v>0.76187604756747407</v>
      </c>
    </row>
    <row r="120" spans="1:26" s="23" customFormat="1" hidden="1" outlineLevel="1" x14ac:dyDescent="0.25">
      <c r="A120" s="44"/>
      <c r="B120" s="10" t="str">
        <f>CONCATENATE("          ", "9150", " - ", "MISC. INCOME")</f>
        <v xml:space="preserve">          9150 - MISC. INCOME</v>
      </c>
      <c r="C120" s="10"/>
      <c r="D120" s="2">
        <f t="shared" ref="D120:D121" si="109">0</f>
        <v>0</v>
      </c>
      <c r="E120" s="2"/>
      <c r="F120" s="19">
        <f t="shared" si="101"/>
        <v>0</v>
      </c>
      <c r="G120" s="2"/>
      <c r="H120" s="2">
        <f>--104.19</f>
        <v>104.19</v>
      </c>
      <c r="I120" s="2"/>
      <c r="J120" s="19">
        <f t="shared" si="102"/>
        <v>3.1811214987512446E-3</v>
      </c>
      <c r="K120" s="2"/>
      <c r="L120" s="2">
        <f t="shared" si="103"/>
        <v>-104.19</v>
      </c>
      <c r="M120" s="2"/>
      <c r="N120" s="19">
        <f t="shared" si="104"/>
        <v>-1</v>
      </c>
      <c r="O120" s="10"/>
      <c r="P120" s="2">
        <f>--31463.11</f>
        <v>31463.11</v>
      </c>
      <c r="Q120" s="2"/>
      <c r="R120" s="19">
        <f t="shared" si="105"/>
        <v>1.1741558888740625E-2</v>
      </c>
      <c r="S120" s="2"/>
      <c r="T120" s="2">
        <f>--20516.43</f>
        <v>20516.43</v>
      </c>
      <c r="U120" s="2"/>
      <c r="V120" s="19">
        <f t="shared" si="106"/>
        <v>4.2140197956147523E-3</v>
      </c>
      <c r="W120" s="2"/>
      <c r="X120" s="2">
        <f t="shared" si="107"/>
        <v>10946.68</v>
      </c>
      <c r="Y120" s="2"/>
      <c r="Z120" s="19">
        <f t="shared" si="108"/>
        <v>0.53355676401791152</v>
      </c>
    </row>
    <row r="121" spans="1:26" s="23" customFormat="1" hidden="1" outlineLevel="1" x14ac:dyDescent="0.25">
      <c r="A121" s="44"/>
      <c r="B121" s="10" t="str">
        <f>CONCATENATE("          ", "9151", " - ", "MISC. INCOME")</f>
        <v xml:space="preserve">          9151 - MISC. INCOME</v>
      </c>
      <c r="C121" s="10"/>
      <c r="D121" s="2">
        <f t="shared" si="109"/>
        <v>0</v>
      </c>
      <c r="E121" s="2"/>
      <c r="F121" s="19">
        <f t="shared" si="101"/>
        <v>0</v>
      </c>
      <c r="G121" s="2"/>
      <c r="H121" s="2">
        <f>0</f>
        <v>0</v>
      </c>
      <c r="I121" s="2"/>
      <c r="J121" s="19">
        <f t="shared" si="102"/>
        <v>0</v>
      </c>
      <c r="K121" s="2"/>
      <c r="L121" s="2">
        <f t="shared" si="103"/>
        <v>0</v>
      </c>
      <c r="M121" s="2"/>
      <c r="N121" s="19">
        <f t="shared" si="104"/>
        <v>0</v>
      </c>
      <c r="O121" s="10"/>
      <c r="P121" s="2">
        <f>--295628.46</f>
        <v>295628.46000000002</v>
      </c>
      <c r="Q121" s="2"/>
      <c r="R121" s="19">
        <f t="shared" si="105"/>
        <v>0.11032408977617605</v>
      </c>
      <c r="S121" s="2"/>
      <c r="T121" s="2">
        <f>--162744.3</f>
        <v>162744.29999999999</v>
      </c>
      <c r="U121" s="2"/>
      <c r="V121" s="19">
        <f t="shared" si="106"/>
        <v>3.3427243522555619E-2</v>
      </c>
      <c r="W121" s="2"/>
      <c r="X121" s="2">
        <f t="shared" si="107"/>
        <v>132884.16000000003</v>
      </c>
      <c r="Y121" s="2"/>
      <c r="Z121" s="19">
        <f t="shared" si="108"/>
        <v>0.81652113161566975</v>
      </c>
    </row>
    <row r="122" spans="1:26" s="23" customFormat="1" hidden="1" outlineLevel="1" x14ac:dyDescent="0.25">
      <c r="A122" s="44"/>
      <c r="B122" s="10" t="str">
        <f>CONCATENATE("          ", "9152", " - ", "MISC. INCOME")</f>
        <v xml:space="preserve">          9152 - MISC. INCOME</v>
      </c>
      <c r="C122" s="10"/>
      <c r="D122" s="2">
        <f>--505.94</f>
        <v>505.94</v>
      </c>
      <c r="E122" s="2"/>
      <c r="F122" s="19">
        <f t="shared" si="101"/>
        <v>1.9723887407689253E-2</v>
      </c>
      <c r="G122" s="2"/>
      <c r="H122" s="2">
        <f>--82.19</f>
        <v>82.19</v>
      </c>
      <c r="I122" s="2"/>
      <c r="J122" s="19">
        <f t="shared" si="102"/>
        <v>2.5094190995524021E-3</v>
      </c>
      <c r="K122" s="2"/>
      <c r="L122" s="2">
        <f t="shared" si="103"/>
        <v>423.75</v>
      </c>
      <c r="M122" s="2"/>
      <c r="N122" s="19">
        <f t="shared" si="104"/>
        <v>5.1557367076286651</v>
      </c>
      <c r="O122" s="10"/>
      <c r="P122" s="2">
        <f>--4216.5</f>
        <v>4216.5</v>
      </c>
      <c r="Q122" s="2"/>
      <c r="R122" s="19">
        <f t="shared" si="105"/>
        <v>1.5735343090487509E-3</v>
      </c>
      <c r="S122" s="2"/>
      <c r="T122" s="2">
        <f>--4782.05</f>
        <v>4782.05</v>
      </c>
      <c r="U122" s="2"/>
      <c r="V122" s="19">
        <f t="shared" si="106"/>
        <v>9.8222026754262435E-4</v>
      </c>
      <c r="W122" s="2"/>
      <c r="X122" s="2">
        <f t="shared" si="107"/>
        <v>-565.55000000000018</v>
      </c>
      <c r="Y122" s="2"/>
      <c r="Z122" s="19">
        <f t="shared" si="108"/>
        <v>-0.1182651791595655</v>
      </c>
    </row>
    <row r="123" spans="1:26" x14ac:dyDescent="0.25">
      <c r="A123" s="9"/>
      <c r="B123" s="11"/>
      <c r="C123" s="11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1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4" customFormat="1" x14ac:dyDescent="0.25">
      <c r="A124" s="11"/>
      <c r="B124" s="29" t="s">
        <v>276</v>
      </c>
      <c r="C124" s="29"/>
      <c r="D124" s="20">
        <f>+D63-D65+D119</f>
        <v>-57685.580000000016</v>
      </c>
      <c r="E124" s="14"/>
      <c r="F124" s="22">
        <f>IF(D$12=0,0,D124/D$12)</f>
        <v>-2.2488514151228434</v>
      </c>
      <c r="G124" s="14"/>
      <c r="H124" s="20">
        <f>+H63-H65+H119</f>
        <v>-38583.690000000024</v>
      </c>
      <c r="I124" s="14"/>
      <c r="J124" s="22">
        <f>IF(H$12=0,0,H124/H$12)</f>
        <v>-1.1780344155883817</v>
      </c>
      <c r="K124" s="16"/>
      <c r="L124" s="20">
        <f>+D124-H124</f>
        <v>-19101.889999999992</v>
      </c>
      <c r="M124" s="16"/>
      <c r="N124" s="22">
        <f>IF(H124=0,0,L124/H124)</f>
        <v>0.49507680576948393</v>
      </c>
      <c r="O124" s="28"/>
      <c r="P124" s="20">
        <f>+P63-P65+P119</f>
        <v>644581.03000000061</v>
      </c>
      <c r="Q124" s="14"/>
      <c r="R124" s="22">
        <f>IF(P$12=0,0,P124/P$12)</f>
        <v>0.24054793446388784</v>
      </c>
      <c r="S124" s="14"/>
      <c r="T124" s="20">
        <f>+T63-T65+T119</f>
        <v>1101613.9199999992</v>
      </c>
      <c r="U124" s="14"/>
      <c r="V124" s="22">
        <f>IF(T$12=0,0,T124/T$12)</f>
        <v>0.22626854993801371</v>
      </c>
      <c r="W124" s="16"/>
      <c r="X124" s="20">
        <f>+P124-T124</f>
        <v>-457032.88999999862</v>
      </c>
      <c r="Y124" s="16"/>
      <c r="Z124" s="22">
        <f>IF(T124=0,0,X124/T124)</f>
        <v>-0.41487573976915521</v>
      </c>
    </row>
    <row r="125" spans="1:26" x14ac:dyDescent="0.25">
      <c r="A125" s="9"/>
      <c r="B125" s="11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4" customFormat="1" x14ac:dyDescent="0.25">
      <c r="A126" s="51"/>
      <c r="B126" s="11" t="s">
        <v>127</v>
      </c>
      <c r="C126" s="11"/>
      <c r="D126" s="4">
        <v>13626.98</v>
      </c>
      <c r="E126" s="4"/>
      <c r="F126" s="13">
        <f>IF(D$12=0,0,D126/D$12)</f>
        <v>0.53124287312098928</v>
      </c>
      <c r="G126" s="4"/>
      <c r="H126" s="4">
        <v>34622</v>
      </c>
      <c r="I126" s="4"/>
      <c r="J126" s="13">
        <f>IF(H$12=0,0,H126/H$12)</f>
        <v>1.05707638477556</v>
      </c>
      <c r="K126" s="4"/>
      <c r="L126" s="4">
        <f>+D126-H126</f>
        <v>-20995.02</v>
      </c>
      <c r="M126" s="4"/>
      <c r="N126" s="13">
        <f>IF(H126=0,0,L126/H126)</f>
        <v>-0.60640690890185434</v>
      </c>
      <c r="O126" s="11"/>
      <c r="P126" s="4">
        <v>560590.82999999996</v>
      </c>
      <c r="Q126" s="4"/>
      <c r="R126" s="13">
        <f>IF(P$12=0,0,P126/P$12)</f>
        <v>0.20920405652629329</v>
      </c>
      <c r="S126" s="4"/>
      <c r="T126" s="4">
        <v>552796.12</v>
      </c>
      <c r="U126" s="4"/>
      <c r="V126" s="13">
        <f>IF(T$12=0,0,T126/T$12)</f>
        <v>0.11354284310764728</v>
      </c>
      <c r="W126" s="4"/>
      <c r="X126" s="4">
        <f>+P126-T126</f>
        <v>7794.7099999999627</v>
      </c>
      <c r="Y126" s="4"/>
      <c r="Z126" s="13">
        <f>IF(T126=0,0,X126/T126)</f>
        <v>1.410051503255841E-2</v>
      </c>
    </row>
    <row r="127" spans="1:26" x14ac:dyDescent="0.25">
      <c r="A127" s="9"/>
      <c r="B127" s="11"/>
      <c r="C127" s="11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1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4" customFormat="1" ht="15.75" thickBot="1" x14ac:dyDescent="0.3">
      <c r="A128" s="11"/>
      <c r="B128" s="29" t="s">
        <v>125</v>
      </c>
      <c r="C128" s="29"/>
      <c r="D128" s="30">
        <f>+D124-D126</f>
        <v>-71312.560000000012</v>
      </c>
      <c r="E128" s="14"/>
      <c r="F128" s="34">
        <f>IF(D$12=0,0,D128/D$12)</f>
        <v>-2.7800942882438324</v>
      </c>
      <c r="G128" s="14"/>
      <c r="H128" s="30">
        <f>+H124-H126</f>
        <v>-73205.690000000031</v>
      </c>
      <c r="I128" s="14"/>
      <c r="J128" s="34">
        <f>IF(H$12=0,0,H128/H$12)</f>
        <v>-2.2351108003639419</v>
      </c>
      <c r="K128" s="16"/>
      <c r="L128" s="30">
        <f>D128-H128</f>
        <v>1893.1300000000192</v>
      </c>
      <c r="M128" s="16"/>
      <c r="N128" s="34">
        <f>IF(H128=0,0,L128/H128)</f>
        <v>-2.5860421505487053E-2</v>
      </c>
      <c r="O128" s="28"/>
      <c r="P128" s="30">
        <f>+P124-P126</f>
        <v>83990.200000000652</v>
      </c>
      <c r="Q128" s="14"/>
      <c r="R128" s="34">
        <f>IF(P$12=0,0,P128/P$12)</f>
        <v>3.134387793759455E-2</v>
      </c>
      <c r="S128" s="14"/>
      <c r="T128" s="30">
        <f>+T124-T126</f>
        <v>548817.79999999923</v>
      </c>
      <c r="U128" s="14"/>
      <c r="V128" s="34">
        <f>IF(T$12=0,0,T128/T$12)</f>
        <v>0.11272570683036642</v>
      </c>
      <c r="W128" s="16"/>
      <c r="X128" s="30">
        <f>P128-T128</f>
        <v>-464827.59999999858</v>
      </c>
      <c r="Y128" s="16"/>
      <c r="Z128" s="34">
        <f>IF(T128=0,0,X128/T128)</f>
        <v>-0.84696159636221569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4" customFormat="1" ht="15.75" thickBot="1" x14ac:dyDescent="0.3">
      <c r="A131" s="11"/>
      <c r="B131" s="29" t="s">
        <v>293</v>
      </c>
      <c r="C131" s="29"/>
      <c r="D131" s="32">
        <f>SUM(D128:D130)</f>
        <v>-71312.560000000012</v>
      </c>
      <c r="E131" s="14"/>
      <c r="F131" s="35">
        <f>IF(D$12=0,0,D131/D$12)</f>
        <v>-2.7800942882438324</v>
      </c>
      <c r="G131" s="14"/>
      <c r="H131" s="32">
        <f>SUM(H128:H130)</f>
        <v>-73205.690000000031</v>
      </c>
      <c r="I131" s="14"/>
      <c r="J131" s="35">
        <f>IF(H$12=0,0,H131/H$12)</f>
        <v>-2.2351108003639419</v>
      </c>
      <c r="K131" s="16"/>
      <c r="L131" s="32">
        <f>+D131-H131</f>
        <v>1893.1300000000192</v>
      </c>
      <c r="M131" s="16"/>
      <c r="N131" s="35">
        <f>IF(H131=0,0,L131/H131)</f>
        <v>-2.5860421505487053E-2</v>
      </c>
      <c r="O131" s="28"/>
      <c r="P131" s="32">
        <f>SUM(P128:P130)</f>
        <v>83990.200000000652</v>
      </c>
      <c r="Q131" s="14"/>
      <c r="R131" s="35">
        <f>IF(P$12=0,0,P131/P$12)</f>
        <v>3.134387793759455E-2</v>
      </c>
      <c r="S131" s="14"/>
      <c r="T131" s="32">
        <f>SUM(T128:T130)</f>
        <v>548817.79999999923</v>
      </c>
      <c r="U131" s="14"/>
      <c r="V131" s="35">
        <f>IF(T$12=0,0,T131/T$12)</f>
        <v>0.11272570683036642</v>
      </c>
      <c r="W131" s="16"/>
      <c r="X131" s="32">
        <f>+P131-T131</f>
        <v>-464827.59999999858</v>
      </c>
      <c r="Y131" s="16"/>
      <c r="Z131" s="35">
        <f>IF(T131=0,0,X131/T131)</f>
        <v>-0.84696159636221569</v>
      </c>
    </row>
    <row r="132" spans="1:26" ht="15.75" thickTop="1" x14ac:dyDescent="0.25">
      <c r="A132" s="9"/>
      <c r="C132" s="9"/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6" x14ac:dyDescent="0.25">
      <c r="A133" s="9"/>
      <c r="B133" s="59">
        <v>44330.008781168981</v>
      </c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  <row r="134" spans="1:26" x14ac:dyDescent="0.25">
      <c r="A134" s="9"/>
      <c r="B134" s="52" t="s">
        <v>56</v>
      </c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A135" s="9"/>
      <c r="B135" s="55"/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  <row r="136" spans="1:26" x14ac:dyDescent="0.25"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3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","311", " - ", "Textbooks")</f>
        <v>Department 311 - Textbooks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36803.30999999999</v>
      </c>
      <c r="E12" s="4"/>
      <c r="F12" s="13"/>
      <c r="G12" s="4"/>
      <c r="H12" s="4">
        <f>SUM(OSRRefH13x_0)</f>
        <v>4708.6799999999985</v>
      </c>
      <c r="I12" s="4"/>
      <c r="J12" s="13"/>
      <c r="K12" s="4"/>
      <c r="L12" s="4">
        <f t="shared" ref="L12:L41" si="0">+D12-H12</f>
        <v>32094.62999999999</v>
      </c>
      <c r="M12" s="4"/>
      <c r="N12" s="13">
        <f t="shared" ref="N12:N41" si="1">IF(H12=0,0,L12/H12)</f>
        <v>6.8160567292744467</v>
      </c>
      <c r="O12" s="11"/>
      <c r="P12" s="4">
        <f>SUM(OSRRefP13x_0)</f>
        <v>1914556.7099999997</v>
      </c>
      <c r="Q12" s="4"/>
      <c r="R12" s="13"/>
      <c r="S12" s="4"/>
      <c r="T12" s="4">
        <f>SUM(OSRRefT13x_0)</f>
        <v>3293013.11</v>
      </c>
      <c r="U12" s="4"/>
      <c r="V12" s="13"/>
      <c r="W12" s="4"/>
      <c r="X12" s="4">
        <f t="shared" ref="X12:X41" si="2">+P12-T12</f>
        <v>-1378456.4000000001</v>
      </c>
      <c r="Y12" s="4"/>
      <c r="Z12" s="13">
        <f t="shared" ref="Z12:Z41" si="3">IF(T12=0,0,X12/T12)</f>
        <v>-0.41860033773142197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-219.91</f>
        <v>-219.91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-219.91</v>
      </c>
      <c r="M13" s="2"/>
      <c r="N13" s="19">
        <f t="shared" si="1"/>
        <v>0</v>
      </c>
      <c r="O13" s="10"/>
      <c r="P13" s="2">
        <f>-8578.72</f>
        <v>-8578.7199999999993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-8578.7199999999993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"4001", " - ", "TAXABLE SALES-NEW TEXT")</f>
        <v xml:space="preserve">          4001 - TAXABLE SALES-NEW TEXT</v>
      </c>
      <c r="C14" s="10"/>
      <c r="D14" s="2">
        <f>--30794.67</f>
        <v>30794.67</v>
      </c>
      <c r="E14" s="2"/>
      <c r="F14" s="19"/>
      <c r="G14" s="2"/>
      <c r="H14" s="2">
        <f>--956.1</f>
        <v>956.1</v>
      </c>
      <c r="I14" s="2"/>
      <c r="J14" s="19"/>
      <c r="K14" s="2"/>
      <c r="L14" s="2">
        <f t="shared" si="0"/>
        <v>29838.57</v>
      </c>
      <c r="M14" s="2"/>
      <c r="N14" s="19">
        <f t="shared" si="1"/>
        <v>31.208628804518355</v>
      </c>
      <c r="O14" s="10"/>
      <c r="P14" s="2">
        <f>--999804.98</f>
        <v>999804.98</v>
      </c>
      <c r="Q14" s="2"/>
      <c r="R14" s="19"/>
      <c r="S14" s="2"/>
      <c r="T14" s="2">
        <f>--1989577.62</f>
        <v>1989577.62</v>
      </c>
      <c r="U14" s="2"/>
      <c r="V14" s="19"/>
      <c r="W14" s="2"/>
      <c r="X14" s="2">
        <f t="shared" si="2"/>
        <v>-989772.64000000013</v>
      </c>
      <c r="Y14" s="2"/>
      <c r="Z14" s="19">
        <f t="shared" si="3"/>
        <v>-0.49747877642491778</v>
      </c>
    </row>
    <row r="15" spans="1:26" s="23" customFormat="1" hidden="1" outlineLevel="1" x14ac:dyDescent="0.25">
      <c r="A15" s="44"/>
      <c r="B15" s="10" t="str">
        <f>CONCATENATE("          ", "4002", " - ", "TAXABLE SALES-USED TEXT")</f>
        <v xml:space="preserve">          4002 - TAXABLE SALES-USED TEXT</v>
      </c>
      <c r="C15" s="10"/>
      <c r="D15" s="2">
        <f>--1290.6</f>
        <v>1290.5999999999999</v>
      </c>
      <c r="E15" s="2"/>
      <c r="F15" s="19"/>
      <c r="G15" s="2"/>
      <c r="H15" s="2">
        <f>--610.75</f>
        <v>610.75</v>
      </c>
      <c r="I15" s="2"/>
      <c r="J15" s="19"/>
      <c r="K15" s="2"/>
      <c r="L15" s="2">
        <f t="shared" si="0"/>
        <v>679.84999999999991</v>
      </c>
      <c r="M15" s="2"/>
      <c r="N15" s="19">
        <f t="shared" si="1"/>
        <v>1.1131395824805566</v>
      </c>
      <c r="O15" s="10"/>
      <c r="P15" s="2">
        <f>--351532.97</f>
        <v>351532.97</v>
      </c>
      <c r="Q15" s="2"/>
      <c r="R15" s="19"/>
      <c r="S15" s="2"/>
      <c r="T15" s="2">
        <f>--679954.25</f>
        <v>679954.25</v>
      </c>
      <c r="U15" s="2"/>
      <c r="V15" s="19"/>
      <c r="W15" s="2"/>
      <c r="X15" s="2">
        <f t="shared" si="2"/>
        <v>-328421.28000000003</v>
      </c>
      <c r="Y15" s="2"/>
      <c r="Z15" s="19">
        <f t="shared" si="3"/>
        <v>-0.48300496687828631</v>
      </c>
    </row>
    <row r="16" spans="1:26" s="23" customFormat="1" hidden="1" outlineLevel="1" x14ac:dyDescent="0.25">
      <c r="A16" s="44"/>
      <c r="B16" s="10" t="str">
        <f>CONCATENATE("          ", "4003", " - ", "TAXABLE SALES-RENTAL TEXT")</f>
        <v xml:space="preserve">          4003 - TAXABLE SALES-RENTAL TEXT</v>
      </c>
      <c r="C16" s="10"/>
      <c r="D16" s="2">
        <f>--20</f>
        <v>20</v>
      </c>
      <c r="E16" s="2"/>
      <c r="F16" s="19"/>
      <c r="G16" s="2"/>
      <c r="H16" s="2">
        <f t="shared" ref="H16:H18" si="4">0</f>
        <v>0</v>
      </c>
      <c r="I16" s="2"/>
      <c r="J16" s="19"/>
      <c r="K16" s="2"/>
      <c r="L16" s="2">
        <f t="shared" si="0"/>
        <v>20</v>
      </c>
      <c r="M16" s="2"/>
      <c r="N16" s="19">
        <f t="shared" si="1"/>
        <v>0</v>
      </c>
      <c r="O16" s="10"/>
      <c r="P16" s="2">
        <f>--17997.88</f>
        <v>17997.88</v>
      </c>
      <c r="Q16" s="2"/>
      <c r="R16" s="19"/>
      <c r="S16" s="2"/>
      <c r="T16" s="2">
        <f>--33694.89</f>
        <v>33694.89</v>
      </c>
      <c r="U16" s="2"/>
      <c r="V16" s="19"/>
      <c r="W16" s="2"/>
      <c r="X16" s="2">
        <f t="shared" si="2"/>
        <v>-15697.009999999998</v>
      </c>
      <c r="Y16" s="2"/>
      <c r="Z16" s="19">
        <f t="shared" si="3"/>
        <v>-0.46585728577834795</v>
      </c>
    </row>
    <row r="17" spans="1:26" s="23" customFormat="1" hidden="1" outlineLevel="1" x14ac:dyDescent="0.25">
      <c r="A17" s="44"/>
      <c r="B17" s="10" t="str">
        <f>CONCATENATE("          ", "4004", " - ", "TAXABLE SALES-DIGITAL TEXT")</f>
        <v xml:space="preserve">          4004 - TAXABLE SALES-DIGITAL TEXT</v>
      </c>
      <c r="C17" s="10"/>
      <c r="D17" s="2">
        <f t="shared" ref="D17:D18" si="5"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--2659.66</f>
        <v>2659.66</v>
      </c>
      <c r="Q17" s="2"/>
      <c r="R17" s="19"/>
      <c r="S17" s="2"/>
      <c r="T17" s="2">
        <f>--42195.3</f>
        <v>42195.3</v>
      </c>
      <c r="U17" s="2"/>
      <c r="V17" s="19"/>
      <c r="W17" s="2"/>
      <c r="X17" s="2">
        <f t="shared" si="2"/>
        <v>-39535.64</v>
      </c>
      <c r="Y17" s="2"/>
      <c r="Z17" s="19">
        <f t="shared" si="3"/>
        <v>-0.93696786134948673</v>
      </c>
    </row>
    <row r="18" spans="1:26" s="23" customFormat="1" hidden="1" outlineLevel="1" x14ac:dyDescent="0.25">
      <c r="A18" s="44"/>
      <c r="B18" s="10" t="str">
        <f>CONCATENATE("          ", "4011", " - ", "TAXABLE SALES-NO VALUE TEXT")</f>
        <v xml:space="preserve">          4011 - TAXABLE SALES-NO VALUE TEXT</v>
      </c>
      <c r="C18" s="10"/>
      <c r="D18" s="2">
        <f t="shared" si="5"/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0</f>
        <v>0</v>
      </c>
      <c r="Q18" s="2"/>
      <c r="R18" s="19"/>
      <c r="S18" s="2"/>
      <c r="T18" s="2">
        <f>--1052.48</f>
        <v>1052.48</v>
      </c>
      <c r="U18" s="2"/>
      <c r="V18" s="19"/>
      <c r="W18" s="2"/>
      <c r="X18" s="2">
        <f t="shared" si="2"/>
        <v>-1052.48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"4013", " - ", "TAXABLE SALES-TRADE BOOKS")</f>
        <v xml:space="preserve">          4013 - TAXABLE SALES-TRADE BOOKS</v>
      </c>
      <c r="C19" s="10"/>
      <c r="D19" s="2">
        <f>--61.81</f>
        <v>61.81</v>
      </c>
      <c r="E19" s="2"/>
      <c r="F19" s="19"/>
      <c r="G19" s="2"/>
      <c r="H19" s="2">
        <f>--18.36</f>
        <v>18.36</v>
      </c>
      <c r="I19" s="2"/>
      <c r="J19" s="19"/>
      <c r="K19" s="2"/>
      <c r="L19" s="2">
        <f t="shared" si="0"/>
        <v>43.45</v>
      </c>
      <c r="M19" s="2"/>
      <c r="N19" s="19">
        <f t="shared" si="1"/>
        <v>2.3665577342047932</v>
      </c>
      <c r="O19" s="10"/>
      <c r="P19" s="2">
        <f>--1263.83</f>
        <v>1263.83</v>
      </c>
      <c r="Q19" s="2"/>
      <c r="R19" s="19"/>
      <c r="S19" s="2"/>
      <c r="T19" s="2">
        <f>--2713.36</f>
        <v>2713.36</v>
      </c>
      <c r="U19" s="2"/>
      <c r="V19" s="19"/>
      <c r="W19" s="2"/>
      <c r="X19" s="2">
        <f t="shared" si="2"/>
        <v>-1449.5300000000002</v>
      </c>
      <c r="Y19" s="2"/>
      <c r="Z19" s="19">
        <f t="shared" si="3"/>
        <v>-0.53421956540967663</v>
      </c>
    </row>
    <row r="20" spans="1:26" s="23" customFormat="1" hidden="1" outlineLevel="1" x14ac:dyDescent="0.25">
      <c r="A20" s="44"/>
      <c r="B20" s="10" t="str">
        <f>CONCATENATE("          ", "4014", " - ", "TAXABLE SALES-REMAINDERS")</f>
        <v xml:space="preserve">          4014 - TAXABLE SALES-REMAINDERS</v>
      </c>
      <c r="C20" s="10"/>
      <c r="D20" s="2">
        <f>--36.85</f>
        <v>36.85</v>
      </c>
      <c r="E20" s="2"/>
      <c r="F20" s="19"/>
      <c r="G20" s="2"/>
      <c r="H20" s="2">
        <f t="shared" ref="H20:H21" si="6">0</f>
        <v>0</v>
      </c>
      <c r="I20" s="2"/>
      <c r="J20" s="19"/>
      <c r="K20" s="2"/>
      <c r="L20" s="2">
        <f t="shared" si="0"/>
        <v>36.85</v>
      </c>
      <c r="M20" s="2"/>
      <c r="N20" s="19">
        <f t="shared" si="1"/>
        <v>0</v>
      </c>
      <c r="O20" s="10"/>
      <c r="P20" s="2">
        <f>--484.55</f>
        <v>484.55</v>
      </c>
      <c r="Q20" s="2"/>
      <c r="R20" s="19"/>
      <c r="S20" s="2"/>
      <c r="T20" s="2">
        <f>--1219.18</f>
        <v>1219.18</v>
      </c>
      <c r="U20" s="2"/>
      <c r="V20" s="19"/>
      <c r="W20" s="2"/>
      <c r="X20" s="2">
        <f t="shared" si="2"/>
        <v>-734.63000000000011</v>
      </c>
      <c r="Y20" s="2"/>
      <c r="Z20" s="19">
        <f t="shared" si="3"/>
        <v>-0.60256073754490724</v>
      </c>
    </row>
    <row r="21" spans="1:26" s="23" customFormat="1" hidden="1" outlineLevel="1" x14ac:dyDescent="0.25">
      <c r="A21" s="44"/>
      <c r="B21" s="10" t="str">
        <f>CONCATENATE("          ", "4018", " - ", "TAXABLE SALES-STUDY GUIDES")</f>
        <v xml:space="preserve">          4018 - TAXABLE SALES-STUDY GUIDES</v>
      </c>
      <c r="C21" s="10"/>
      <c r="D21" s="2">
        <f>--72.96</f>
        <v>72.959999999999994</v>
      </c>
      <c r="E21" s="2"/>
      <c r="F21" s="19"/>
      <c r="G21" s="2"/>
      <c r="H21" s="2">
        <f t="shared" si="6"/>
        <v>0</v>
      </c>
      <c r="I21" s="2"/>
      <c r="J21" s="19"/>
      <c r="K21" s="2"/>
      <c r="L21" s="2">
        <f t="shared" si="0"/>
        <v>72.959999999999994</v>
      </c>
      <c r="M21" s="2"/>
      <c r="N21" s="19">
        <f t="shared" si="1"/>
        <v>0</v>
      </c>
      <c r="O21" s="10"/>
      <c r="P21" s="2">
        <f>--473.1</f>
        <v>473.1</v>
      </c>
      <c r="Q21" s="2"/>
      <c r="R21" s="19"/>
      <c r="S21" s="2"/>
      <c r="T21" s="2">
        <f>--4154.31</f>
        <v>4154.3100000000004</v>
      </c>
      <c r="U21" s="2"/>
      <c r="V21" s="19"/>
      <c r="W21" s="2"/>
      <c r="X21" s="2">
        <f t="shared" si="2"/>
        <v>-3681.2100000000005</v>
      </c>
      <c r="Y21" s="2"/>
      <c r="Z21" s="19">
        <f t="shared" si="3"/>
        <v>-0.88611827234847662</v>
      </c>
    </row>
    <row r="22" spans="1:26" s="23" customFormat="1" hidden="1" outlineLevel="1" x14ac:dyDescent="0.25">
      <c r="A22" s="44"/>
      <c r="B22" s="10" t="str">
        <f>CONCATENATE("          ", "4101", " - ", "NON-TAXABLE SALES-NEW TEXT")</f>
        <v xml:space="preserve">          4101 - NON-TAXABLE SALES-NEW TEXT</v>
      </c>
      <c r="C22" s="10"/>
      <c r="D22" s="2">
        <f>--741.03</f>
        <v>741.03</v>
      </c>
      <c r="E22" s="2"/>
      <c r="F22" s="19"/>
      <c r="G22" s="2"/>
      <c r="H22" s="2">
        <f>--1972.02</f>
        <v>1972.02</v>
      </c>
      <c r="I22" s="2"/>
      <c r="J22" s="19"/>
      <c r="K22" s="2"/>
      <c r="L22" s="2">
        <f t="shared" si="0"/>
        <v>-1230.99</v>
      </c>
      <c r="M22" s="2"/>
      <c r="N22" s="19">
        <f t="shared" si="1"/>
        <v>-0.62422794900660239</v>
      </c>
      <c r="O22" s="10"/>
      <c r="P22" s="2">
        <f>--112796.74</f>
        <v>112796.74</v>
      </c>
      <c r="Q22" s="2"/>
      <c r="R22" s="19"/>
      <c r="S22" s="2"/>
      <c r="T22" s="2">
        <f>--144163.44</f>
        <v>144163.44</v>
      </c>
      <c r="U22" s="2"/>
      <c r="V22" s="19"/>
      <c r="W22" s="2"/>
      <c r="X22" s="2">
        <f t="shared" si="2"/>
        <v>-31366.699999999997</v>
      </c>
      <c r="Y22" s="2"/>
      <c r="Z22" s="19">
        <f t="shared" si="3"/>
        <v>-0.21757735525733846</v>
      </c>
    </row>
    <row r="23" spans="1:26" s="23" customFormat="1" hidden="1" outlineLevel="1" x14ac:dyDescent="0.25">
      <c r="A23" s="44"/>
      <c r="B23" s="10" t="str">
        <f>CONCATENATE("          ", "4102", " - ", "NON-TAXABLE SALES-USED TEXT")</f>
        <v xml:space="preserve">          4102 - NON-TAXABLE SALES-USED TEXT</v>
      </c>
      <c r="C23" s="10"/>
      <c r="D23" s="2">
        <f>--743.99</f>
        <v>743.99</v>
      </c>
      <c r="E23" s="2"/>
      <c r="F23" s="19"/>
      <c r="G23" s="2"/>
      <c r="H23" s="2">
        <f>--804.2</f>
        <v>804.2</v>
      </c>
      <c r="I23" s="2"/>
      <c r="J23" s="19"/>
      <c r="K23" s="2"/>
      <c r="L23" s="2">
        <f t="shared" si="0"/>
        <v>-60.210000000000036</v>
      </c>
      <c r="M23" s="2"/>
      <c r="N23" s="19">
        <f t="shared" si="1"/>
        <v>-7.4869435463815012E-2</v>
      </c>
      <c r="O23" s="10"/>
      <c r="P23" s="2">
        <f>--48703.42</f>
        <v>48703.42</v>
      </c>
      <c r="Q23" s="2"/>
      <c r="R23" s="19"/>
      <c r="S23" s="2"/>
      <c r="T23" s="2">
        <f>--69659.9</f>
        <v>69659.899999999994</v>
      </c>
      <c r="U23" s="2"/>
      <c r="V23" s="19"/>
      <c r="W23" s="2"/>
      <c r="X23" s="2">
        <f t="shared" si="2"/>
        <v>-20956.479999999996</v>
      </c>
      <c r="Y23" s="2"/>
      <c r="Z23" s="19">
        <f t="shared" si="3"/>
        <v>-0.3008399380418289</v>
      </c>
    </row>
    <row r="24" spans="1:26" s="23" customFormat="1" hidden="1" outlineLevel="1" x14ac:dyDescent="0.25">
      <c r="A24" s="44"/>
      <c r="B24" s="10" t="str">
        <f>CONCATENATE("          ", "4103", " - ", "NON-TAXABLE SALES-RENTAL TEXT")</f>
        <v xml:space="preserve">          4103 - NON-TAXABLE SALES-RENTAL TEXT</v>
      </c>
      <c r="C24" s="10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>--1138.95</f>
        <v>1138.95</v>
      </c>
      <c r="Q24" s="2"/>
      <c r="R24" s="19"/>
      <c r="S24" s="2"/>
      <c r="T24" s="2">
        <f>--664.97</f>
        <v>664.97</v>
      </c>
      <c r="U24" s="2"/>
      <c r="V24" s="19"/>
      <c r="W24" s="2"/>
      <c r="X24" s="2">
        <f t="shared" si="2"/>
        <v>473.98</v>
      </c>
      <c r="Y24" s="2"/>
      <c r="Z24" s="19">
        <f t="shared" si="3"/>
        <v>0.71278403537001667</v>
      </c>
    </row>
    <row r="25" spans="1:26" s="23" customFormat="1" hidden="1" outlineLevel="1" x14ac:dyDescent="0.25">
      <c r="A25" s="44"/>
      <c r="B25" s="10" t="str">
        <f>CONCATENATE("          ", "4104", " - ", "NON-TAXABLE SALES-DIGITAL TEXT")</f>
        <v xml:space="preserve">          4104 - NON-TAXABLE SALES-DIGITAL TEXT</v>
      </c>
      <c r="C25" s="10"/>
      <c r="D25" s="2">
        <f>--3431.99</f>
        <v>3431.99</v>
      </c>
      <c r="E25" s="2"/>
      <c r="F25" s="19"/>
      <c r="G25" s="2"/>
      <c r="H25" s="2">
        <f>--2502.44</f>
        <v>2502.44</v>
      </c>
      <c r="I25" s="2"/>
      <c r="J25" s="19"/>
      <c r="K25" s="2"/>
      <c r="L25" s="2">
        <f t="shared" si="0"/>
        <v>929.54999999999973</v>
      </c>
      <c r="M25" s="2"/>
      <c r="N25" s="19">
        <f t="shared" si="1"/>
        <v>0.37145745752145892</v>
      </c>
      <c r="O25" s="10"/>
      <c r="P25" s="2">
        <f>--480403.17</f>
        <v>480403.17</v>
      </c>
      <c r="Q25" s="2"/>
      <c r="R25" s="19"/>
      <c r="S25" s="2"/>
      <c r="T25" s="2">
        <f>--526854.09</f>
        <v>526854.09</v>
      </c>
      <c r="U25" s="2"/>
      <c r="V25" s="19"/>
      <c r="W25" s="2"/>
      <c r="X25" s="2">
        <f t="shared" si="2"/>
        <v>-46450.919999999984</v>
      </c>
      <c r="Y25" s="2"/>
      <c r="Z25" s="19">
        <f t="shared" si="3"/>
        <v>-8.8166573785163155E-2</v>
      </c>
    </row>
    <row r="26" spans="1:26" s="23" customFormat="1" hidden="1" outlineLevel="1" x14ac:dyDescent="0.25">
      <c r="A26" s="44"/>
      <c r="B26" s="10" t="str">
        <f>CONCATENATE("          ", "4111", " - ", "NON-TAXABLE SALES-NO VALUE TEX")</f>
        <v xml:space="preserve">          4111 - NON-TAXABLE SALES-NO VALUE TEX</v>
      </c>
      <c r="C26" s="10"/>
      <c r="D26" s="2">
        <f>0</f>
        <v>0</v>
      </c>
      <c r="E26" s="2"/>
      <c r="F26" s="19"/>
      <c r="G26" s="2"/>
      <c r="H26" s="2">
        <f>--593.67</f>
        <v>593.66999999999996</v>
      </c>
      <c r="I26" s="2"/>
      <c r="J26" s="19"/>
      <c r="K26" s="2"/>
      <c r="L26" s="2">
        <f t="shared" si="0"/>
        <v>-593.66999999999996</v>
      </c>
      <c r="M26" s="2"/>
      <c r="N26" s="19">
        <f t="shared" si="1"/>
        <v>-1</v>
      </c>
      <c r="O26" s="10"/>
      <c r="P26" s="2">
        <f>0</f>
        <v>0</v>
      </c>
      <c r="Q26" s="2"/>
      <c r="R26" s="19"/>
      <c r="S26" s="2"/>
      <c r="T26" s="2">
        <f>--15323</f>
        <v>15323</v>
      </c>
      <c r="U26" s="2"/>
      <c r="V26" s="19"/>
      <c r="W26" s="2"/>
      <c r="X26" s="2">
        <f t="shared" si="2"/>
        <v>-15323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"4113", " - ", "NON-TAXABLE SALES-TRADE BOOKS")</f>
        <v xml:space="preserve">          4113 - NON-TAXABLE SALES-TRADE BOOKS</v>
      </c>
      <c r="C27" s="10"/>
      <c r="D27" s="2">
        <f>--738</f>
        <v>738</v>
      </c>
      <c r="E27" s="2"/>
      <c r="F27" s="19"/>
      <c r="G27" s="2"/>
      <c r="H27" s="2">
        <f>--2440</f>
        <v>2440</v>
      </c>
      <c r="I27" s="2"/>
      <c r="J27" s="19"/>
      <c r="K27" s="2"/>
      <c r="L27" s="2">
        <f t="shared" si="0"/>
        <v>-1702</v>
      </c>
      <c r="M27" s="2"/>
      <c r="N27" s="19">
        <f t="shared" si="1"/>
        <v>-0.69754098360655736</v>
      </c>
      <c r="O27" s="10"/>
      <c r="P27" s="2">
        <f>--12127.25</f>
        <v>12127.25</v>
      </c>
      <c r="Q27" s="2"/>
      <c r="R27" s="19"/>
      <c r="S27" s="2"/>
      <c r="T27" s="2">
        <f>--8241.92</f>
        <v>8241.92</v>
      </c>
      <c r="U27" s="2"/>
      <c r="V27" s="19"/>
      <c r="W27" s="2"/>
      <c r="X27" s="2">
        <f t="shared" si="2"/>
        <v>3885.33</v>
      </c>
      <c r="Y27" s="2"/>
      <c r="Z27" s="19">
        <f t="shared" si="3"/>
        <v>0.4714107877776052</v>
      </c>
    </row>
    <row r="28" spans="1:26" s="23" customFormat="1" hidden="1" outlineLevel="1" x14ac:dyDescent="0.25">
      <c r="A28" s="44"/>
      <c r="B28" s="10" t="str">
        <f>CONCATENATE("          ", "4118", " - ", "NON-TAXABLE SALES-STUDY GUIDES")</f>
        <v xml:space="preserve">          4118 - NON-TAXABLE SALES-STUDY GUIDES</v>
      </c>
      <c r="C28" s="10"/>
      <c r="D28" s="2">
        <f>0</f>
        <v>0</v>
      </c>
      <c r="E28" s="2"/>
      <c r="F28" s="19"/>
      <c r="G28" s="2"/>
      <c r="H28" s="2">
        <f>--7.02</f>
        <v>7.02</v>
      </c>
      <c r="I28" s="2"/>
      <c r="J28" s="19"/>
      <c r="K28" s="2"/>
      <c r="L28" s="2">
        <f t="shared" si="0"/>
        <v>-7.02</v>
      </c>
      <c r="M28" s="2"/>
      <c r="N28" s="19">
        <f t="shared" si="1"/>
        <v>-1</v>
      </c>
      <c r="O28" s="10"/>
      <c r="P28" s="2">
        <f>--771.73</f>
        <v>771.73</v>
      </c>
      <c r="Q28" s="2"/>
      <c r="R28" s="19"/>
      <c r="S28" s="2"/>
      <c r="T28" s="2">
        <f>--75.94</f>
        <v>75.94</v>
      </c>
      <c r="U28" s="2"/>
      <c r="V28" s="19"/>
      <c r="W28" s="2"/>
      <c r="X28" s="2">
        <f t="shared" si="2"/>
        <v>695.79</v>
      </c>
      <c r="Y28" s="2"/>
      <c r="Z28" s="19">
        <f t="shared" si="3"/>
        <v>9.1623650250197528</v>
      </c>
    </row>
    <row r="29" spans="1:26" s="23" customFormat="1" hidden="1" outlineLevel="1" x14ac:dyDescent="0.25">
      <c r="A29" s="44"/>
      <c r="B29" s="10" t="str">
        <f>CONCATENATE("          ", "4201", " - ", "SALES RETURN TAXABLE-NEW TEXT")</f>
        <v xml:space="preserve">          4201 - SALES RETURN TAXABLE-NEW TEXT</v>
      </c>
      <c r="C29" s="10"/>
      <c r="D29" s="2">
        <f>-376.85</f>
        <v>-376.85</v>
      </c>
      <c r="E29" s="2"/>
      <c r="F29" s="19"/>
      <c r="G29" s="2"/>
      <c r="H29" s="2">
        <f>-62.3</f>
        <v>-62.3</v>
      </c>
      <c r="I29" s="2"/>
      <c r="J29" s="19"/>
      <c r="K29" s="2"/>
      <c r="L29" s="2">
        <f t="shared" si="0"/>
        <v>-314.55</v>
      </c>
      <c r="M29" s="2"/>
      <c r="N29" s="19">
        <f t="shared" si="1"/>
        <v>5.048956661316212</v>
      </c>
      <c r="O29" s="10"/>
      <c r="P29" s="2">
        <f>-51638.02</f>
        <v>-51638.02</v>
      </c>
      <c r="Q29" s="2"/>
      <c r="R29" s="19"/>
      <c r="S29" s="2"/>
      <c r="T29" s="2">
        <f>-121223.01</f>
        <v>-121223.01</v>
      </c>
      <c r="U29" s="2"/>
      <c r="V29" s="19"/>
      <c r="W29" s="2"/>
      <c r="X29" s="2">
        <f t="shared" si="2"/>
        <v>69584.989999999991</v>
      </c>
      <c r="Y29" s="2"/>
      <c r="Z29" s="19">
        <f t="shared" si="3"/>
        <v>-0.57402460143499157</v>
      </c>
    </row>
    <row r="30" spans="1:26" s="23" customFormat="1" hidden="1" outlineLevel="1" x14ac:dyDescent="0.25">
      <c r="A30" s="44"/>
      <c r="B30" s="10" t="str">
        <f>CONCATENATE("          ", "4202", " - ", "SALES RETURN TAXABLE-USED TEXT")</f>
        <v xml:space="preserve">          4202 - SALES RETURN TAXABLE-USED TEXT</v>
      </c>
      <c r="C30" s="10"/>
      <c r="D30" s="2">
        <f>-206.95</f>
        <v>-206.95</v>
      </c>
      <c r="E30" s="2"/>
      <c r="F30" s="19"/>
      <c r="G30" s="2"/>
      <c r="H30" s="2">
        <f>-31.95</f>
        <v>-31.95</v>
      </c>
      <c r="I30" s="2"/>
      <c r="J30" s="19"/>
      <c r="K30" s="2"/>
      <c r="L30" s="2">
        <f t="shared" si="0"/>
        <v>-175</v>
      </c>
      <c r="M30" s="2"/>
      <c r="N30" s="19">
        <f t="shared" si="1"/>
        <v>5.4773082942097027</v>
      </c>
      <c r="O30" s="10"/>
      <c r="P30" s="2">
        <f>-20096.26</f>
        <v>-20096.259999999998</v>
      </c>
      <c r="Q30" s="2"/>
      <c r="R30" s="19"/>
      <c r="S30" s="2"/>
      <c r="T30" s="2">
        <f>-45552.71</f>
        <v>-45552.71</v>
      </c>
      <c r="U30" s="2"/>
      <c r="V30" s="19"/>
      <c r="W30" s="2"/>
      <c r="X30" s="2">
        <f t="shared" si="2"/>
        <v>25456.45</v>
      </c>
      <c r="Y30" s="2"/>
      <c r="Z30" s="19">
        <f t="shared" si="3"/>
        <v>-0.55883502869532897</v>
      </c>
    </row>
    <row r="31" spans="1:26" s="23" customFormat="1" hidden="1" outlineLevel="1" x14ac:dyDescent="0.25">
      <c r="A31" s="44"/>
      <c r="B31" s="10" t="str">
        <f>CONCATENATE("          ", "4203", " - ", "SALES RETURN TAXABLE-RENTAL TE")</f>
        <v xml:space="preserve">          4203 - SALES RETURN TAXABLE-RENTAL TE</v>
      </c>
      <c r="C31" s="10"/>
      <c r="D31" s="2">
        <f t="shared" ref="D31:D35" si="7">0</f>
        <v>0</v>
      </c>
      <c r="E31" s="2"/>
      <c r="F31" s="19"/>
      <c r="G31" s="2"/>
      <c r="H31" s="2">
        <f t="shared" ref="H31:H32" si="8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0</f>
        <v>0</v>
      </c>
      <c r="Q31" s="2"/>
      <c r="R31" s="19"/>
      <c r="S31" s="2"/>
      <c r="T31" s="2">
        <f>-144.99</f>
        <v>-144.99</v>
      </c>
      <c r="U31" s="2"/>
      <c r="V31" s="19"/>
      <c r="W31" s="2"/>
      <c r="X31" s="2">
        <f t="shared" si="2"/>
        <v>144.99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"4204", " - ", "SALES RETURN TAXABLE-DIGITAL T")</f>
        <v xml:space="preserve">          4204 - SALES RETURN TAXABLE-DIGITAL T</v>
      </c>
      <c r="C32" s="10"/>
      <c r="D32" s="2">
        <f t="shared" si="7"/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-1763.1</f>
        <v>-1763.1</v>
      </c>
      <c r="Q32" s="2"/>
      <c r="R32" s="19"/>
      <c r="S32" s="2"/>
      <c r="T32" s="2">
        <f>-17255.33</f>
        <v>-17255.330000000002</v>
      </c>
      <c r="U32" s="2"/>
      <c r="V32" s="19"/>
      <c r="W32" s="2"/>
      <c r="X32" s="2">
        <f t="shared" si="2"/>
        <v>15492.230000000001</v>
      </c>
      <c r="Y32" s="2"/>
      <c r="Z32" s="19">
        <f t="shared" si="3"/>
        <v>-0.89782287559843832</v>
      </c>
    </row>
    <row r="33" spans="1:26" s="23" customFormat="1" hidden="1" outlineLevel="1" x14ac:dyDescent="0.25">
      <c r="A33" s="44"/>
      <c r="B33" s="10" t="str">
        <f>CONCATENATE("          ", "4213", " - ", "NON-TAXABLE SALES-TRADE BOOKS")</f>
        <v xml:space="preserve">          4213 - NON-TAXABLE SALES-TRADE BOOKS</v>
      </c>
      <c r="C33" s="10"/>
      <c r="D33" s="2">
        <f t="shared" si="7"/>
        <v>0</v>
      </c>
      <c r="E33" s="2"/>
      <c r="F33" s="19"/>
      <c r="G33" s="2"/>
      <c r="H33" s="2">
        <f>-2173.76</f>
        <v>-2173.7600000000002</v>
      </c>
      <c r="I33" s="2"/>
      <c r="J33" s="19"/>
      <c r="K33" s="2"/>
      <c r="L33" s="2">
        <f t="shared" si="0"/>
        <v>2173.7600000000002</v>
      </c>
      <c r="M33" s="2"/>
      <c r="N33" s="19">
        <f t="shared" si="1"/>
        <v>-1</v>
      </c>
      <c r="O33" s="10"/>
      <c r="P33" s="2">
        <f>-69.93</f>
        <v>-69.930000000000007</v>
      </c>
      <c r="Q33" s="2"/>
      <c r="R33" s="19"/>
      <c r="S33" s="2"/>
      <c r="T33" s="2">
        <f>-2768.67</f>
        <v>-2768.67</v>
      </c>
      <c r="U33" s="2"/>
      <c r="V33" s="19"/>
      <c r="W33" s="2"/>
      <c r="X33" s="2">
        <f t="shared" si="2"/>
        <v>2698.7400000000002</v>
      </c>
      <c r="Y33" s="2"/>
      <c r="Z33" s="19">
        <f t="shared" si="3"/>
        <v>-0.97474238533303004</v>
      </c>
    </row>
    <row r="34" spans="1:26" s="23" customFormat="1" hidden="1" outlineLevel="1" x14ac:dyDescent="0.25">
      <c r="A34" s="44"/>
      <c r="B34" s="10" t="str">
        <f>CONCATENATE("          ", "4214", " - ", "SALES RETURN TAXABLE-REMAINDER")</f>
        <v xml:space="preserve">          4214 - SALES RETURN TAXABLE-REMAINDER</v>
      </c>
      <c r="C34" s="10"/>
      <c r="D34" s="2">
        <f t="shared" si="7"/>
        <v>0</v>
      </c>
      <c r="E34" s="2"/>
      <c r="F34" s="19"/>
      <c r="G34" s="2"/>
      <c r="H34" s="2">
        <f t="shared" ref="H34:H35" si="9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>0</f>
        <v>0</v>
      </c>
      <c r="Q34" s="2"/>
      <c r="R34" s="19"/>
      <c r="S34" s="2"/>
      <c r="T34" s="2">
        <f>-11.94</f>
        <v>-11.94</v>
      </c>
      <c r="U34" s="2"/>
      <c r="V34" s="19"/>
      <c r="W34" s="2"/>
      <c r="X34" s="2">
        <f t="shared" si="2"/>
        <v>11.94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"4218", " - ", "SALES RETURN TAXABLE-STUDY GUI")</f>
        <v xml:space="preserve">          4218 - SALES RETURN TAXABLE-STUDY GUI</v>
      </c>
      <c r="C35" s="10"/>
      <c r="D35" s="2">
        <f t="shared" si="7"/>
        <v>0</v>
      </c>
      <c r="E35" s="2"/>
      <c r="F35" s="19"/>
      <c r="G35" s="2"/>
      <c r="H35" s="2">
        <f t="shared" si="9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-5.21</f>
        <v>-5.21</v>
      </c>
      <c r="Q35" s="2"/>
      <c r="R35" s="19"/>
      <c r="S35" s="2"/>
      <c r="T35" s="2">
        <f>-39.25</f>
        <v>-39.25</v>
      </c>
      <c r="U35" s="2"/>
      <c r="V35" s="19"/>
      <c r="W35" s="2"/>
      <c r="X35" s="2">
        <f t="shared" si="2"/>
        <v>34.04</v>
      </c>
      <c r="Y35" s="2"/>
      <c r="Z35" s="19">
        <f t="shared" si="3"/>
        <v>-0.86726114649681529</v>
      </c>
    </row>
    <row r="36" spans="1:26" s="23" customFormat="1" hidden="1" outlineLevel="1" x14ac:dyDescent="0.25">
      <c r="A36" s="44"/>
      <c r="B36" s="10" t="str">
        <f>CONCATENATE("          ", "4301", " - ", "SALES RETURN NON TAXABLE-NEW T")</f>
        <v xml:space="preserve">          4301 - SALES RETURN NON TAXABLE-NEW T</v>
      </c>
      <c r="C36" s="10"/>
      <c r="D36" s="2">
        <f>-225.91</f>
        <v>-225.91</v>
      </c>
      <c r="E36" s="2"/>
      <c r="F36" s="19"/>
      <c r="G36" s="2"/>
      <c r="H36" s="2">
        <f>-357.81</f>
        <v>-357.81</v>
      </c>
      <c r="I36" s="2"/>
      <c r="J36" s="19"/>
      <c r="K36" s="2"/>
      <c r="L36" s="2">
        <f t="shared" si="0"/>
        <v>131.9</v>
      </c>
      <c r="M36" s="2"/>
      <c r="N36" s="19">
        <f t="shared" si="1"/>
        <v>-0.36863139655124227</v>
      </c>
      <c r="O36" s="10"/>
      <c r="P36" s="2">
        <f>-3463.2</f>
        <v>-3463.2</v>
      </c>
      <c r="Q36" s="2"/>
      <c r="R36" s="19"/>
      <c r="S36" s="2"/>
      <c r="T36" s="2">
        <f>-15579.43</f>
        <v>-15579.43</v>
      </c>
      <c r="U36" s="2"/>
      <c r="V36" s="19"/>
      <c r="W36" s="2"/>
      <c r="X36" s="2">
        <f t="shared" si="2"/>
        <v>12116.23</v>
      </c>
      <c r="Y36" s="2"/>
      <c r="Z36" s="19">
        <f t="shared" si="3"/>
        <v>-0.77770688658057452</v>
      </c>
    </row>
    <row r="37" spans="1:26" s="23" customFormat="1" hidden="1" outlineLevel="1" x14ac:dyDescent="0.25">
      <c r="A37" s="44"/>
      <c r="B37" s="10" t="str">
        <f>CONCATENATE("          ", "4302", " - ", "SALES RETURN NON TAXABLE-TEXT")</f>
        <v xml:space="preserve">          4302 - SALES RETURN NON TAXABLE-TEXT</v>
      </c>
      <c r="C37" s="10"/>
      <c r="D37" s="2">
        <f>-98.97</f>
        <v>-98.97</v>
      </c>
      <c r="E37" s="2"/>
      <c r="F37" s="19"/>
      <c r="G37" s="2"/>
      <c r="H37" s="2">
        <f t="shared" ref="H37:H39" si="10">0</f>
        <v>0</v>
      </c>
      <c r="I37" s="2"/>
      <c r="J37" s="19"/>
      <c r="K37" s="2"/>
      <c r="L37" s="2">
        <f t="shared" si="0"/>
        <v>-98.97</v>
      </c>
      <c r="M37" s="2"/>
      <c r="N37" s="19">
        <f t="shared" si="1"/>
        <v>0</v>
      </c>
      <c r="O37" s="10"/>
      <c r="P37" s="2">
        <f>-2443.32</f>
        <v>-2443.3200000000002</v>
      </c>
      <c r="Q37" s="2"/>
      <c r="R37" s="19"/>
      <c r="S37" s="2"/>
      <c r="T37" s="2">
        <f>-1312.37</f>
        <v>-1312.37</v>
      </c>
      <c r="U37" s="2"/>
      <c r="V37" s="19"/>
      <c r="W37" s="2"/>
      <c r="X37" s="2">
        <f t="shared" si="2"/>
        <v>-1130.9500000000003</v>
      </c>
      <c r="Y37" s="2"/>
      <c r="Z37" s="19">
        <f t="shared" si="3"/>
        <v>0.86176154590549947</v>
      </c>
    </row>
    <row r="38" spans="1:26" s="23" customFormat="1" hidden="1" outlineLevel="1" x14ac:dyDescent="0.25">
      <c r="A38" s="44"/>
      <c r="B38" s="10" t="str">
        <f>CONCATENATE("          ", "4303", " - ", "SALES RETURN NON-TAXABLE-RENTA")</f>
        <v xml:space="preserve">          4303 - SALES RETURN NON-TAXABLE-RENTA</v>
      </c>
      <c r="C38" s="10"/>
      <c r="D38" s="2">
        <f t="shared" ref="D38:D41" si="11">0</f>
        <v>0</v>
      </c>
      <c r="E38" s="2"/>
      <c r="F38" s="19"/>
      <c r="G38" s="2"/>
      <c r="H38" s="2">
        <f t="shared" si="10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0"/>
      <c r="P38" s="2">
        <f>0</f>
        <v>0</v>
      </c>
      <c r="Q38" s="2"/>
      <c r="R38" s="19"/>
      <c r="S38" s="2"/>
      <c r="T38" s="2">
        <f>-184.99</f>
        <v>-184.99</v>
      </c>
      <c r="U38" s="2"/>
      <c r="V38" s="19"/>
      <c r="W38" s="2"/>
      <c r="X38" s="2">
        <f t="shared" si="2"/>
        <v>184.99</v>
      </c>
      <c r="Y38" s="2"/>
      <c r="Z38" s="19">
        <f t="shared" si="3"/>
        <v>-1</v>
      </c>
    </row>
    <row r="39" spans="1:26" s="23" customFormat="1" hidden="1" outlineLevel="1" x14ac:dyDescent="0.25">
      <c r="A39" s="44"/>
      <c r="B39" s="10" t="str">
        <f>CONCATENATE("          ", "4304", " - ", "SALES RETURN NON TAXABLE-DIGIT")</f>
        <v xml:space="preserve">          4304 - SALES RETURN NON TAXABLE-DIGIT</v>
      </c>
      <c r="C39" s="10"/>
      <c r="D39" s="2">
        <f t="shared" si="11"/>
        <v>0</v>
      </c>
      <c r="E39" s="2"/>
      <c r="F39" s="19"/>
      <c r="G39" s="2"/>
      <c r="H39" s="2">
        <f t="shared" si="10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0"/>
      <c r="P39" s="2">
        <f>-27543.76</f>
        <v>-27543.759999999998</v>
      </c>
      <c r="Q39" s="2"/>
      <c r="R39" s="19"/>
      <c r="S39" s="2"/>
      <c r="T39" s="2">
        <f>-19036.13</f>
        <v>-19036.13</v>
      </c>
      <c r="U39" s="2"/>
      <c r="V39" s="19"/>
      <c r="W39" s="2"/>
      <c r="X39" s="2">
        <f t="shared" si="2"/>
        <v>-8507.6299999999974</v>
      </c>
      <c r="Y39" s="2"/>
      <c r="Z39" s="19">
        <f t="shared" si="3"/>
        <v>0.44692014605909902</v>
      </c>
    </row>
    <row r="40" spans="1:26" s="23" customFormat="1" hidden="1" outlineLevel="1" x14ac:dyDescent="0.25">
      <c r="A40" s="44"/>
      <c r="B40" s="10" t="str">
        <f>CONCATENATE("          ", "4311", " - ", "SALES RETURN NON TAXABLE-NO VA")</f>
        <v xml:space="preserve">          4311 - SALES RETURN NON TAXABLE-NO VA</v>
      </c>
      <c r="C40" s="10"/>
      <c r="D40" s="2">
        <f t="shared" si="11"/>
        <v>0</v>
      </c>
      <c r="E40" s="2"/>
      <c r="F40" s="19"/>
      <c r="G40" s="2"/>
      <c r="H40" s="2">
        <f>-88.62</f>
        <v>-88.62</v>
      </c>
      <c r="I40" s="2"/>
      <c r="J40" s="19"/>
      <c r="K40" s="2"/>
      <c r="L40" s="2">
        <f t="shared" si="0"/>
        <v>88.62</v>
      </c>
      <c r="M40" s="2"/>
      <c r="N40" s="19">
        <f t="shared" si="1"/>
        <v>-1</v>
      </c>
      <c r="O40" s="10"/>
      <c r="P40" s="2">
        <f t="shared" ref="P40:P41" si="12">0</f>
        <v>0</v>
      </c>
      <c r="Q40" s="2"/>
      <c r="R40" s="19"/>
      <c r="S40" s="2"/>
      <c r="T40" s="2">
        <f>-941.28</f>
        <v>-941.28</v>
      </c>
      <c r="U40" s="2"/>
      <c r="V40" s="19"/>
      <c r="W40" s="2"/>
      <c r="X40" s="2">
        <f t="shared" si="2"/>
        <v>941.28</v>
      </c>
      <c r="Y40" s="2"/>
      <c r="Z40" s="19">
        <f t="shared" si="3"/>
        <v>-1</v>
      </c>
    </row>
    <row r="41" spans="1:26" s="23" customFormat="1" hidden="1" outlineLevel="1" x14ac:dyDescent="0.25">
      <c r="A41" s="44"/>
      <c r="B41" s="10" t="str">
        <f>CONCATENATE("          ", "4313", " - ", "SALES RETURN NON TAXABLE-TRADE")</f>
        <v xml:space="preserve">          4313 - SALES RETURN NON TAXABLE-TRADE</v>
      </c>
      <c r="C41" s="10"/>
      <c r="D41" s="2">
        <f t="shared" si="11"/>
        <v>0</v>
      </c>
      <c r="E41" s="2"/>
      <c r="F41" s="19"/>
      <c r="G41" s="2"/>
      <c r="H41" s="2">
        <f>-2481.44</f>
        <v>-2481.44</v>
      </c>
      <c r="I41" s="2"/>
      <c r="J41" s="19"/>
      <c r="K41" s="2"/>
      <c r="L41" s="2">
        <f t="shared" si="0"/>
        <v>2481.44</v>
      </c>
      <c r="M41" s="2"/>
      <c r="N41" s="19">
        <f t="shared" si="1"/>
        <v>-1</v>
      </c>
      <c r="O41" s="10"/>
      <c r="P41" s="2">
        <f t="shared" si="12"/>
        <v>0</v>
      </c>
      <c r="Q41" s="2"/>
      <c r="R41" s="19"/>
      <c r="S41" s="2"/>
      <c r="T41" s="2">
        <f>-2481.44</f>
        <v>-2481.44</v>
      </c>
      <c r="U41" s="2"/>
      <c r="V41" s="19"/>
      <c r="W41" s="2"/>
      <c r="X41" s="2">
        <f t="shared" si="2"/>
        <v>2481.44</v>
      </c>
      <c r="Y41" s="2"/>
      <c r="Z41" s="19">
        <f t="shared" si="3"/>
        <v>-1</v>
      </c>
    </row>
    <row r="42" spans="1:26" x14ac:dyDescent="0.25">
      <c r="A42" s="9"/>
      <c r="B42" s="11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4" customFormat="1" collapsed="1" x14ac:dyDescent="0.25">
      <c r="A43" s="11"/>
      <c r="B43" s="28" t="s">
        <v>256</v>
      </c>
      <c r="C43" s="11"/>
      <c r="D43" s="4">
        <f>SUM(OSRRefD16x_0)</f>
        <v>30994.000000000022</v>
      </c>
      <c r="E43" s="4"/>
      <c r="F43" s="13">
        <f t="shared" ref="F43:F60" si="13">IF(D$12=0,0,D43/D$12)</f>
        <v>0.84215251291256221</v>
      </c>
      <c r="G43" s="4"/>
      <c r="H43" s="4">
        <f>SUM(OSRRefH16x_0)</f>
        <v>3319.2399999999957</v>
      </c>
      <c r="I43" s="4"/>
      <c r="J43" s="13">
        <f t="shared" ref="J43:J60" si="14">IF(H$12=0,0,H43/H$12)</f>
        <v>0.70491942540159802</v>
      </c>
      <c r="K43" s="4"/>
      <c r="L43" s="4">
        <f t="shared" ref="L43:L60" si="15">+D43-H43</f>
        <v>27674.760000000028</v>
      </c>
      <c r="M43" s="4"/>
      <c r="N43" s="13">
        <f t="shared" ref="N43:N60" si="16">IF(H43=0,0,L43/H43)</f>
        <v>8.3376797098131092</v>
      </c>
      <c r="O43" s="11"/>
      <c r="P43" s="4">
        <f>SUM(OSRRefP16x_0)</f>
        <v>1361321.9999999998</v>
      </c>
      <c r="Q43" s="4"/>
      <c r="R43" s="13">
        <f t="shared" ref="R43:R60" si="17">IF(P$12=0,0,P43/P$12)</f>
        <v>0.71103770020998747</v>
      </c>
      <c r="S43" s="4"/>
      <c r="T43" s="4">
        <f>SUM(OSRRefT16x_0)</f>
        <v>2317565.4200000009</v>
      </c>
      <c r="U43" s="4"/>
      <c r="V43" s="13">
        <f t="shared" ref="V43:V60" si="18">IF(T$12=0,0,T43/T$12)</f>
        <v>0.70378262781954148</v>
      </c>
      <c r="W43" s="4"/>
      <c r="X43" s="4">
        <f t="shared" ref="X43:X60" si="19">+P43-T43</f>
        <v>-956243.42000000109</v>
      </c>
      <c r="Y43" s="4"/>
      <c r="Z43" s="13">
        <f t="shared" ref="Z43:Z60" si="20">IF(T43=0,0,X43/T43)</f>
        <v>-0.41260687260340667</v>
      </c>
    </row>
    <row r="44" spans="1:26" s="23" customFormat="1" hidden="1" outlineLevel="1" x14ac:dyDescent="0.25">
      <c r="A44" s="44"/>
      <c r="B44" s="10" t="str">
        <f>CONCATENATE("          ", "5000", " - ", "PURCHASES @ COST")</f>
        <v xml:space="preserve">          5000 - PURCHASES @ COST</v>
      </c>
      <c r="C44" s="10"/>
      <c r="D44" s="2"/>
      <c r="E44" s="2"/>
      <c r="F44" s="19">
        <f t="shared" si="13"/>
        <v>0</v>
      </c>
      <c r="G44" s="2"/>
      <c r="H44" s="2"/>
      <c r="I44" s="2"/>
      <c r="J44" s="19">
        <f t="shared" si="14"/>
        <v>0</v>
      </c>
      <c r="K44" s="2"/>
      <c r="L44" s="2">
        <f t="shared" si="15"/>
        <v>0</v>
      </c>
      <c r="M44" s="2"/>
      <c r="N44" s="19">
        <f t="shared" si="16"/>
        <v>0</v>
      </c>
      <c r="O44" s="10"/>
      <c r="P44" s="2">
        <v>0</v>
      </c>
      <c r="Q44" s="2"/>
      <c r="R44" s="19">
        <f t="shared" si="17"/>
        <v>0</v>
      </c>
      <c r="S44" s="2"/>
      <c r="T44" s="2">
        <v>0</v>
      </c>
      <c r="U44" s="2"/>
      <c r="V44" s="19">
        <f t="shared" si="18"/>
        <v>0</v>
      </c>
      <c r="W44" s="2"/>
      <c r="X44" s="2">
        <f t="shared" si="19"/>
        <v>0</v>
      </c>
      <c r="Y44" s="2"/>
      <c r="Z44" s="19">
        <f t="shared" si="20"/>
        <v>0</v>
      </c>
    </row>
    <row r="45" spans="1:26" s="23" customFormat="1" hidden="1" outlineLevel="1" x14ac:dyDescent="0.25">
      <c r="A45" s="44"/>
      <c r="B45" s="10" t="str">
        <f>CONCATENATE("          ", "5001", " - ", "PURCHASES @ COST-NEW TEXT")</f>
        <v xml:space="preserve">          5001 - PURCHASES @ COST-NEW TEXT</v>
      </c>
      <c r="C45" s="10"/>
      <c r="D45" s="2">
        <v>-29098.82</v>
      </c>
      <c r="E45" s="2"/>
      <c r="F45" s="19">
        <f t="shared" si="13"/>
        <v>-0.79065768812642145</v>
      </c>
      <c r="G45" s="2"/>
      <c r="H45" s="2">
        <v>-32963.410000000003</v>
      </c>
      <c r="I45" s="2"/>
      <c r="J45" s="19">
        <f t="shared" si="14"/>
        <v>-7.0005627904210979</v>
      </c>
      <c r="K45" s="2"/>
      <c r="L45" s="2">
        <f t="shared" si="15"/>
        <v>3864.5900000000038</v>
      </c>
      <c r="M45" s="2"/>
      <c r="N45" s="19">
        <f t="shared" si="16"/>
        <v>-0.11723878081788272</v>
      </c>
      <c r="O45" s="10"/>
      <c r="P45" s="2">
        <v>705987.44</v>
      </c>
      <c r="Q45" s="2"/>
      <c r="R45" s="19">
        <f t="shared" si="17"/>
        <v>0.36874720728434313</v>
      </c>
      <c r="S45" s="2"/>
      <c r="T45" s="2">
        <v>1084479.79</v>
      </c>
      <c r="U45" s="2"/>
      <c r="V45" s="19">
        <f t="shared" si="18"/>
        <v>0.32932750456010185</v>
      </c>
      <c r="W45" s="2"/>
      <c r="X45" s="2">
        <f t="shared" si="19"/>
        <v>-378492.35000000009</v>
      </c>
      <c r="Y45" s="2"/>
      <c r="Z45" s="19">
        <f t="shared" si="20"/>
        <v>-0.34900820973344288</v>
      </c>
    </row>
    <row r="46" spans="1:26" s="23" customFormat="1" hidden="1" outlineLevel="1" x14ac:dyDescent="0.25">
      <c r="A46" s="44"/>
      <c r="B46" s="10" t="str">
        <f>CONCATENATE("          ", "5002", " - ", "PURCHASES @ COST-USED TEXT")</f>
        <v xml:space="preserve">          5002 - PURCHASES @ COST-USED TEXT</v>
      </c>
      <c r="C46" s="10"/>
      <c r="D46" s="2">
        <v>-122237.26</v>
      </c>
      <c r="E46" s="2"/>
      <c r="F46" s="19">
        <f t="shared" si="13"/>
        <v>-3.3213659314882285</v>
      </c>
      <c r="G46" s="2"/>
      <c r="H46" s="2">
        <v>-11408.32</v>
      </c>
      <c r="I46" s="2"/>
      <c r="J46" s="19">
        <f t="shared" si="14"/>
        <v>-2.4228276289745754</v>
      </c>
      <c r="K46" s="2"/>
      <c r="L46" s="2">
        <f t="shared" si="15"/>
        <v>-110828.94</v>
      </c>
      <c r="M46" s="2"/>
      <c r="N46" s="19">
        <f t="shared" si="16"/>
        <v>9.7147467812964585</v>
      </c>
      <c r="O46" s="10"/>
      <c r="P46" s="2">
        <v>32322.83</v>
      </c>
      <c r="Q46" s="2"/>
      <c r="R46" s="19">
        <f t="shared" si="17"/>
        <v>1.6882670453778309E-2</v>
      </c>
      <c r="S46" s="2"/>
      <c r="T46" s="2">
        <v>-85623.33</v>
      </c>
      <c r="U46" s="2"/>
      <c r="V46" s="19">
        <f t="shared" si="18"/>
        <v>-2.6001515068368498E-2</v>
      </c>
      <c r="W46" s="2"/>
      <c r="X46" s="2">
        <f t="shared" si="19"/>
        <v>117946.16</v>
      </c>
      <c r="Y46" s="2"/>
      <c r="Z46" s="19">
        <f t="shared" si="20"/>
        <v>-1.3775002677424482</v>
      </c>
    </row>
    <row r="47" spans="1:26" s="23" customFormat="1" hidden="1" outlineLevel="1" x14ac:dyDescent="0.25">
      <c r="A47" s="44"/>
      <c r="B47" s="10" t="str">
        <f>CONCATENATE("          ", "5003", " - ", "PURCHASES @ COST-RENTAL TEXT")</f>
        <v xml:space="preserve">          5003 - PURCHASES @ COST-RENTAL TEXT</v>
      </c>
      <c r="C47" s="10"/>
      <c r="D47" s="2"/>
      <c r="E47" s="2"/>
      <c r="F47" s="19">
        <f t="shared" si="13"/>
        <v>0</v>
      </c>
      <c r="G47" s="2"/>
      <c r="H47" s="2"/>
      <c r="I47" s="2"/>
      <c r="J47" s="19">
        <f t="shared" si="14"/>
        <v>0</v>
      </c>
      <c r="K47" s="2"/>
      <c r="L47" s="2">
        <f t="shared" si="15"/>
        <v>0</v>
      </c>
      <c r="M47" s="2"/>
      <c r="N47" s="19">
        <f t="shared" si="16"/>
        <v>0</v>
      </c>
      <c r="O47" s="10"/>
      <c r="P47" s="2">
        <v>32.520000000000003</v>
      </c>
      <c r="Q47" s="2"/>
      <c r="R47" s="19">
        <f t="shared" si="17"/>
        <v>1.6985655128491862E-5</v>
      </c>
      <c r="S47" s="2"/>
      <c r="T47" s="2">
        <v>-78.400000000000006</v>
      </c>
      <c r="U47" s="2"/>
      <c r="V47" s="19">
        <f t="shared" si="18"/>
        <v>-2.380798295698252E-5</v>
      </c>
      <c r="W47" s="2"/>
      <c r="X47" s="2">
        <f t="shared" si="19"/>
        <v>110.92000000000002</v>
      </c>
      <c r="Y47" s="2"/>
      <c r="Z47" s="19">
        <f t="shared" si="20"/>
        <v>-1.4147959183673471</v>
      </c>
    </row>
    <row r="48" spans="1:26" s="23" customFormat="1" hidden="1" outlineLevel="1" x14ac:dyDescent="0.25">
      <c r="A48" s="44"/>
      <c r="B48" s="10" t="str">
        <f>CONCATENATE("          ", "5004", " - ", "PURCHASES @ COST-DIGITAL TEXT")</f>
        <v xml:space="preserve">          5004 - PURCHASES @ COST-DIGITAL TEXT</v>
      </c>
      <c r="C48" s="10"/>
      <c r="D48" s="2">
        <v>887.88</v>
      </c>
      <c r="E48" s="2"/>
      <c r="F48" s="19">
        <f t="shared" si="13"/>
        <v>2.4125003973827362E-2</v>
      </c>
      <c r="G48" s="2"/>
      <c r="H48" s="2">
        <v>54465.03</v>
      </c>
      <c r="I48" s="2"/>
      <c r="J48" s="19">
        <f t="shared" si="14"/>
        <v>11.566942327786135</v>
      </c>
      <c r="K48" s="2"/>
      <c r="L48" s="2">
        <f t="shared" si="15"/>
        <v>-53577.15</v>
      </c>
      <c r="M48" s="2"/>
      <c r="N48" s="19">
        <f t="shared" si="16"/>
        <v>-0.98369816375755237</v>
      </c>
      <c r="O48" s="10"/>
      <c r="P48" s="2">
        <v>207450.38</v>
      </c>
      <c r="Q48" s="2"/>
      <c r="R48" s="19">
        <f t="shared" si="17"/>
        <v>0.1083542623294768</v>
      </c>
      <c r="S48" s="2"/>
      <c r="T48" s="2">
        <v>492787.91</v>
      </c>
      <c r="U48" s="2"/>
      <c r="V48" s="19">
        <f t="shared" si="18"/>
        <v>0.14964650717713054</v>
      </c>
      <c r="W48" s="2"/>
      <c r="X48" s="2">
        <f t="shared" si="19"/>
        <v>-285337.52999999997</v>
      </c>
      <c r="Y48" s="2"/>
      <c r="Z48" s="19">
        <f t="shared" si="20"/>
        <v>-0.57902705039983626</v>
      </c>
    </row>
    <row r="49" spans="1:26" s="23" customFormat="1" hidden="1" outlineLevel="1" x14ac:dyDescent="0.25">
      <c r="A49" s="44"/>
      <c r="B49" s="10" t="str">
        <f>CONCATENATE("          ", "5011", " - ", "PURCHASES @ COST-NO VALUE TEXT")</f>
        <v xml:space="preserve">          5011 - PURCHASES @ COST-NO VALUE TEXT</v>
      </c>
      <c r="C49" s="10"/>
      <c r="D49" s="2"/>
      <c r="E49" s="2"/>
      <c r="F49" s="19">
        <f t="shared" si="13"/>
        <v>0</v>
      </c>
      <c r="G49" s="2"/>
      <c r="H49" s="2">
        <v>42</v>
      </c>
      <c r="I49" s="2"/>
      <c r="J49" s="19">
        <f t="shared" si="14"/>
        <v>8.9196972399908283E-3</v>
      </c>
      <c r="K49" s="2"/>
      <c r="L49" s="2">
        <f t="shared" si="15"/>
        <v>-42</v>
      </c>
      <c r="M49" s="2"/>
      <c r="N49" s="19">
        <f t="shared" si="16"/>
        <v>-1</v>
      </c>
      <c r="O49" s="10"/>
      <c r="P49" s="2">
        <v>67.17</v>
      </c>
      <c r="Q49" s="2"/>
      <c r="R49" s="19">
        <f t="shared" si="17"/>
        <v>3.5083839329052836E-5</v>
      </c>
      <c r="S49" s="2"/>
      <c r="T49" s="2">
        <v>6363</v>
      </c>
      <c r="U49" s="2"/>
      <c r="V49" s="19">
        <f t="shared" si="18"/>
        <v>1.9322729024908135E-3</v>
      </c>
      <c r="W49" s="2"/>
      <c r="X49" s="2">
        <f t="shared" si="19"/>
        <v>-6295.83</v>
      </c>
      <c r="Y49" s="2"/>
      <c r="Z49" s="19">
        <f t="shared" si="20"/>
        <v>-0.98944365865157946</v>
      </c>
    </row>
    <row r="50" spans="1:26" s="23" customFormat="1" hidden="1" outlineLevel="1" x14ac:dyDescent="0.25">
      <c r="A50" s="44"/>
      <c r="B50" s="10" t="str">
        <f>CONCATENATE("          ", "5013", " - ", "PURCHASES @ COST-TRADE BOOKS")</f>
        <v xml:space="preserve">          5013 - PURCHASES @ COST-TRADE BOOKS</v>
      </c>
      <c r="C50" s="10"/>
      <c r="D50" s="2">
        <v>800</v>
      </c>
      <c r="E50" s="2"/>
      <c r="F50" s="19">
        <f t="shared" si="13"/>
        <v>2.1737175270376503E-2</v>
      </c>
      <c r="G50" s="2"/>
      <c r="H50" s="2">
        <v>-3150.69</v>
      </c>
      <c r="I50" s="2"/>
      <c r="J50" s="19">
        <f t="shared" si="14"/>
        <v>-0.66912383088254057</v>
      </c>
      <c r="K50" s="2"/>
      <c r="L50" s="2">
        <f t="shared" si="15"/>
        <v>3950.69</v>
      </c>
      <c r="M50" s="2"/>
      <c r="N50" s="19">
        <f t="shared" si="16"/>
        <v>-1.2539126350101089</v>
      </c>
      <c r="O50" s="10"/>
      <c r="P50" s="2">
        <v>9670.02</v>
      </c>
      <c r="Q50" s="2"/>
      <c r="R50" s="19">
        <f t="shared" si="17"/>
        <v>5.0507879706524865E-3</v>
      </c>
      <c r="S50" s="2"/>
      <c r="T50" s="2">
        <v>3197.85</v>
      </c>
      <c r="U50" s="2"/>
      <c r="V50" s="19">
        <f t="shared" si="18"/>
        <v>9.711015089156448E-4</v>
      </c>
      <c r="W50" s="2"/>
      <c r="X50" s="2">
        <f t="shared" si="19"/>
        <v>6472.17</v>
      </c>
      <c r="Y50" s="2"/>
      <c r="Z50" s="19">
        <f t="shared" si="20"/>
        <v>2.0239129415075756</v>
      </c>
    </row>
    <row r="51" spans="1:26" s="23" customFormat="1" hidden="1" outlineLevel="1" x14ac:dyDescent="0.25">
      <c r="A51" s="44"/>
      <c r="B51" s="10" t="str">
        <f>CONCATENATE("          ", "5014", " - ", "PURCHASES @ COST-REMAINDERS")</f>
        <v xml:space="preserve">          5014 - PURCHASES @ COST-REMAINDERS</v>
      </c>
      <c r="C51" s="10"/>
      <c r="D51" s="2"/>
      <c r="E51" s="2"/>
      <c r="F51" s="19">
        <f t="shared" si="13"/>
        <v>0</v>
      </c>
      <c r="G51" s="2"/>
      <c r="H51" s="2"/>
      <c r="I51" s="2"/>
      <c r="J51" s="19">
        <f t="shared" si="14"/>
        <v>0</v>
      </c>
      <c r="K51" s="2"/>
      <c r="L51" s="2">
        <f t="shared" si="15"/>
        <v>0</v>
      </c>
      <c r="M51" s="2"/>
      <c r="N51" s="19">
        <f t="shared" si="16"/>
        <v>0</v>
      </c>
      <c r="O51" s="10"/>
      <c r="P51" s="2">
        <v>111.57</v>
      </c>
      <c r="Q51" s="2"/>
      <c r="R51" s="19">
        <f t="shared" si="17"/>
        <v>5.8274586183451318E-5</v>
      </c>
      <c r="S51" s="2"/>
      <c r="T51" s="2">
        <v>600.61</v>
      </c>
      <c r="U51" s="2"/>
      <c r="V51" s="19">
        <f t="shared" si="18"/>
        <v>1.8238919188511826E-4</v>
      </c>
      <c r="W51" s="2"/>
      <c r="X51" s="2">
        <f t="shared" si="19"/>
        <v>-489.04</v>
      </c>
      <c r="Y51" s="2"/>
      <c r="Z51" s="19">
        <f t="shared" si="20"/>
        <v>-0.81423885716188549</v>
      </c>
    </row>
    <row r="52" spans="1:26" s="23" customFormat="1" hidden="1" outlineLevel="1" x14ac:dyDescent="0.25">
      <c r="A52" s="44"/>
      <c r="B52" s="10" t="str">
        <f>CONCATENATE("          ", "5018", " - ", "PURCHASES @ COST-STUDY GUIDES")</f>
        <v xml:space="preserve">          5018 - PURCHASES @ COST-STUDY GUIDES</v>
      </c>
      <c r="C52" s="10"/>
      <c r="D52" s="2"/>
      <c r="E52" s="2"/>
      <c r="F52" s="19">
        <f t="shared" si="13"/>
        <v>0</v>
      </c>
      <c r="G52" s="2"/>
      <c r="H52" s="2">
        <v>-2582.4699999999998</v>
      </c>
      <c r="I52" s="2"/>
      <c r="J52" s="19">
        <f t="shared" si="14"/>
        <v>-0.54844882217521695</v>
      </c>
      <c r="K52" s="2"/>
      <c r="L52" s="2">
        <f t="shared" si="15"/>
        <v>2582.4699999999998</v>
      </c>
      <c r="M52" s="2"/>
      <c r="N52" s="19">
        <f t="shared" si="16"/>
        <v>-1</v>
      </c>
      <c r="O52" s="10"/>
      <c r="P52" s="2">
        <v>967.21</v>
      </c>
      <c r="Q52" s="2"/>
      <c r="R52" s="19">
        <f t="shared" si="17"/>
        <v>5.051874384018639E-4</v>
      </c>
      <c r="S52" s="2"/>
      <c r="T52" s="2">
        <v>-205.14</v>
      </c>
      <c r="U52" s="2"/>
      <c r="V52" s="19">
        <f t="shared" si="18"/>
        <v>-6.2295530915757578E-5</v>
      </c>
      <c r="W52" s="2"/>
      <c r="X52" s="2">
        <f t="shared" si="19"/>
        <v>1172.3499999999999</v>
      </c>
      <c r="Y52" s="2"/>
      <c r="Z52" s="19">
        <f t="shared" si="20"/>
        <v>-5.7148776445354388</v>
      </c>
    </row>
    <row r="53" spans="1:26" s="23" customFormat="1" hidden="1" outlineLevel="1" x14ac:dyDescent="0.25">
      <c r="A53" s="44"/>
      <c r="B53" s="10" t="str">
        <f>CONCATENATE("          ", "5200", " - ", "PURCHASES OFFSET")</f>
        <v xml:space="preserve">          5200 - PURCHASES OFFSET</v>
      </c>
      <c r="C53" s="10"/>
      <c r="D53" s="2">
        <v>149318.16</v>
      </c>
      <c r="E53" s="2"/>
      <c r="F53" s="19">
        <f t="shared" si="13"/>
        <v>4.0571937687126525</v>
      </c>
      <c r="G53" s="2"/>
      <c r="H53" s="2">
        <v>-6867</v>
      </c>
      <c r="I53" s="2"/>
      <c r="J53" s="19">
        <f t="shared" si="14"/>
        <v>-1.4583704987385004</v>
      </c>
      <c r="K53" s="2"/>
      <c r="L53" s="2">
        <f t="shared" si="15"/>
        <v>156185.16</v>
      </c>
      <c r="M53" s="2"/>
      <c r="N53" s="19">
        <f t="shared" si="16"/>
        <v>-22.744307557885541</v>
      </c>
      <c r="O53" s="10"/>
      <c r="P53" s="2">
        <v>-1024895.97</v>
      </c>
      <c r="Q53" s="2"/>
      <c r="R53" s="19">
        <f t="shared" si="17"/>
        <v>-0.53531763496313467</v>
      </c>
      <c r="S53" s="2"/>
      <c r="T53" s="2">
        <v>-1586767</v>
      </c>
      <c r="U53" s="2"/>
      <c r="V53" s="19">
        <f t="shared" si="18"/>
        <v>-0.48185869505997808</v>
      </c>
      <c r="W53" s="2"/>
      <c r="X53" s="2">
        <f t="shared" si="19"/>
        <v>561871.03</v>
      </c>
      <c r="Y53" s="2"/>
      <c r="Z53" s="19">
        <f t="shared" si="20"/>
        <v>-0.35409800556729504</v>
      </c>
    </row>
    <row r="54" spans="1:26" s="23" customFormat="1" hidden="1" outlineLevel="1" x14ac:dyDescent="0.25">
      <c r="A54" s="44"/>
      <c r="B54" s="10" t="str">
        <f>CONCATENATE("          ", "5300", " - ", "COG$ OFFSET")</f>
        <v xml:space="preserve">          5300 - COG$ OFFSET</v>
      </c>
      <c r="C54" s="10"/>
      <c r="D54" s="2">
        <v>30994</v>
      </c>
      <c r="E54" s="2"/>
      <c r="F54" s="19">
        <f t="shared" si="13"/>
        <v>0.84215251291256166</v>
      </c>
      <c r="G54" s="2"/>
      <c r="H54" s="2">
        <v>3319</v>
      </c>
      <c r="I54" s="2"/>
      <c r="J54" s="19">
        <f t="shared" si="14"/>
        <v>0.70486845570308476</v>
      </c>
      <c r="K54" s="2"/>
      <c r="L54" s="2">
        <f t="shared" si="15"/>
        <v>27675</v>
      </c>
      <c r="M54" s="2"/>
      <c r="N54" s="19">
        <f t="shared" si="16"/>
        <v>8.3383549261825856</v>
      </c>
      <c r="O54" s="10"/>
      <c r="P54" s="2">
        <v>1361322</v>
      </c>
      <c r="Q54" s="2"/>
      <c r="R54" s="19">
        <f t="shared" si="17"/>
        <v>0.71103770020998758</v>
      </c>
      <c r="S54" s="2"/>
      <c r="T54" s="2">
        <v>2317528.4700000002</v>
      </c>
      <c r="U54" s="2"/>
      <c r="V54" s="19">
        <f t="shared" si="18"/>
        <v>0.70377140709287989</v>
      </c>
      <c r="W54" s="2"/>
      <c r="X54" s="2">
        <f t="shared" si="19"/>
        <v>-956206.4700000002</v>
      </c>
      <c r="Y54" s="2"/>
      <c r="Z54" s="19">
        <f t="shared" si="20"/>
        <v>-0.41259750737819423</v>
      </c>
    </row>
    <row r="55" spans="1:26" s="23" customFormat="1" hidden="1" outlineLevel="1" x14ac:dyDescent="0.25">
      <c r="A55" s="44"/>
      <c r="B55" s="10" t="str">
        <f>CONCATENATE("          ", "5500", " - ", "FREIGHT-IN")</f>
        <v xml:space="preserve">          5500 - FREIGHT-IN</v>
      </c>
      <c r="C55" s="10"/>
      <c r="D55" s="2"/>
      <c r="E55" s="2"/>
      <c r="F55" s="19">
        <f t="shared" si="13"/>
        <v>0</v>
      </c>
      <c r="G55" s="2"/>
      <c r="H55" s="2"/>
      <c r="I55" s="2"/>
      <c r="J55" s="19">
        <f t="shared" si="14"/>
        <v>0</v>
      </c>
      <c r="K55" s="2"/>
      <c r="L55" s="2">
        <f t="shared" si="15"/>
        <v>0</v>
      </c>
      <c r="M55" s="2"/>
      <c r="N55" s="19">
        <f t="shared" si="16"/>
        <v>0</v>
      </c>
      <c r="O55" s="10"/>
      <c r="P55" s="2">
        <v>0</v>
      </c>
      <c r="Q55" s="2"/>
      <c r="R55" s="19">
        <f t="shared" si="17"/>
        <v>0</v>
      </c>
      <c r="S55" s="2"/>
      <c r="T55" s="2">
        <v>41.25</v>
      </c>
      <c r="U55" s="2"/>
      <c r="V55" s="19">
        <f t="shared" si="18"/>
        <v>1.2526521645096032E-5</v>
      </c>
      <c r="W55" s="2"/>
      <c r="X55" s="2">
        <f t="shared" si="19"/>
        <v>-41.25</v>
      </c>
      <c r="Y55" s="2"/>
      <c r="Z55" s="19">
        <f t="shared" si="20"/>
        <v>-1</v>
      </c>
    </row>
    <row r="56" spans="1:26" s="23" customFormat="1" hidden="1" outlineLevel="1" x14ac:dyDescent="0.25">
      <c r="A56" s="44"/>
      <c r="B56" s="10" t="str">
        <f>CONCATENATE("          ", "5501", " - ", "FREIGHT-IN-NEW TEXT")</f>
        <v xml:space="preserve">          5501 - FREIGHT-IN-NEW TEXT</v>
      </c>
      <c r="C56" s="10"/>
      <c r="D56" s="2">
        <v>271.27</v>
      </c>
      <c r="E56" s="2"/>
      <c r="F56" s="19">
        <f t="shared" si="13"/>
        <v>7.3708044194937912E-3</v>
      </c>
      <c r="G56" s="2"/>
      <c r="H56" s="2">
        <v>2428.4</v>
      </c>
      <c r="I56" s="2"/>
      <c r="J56" s="19">
        <f t="shared" si="14"/>
        <v>0.51572839946651738</v>
      </c>
      <c r="K56" s="2"/>
      <c r="L56" s="2">
        <f t="shared" si="15"/>
        <v>-2157.13</v>
      </c>
      <c r="M56" s="2"/>
      <c r="N56" s="19">
        <f t="shared" si="16"/>
        <v>-0.88829270301433039</v>
      </c>
      <c r="O56" s="10"/>
      <c r="P56" s="2">
        <v>50313.73</v>
      </c>
      <c r="Q56" s="2"/>
      <c r="R56" s="19">
        <f t="shared" si="17"/>
        <v>2.6279571525462942E-2</v>
      </c>
      <c r="S56" s="2"/>
      <c r="T56" s="2">
        <v>69768.95</v>
      </c>
      <c r="U56" s="2"/>
      <c r="V56" s="19">
        <f t="shared" si="18"/>
        <v>2.1186963935287826E-2</v>
      </c>
      <c r="W56" s="2"/>
      <c r="X56" s="2">
        <f t="shared" si="19"/>
        <v>-19455.219999999994</v>
      </c>
      <c r="Y56" s="2"/>
      <c r="Z56" s="19">
        <f t="shared" si="20"/>
        <v>-0.27885212547988747</v>
      </c>
    </row>
    <row r="57" spans="1:26" s="23" customFormat="1" hidden="1" outlineLevel="1" x14ac:dyDescent="0.25">
      <c r="A57" s="44"/>
      <c r="B57" s="10" t="str">
        <f>CONCATENATE("          ", "5502", " - ", "FREIGHT-IN-USED TEXT")</f>
        <v xml:space="preserve">          5502 - FREIGHT-IN-USED TEXT</v>
      </c>
      <c r="C57" s="10"/>
      <c r="D57" s="2">
        <v>58.77</v>
      </c>
      <c r="E57" s="2"/>
      <c r="F57" s="19">
        <f t="shared" si="13"/>
        <v>1.5968672383000339E-3</v>
      </c>
      <c r="G57" s="2"/>
      <c r="H57" s="2">
        <v>36.700000000000003</v>
      </c>
      <c r="I57" s="2"/>
      <c r="J57" s="19">
        <f t="shared" si="14"/>
        <v>7.7941163978015099E-3</v>
      </c>
      <c r="K57" s="2"/>
      <c r="L57" s="2">
        <f t="shared" si="15"/>
        <v>22.07</v>
      </c>
      <c r="M57" s="2"/>
      <c r="N57" s="19">
        <f t="shared" si="16"/>
        <v>0.60136239782016343</v>
      </c>
      <c r="O57" s="10"/>
      <c r="P57" s="2">
        <v>17858.900000000001</v>
      </c>
      <c r="Q57" s="2"/>
      <c r="R57" s="19">
        <f t="shared" si="17"/>
        <v>9.3279556080634474E-3</v>
      </c>
      <c r="S57" s="2"/>
      <c r="T57" s="2">
        <v>15301.34</v>
      </c>
      <c r="U57" s="2"/>
      <c r="V57" s="19">
        <f t="shared" si="18"/>
        <v>4.646607677793302E-3</v>
      </c>
      <c r="W57" s="2"/>
      <c r="X57" s="2">
        <f t="shared" si="19"/>
        <v>2557.5600000000013</v>
      </c>
      <c r="Y57" s="2"/>
      <c r="Z57" s="19">
        <f t="shared" si="20"/>
        <v>0.16714614537027483</v>
      </c>
    </row>
    <row r="58" spans="1:26" s="23" customFormat="1" hidden="1" outlineLevel="1" x14ac:dyDescent="0.25">
      <c r="A58" s="44"/>
      <c r="B58" s="10" t="str">
        <f>CONCATENATE("          ", "5504", " - ", "FREIGHT-IN-DIGITAL TEXT")</f>
        <v xml:space="preserve">          5504 - FREIGHT-IN-DIGITAL TEXT</v>
      </c>
      <c r="C58" s="10"/>
      <c r="D58" s="2"/>
      <c r="E58" s="2"/>
      <c r="F58" s="19">
        <f t="shared" si="13"/>
        <v>0</v>
      </c>
      <c r="G58" s="2"/>
      <c r="H58" s="2"/>
      <c r="I58" s="2"/>
      <c r="J58" s="19">
        <f t="shared" si="14"/>
        <v>0</v>
      </c>
      <c r="K58" s="2"/>
      <c r="L58" s="2">
        <f t="shared" si="15"/>
        <v>0</v>
      </c>
      <c r="M58" s="2"/>
      <c r="N58" s="19">
        <f t="shared" si="16"/>
        <v>0</v>
      </c>
      <c r="O58" s="10"/>
      <c r="P58" s="2">
        <v>28.92</v>
      </c>
      <c r="Q58" s="2"/>
      <c r="R58" s="19">
        <f t="shared" si="17"/>
        <v>1.5105324302459553E-5</v>
      </c>
      <c r="S58" s="2"/>
      <c r="T58" s="2">
        <v>118.75</v>
      </c>
      <c r="U58" s="2"/>
      <c r="V58" s="19">
        <f t="shared" si="18"/>
        <v>3.6061198675276459E-5</v>
      </c>
      <c r="W58" s="2"/>
      <c r="X58" s="2">
        <f t="shared" si="19"/>
        <v>-89.83</v>
      </c>
      <c r="Y58" s="2"/>
      <c r="Z58" s="19">
        <f t="shared" si="20"/>
        <v>-0.75646315789473684</v>
      </c>
    </row>
    <row r="59" spans="1:26" s="23" customFormat="1" hidden="1" outlineLevel="1" x14ac:dyDescent="0.25">
      <c r="A59" s="44"/>
      <c r="B59" s="10" t="str">
        <f>CONCATENATE("          ", "5513", " - ", "FREIGHT-IN-TRADE BOOKS")</f>
        <v xml:space="preserve">          5513 - FREIGHT-IN-TRADE BOOKS</v>
      </c>
      <c r="C59" s="10"/>
      <c r="D59" s="2"/>
      <c r="E59" s="2"/>
      <c r="F59" s="19">
        <f t="shared" si="13"/>
        <v>0</v>
      </c>
      <c r="G59" s="2"/>
      <c r="H59" s="2"/>
      <c r="I59" s="2"/>
      <c r="J59" s="19">
        <f t="shared" si="14"/>
        <v>0</v>
      </c>
      <c r="K59" s="2"/>
      <c r="L59" s="2">
        <f t="shared" si="15"/>
        <v>0</v>
      </c>
      <c r="M59" s="2"/>
      <c r="N59" s="19">
        <f t="shared" si="16"/>
        <v>0</v>
      </c>
      <c r="O59" s="10"/>
      <c r="P59" s="2">
        <v>85.28</v>
      </c>
      <c r="Q59" s="2"/>
      <c r="R59" s="19">
        <f t="shared" si="17"/>
        <v>4.4542948012232038E-5</v>
      </c>
      <c r="S59" s="2"/>
      <c r="T59" s="2">
        <v>30.24</v>
      </c>
      <c r="U59" s="2"/>
      <c r="V59" s="19">
        <f t="shared" si="18"/>
        <v>9.1830791405504007E-6</v>
      </c>
      <c r="W59" s="2"/>
      <c r="X59" s="2">
        <f t="shared" si="19"/>
        <v>55.040000000000006</v>
      </c>
      <c r="Y59" s="2"/>
      <c r="Z59" s="19">
        <f t="shared" si="20"/>
        <v>1.8201058201058204</v>
      </c>
    </row>
    <row r="60" spans="1:26" s="23" customFormat="1" hidden="1" outlineLevel="1" x14ac:dyDescent="0.25">
      <c r="A60" s="44"/>
      <c r="B60" s="10" t="str">
        <f>CONCATENATE("          ", "5518", " - ", "FREIGHT-IN-STUDY GUIDES")</f>
        <v xml:space="preserve">          5518 - FREIGHT-IN-STUDY GUIDES</v>
      </c>
      <c r="C60" s="10"/>
      <c r="D60" s="2"/>
      <c r="E60" s="2"/>
      <c r="F60" s="19">
        <f t="shared" si="13"/>
        <v>0</v>
      </c>
      <c r="G60" s="2"/>
      <c r="H60" s="2"/>
      <c r="I60" s="2"/>
      <c r="J60" s="19">
        <f t="shared" si="14"/>
        <v>0</v>
      </c>
      <c r="K60" s="2"/>
      <c r="L60" s="2">
        <f t="shared" si="15"/>
        <v>0</v>
      </c>
      <c r="M60" s="2"/>
      <c r="N60" s="19">
        <f t="shared" si="16"/>
        <v>0</v>
      </c>
      <c r="O60" s="10"/>
      <c r="P60" s="2"/>
      <c r="Q60" s="2"/>
      <c r="R60" s="19">
        <f t="shared" si="17"/>
        <v>0</v>
      </c>
      <c r="S60" s="2"/>
      <c r="T60" s="2">
        <v>21.13</v>
      </c>
      <c r="U60" s="2"/>
      <c r="V60" s="19">
        <f t="shared" si="18"/>
        <v>6.4166158148091914E-6</v>
      </c>
      <c r="W60" s="2"/>
      <c r="X60" s="2">
        <f t="shared" si="19"/>
        <v>-21.13</v>
      </c>
      <c r="Y60" s="2"/>
      <c r="Z60" s="19">
        <f t="shared" si="20"/>
        <v>-1</v>
      </c>
    </row>
    <row r="61" spans="1:26" x14ac:dyDescent="0.25">
      <c r="A61" s="9"/>
      <c r="B61" s="11"/>
      <c r="C61" s="11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1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4" customFormat="1" x14ac:dyDescent="0.25">
      <c r="A62" s="11"/>
      <c r="B62" s="29" t="s">
        <v>107</v>
      </c>
      <c r="C62" s="29"/>
      <c r="D62" s="20">
        <f>D12-D43</f>
        <v>5809.3099999999686</v>
      </c>
      <c r="E62" s="14"/>
      <c r="F62" s="22">
        <f>IF(D$12=0,0,D62/D$12)</f>
        <v>0.15784748708743779</v>
      </c>
      <c r="G62" s="14"/>
      <c r="H62" s="20">
        <f>H12-H43</f>
        <v>1389.4400000000028</v>
      </c>
      <c r="I62" s="14"/>
      <c r="J62" s="22">
        <f>IF(H$12=0,0,H62/H$12)</f>
        <v>0.29508057459840192</v>
      </c>
      <c r="K62" s="16"/>
      <c r="L62" s="20">
        <f>+D62-H62</f>
        <v>4419.8699999999662</v>
      </c>
      <c r="M62" s="16"/>
      <c r="N62" s="22">
        <f>IF(H62=0,0,L62/H62)</f>
        <v>3.1810441616766161</v>
      </c>
      <c r="O62" s="28"/>
      <c r="P62" s="20">
        <f>P12-P43</f>
        <v>553234.71</v>
      </c>
      <c r="Q62" s="14"/>
      <c r="R62" s="22">
        <f>IF(P$12=0,0,P62/P$12)</f>
        <v>0.28896229979001253</v>
      </c>
      <c r="S62" s="14"/>
      <c r="T62" s="20">
        <f>T12-T43</f>
        <v>975447.68999999901</v>
      </c>
      <c r="U62" s="14"/>
      <c r="V62" s="22">
        <f>IF(T$12=0,0,T62/T$12)</f>
        <v>0.29621737218045846</v>
      </c>
      <c r="W62" s="16"/>
      <c r="X62" s="20">
        <f>+P62-T62</f>
        <v>-422212.97999999905</v>
      </c>
      <c r="Y62" s="16"/>
      <c r="Z62" s="22">
        <f>IF(T62=0,0,X62/T62)</f>
        <v>-0.43284020694128611</v>
      </c>
    </row>
    <row r="63" spans="1:26" x14ac:dyDescent="0.25">
      <c r="A63" s="9"/>
      <c r="B63" s="11"/>
      <c r="C63" s="9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4" customFormat="1" x14ac:dyDescent="0.25">
      <c r="A64" s="11"/>
      <c r="B64" s="28" t="s">
        <v>294</v>
      </c>
      <c r="C64" s="11"/>
      <c r="D64" s="21">
        <f>SUM(OSRRefD22x_0)</f>
        <v>52574.149999999994</v>
      </c>
      <c r="E64" s="21"/>
      <c r="F64" s="31">
        <f t="shared" ref="F64:F74" si="21">IF(D$12=0,0,D64/D$12)</f>
        <v>1.4285168915513309</v>
      </c>
      <c r="G64" s="21"/>
      <c r="H64" s="21">
        <f>SUM(OSRRefH22x_0)</f>
        <v>51861.900000000009</v>
      </c>
      <c r="I64" s="21"/>
      <c r="J64" s="31">
        <f t="shared" ref="J64:J74" si="22">IF(H$12=0,0,H64/H$12)</f>
        <v>11.01410586406382</v>
      </c>
      <c r="K64" s="4"/>
      <c r="L64" s="21">
        <f t="shared" ref="L64:L74" si="23">+D64-H64</f>
        <v>712.24999999998545</v>
      </c>
      <c r="M64" s="4"/>
      <c r="N64" s="31">
        <f t="shared" ref="N64:N74" si="24">IF(H64=0,0,L64/H64)</f>
        <v>1.3733588626717983E-2</v>
      </c>
      <c r="O64" s="11"/>
      <c r="P64" s="21">
        <f>SUM(OSRRefP22x_0)</f>
        <v>461844.33999999991</v>
      </c>
      <c r="Q64" s="21"/>
      <c r="R64" s="31">
        <f t="shared" ref="R64:R74" si="25">IF(P$12=0,0,P64/P$12)</f>
        <v>0.24122781925848516</v>
      </c>
      <c r="S64" s="21"/>
      <c r="T64" s="21">
        <f>SUM(OSRRefT22x_0)</f>
        <v>470997.50000000006</v>
      </c>
      <c r="U64" s="21"/>
      <c r="V64" s="31">
        <f t="shared" ref="V64:V74" si="26">IF(T$12=0,0,T64/T$12)</f>
        <v>0.14302934250996652</v>
      </c>
      <c r="W64" s="4"/>
      <c r="X64" s="21">
        <f t="shared" ref="X64:X74" si="27">+P64-T64</f>
        <v>-9153.160000000149</v>
      </c>
      <c r="Y64" s="4"/>
      <c r="Z64" s="31">
        <f t="shared" ref="Z64:Z74" si="28">IF(T64=0,0,X64/T64)</f>
        <v>-1.9433563872420019E-2</v>
      </c>
    </row>
    <row r="65" spans="1:26" s="26" customFormat="1" outlineLevel="1" collapsed="1" x14ac:dyDescent="0.25">
      <c r="A65" s="25"/>
      <c r="B65" s="12" t="str">
        <f>CONCATENATE("     ","*Benefits                                         ")</f>
        <v xml:space="preserve">     *Benefits                                         </v>
      </c>
      <c r="C65" s="12"/>
      <c r="D65" s="1">
        <f>SUM(OSRRefD22_0x_0)</f>
        <v>14359.289999999997</v>
      </c>
      <c r="E65" s="1"/>
      <c r="F65" s="5">
        <f t="shared" si="21"/>
        <v>0.39016300436020568</v>
      </c>
      <c r="G65" s="1"/>
      <c r="H65" s="1">
        <f>SUM(OSRRefH22_0x_0)</f>
        <v>12230.73</v>
      </c>
      <c r="I65" s="1"/>
      <c r="J65" s="5">
        <f t="shared" si="22"/>
        <v>2.597485919620786</v>
      </c>
      <c r="K65" s="1"/>
      <c r="L65" s="1">
        <f t="shared" si="23"/>
        <v>2128.5599999999977</v>
      </c>
      <c r="M65" s="1"/>
      <c r="N65" s="5">
        <f t="shared" si="24"/>
        <v>0.17403376576868246</v>
      </c>
      <c r="O65" s="12"/>
      <c r="P65" s="1">
        <f>SUM(OSRRefP22_0x_0)</f>
        <v>120169.99</v>
      </c>
      <c r="Q65" s="1"/>
      <c r="R65" s="5">
        <f t="shared" si="25"/>
        <v>6.2766482378053989E-2</v>
      </c>
      <c r="S65" s="1"/>
      <c r="T65" s="1">
        <f>SUM(OSRRefT22_0x_0)</f>
        <v>106386.24999999999</v>
      </c>
      <c r="U65" s="1"/>
      <c r="V65" s="5">
        <f t="shared" si="26"/>
        <v>3.2306658505832669E-2</v>
      </c>
      <c r="W65" s="1"/>
      <c r="X65" s="1">
        <f t="shared" si="27"/>
        <v>13783.74000000002</v>
      </c>
      <c r="Y65" s="1"/>
      <c r="Z65" s="5">
        <f t="shared" si="28"/>
        <v>0.12956317193246328</v>
      </c>
    </row>
    <row r="66" spans="1:26" s="23" customFormat="1" hidden="1" outlineLevel="2" x14ac:dyDescent="0.25">
      <c r="A66" s="27"/>
      <c r="B66" s="10" t="str">
        <f>CONCATENATE("          ", "6111", " - ", "F.I.C.A.")</f>
        <v xml:space="preserve">          6111 - F.I.C.A.</v>
      </c>
      <c r="C66" s="10"/>
      <c r="D66" s="6">
        <v>2997.29</v>
      </c>
      <c r="E66" s="2"/>
      <c r="F66" s="7">
        <f t="shared" si="21"/>
        <v>8.1440772582683479E-2</v>
      </c>
      <c r="G66" s="2"/>
      <c r="H66" s="6">
        <v>2530.4499999999998</v>
      </c>
      <c r="I66" s="2"/>
      <c r="J66" s="7">
        <f t="shared" si="22"/>
        <v>0.53740114002225692</v>
      </c>
      <c r="K66" s="2"/>
      <c r="L66" s="6">
        <f t="shared" si="23"/>
        <v>466.84000000000015</v>
      </c>
      <c r="M66" s="2"/>
      <c r="N66" s="7">
        <f t="shared" si="24"/>
        <v>0.18448892489478164</v>
      </c>
      <c r="O66" s="10"/>
      <c r="P66" s="6">
        <v>21909.06</v>
      </c>
      <c r="Q66" s="2"/>
      <c r="R66" s="7">
        <f t="shared" si="25"/>
        <v>1.144341135760873E-2</v>
      </c>
      <c r="S66" s="2"/>
      <c r="T66" s="6">
        <v>18289.75</v>
      </c>
      <c r="U66" s="2"/>
      <c r="V66" s="7">
        <f t="shared" si="26"/>
        <v>5.5541078608095798E-3</v>
      </c>
      <c r="W66" s="2"/>
      <c r="X66" s="6">
        <f t="shared" si="27"/>
        <v>3619.3100000000013</v>
      </c>
      <c r="Y66" s="2"/>
      <c r="Z66" s="7">
        <f t="shared" si="28"/>
        <v>0.19788734127038377</v>
      </c>
    </row>
    <row r="67" spans="1:26" s="23" customFormat="1" hidden="1" outlineLevel="2" x14ac:dyDescent="0.25">
      <c r="A67" s="27"/>
      <c r="B67" s="10" t="str">
        <f>CONCATENATE("          ", "6112", " - ", "COMPENSATION INSURANCE")</f>
        <v xml:space="preserve">          6112 - COMPENSATION INSURANCE</v>
      </c>
      <c r="C67" s="10"/>
      <c r="D67" s="6">
        <v>137.72</v>
      </c>
      <c r="E67" s="2"/>
      <c r="F67" s="7">
        <f t="shared" si="21"/>
        <v>3.7420547227953148E-3</v>
      </c>
      <c r="G67" s="2"/>
      <c r="H67" s="6">
        <v>155.25</v>
      </c>
      <c r="I67" s="2"/>
      <c r="J67" s="7">
        <f t="shared" si="22"/>
        <v>3.2971023726394669E-2</v>
      </c>
      <c r="K67" s="2"/>
      <c r="L67" s="6">
        <f t="shared" si="23"/>
        <v>-17.53</v>
      </c>
      <c r="M67" s="2"/>
      <c r="N67" s="7">
        <f t="shared" si="24"/>
        <v>-0.11291465378421901</v>
      </c>
      <c r="O67" s="10"/>
      <c r="P67" s="6">
        <v>1185.44</v>
      </c>
      <c r="Q67" s="2"/>
      <c r="R67" s="7">
        <f t="shared" si="25"/>
        <v>6.1917204844770578E-4</v>
      </c>
      <c r="S67" s="2"/>
      <c r="T67" s="6">
        <v>865.6</v>
      </c>
      <c r="U67" s="2"/>
      <c r="V67" s="7">
        <f t="shared" si="26"/>
        <v>2.6285956693321516E-4</v>
      </c>
      <c r="W67" s="2"/>
      <c r="X67" s="6">
        <f t="shared" si="27"/>
        <v>319.84000000000003</v>
      </c>
      <c r="Y67" s="2"/>
      <c r="Z67" s="7">
        <f t="shared" si="28"/>
        <v>0.36950092421441777</v>
      </c>
    </row>
    <row r="68" spans="1:26" s="23" customFormat="1" hidden="1" outlineLevel="2" x14ac:dyDescent="0.25">
      <c r="A68" s="27"/>
      <c r="B68" s="10" t="str">
        <f>CONCATENATE("          ", "6113", " - ", "GROUP INSURANCE")</f>
        <v xml:space="preserve">          6113 - GROUP INSURANCE</v>
      </c>
      <c r="C68" s="10"/>
      <c r="D68" s="6">
        <v>4943.91</v>
      </c>
      <c r="E68" s="2"/>
      <c r="F68" s="7">
        <f t="shared" si="21"/>
        <v>0.13433329773870886</v>
      </c>
      <c r="G68" s="2"/>
      <c r="H68" s="6">
        <v>4248.21</v>
      </c>
      <c r="I68" s="2"/>
      <c r="J68" s="7">
        <f t="shared" si="22"/>
        <v>0.90220826218812944</v>
      </c>
      <c r="K68" s="2"/>
      <c r="L68" s="6">
        <f t="shared" si="23"/>
        <v>695.69999999999982</v>
      </c>
      <c r="M68" s="2"/>
      <c r="N68" s="7">
        <f t="shared" si="24"/>
        <v>0.16376309080765777</v>
      </c>
      <c r="O68" s="10"/>
      <c r="P68" s="6">
        <v>45163.86</v>
      </c>
      <c r="Q68" s="2"/>
      <c r="R68" s="7">
        <f t="shared" si="25"/>
        <v>2.3589721716835439E-2</v>
      </c>
      <c r="S68" s="2"/>
      <c r="T68" s="6">
        <v>42004.26</v>
      </c>
      <c r="U68" s="2"/>
      <c r="V68" s="7">
        <f t="shared" si="26"/>
        <v>1.2755570232151309E-2</v>
      </c>
      <c r="W68" s="2"/>
      <c r="X68" s="6">
        <f t="shared" si="27"/>
        <v>3159.5999999999985</v>
      </c>
      <c r="Y68" s="2"/>
      <c r="Z68" s="7">
        <f t="shared" si="28"/>
        <v>7.5220941875895411E-2</v>
      </c>
    </row>
    <row r="69" spans="1:26" s="23" customFormat="1" hidden="1" outlineLevel="2" x14ac:dyDescent="0.25">
      <c r="A69" s="27"/>
      <c r="B69" s="10" t="str">
        <f>CONCATENATE("          ", "6114", " - ", "STATE UNEMPLOYMENT INSURANCE")</f>
        <v xml:space="preserve">          6114 - STATE UNEMPLOYMENT INSURANCE</v>
      </c>
      <c r="C69" s="10"/>
      <c r="D69" s="6">
        <v>91.65</v>
      </c>
      <c r="E69" s="2"/>
      <c r="F69" s="7">
        <f t="shared" si="21"/>
        <v>2.490265141912508E-3</v>
      </c>
      <c r="G69" s="2"/>
      <c r="H69" s="6">
        <v>64.3</v>
      </c>
      <c r="I69" s="2"/>
      <c r="J69" s="7">
        <f t="shared" si="22"/>
        <v>1.3655631726938339E-2</v>
      </c>
      <c r="K69" s="2"/>
      <c r="L69" s="6">
        <f t="shared" si="23"/>
        <v>27.350000000000009</v>
      </c>
      <c r="M69" s="2"/>
      <c r="N69" s="7">
        <f t="shared" si="24"/>
        <v>0.42534992223950246</v>
      </c>
      <c r="O69" s="10"/>
      <c r="P69" s="6">
        <v>762.51</v>
      </c>
      <c r="Q69" s="2"/>
      <c r="R69" s="7">
        <f t="shared" si="25"/>
        <v>3.982697383771934E-4</v>
      </c>
      <c r="S69" s="2"/>
      <c r="T69" s="6">
        <v>654.03</v>
      </c>
      <c r="U69" s="2"/>
      <c r="V69" s="7">
        <f t="shared" si="26"/>
        <v>1.9861141700708261E-4</v>
      </c>
      <c r="W69" s="2"/>
      <c r="X69" s="6">
        <f t="shared" si="27"/>
        <v>108.48000000000002</v>
      </c>
      <c r="Y69" s="2"/>
      <c r="Z69" s="7">
        <f t="shared" si="28"/>
        <v>0.16586395119489936</v>
      </c>
    </row>
    <row r="70" spans="1:26" s="23" customFormat="1" hidden="1" outlineLevel="2" x14ac:dyDescent="0.25">
      <c r="A70" s="27"/>
      <c r="B70" s="10" t="str">
        <f>CONCATENATE("          ", "6115", " - ", "P.E.R.S.")</f>
        <v xml:space="preserve">          6115 - P.E.R.S.</v>
      </c>
      <c r="C70" s="10"/>
      <c r="D70" s="6">
        <v>1722.62</v>
      </c>
      <c r="E70" s="2"/>
      <c r="F70" s="7">
        <f t="shared" si="21"/>
        <v>4.6806116080319961E-2</v>
      </c>
      <c r="G70" s="2"/>
      <c r="H70" s="6">
        <v>1363.4</v>
      </c>
      <c r="I70" s="2"/>
      <c r="J70" s="7">
        <f t="shared" si="22"/>
        <v>0.28955036230960707</v>
      </c>
      <c r="K70" s="2"/>
      <c r="L70" s="6">
        <f t="shared" si="23"/>
        <v>359.2199999999998</v>
      </c>
      <c r="M70" s="2"/>
      <c r="N70" s="7">
        <f t="shared" si="24"/>
        <v>0.26347366876925316</v>
      </c>
      <c r="O70" s="10"/>
      <c r="P70" s="6">
        <v>18464.349999999999</v>
      </c>
      <c r="Q70" s="2"/>
      <c r="R70" s="7">
        <f t="shared" si="25"/>
        <v>9.6441906910137969E-3</v>
      </c>
      <c r="S70" s="2"/>
      <c r="T70" s="6">
        <v>14476.29</v>
      </c>
      <c r="U70" s="2"/>
      <c r="V70" s="7">
        <f t="shared" si="26"/>
        <v>4.3960620612287817E-3</v>
      </c>
      <c r="W70" s="2"/>
      <c r="X70" s="6">
        <f t="shared" si="27"/>
        <v>3988.0599999999977</v>
      </c>
      <c r="Y70" s="2"/>
      <c r="Z70" s="7">
        <f t="shared" si="28"/>
        <v>0.27548909285459172</v>
      </c>
    </row>
    <row r="71" spans="1:26" s="23" customFormat="1" hidden="1" outlineLevel="2" x14ac:dyDescent="0.25">
      <c r="A71" s="27"/>
      <c r="B71" s="10" t="str">
        <f>CONCATENATE("          ", "6117", " - ", "RETIREMENT STAFF HOURLY")</f>
        <v xml:space="preserve">          6117 - RETIREMENT STAFF HOURLY</v>
      </c>
      <c r="C71" s="10"/>
      <c r="D71" s="6">
        <v>246.24</v>
      </c>
      <c r="E71" s="2"/>
      <c r="F71" s="7">
        <f t="shared" si="21"/>
        <v>6.6907025482218878E-3</v>
      </c>
      <c r="G71" s="2"/>
      <c r="H71" s="6">
        <v>395.56</v>
      </c>
      <c r="I71" s="2"/>
      <c r="J71" s="7">
        <f t="shared" si="22"/>
        <v>8.4006558101208856E-2</v>
      </c>
      <c r="K71" s="2"/>
      <c r="L71" s="6">
        <f t="shared" si="23"/>
        <v>-149.32</v>
      </c>
      <c r="M71" s="2"/>
      <c r="N71" s="7">
        <f t="shared" si="24"/>
        <v>-0.3774901405602184</v>
      </c>
      <c r="O71" s="10"/>
      <c r="P71" s="6">
        <v>2755.82</v>
      </c>
      <c r="Q71" s="2"/>
      <c r="R71" s="7">
        <f t="shared" si="25"/>
        <v>1.4394036936100998E-3</v>
      </c>
      <c r="S71" s="2"/>
      <c r="T71" s="6">
        <v>1569.67</v>
      </c>
      <c r="U71" s="2"/>
      <c r="V71" s="7">
        <f t="shared" si="26"/>
        <v>4.7666679347049433E-4</v>
      </c>
      <c r="W71" s="2"/>
      <c r="X71" s="6">
        <f t="shared" si="27"/>
        <v>1186.1500000000001</v>
      </c>
      <c r="Y71" s="2"/>
      <c r="Z71" s="7">
        <f t="shared" si="28"/>
        <v>0.75566838889702936</v>
      </c>
    </row>
    <row r="72" spans="1:26" s="23" customFormat="1" hidden="1" outlineLevel="2" x14ac:dyDescent="0.25">
      <c r="A72" s="27"/>
      <c r="B72" s="10" t="str">
        <f>CONCATENATE("          ", "6118", " - ", "VACATION")</f>
        <v xml:space="preserve">          6118 - VACATION</v>
      </c>
      <c r="C72" s="10"/>
      <c r="D72" s="6">
        <v>2466.27</v>
      </c>
      <c r="E72" s="2"/>
      <c r="F72" s="7">
        <f t="shared" si="21"/>
        <v>6.7012179067589314E-2</v>
      </c>
      <c r="G72" s="2"/>
      <c r="H72" s="6">
        <v>1819.28</v>
      </c>
      <c r="I72" s="2"/>
      <c r="J72" s="7">
        <f t="shared" si="22"/>
        <v>0.38636730463739322</v>
      </c>
      <c r="K72" s="2"/>
      <c r="L72" s="6">
        <f t="shared" si="23"/>
        <v>646.99</v>
      </c>
      <c r="M72" s="2"/>
      <c r="N72" s="7">
        <f t="shared" si="24"/>
        <v>0.35562969966140451</v>
      </c>
      <c r="O72" s="10"/>
      <c r="P72" s="6">
        <v>14500.95</v>
      </c>
      <c r="Q72" s="2"/>
      <c r="R72" s="7">
        <f t="shared" si="25"/>
        <v>7.5740509143758933E-3</v>
      </c>
      <c r="S72" s="2"/>
      <c r="T72" s="6">
        <v>10643.06</v>
      </c>
      <c r="U72" s="2"/>
      <c r="V72" s="7">
        <f t="shared" si="26"/>
        <v>3.2320126414558973E-3</v>
      </c>
      <c r="W72" s="2"/>
      <c r="X72" s="6">
        <f t="shared" si="27"/>
        <v>3857.8900000000012</v>
      </c>
      <c r="Y72" s="2"/>
      <c r="Z72" s="7">
        <f t="shared" si="28"/>
        <v>0.36247939972150878</v>
      </c>
    </row>
    <row r="73" spans="1:26" s="23" customFormat="1" hidden="1" outlineLevel="2" x14ac:dyDescent="0.25">
      <c r="A73" s="27"/>
      <c r="B73" s="10" t="str">
        <f>CONCATENATE("          ", "6119", " - ", "SICK LEAVE")</f>
        <v xml:space="preserve">          6119 - SICK LEAVE</v>
      </c>
      <c r="C73" s="10"/>
      <c r="D73" s="6">
        <v>1289.8800000000001</v>
      </c>
      <c r="E73" s="2"/>
      <c r="F73" s="7">
        <f t="shared" si="21"/>
        <v>3.5047934547191559E-2</v>
      </c>
      <c r="G73" s="2"/>
      <c r="H73" s="6">
        <v>1416.9</v>
      </c>
      <c r="I73" s="2"/>
      <c r="J73" s="7">
        <f t="shared" si="22"/>
        <v>0.3009123576034049</v>
      </c>
      <c r="K73" s="2"/>
      <c r="L73" s="6">
        <f t="shared" si="23"/>
        <v>-127.01999999999998</v>
      </c>
      <c r="M73" s="2"/>
      <c r="N73" s="7">
        <f t="shared" si="24"/>
        <v>-8.9646411179335153E-2</v>
      </c>
      <c r="O73" s="10"/>
      <c r="P73" s="6">
        <v>11176.9</v>
      </c>
      <c r="Q73" s="2"/>
      <c r="R73" s="7">
        <f t="shared" si="25"/>
        <v>5.8378526693001441E-3</v>
      </c>
      <c r="S73" s="2"/>
      <c r="T73" s="6">
        <v>12014.29</v>
      </c>
      <c r="U73" s="2"/>
      <c r="V73" s="7">
        <f t="shared" si="26"/>
        <v>3.6484185147990502E-3</v>
      </c>
      <c r="W73" s="2"/>
      <c r="X73" s="6">
        <f t="shared" si="27"/>
        <v>-837.39000000000124</v>
      </c>
      <c r="Y73" s="2"/>
      <c r="Z73" s="7">
        <f t="shared" si="28"/>
        <v>-6.9699499512663771E-2</v>
      </c>
    </row>
    <row r="74" spans="1:26" s="23" customFormat="1" hidden="1" outlineLevel="2" x14ac:dyDescent="0.25">
      <c r="A74" s="27"/>
      <c r="B74" s="10" t="str">
        <f>CONCATENATE("          ", "6156", " - ", "EMPLOYEE MEALS")</f>
        <v xml:space="preserve">          6156 - EMPLOYEE MEALS</v>
      </c>
      <c r="C74" s="10"/>
      <c r="D74" s="6">
        <v>463.71</v>
      </c>
      <c r="E74" s="2"/>
      <c r="F74" s="7">
        <f t="shared" si="21"/>
        <v>1.2599681930782859E-2</v>
      </c>
      <c r="G74" s="2"/>
      <c r="H74" s="6">
        <v>237.38</v>
      </c>
      <c r="I74" s="2"/>
      <c r="J74" s="7">
        <f t="shared" si="22"/>
        <v>5.0413279305452925E-2</v>
      </c>
      <c r="K74" s="2"/>
      <c r="L74" s="6">
        <f t="shared" si="23"/>
        <v>226.32999999999998</v>
      </c>
      <c r="M74" s="2"/>
      <c r="N74" s="7">
        <f t="shared" si="24"/>
        <v>0.95345016429353779</v>
      </c>
      <c r="O74" s="10"/>
      <c r="P74" s="6">
        <v>4251.1000000000004</v>
      </c>
      <c r="Q74" s="2"/>
      <c r="R74" s="7">
        <f t="shared" si="25"/>
        <v>2.2204095484849862E-3</v>
      </c>
      <c r="S74" s="2"/>
      <c r="T74" s="6">
        <v>5869.3</v>
      </c>
      <c r="U74" s="2"/>
      <c r="V74" s="7">
        <f t="shared" si="26"/>
        <v>1.782349417977264E-3</v>
      </c>
      <c r="W74" s="2"/>
      <c r="X74" s="6">
        <f t="shared" si="27"/>
        <v>-1618.1999999999998</v>
      </c>
      <c r="Y74" s="2"/>
      <c r="Z74" s="7">
        <f t="shared" si="28"/>
        <v>-0.27570579115056304</v>
      </c>
    </row>
    <row r="75" spans="1:26" s="26" customFormat="1" outlineLevel="1" collapsed="1" x14ac:dyDescent="0.25">
      <c r="A75" s="25"/>
      <c r="B75" s="12" t="str">
        <f>CONCATENATE("     ","*Payroll                                          ")</f>
        <v xml:space="preserve">     *Payroll                                          </v>
      </c>
      <c r="C75" s="12"/>
      <c r="D75" s="1">
        <f>SUM(OSRRefD22_1x_0)</f>
        <v>29075.89</v>
      </c>
      <c r="E75" s="1"/>
      <c r="F75" s="5">
        <f t="shared" ref="F75:F82" si="29">IF(D$12=0,0,D75/D$12)</f>
        <v>0.79003464634023424</v>
      </c>
      <c r="G75" s="1"/>
      <c r="H75" s="1">
        <f>SUM(OSRRefH22_1x_0)</f>
        <v>27174.41</v>
      </c>
      <c r="I75" s="1"/>
      <c r="J75" s="5">
        <f t="shared" ref="J75:J82" si="30">IF(H$12=0,0,H75/H$12)</f>
        <v>5.7711311875090274</v>
      </c>
      <c r="K75" s="1"/>
      <c r="L75" s="1">
        <f t="shared" ref="L75:L82" si="31">+D75-H75</f>
        <v>1901.4799999999996</v>
      </c>
      <c r="M75" s="1"/>
      <c r="N75" s="5">
        <f t="shared" ref="N75:N82" si="32">IF(H75=0,0,L75/H75)</f>
        <v>6.9973184330404947E-2</v>
      </c>
      <c r="O75" s="12"/>
      <c r="P75" s="1">
        <f>SUM(OSRRefP22_1x_0)</f>
        <v>282209.40999999997</v>
      </c>
      <c r="Q75" s="1"/>
      <c r="R75" s="5">
        <f t="shared" ref="R75:R82" si="33">IF(P$12=0,0,P75/P$12)</f>
        <v>0.14740195917205295</v>
      </c>
      <c r="S75" s="1"/>
      <c r="T75" s="1">
        <f>SUM(OSRRefT22_1x_0)</f>
        <v>283988.5</v>
      </c>
      <c r="U75" s="1"/>
      <c r="V75" s="5">
        <f t="shared" ref="V75:V82" si="34">IF(T$12=0,0,T75/T$12)</f>
        <v>8.6239711326263138E-2</v>
      </c>
      <c r="W75" s="1"/>
      <c r="X75" s="1">
        <f t="shared" ref="X75:X82" si="35">+P75-T75</f>
        <v>-1779.0900000000256</v>
      </c>
      <c r="Y75" s="1"/>
      <c r="Z75" s="5">
        <f t="shared" ref="Z75:Z82" si="36">IF(T75=0,0,X75/T75)</f>
        <v>-6.2646550828643613E-3</v>
      </c>
    </row>
    <row r="76" spans="1:26" s="23" customFormat="1" hidden="1" outlineLevel="2" x14ac:dyDescent="0.25">
      <c r="A76" s="27"/>
      <c r="B76" s="10" t="str">
        <f>CONCATENATE("          ", "6001", " - ", "ADMINISTRATIVE SALARIES")</f>
        <v xml:space="preserve">          6001 - ADMINISTRATIVE SALARIES</v>
      </c>
      <c r="C76" s="10"/>
      <c r="D76" s="6"/>
      <c r="E76" s="2"/>
      <c r="F76" s="7">
        <f t="shared" si="29"/>
        <v>0</v>
      </c>
      <c r="G76" s="2"/>
      <c r="H76" s="6"/>
      <c r="I76" s="2"/>
      <c r="J76" s="7">
        <f t="shared" si="30"/>
        <v>0</v>
      </c>
      <c r="K76" s="2"/>
      <c r="L76" s="6">
        <f t="shared" si="31"/>
        <v>0</v>
      </c>
      <c r="M76" s="2"/>
      <c r="N76" s="7">
        <f t="shared" si="32"/>
        <v>0</v>
      </c>
      <c r="O76" s="10"/>
      <c r="P76" s="6">
        <v>-311.32</v>
      </c>
      <c r="Q76" s="2"/>
      <c r="R76" s="7">
        <f t="shared" si="33"/>
        <v>-1.6260683132232736E-4</v>
      </c>
      <c r="S76" s="2"/>
      <c r="T76" s="6">
        <v>0</v>
      </c>
      <c r="U76" s="2"/>
      <c r="V76" s="7">
        <f t="shared" si="34"/>
        <v>0</v>
      </c>
      <c r="W76" s="2"/>
      <c r="X76" s="6">
        <f t="shared" si="35"/>
        <v>-311.32</v>
      </c>
      <c r="Y76" s="2"/>
      <c r="Z76" s="7">
        <f t="shared" si="36"/>
        <v>0</v>
      </c>
    </row>
    <row r="77" spans="1:26" s="23" customFormat="1" hidden="1" outlineLevel="2" x14ac:dyDescent="0.25">
      <c r="A77" s="27"/>
      <c r="B77" s="10" t="str">
        <f>CONCATENATE("          ", "6002", " - ", "STAFF SALARIES")</f>
        <v xml:space="preserve">          6002 - STAFF SALARIES</v>
      </c>
      <c r="C77" s="10"/>
      <c r="D77" s="6">
        <v>19208.37</v>
      </c>
      <c r="E77" s="2"/>
      <c r="F77" s="7">
        <f t="shared" si="29"/>
        <v>0.52191963168530231</v>
      </c>
      <c r="G77" s="2"/>
      <c r="H77" s="6">
        <v>14885.71</v>
      </c>
      <c r="I77" s="2"/>
      <c r="J77" s="7">
        <f t="shared" si="30"/>
        <v>3.1613339619596159</v>
      </c>
      <c r="K77" s="2"/>
      <c r="L77" s="6">
        <f t="shared" si="31"/>
        <v>4322.66</v>
      </c>
      <c r="M77" s="2"/>
      <c r="N77" s="7">
        <f t="shared" si="32"/>
        <v>0.29038991086081889</v>
      </c>
      <c r="O77" s="10"/>
      <c r="P77" s="6">
        <v>173924.05</v>
      </c>
      <c r="Q77" s="2"/>
      <c r="R77" s="7">
        <f t="shared" si="33"/>
        <v>9.0842986834273512E-2</v>
      </c>
      <c r="S77" s="2"/>
      <c r="T77" s="6">
        <v>157422.13</v>
      </c>
      <c r="U77" s="2"/>
      <c r="V77" s="7">
        <f t="shared" si="34"/>
        <v>4.7804890154233247E-2</v>
      </c>
      <c r="W77" s="2"/>
      <c r="X77" s="6">
        <f t="shared" si="35"/>
        <v>16501.919999999984</v>
      </c>
      <c r="Y77" s="2"/>
      <c r="Z77" s="7">
        <f t="shared" si="36"/>
        <v>0.10482592250530458</v>
      </c>
    </row>
    <row r="78" spans="1:26" s="23" customFormat="1" hidden="1" outlineLevel="2" x14ac:dyDescent="0.25">
      <c r="A78" s="27"/>
      <c r="B78" s="10" t="str">
        <f>CONCATENATE("          ", "6004", " - ", "STAFF HOURLY")</f>
        <v xml:space="preserve">          6004 - STAFF HOURLY</v>
      </c>
      <c r="C78" s="10"/>
      <c r="D78" s="6">
        <v>8559.48</v>
      </c>
      <c r="E78" s="2"/>
      <c r="F78" s="7">
        <f t="shared" si="29"/>
        <v>0.23257364622910282</v>
      </c>
      <c r="G78" s="2"/>
      <c r="H78" s="6">
        <v>8370.3799999999992</v>
      </c>
      <c r="I78" s="2"/>
      <c r="J78" s="7">
        <f t="shared" si="30"/>
        <v>1.7776489377065339</v>
      </c>
      <c r="K78" s="2"/>
      <c r="L78" s="6">
        <f t="shared" si="31"/>
        <v>189.10000000000036</v>
      </c>
      <c r="M78" s="2"/>
      <c r="N78" s="7">
        <f t="shared" si="32"/>
        <v>2.259156693005579E-2</v>
      </c>
      <c r="O78" s="10"/>
      <c r="P78" s="6">
        <v>68298.740000000005</v>
      </c>
      <c r="Q78" s="2"/>
      <c r="R78" s="7">
        <f t="shared" si="33"/>
        <v>3.5673396166990536E-2</v>
      </c>
      <c r="S78" s="2"/>
      <c r="T78" s="6">
        <v>40231.160000000003</v>
      </c>
      <c r="U78" s="2"/>
      <c r="V78" s="7">
        <f t="shared" si="34"/>
        <v>1.2217127189025982E-2</v>
      </c>
      <c r="W78" s="2"/>
      <c r="X78" s="6">
        <f t="shared" si="35"/>
        <v>28067.58</v>
      </c>
      <c r="Y78" s="2"/>
      <c r="Z78" s="7">
        <f t="shared" si="36"/>
        <v>0.69765773594397973</v>
      </c>
    </row>
    <row r="79" spans="1:26" s="23" customFormat="1" hidden="1" outlineLevel="2" x14ac:dyDescent="0.25">
      <c r="A79" s="27"/>
      <c r="B79" s="10" t="str">
        <f>CONCATENATE("          ", "6005", " - ", "TEMPORARY WAGES-HOURLY")</f>
        <v xml:space="preserve">          6005 - TEMPORARY WAGES-HOURLY</v>
      </c>
      <c r="C79" s="10"/>
      <c r="D79" s="6">
        <v>2368.27</v>
      </c>
      <c r="E79" s="2"/>
      <c r="F79" s="7">
        <f t="shared" si="29"/>
        <v>6.4349375096968198E-2</v>
      </c>
      <c r="G79" s="2"/>
      <c r="H79" s="6">
        <v>1821.22</v>
      </c>
      <c r="I79" s="2"/>
      <c r="J79" s="7">
        <f t="shared" si="30"/>
        <v>0.38677930970038327</v>
      </c>
      <c r="K79" s="2"/>
      <c r="L79" s="6">
        <f t="shared" si="31"/>
        <v>547.04999999999995</v>
      </c>
      <c r="M79" s="2"/>
      <c r="N79" s="7">
        <f t="shared" si="32"/>
        <v>0.30037557241848867</v>
      </c>
      <c r="O79" s="10"/>
      <c r="P79" s="6">
        <v>15685.16</v>
      </c>
      <c r="Q79" s="2"/>
      <c r="R79" s="7">
        <f t="shared" si="33"/>
        <v>8.1925805164580374E-3</v>
      </c>
      <c r="S79" s="2"/>
      <c r="T79" s="6">
        <v>24213.51</v>
      </c>
      <c r="U79" s="2"/>
      <c r="V79" s="7">
        <f t="shared" si="34"/>
        <v>7.3529953240908897E-3</v>
      </c>
      <c r="W79" s="2"/>
      <c r="X79" s="6">
        <f t="shared" si="35"/>
        <v>-8528.3499999999985</v>
      </c>
      <c r="Y79" s="2"/>
      <c r="Z79" s="7">
        <f t="shared" si="36"/>
        <v>-0.35221452817043042</v>
      </c>
    </row>
    <row r="80" spans="1:26" s="23" customFormat="1" hidden="1" outlineLevel="2" x14ac:dyDescent="0.25">
      <c r="A80" s="27"/>
      <c r="B80" s="10" t="str">
        <f>CONCATENATE("          ", "6006", " - ", "TEMPORARY PART TIME")</f>
        <v xml:space="preserve">          6006 - TEMPORARY PART TIME</v>
      </c>
      <c r="C80" s="10"/>
      <c r="D80" s="6"/>
      <c r="E80" s="2"/>
      <c r="F80" s="7">
        <f t="shared" si="29"/>
        <v>0</v>
      </c>
      <c r="G80" s="2"/>
      <c r="H80" s="6">
        <v>1818.04</v>
      </c>
      <c r="I80" s="2"/>
      <c r="J80" s="7">
        <f t="shared" si="30"/>
        <v>0.38610396119506962</v>
      </c>
      <c r="K80" s="2"/>
      <c r="L80" s="6">
        <f t="shared" si="31"/>
        <v>-1818.04</v>
      </c>
      <c r="M80" s="2"/>
      <c r="N80" s="7">
        <f t="shared" si="32"/>
        <v>-1</v>
      </c>
      <c r="O80" s="10"/>
      <c r="P80" s="6">
        <v>502.29</v>
      </c>
      <c r="Q80" s="2"/>
      <c r="R80" s="7">
        <f t="shared" si="33"/>
        <v>2.6235315850215796E-4</v>
      </c>
      <c r="S80" s="2"/>
      <c r="T80" s="6">
        <v>4127.25</v>
      </c>
      <c r="U80" s="2"/>
      <c r="V80" s="7">
        <f t="shared" si="34"/>
        <v>1.2533354293266085E-3</v>
      </c>
      <c r="W80" s="2"/>
      <c r="X80" s="6">
        <f t="shared" si="35"/>
        <v>-3624.96</v>
      </c>
      <c r="Y80" s="2"/>
      <c r="Z80" s="7">
        <f t="shared" si="36"/>
        <v>-0.87829910957659463</v>
      </c>
    </row>
    <row r="81" spans="1:26" s="23" customFormat="1" hidden="1" outlineLevel="2" x14ac:dyDescent="0.25">
      <c r="A81" s="27"/>
      <c r="B81" s="10" t="str">
        <f>CONCATENATE("          ", "6007", " - ", "STUDENT HOURLY")</f>
        <v xml:space="preserve">          6007 - STUDENT HOURLY</v>
      </c>
      <c r="C81" s="10"/>
      <c r="D81" s="6">
        <v>-1060.23</v>
      </c>
      <c r="E81" s="2"/>
      <c r="F81" s="7">
        <f t="shared" si="29"/>
        <v>-2.88080066711391E-2</v>
      </c>
      <c r="G81" s="2"/>
      <c r="H81" s="6">
        <v>279.06</v>
      </c>
      <c r="I81" s="2"/>
      <c r="J81" s="7">
        <f t="shared" si="30"/>
        <v>5.9265016947424774E-2</v>
      </c>
      <c r="K81" s="2"/>
      <c r="L81" s="6">
        <f t="shared" si="31"/>
        <v>-1339.29</v>
      </c>
      <c r="M81" s="2"/>
      <c r="N81" s="7">
        <f t="shared" si="32"/>
        <v>-4.7992904751666305</v>
      </c>
      <c r="O81" s="10"/>
      <c r="P81" s="6">
        <v>23143.23</v>
      </c>
      <c r="Q81" s="2"/>
      <c r="R81" s="7">
        <f t="shared" si="33"/>
        <v>1.2088035773043257E-2</v>
      </c>
      <c r="S81" s="2"/>
      <c r="T81" s="6">
        <v>57994.45</v>
      </c>
      <c r="U81" s="2"/>
      <c r="V81" s="7">
        <f t="shared" si="34"/>
        <v>1.7611363229586414E-2</v>
      </c>
      <c r="W81" s="2"/>
      <c r="X81" s="6">
        <f t="shared" si="35"/>
        <v>-34851.22</v>
      </c>
      <c r="Y81" s="2"/>
      <c r="Z81" s="7">
        <f t="shared" si="36"/>
        <v>-0.60094060724776255</v>
      </c>
    </row>
    <row r="82" spans="1:26" s="23" customFormat="1" hidden="1" outlineLevel="2" x14ac:dyDescent="0.25">
      <c r="A82" s="27"/>
      <c r="B82" s="10" t="str">
        <f>CONCATENATE("          ", "6008", " - ", "STUDENT HOURLY-FICA EXEMPT")</f>
        <v xml:space="preserve">          6008 - STUDENT HOURLY-FICA EXEMPT</v>
      </c>
      <c r="C82" s="10"/>
      <c r="D82" s="6"/>
      <c r="E82" s="2"/>
      <c r="F82" s="7">
        <f t="shared" si="29"/>
        <v>0</v>
      </c>
      <c r="G82" s="2"/>
      <c r="H82" s="6"/>
      <c r="I82" s="2"/>
      <c r="J82" s="7">
        <f t="shared" si="30"/>
        <v>0</v>
      </c>
      <c r="K82" s="2"/>
      <c r="L82" s="6">
        <f t="shared" si="31"/>
        <v>0</v>
      </c>
      <c r="M82" s="2"/>
      <c r="N82" s="7">
        <f t="shared" si="32"/>
        <v>0</v>
      </c>
      <c r="O82" s="10"/>
      <c r="P82" s="6">
        <v>967.26</v>
      </c>
      <c r="Q82" s="2"/>
      <c r="R82" s="7">
        <f t="shared" si="33"/>
        <v>5.0521355410778094E-4</v>
      </c>
      <c r="S82" s="2"/>
      <c r="T82" s="6"/>
      <c r="U82" s="2"/>
      <c r="V82" s="7">
        <f t="shared" si="34"/>
        <v>0</v>
      </c>
      <c r="W82" s="2"/>
      <c r="X82" s="6">
        <f t="shared" si="35"/>
        <v>967.26</v>
      </c>
      <c r="Y82" s="2"/>
      <c r="Z82" s="7">
        <f t="shared" si="36"/>
        <v>0</v>
      </c>
    </row>
    <row r="83" spans="1:26" s="26" customFormat="1" outlineLevel="1" collapsed="1" x14ac:dyDescent="0.25">
      <c r="A83" s="25"/>
      <c r="B83" s="12" t="str">
        <f>CONCATENATE("     ","Advertising/Promo                                 ")</f>
        <v xml:space="preserve">     Advertising/Promo                                 </v>
      </c>
      <c r="C83" s="12"/>
      <c r="D83" s="1">
        <f>SUM(OSRRefD22_2x_0)</f>
        <v>2.21</v>
      </c>
      <c r="E83" s="1"/>
      <c r="F83" s="5">
        <f t="shared" ref="F83:F87" si="37">IF(D$12=0,0,D83/D$12)</f>
        <v>6.0048946684415082E-5</v>
      </c>
      <c r="G83" s="1"/>
      <c r="H83" s="1">
        <f>SUM(OSRRefH22_2x_0)</f>
        <v>0</v>
      </c>
      <c r="I83" s="1"/>
      <c r="J83" s="5">
        <f t="shared" ref="J83:J87" si="38">IF(H$12=0,0,H83/H$12)</f>
        <v>0</v>
      </c>
      <c r="K83" s="1"/>
      <c r="L83" s="1">
        <f t="shared" ref="L83:L87" si="39">+D83-H83</f>
        <v>2.21</v>
      </c>
      <c r="M83" s="1"/>
      <c r="N83" s="5">
        <f t="shared" ref="N83:N87" si="40">IF(H83=0,0,L83/H83)</f>
        <v>0</v>
      </c>
      <c r="O83" s="12"/>
      <c r="P83" s="1">
        <f>SUM(OSRRefP22_2x_0)</f>
        <v>2032.59</v>
      </c>
      <c r="Q83" s="1"/>
      <c r="R83" s="5">
        <f t="shared" ref="R83:R87" si="41">IF(P$12=0,0,P83/P$12)</f>
        <v>1.061650453801392E-3</v>
      </c>
      <c r="S83" s="1"/>
      <c r="T83" s="1">
        <f>SUM(OSRRefT22_2x_0)</f>
        <v>3981.59</v>
      </c>
      <c r="U83" s="1"/>
      <c r="V83" s="5">
        <f t="shared" ref="V83:V87" si="42">IF(T$12=0,0,T83/T$12)</f>
        <v>1.2091023834399494E-3</v>
      </c>
      <c r="W83" s="1"/>
      <c r="X83" s="1">
        <f t="shared" ref="X83:X87" si="43">+P83-T83</f>
        <v>-1949.0000000000002</v>
      </c>
      <c r="Y83" s="1"/>
      <c r="Z83" s="5">
        <f t="shared" ref="Z83:Z87" si="44">IF(T83=0,0,X83/T83)</f>
        <v>-0.48950293726877958</v>
      </c>
    </row>
    <row r="84" spans="1:26" s="23" customFormat="1" hidden="1" outlineLevel="2" x14ac:dyDescent="0.25">
      <c r="A84" s="27"/>
      <c r="B84" s="10" t="str">
        <f>CONCATENATE("          ", "6362", " - ", "ADVERTISING EXPENSE")</f>
        <v xml:space="preserve">          6362 - ADVERTISING EXPENSE</v>
      </c>
      <c r="C84" s="10"/>
      <c r="D84" s="6">
        <v>2.21</v>
      </c>
      <c r="E84" s="2"/>
      <c r="F84" s="7">
        <f t="shared" si="37"/>
        <v>6.0048946684415082E-5</v>
      </c>
      <c r="G84" s="2"/>
      <c r="H84" s="6"/>
      <c r="I84" s="2"/>
      <c r="J84" s="7">
        <f t="shared" si="38"/>
        <v>0</v>
      </c>
      <c r="K84" s="2"/>
      <c r="L84" s="6">
        <f t="shared" si="39"/>
        <v>2.21</v>
      </c>
      <c r="M84" s="2"/>
      <c r="N84" s="7">
        <f t="shared" si="40"/>
        <v>0</v>
      </c>
      <c r="O84" s="10"/>
      <c r="P84" s="6">
        <v>2032.59</v>
      </c>
      <c r="Q84" s="2"/>
      <c r="R84" s="7">
        <f t="shared" si="41"/>
        <v>1.061650453801392E-3</v>
      </c>
      <c r="S84" s="2"/>
      <c r="T84" s="6">
        <v>3981.59</v>
      </c>
      <c r="U84" s="2"/>
      <c r="V84" s="7">
        <f t="shared" si="42"/>
        <v>1.2091023834399494E-3</v>
      </c>
      <c r="W84" s="2"/>
      <c r="X84" s="6">
        <f t="shared" si="43"/>
        <v>-1949.0000000000002</v>
      </c>
      <c r="Y84" s="2"/>
      <c r="Z84" s="7">
        <f t="shared" si="44"/>
        <v>-0.48950293726877958</v>
      </c>
    </row>
    <row r="85" spans="1:26" s="26" customFormat="1" outlineLevel="1" collapsed="1" x14ac:dyDescent="0.25">
      <c r="A85" s="25"/>
      <c r="B85" s="12" t="str">
        <f>CONCATENATE("     ","Discounts and Markdowns                           ")</f>
        <v xml:space="preserve">     Discounts and Markdowns                           </v>
      </c>
      <c r="C85" s="12"/>
      <c r="D85" s="1">
        <f>SUM(OSRRefD22_3x_0)</f>
        <v>0</v>
      </c>
      <c r="E85" s="1"/>
      <c r="F85" s="5">
        <f t="shared" si="37"/>
        <v>0</v>
      </c>
      <c r="G85" s="1"/>
      <c r="H85" s="1">
        <f>SUM(OSRRefH22_3x_0)</f>
        <v>271.08</v>
      </c>
      <c r="I85" s="1"/>
      <c r="J85" s="5">
        <f t="shared" si="38"/>
        <v>5.7570274471826513E-2</v>
      </c>
      <c r="K85" s="1"/>
      <c r="L85" s="1">
        <f t="shared" si="39"/>
        <v>-271.08</v>
      </c>
      <c r="M85" s="1"/>
      <c r="N85" s="5">
        <f t="shared" si="40"/>
        <v>-1</v>
      </c>
      <c r="O85" s="12"/>
      <c r="P85" s="1">
        <f>SUM(OSRRefP22_3x_0)</f>
        <v>0</v>
      </c>
      <c r="Q85" s="1"/>
      <c r="R85" s="5">
        <f t="shared" si="41"/>
        <v>0</v>
      </c>
      <c r="S85" s="1"/>
      <c r="T85" s="1">
        <f>SUM(OSRRefT22_3x_0)</f>
        <v>21.100000000000023</v>
      </c>
      <c r="U85" s="1"/>
      <c r="V85" s="5">
        <f t="shared" si="42"/>
        <v>6.4075056172491289E-6</v>
      </c>
      <c r="W85" s="1"/>
      <c r="X85" s="1">
        <f t="shared" si="43"/>
        <v>-21.100000000000023</v>
      </c>
      <c r="Y85" s="1"/>
      <c r="Z85" s="5">
        <f t="shared" si="44"/>
        <v>-1</v>
      </c>
    </row>
    <row r="86" spans="1:26" s="23" customFormat="1" hidden="1" outlineLevel="2" x14ac:dyDescent="0.25">
      <c r="A86" s="27"/>
      <c r="B86" s="10" t="str">
        <f>CONCATENATE("          ", "6382", " - ", "DISCOUNTS/MARK DOWNS")</f>
        <v xml:space="preserve">          6382 - DISCOUNTS/MARK DOWNS</v>
      </c>
      <c r="C86" s="10"/>
      <c r="D86" s="6">
        <v>0</v>
      </c>
      <c r="E86" s="2"/>
      <c r="F86" s="7">
        <f t="shared" si="37"/>
        <v>0</v>
      </c>
      <c r="G86" s="2"/>
      <c r="H86" s="6">
        <v>271.08</v>
      </c>
      <c r="I86" s="2"/>
      <c r="J86" s="7">
        <f t="shared" si="38"/>
        <v>5.7570274471826513E-2</v>
      </c>
      <c r="K86" s="2"/>
      <c r="L86" s="6">
        <f t="shared" si="39"/>
        <v>-271.08</v>
      </c>
      <c r="M86" s="2"/>
      <c r="N86" s="7">
        <f t="shared" si="40"/>
        <v>-1</v>
      </c>
      <c r="O86" s="10"/>
      <c r="P86" s="6">
        <v>0</v>
      </c>
      <c r="Q86" s="2"/>
      <c r="R86" s="7">
        <f t="shared" si="41"/>
        <v>0</v>
      </c>
      <c r="S86" s="2"/>
      <c r="T86" s="6">
        <v>473.37</v>
      </c>
      <c r="U86" s="2"/>
      <c r="V86" s="7">
        <f t="shared" si="42"/>
        <v>1.4374980730034204E-4</v>
      </c>
      <c r="W86" s="2"/>
      <c r="X86" s="6">
        <f t="shared" si="43"/>
        <v>-473.37</v>
      </c>
      <c r="Y86" s="2"/>
      <c r="Z86" s="7">
        <f t="shared" si="44"/>
        <v>-1</v>
      </c>
    </row>
    <row r="87" spans="1:26" s="23" customFormat="1" hidden="1" outlineLevel="2" x14ac:dyDescent="0.25">
      <c r="A87" s="27"/>
      <c r="B87" s="10" t="str">
        <f>CONCATENATE("          ", "9175", " - ", "EARNED DISCOUNTS")</f>
        <v xml:space="preserve">          9175 - EARNED DISCOUNTS</v>
      </c>
      <c r="C87" s="10"/>
      <c r="D87" s="6"/>
      <c r="E87" s="2"/>
      <c r="F87" s="7">
        <f t="shared" si="37"/>
        <v>0</v>
      </c>
      <c r="G87" s="2"/>
      <c r="H87" s="6"/>
      <c r="I87" s="2"/>
      <c r="J87" s="7">
        <f t="shared" si="38"/>
        <v>0</v>
      </c>
      <c r="K87" s="2"/>
      <c r="L87" s="6">
        <f t="shared" si="39"/>
        <v>0</v>
      </c>
      <c r="M87" s="2"/>
      <c r="N87" s="7">
        <f t="shared" si="40"/>
        <v>0</v>
      </c>
      <c r="O87" s="10"/>
      <c r="P87" s="6">
        <v>0</v>
      </c>
      <c r="Q87" s="2"/>
      <c r="R87" s="7">
        <f t="shared" si="41"/>
        <v>0</v>
      </c>
      <c r="S87" s="2"/>
      <c r="T87" s="6">
        <v>-452.27</v>
      </c>
      <c r="U87" s="2"/>
      <c r="V87" s="7">
        <f t="shared" si="42"/>
        <v>-1.3734230168309291E-4</v>
      </c>
      <c r="W87" s="2"/>
      <c r="X87" s="6">
        <f t="shared" si="43"/>
        <v>452.27</v>
      </c>
      <c r="Y87" s="2"/>
      <c r="Z87" s="7">
        <f t="shared" si="44"/>
        <v>-1</v>
      </c>
    </row>
    <row r="88" spans="1:26" s="26" customFormat="1" outlineLevel="1" collapsed="1" x14ac:dyDescent="0.25">
      <c r="A88" s="25"/>
      <c r="B88" s="12" t="str">
        <f>CONCATENATE("     ","Employees' Appreciation                           ")</f>
        <v xml:space="preserve">     Employees' Appreciation                           </v>
      </c>
      <c r="C88" s="12"/>
      <c r="D88" s="1">
        <f>SUM(OSRRefD22_4x_0)</f>
        <v>0</v>
      </c>
      <c r="E88" s="1"/>
      <c r="F88" s="5">
        <f t="shared" ref="F88:F94" si="45">IF(D$12=0,0,D88/D$12)</f>
        <v>0</v>
      </c>
      <c r="G88" s="1"/>
      <c r="H88" s="1">
        <f>SUM(OSRRefH22_4x_0)</f>
        <v>0</v>
      </c>
      <c r="I88" s="1"/>
      <c r="J88" s="5">
        <f t="shared" ref="J88:J94" si="46">IF(H$12=0,0,H88/H$12)</f>
        <v>0</v>
      </c>
      <c r="K88" s="1"/>
      <c r="L88" s="1">
        <f t="shared" ref="L88:L94" si="47">+D88-H88</f>
        <v>0</v>
      </c>
      <c r="M88" s="1"/>
      <c r="N88" s="5">
        <f t="shared" ref="N88:N94" si="48">IF(H88=0,0,L88/H88)</f>
        <v>0</v>
      </c>
      <c r="O88" s="12"/>
      <c r="P88" s="1">
        <f>SUM(OSRRefP22_4x_0)</f>
        <v>107.7</v>
      </c>
      <c r="Q88" s="1"/>
      <c r="R88" s="5">
        <f t="shared" ref="R88:R94" si="49">IF(P$12=0,0,P88/P$12)</f>
        <v>5.6253230545466586E-5</v>
      </c>
      <c r="S88" s="1"/>
      <c r="T88" s="1">
        <f>SUM(OSRRefT22_4x_0)</f>
        <v>120.18</v>
      </c>
      <c r="U88" s="1"/>
      <c r="V88" s="5">
        <f t="shared" ref="V88:V94" si="50">IF(T$12=0,0,T88/T$12)</f>
        <v>3.6495451425639791E-5</v>
      </c>
      <c r="W88" s="1"/>
      <c r="X88" s="1">
        <f t="shared" ref="X88:X94" si="51">+P88-T88</f>
        <v>-12.480000000000004</v>
      </c>
      <c r="Y88" s="1"/>
      <c r="Z88" s="5">
        <f t="shared" ref="Z88:Z94" si="52">IF(T88=0,0,X88/T88)</f>
        <v>-0.10384423364952573</v>
      </c>
    </row>
    <row r="89" spans="1:26" s="23" customFormat="1" hidden="1" outlineLevel="2" x14ac:dyDescent="0.25">
      <c r="A89" s="27"/>
      <c r="B89" s="10" t="str">
        <f>CONCATENATE("          ", "6277", " - ", "EMPLOYEE APPRECIATION")</f>
        <v xml:space="preserve">          6277 - EMPLOYEE APPRECIATION</v>
      </c>
      <c r="C89" s="10"/>
      <c r="D89" s="6"/>
      <c r="E89" s="2"/>
      <c r="F89" s="7">
        <f t="shared" si="45"/>
        <v>0</v>
      </c>
      <c r="G89" s="2"/>
      <c r="H89" s="6"/>
      <c r="I89" s="2"/>
      <c r="J89" s="7">
        <f t="shared" si="46"/>
        <v>0</v>
      </c>
      <c r="K89" s="2"/>
      <c r="L89" s="6">
        <f t="shared" si="47"/>
        <v>0</v>
      </c>
      <c r="M89" s="2"/>
      <c r="N89" s="7">
        <f t="shared" si="48"/>
        <v>0</v>
      </c>
      <c r="O89" s="10"/>
      <c r="P89" s="6">
        <v>107.7</v>
      </c>
      <c r="Q89" s="2"/>
      <c r="R89" s="7">
        <f t="shared" si="49"/>
        <v>5.6253230545466586E-5</v>
      </c>
      <c r="S89" s="2"/>
      <c r="T89" s="6">
        <v>120.18</v>
      </c>
      <c r="U89" s="2"/>
      <c r="V89" s="7">
        <f t="shared" si="50"/>
        <v>3.6495451425639791E-5</v>
      </c>
      <c r="W89" s="2"/>
      <c r="X89" s="6">
        <f t="shared" si="51"/>
        <v>-12.480000000000004</v>
      </c>
      <c r="Y89" s="2"/>
      <c r="Z89" s="7">
        <f t="shared" si="52"/>
        <v>-0.10384423364952573</v>
      </c>
    </row>
    <row r="90" spans="1:26" s="26" customFormat="1" outlineLevel="1" collapsed="1" x14ac:dyDescent="0.25">
      <c r="A90" s="25"/>
      <c r="B90" s="12" t="str">
        <f>CONCATENATE("     ","Equipment Rental                                  ")</f>
        <v xml:space="preserve">     Equipment Rental                                  </v>
      </c>
      <c r="C90" s="12"/>
      <c r="D90" s="1">
        <f>SUM(OSRRefD22_5x_0)</f>
        <v>91.26</v>
      </c>
      <c r="E90" s="1"/>
      <c r="F90" s="5">
        <f t="shared" si="45"/>
        <v>2.4796682689681997E-3</v>
      </c>
      <c r="G90" s="1"/>
      <c r="H90" s="1">
        <f>SUM(OSRRefH22_5x_0)</f>
        <v>91.26</v>
      </c>
      <c r="I90" s="1"/>
      <c r="J90" s="5">
        <f t="shared" si="46"/>
        <v>1.9381227860037216E-2</v>
      </c>
      <c r="K90" s="1"/>
      <c r="L90" s="1">
        <f t="shared" si="47"/>
        <v>0</v>
      </c>
      <c r="M90" s="1"/>
      <c r="N90" s="5">
        <f t="shared" si="48"/>
        <v>0</v>
      </c>
      <c r="O90" s="12"/>
      <c r="P90" s="1">
        <f>SUM(OSRRefP22_5x_0)</f>
        <v>912.6</v>
      </c>
      <c r="Q90" s="1"/>
      <c r="R90" s="5">
        <f t="shared" si="49"/>
        <v>4.7666386439919041E-4</v>
      </c>
      <c r="S90" s="1"/>
      <c r="T90" s="1">
        <f>SUM(OSRRefT22_5x_0)</f>
        <v>912.6</v>
      </c>
      <c r="U90" s="1"/>
      <c r="V90" s="5">
        <f t="shared" si="50"/>
        <v>2.7713220977732461E-4</v>
      </c>
      <c r="W90" s="1"/>
      <c r="X90" s="1">
        <f t="shared" si="51"/>
        <v>0</v>
      </c>
      <c r="Y90" s="1"/>
      <c r="Z90" s="5">
        <f t="shared" si="52"/>
        <v>0</v>
      </c>
    </row>
    <row r="91" spans="1:26" s="23" customFormat="1" hidden="1" outlineLevel="2" x14ac:dyDescent="0.25">
      <c r="A91" s="27"/>
      <c r="B91" s="10" t="str">
        <f>CONCATENATE("          ", "6351", " - ", "EQUIPMENT RENTAL")</f>
        <v xml:space="preserve">          6351 - EQUIPMENT RENTAL</v>
      </c>
      <c r="C91" s="10"/>
      <c r="D91" s="6">
        <v>91.26</v>
      </c>
      <c r="E91" s="2"/>
      <c r="F91" s="7">
        <f t="shared" si="45"/>
        <v>2.4796682689681997E-3</v>
      </c>
      <c r="G91" s="2"/>
      <c r="H91" s="6">
        <v>91.26</v>
      </c>
      <c r="I91" s="2"/>
      <c r="J91" s="7">
        <f t="shared" si="46"/>
        <v>1.9381227860037216E-2</v>
      </c>
      <c r="K91" s="2"/>
      <c r="L91" s="6">
        <f t="shared" si="47"/>
        <v>0</v>
      </c>
      <c r="M91" s="2"/>
      <c r="N91" s="7">
        <f t="shared" si="48"/>
        <v>0</v>
      </c>
      <c r="O91" s="10"/>
      <c r="P91" s="6">
        <v>912.6</v>
      </c>
      <c r="Q91" s="2"/>
      <c r="R91" s="7">
        <f t="shared" si="49"/>
        <v>4.7666386439919041E-4</v>
      </c>
      <c r="S91" s="2"/>
      <c r="T91" s="6">
        <v>912.6</v>
      </c>
      <c r="U91" s="2"/>
      <c r="V91" s="7">
        <f t="shared" si="50"/>
        <v>2.7713220977732461E-4</v>
      </c>
      <c r="W91" s="2"/>
      <c r="X91" s="6">
        <f t="shared" si="51"/>
        <v>0</v>
      </c>
      <c r="Y91" s="2"/>
      <c r="Z91" s="7">
        <f t="shared" si="52"/>
        <v>0</v>
      </c>
    </row>
    <row r="92" spans="1:26" s="26" customFormat="1" outlineLevel="1" collapsed="1" x14ac:dyDescent="0.25">
      <c r="A92" s="25"/>
      <c r="B92" s="12" t="str">
        <f>CONCATENATE("     ","Freight out/Postage                               ")</f>
        <v xml:space="preserve">     Freight out/Postage                               </v>
      </c>
      <c r="C92" s="12"/>
      <c r="D92" s="1">
        <f>SUM(OSRRefD22_6x_0)</f>
        <v>6096.13</v>
      </c>
      <c r="E92" s="1"/>
      <c r="F92" s="5">
        <f t="shared" si="45"/>
        <v>0.16564080785125038</v>
      </c>
      <c r="G92" s="1"/>
      <c r="H92" s="1">
        <f>SUM(OSRRefH22_6x_0)</f>
        <v>7517.84</v>
      </c>
      <c r="I92" s="1"/>
      <c r="J92" s="5">
        <f t="shared" si="46"/>
        <v>1.5965918261593488</v>
      </c>
      <c r="K92" s="1"/>
      <c r="L92" s="1">
        <f t="shared" si="47"/>
        <v>-1421.71</v>
      </c>
      <c r="M92" s="1"/>
      <c r="N92" s="5">
        <f t="shared" si="48"/>
        <v>-0.18911150011173422</v>
      </c>
      <c r="O92" s="12"/>
      <c r="P92" s="1">
        <f>SUM(OSRRefP22_6x_0)</f>
        <v>23777.99</v>
      </c>
      <c r="Q92" s="1"/>
      <c r="R92" s="5">
        <f t="shared" si="49"/>
        <v>1.241957988280222E-2</v>
      </c>
      <c r="S92" s="1"/>
      <c r="T92" s="1">
        <f>SUM(OSRRefT22_6x_0)</f>
        <v>22766.240000000002</v>
      </c>
      <c r="U92" s="1"/>
      <c r="V92" s="5">
        <f t="shared" si="50"/>
        <v>6.9134981366654816E-3</v>
      </c>
      <c r="W92" s="1"/>
      <c r="X92" s="1">
        <f t="shared" si="51"/>
        <v>1011.75</v>
      </c>
      <c r="Y92" s="1"/>
      <c r="Z92" s="5">
        <f t="shared" si="52"/>
        <v>4.4440803575821038E-2</v>
      </c>
    </row>
    <row r="93" spans="1:26" s="23" customFormat="1" hidden="1" outlineLevel="2" x14ac:dyDescent="0.25">
      <c r="A93" s="27"/>
      <c r="B93" s="10" t="str">
        <f>CONCATENATE("          ", "6305", " - ", "FREIGHT OUT")</f>
        <v xml:space="preserve">          6305 - FREIGHT OUT</v>
      </c>
      <c r="C93" s="10"/>
      <c r="D93" s="6">
        <v>6096.13</v>
      </c>
      <c r="E93" s="2"/>
      <c r="F93" s="7">
        <f t="shared" si="45"/>
        <v>0.16564080785125038</v>
      </c>
      <c r="G93" s="2"/>
      <c r="H93" s="6">
        <v>7517.84</v>
      </c>
      <c r="I93" s="2"/>
      <c r="J93" s="7">
        <f t="shared" si="46"/>
        <v>1.5965918261593488</v>
      </c>
      <c r="K93" s="2"/>
      <c r="L93" s="6">
        <f t="shared" si="47"/>
        <v>-1421.71</v>
      </c>
      <c r="M93" s="2"/>
      <c r="N93" s="7">
        <f t="shared" si="48"/>
        <v>-0.18911150011173422</v>
      </c>
      <c r="O93" s="10"/>
      <c r="P93" s="6">
        <v>23777.49</v>
      </c>
      <c r="Q93" s="2"/>
      <c r="R93" s="7">
        <f t="shared" si="49"/>
        <v>1.2419318725743049E-2</v>
      </c>
      <c r="S93" s="2"/>
      <c r="T93" s="6">
        <v>22764.29</v>
      </c>
      <c r="U93" s="2"/>
      <c r="V93" s="7">
        <f t="shared" si="50"/>
        <v>6.9129059738240765E-3</v>
      </c>
      <c r="W93" s="2"/>
      <c r="X93" s="6">
        <f t="shared" si="51"/>
        <v>1013.2000000000007</v>
      </c>
      <c r="Y93" s="2"/>
      <c r="Z93" s="7">
        <f t="shared" si="52"/>
        <v>4.4508306650460024E-2</v>
      </c>
    </row>
    <row r="94" spans="1:26" s="23" customFormat="1" hidden="1" outlineLevel="2" x14ac:dyDescent="0.25">
      <c r="A94" s="27"/>
      <c r="B94" s="10" t="str">
        <f>CONCATENATE("          ", "6307", " - ", "POSTAGE")</f>
        <v xml:space="preserve">          6307 - POSTAGE</v>
      </c>
      <c r="C94" s="10"/>
      <c r="D94" s="6"/>
      <c r="E94" s="2"/>
      <c r="F94" s="7">
        <f t="shared" si="45"/>
        <v>0</v>
      </c>
      <c r="G94" s="2"/>
      <c r="H94" s="6"/>
      <c r="I94" s="2"/>
      <c r="J94" s="7">
        <f t="shared" si="46"/>
        <v>0</v>
      </c>
      <c r="K94" s="2"/>
      <c r="L94" s="6">
        <f t="shared" si="47"/>
        <v>0</v>
      </c>
      <c r="M94" s="2"/>
      <c r="N94" s="7">
        <f t="shared" si="48"/>
        <v>0</v>
      </c>
      <c r="O94" s="10"/>
      <c r="P94" s="6">
        <v>0.5</v>
      </c>
      <c r="Q94" s="2"/>
      <c r="R94" s="7">
        <f t="shared" si="49"/>
        <v>2.6115705917115409E-7</v>
      </c>
      <c r="S94" s="2"/>
      <c r="T94" s="6">
        <v>1.95</v>
      </c>
      <c r="U94" s="2"/>
      <c r="V94" s="7">
        <f t="shared" si="50"/>
        <v>5.9216284140453967E-7</v>
      </c>
      <c r="W94" s="2"/>
      <c r="X94" s="6">
        <f t="shared" si="51"/>
        <v>-1.45</v>
      </c>
      <c r="Y94" s="2"/>
      <c r="Z94" s="7">
        <f t="shared" si="52"/>
        <v>-0.74358974358974361</v>
      </c>
    </row>
    <row r="95" spans="1:26" s="26" customFormat="1" outlineLevel="1" collapsed="1" x14ac:dyDescent="0.25">
      <c r="A95" s="25"/>
      <c r="B95" s="12" t="str">
        <f>CONCATENATE("     ","General                                           ")</f>
        <v xml:space="preserve">     General                                           </v>
      </c>
      <c r="C95" s="12"/>
      <c r="D95" s="1">
        <f>SUM(OSRRefD22_7x_0)</f>
        <v>-0.99</v>
      </c>
      <c r="E95" s="1"/>
      <c r="F95" s="5">
        <f t="shared" ref="F95:F99" si="53">IF(D$12=0,0,D95/D$12)</f>
        <v>-2.689975439709092E-5</v>
      </c>
      <c r="G95" s="1"/>
      <c r="H95" s="1">
        <f>SUM(OSRRefH22_7x_0)</f>
        <v>-660.03</v>
      </c>
      <c r="I95" s="1"/>
      <c r="J95" s="5">
        <f t="shared" ref="J95:J99" si="54">IF(H$12=0,0,H95/H$12)</f>
        <v>-0.14017304212645587</v>
      </c>
      <c r="K95" s="1"/>
      <c r="L95" s="1">
        <f t="shared" ref="L95:L99" si="55">+D95-H95</f>
        <v>659.04</v>
      </c>
      <c r="M95" s="1"/>
      <c r="N95" s="5">
        <f t="shared" ref="N95:N99" si="56">IF(H95=0,0,L95/H95)</f>
        <v>-0.99850006817871917</v>
      </c>
      <c r="O95" s="12"/>
      <c r="P95" s="1">
        <f>SUM(OSRRefP22_7x_0)</f>
        <v>-1043.02</v>
      </c>
      <c r="Q95" s="1"/>
      <c r="R95" s="5">
        <f t="shared" ref="R95:R99" si="57">IF(P$12=0,0,P95/P$12)</f>
        <v>-5.4478407171339421E-4</v>
      </c>
      <c r="S95" s="1"/>
      <c r="T95" s="1">
        <f>SUM(OSRRefT22_7x_0)</f>
        <v>7593.03</v>
      </c>
      <c r="U95" s="1"/>
      <c r="V95" s="5">
        <f t="shared" ref="V95:V99" si="58">IF(T$12=0,0,T95/T$12)</f>
        <v>2.3058001126512371E-3</v>
      </c>
      <c r="W95" s="1"/>
      <c r="X95" s="1">
        <f t="shared" ref="X95:X99" si="59">+P95-T95</f>
        <v>-8636.0499999999993</v>
      </c>
      <c r="Y95" s="1"/>
      <c r="Z95" s="5">
        <f t="shared" ref="Z95:Z99" si="60">IF(T95=0,0,X95/T95)</f>
        <v>-1.1373654522634573</v>
      </c>
    </row>
    <row r="96" spans="1:26" s="23" customFormat="1" hidden="1" outlineLevel="2" x14ac:dyDescent="0.25">
      <c r="A96" s="27"/>
      <c r="B96" s="10" t="str">
        <f>CONCATENATE("          ", "6279", " - ", "GENERAL EXPENSE")</f>
        <v xml:space="preserve">          6279 - GENERAL EXPENSE</v>
      </c>
      <c r="C96" s="10"/>
      <c r="D96" s="6">
        <v>-0.99</v>
      </c>
      <c r="E96" s="2"/>
      <c r="F96" s="7">
        <f t="shared" si="53"/>
        <v>-2.689975439709092E-5</v>
      </c>
      <c r="G96" s="2"/>
      <c r="H96" s="6">
        <v>-660.03</v>
      </c>
      <c r="I96" s="2"/>
      <c r="J96" s="7">
        <f t="shared" si="54"/>
        <v>-0.14017304212645587</v>
      </c>
      <c r="K96" s="2"/>
      <c r="L96" s="6">
        <f t="shared" si="55"/>
        <v>659.04</v>
      </c>
      <c r="M96" s="2"/>
      <c r="N96" s="7">
        <f t="shared" si="56"/>
        <v>-0.99850006817871917</v>
      </c>
      <c r="O96" s="10"/>
      <c r="P96" s="6">
        <v>-1043.02</v>
      </c>
      <c r="Q96" s="2"/>
      <c r="R96" s="7">
        <f t="shared" si="57"/>
        <v>-5.4478407171339421E-4</v>
      </c>
      <c r="S96" s="2"/>
      <c r="T96" s="6">
        <v>7593.03</v>
      </c>
      <c r="U96" s="2"/>
      <c r="V96" s="7">
        <f t="shared" si="58"/>
        <v>2.3058001126512371E-3</v>
      </c>
      <c r="W96" s="2"/>
      <c r="X96" s="6">
        <f t="shared" si="59"/>
        <v>-8636.0499999999993</v>
      </c>
      <c r="Y96" s="2"/>
      <c r="Z96" s="7">
        <f t="shared" si="60"/>
        <v>-1.1373654522634573</v>
      </c>
    </row>
    <row r="97" spans="1:26" s="26" customFormat="1" outlineLevel="1" collapsed="1" x14ac:dyDescent="0.25">
      <c r="A97" s="25"/>
      <c r="B97" s="12" t="str">
        <f>CONCATENATE("     ","Inventory Adjustment                              ")</f>
        <v xml:space="preserve">     Inventory Adjustment                              </v>
      </c>
      <c r="C97" s="12"/>
      <c r="D97" s="1">
        <f>SUM(OSRRefD22_8x_0)</f>
        <v>1000</v>
      </c>
      <c r="E97" s="1"/>
      <c r="F97" s="5">
        <f t="shared" si="53"/>
        <v>2.7171469087970627E-2</v>
      </c>
      <c r="G97" s="1"/>
      <c r="H97" s="1">
        <f>SUM(OSRRefH22_8x_0)</f>
        <v>1000</v>
      </c>
      <c r="I97" s="1"/>
      <c r="J97" s="5">
        <f t="shared" si="54"/>
        <v>0.21237374380930543</v>
      </c>
      <c r="K97" s="1"/>
      <c r="L97" s="1">
        <f t="shared" si="55"/>
        <v>0</v>
      </c>
      <c r="M97" s="1"/>
      <c r="N97" s="5">
        <f t="shared" si="56"/>
        <v>0</v>
      </c>
      <c r="O97" s="12"/>
      <c r="P97" s="1">
        <f>SUM(OSRRefP22_8x_0)</f>
        <v>15000</v>
      </c>
      <c r="Q97" s="1"/>
      <c r="R97" s="5">
        <f t="shared" si="57"/>
        <v>7.8347117751346226E-3</v>
      </c>
      <c r="S97" s="1"/>
      <c r="T97" s="1">
        <f>SUM(OSRRefT22_8x_0)</f>
        <v>15800</v>
      </c>
      <c r="U97" s="1"/>
      <c r="V97" s="5">
        <f t="shared" si="58"/>
        <v>4.7980373816367836E-3</v>
      </c>
      <c r="W97" s="1"/>
      <c r="X97" s="1">
        <f t="shared" si="59"/>
        <v>-800</v>
      </c>
      <c r="Y97" s="1"/>
      <c r="Z97" s="5">
        <f t="shared" si="60"/>
        <v>-5.0632911392405063E-2</v>
      </c>
    </row>
    <row r="98" spans="1:26" s="23" customFormat="1" hidden="1" outlineLevel="2" x14ac:dyDescent="0.25">
      <c r="A98" s="27"/>
      <c r="B98" s="10" t="str">
        <f>CONCATENATE("          ", "6408", " - ", "INVENTORY ADJUSTMENT")</f>
        <v xml:space="preserve">          6408 - INVENTORY ADJUSTMENT</v>
      </c>
      <c r="C98" s="10"/>
      <c r="D98" s="6">
        <v>1000</v>
      </c>
      <c r="E98" s="2"/>
      <c r="F98" s="7">
        <f t="shared" si="53"/>
        <v>2.7171469087970627E-2</v>
      </c>
      <c r="G98" s="2"/>
      <c r="H98" s="6">
        <v>1000</v>
      </c>
      <c r="I98" s="2"/>
      <c r="J98" s="7">
        <f t="shared" si="54"/>
        <v>0.21237374380930543</v>
      </c>
      <c r="K98" s="2"/>
      <c r="L98" s="6">
        <f t="shared" si="55"/>
        <v>0</v>
      </c>
      <c r="M98" s="2"/>
      <c r="N98" s="7">
        <f t="shared" si="56"/>
        <v>0</v>
      </c>
      <c r="O98" s="10"/>
      <c r="P98" s="6">
        <v>15000</v>
      </c>
      <c r="Q98" s="2"/>
      <c r="R98" s="7">
        <f t="shared" si="57"/>
        <v>7.8347117751346226E-3</v>
      </c>
      <c r="S98" s="2"/>
      <c r="T98" s="6">
        <v>15800</v>
      </c>
      <c r="U98" s="2"/>
      <c r="V98" s="7">
        <f t="shared" si="58"/>
        <v>4.7980373816367836E-3</v>
      </c>
      <c r="W98" s="2"/>
      <c r="X98" s="6">
        <f t="shared" si="59"/>
        <v>-800</v>
      </c>
      <c r="Y98" s="2"/>
      <c r="Z98" s="7">
        <f t="shared" si="60"/>
        <v>-5.0632911392405063E-2</v>
      </c>
    </row>
    <row r="99" spans="1:26" s="23" customFormat="1" hidden="1" outlineLevel="2" x14ac:dyDescent="0.25">
      <c r="A99" s="27"/>
      <c r="B99" s="10" t="str">
        <f>CONCATENATE("          ", "7701", " - ", "INV. SHRINKAGE-NEW TEXT")</f>
        <v xml:space="preserve">          7701 - INV. SHRINKAGE-NEW TEXT</v>
      </c>
      <c r="C99" s="10"/>
      <c r="D99" s="6"/>
      <c r="E99" s="2"/>
      <c r="F99" s="7">
        <f t="shared" si="53"/>
        <v>0</v>
      </c>
      <c r="G99" s="2"/>
      <c r="H99" s="6"/>
      <c r="I99" s="2"/>
      <c r="J99" s="7">
        <f t="shared" si="54"/>
        <v>0</v>
      </c>
      <c r="K99" s="2"/>
      <c r="L99" s="6">
        <f t="shared" si="55"/>
        <v>0</v>
      </c>
      <c r="M99" s="2"/>
      <c r="N99" s="7">
        <f t="shared" si="56"/>
        <v>0</v>
      </c>
      <c r="O99" s="10"/>
      <c r="P99" s="6"/>
      <c r="Q99" s="2"/>
      <c r="R99" s="7">
        <f t="shared" si="57"/>
        <v>0</v>
      </c>
      <c r="S99" s="2"/>
      <c r="T99" s="6">
        <v>0</v>
      </c>
      <c r="U99" s="2"/>
      <c r="V99" s="7">
        <f t="shared" si="58"/>
        <v>0</v>
      </c>
      <c r="W99" s="2"/>
      <c r="X99" s="6">
        <f t="shared" si="59"/>
        <v>0</v>
      </c>
      <c r="Y99" s="2"/>
      <c r="Z99" s="7">
        <f t="shared" si="60"/>
        <v>0</v>
      </c>
    </row>
    <row r="100" spans="1:26" s="26" customFormat="1" outlineLevel="1" collapsed="1" x14ac:dyDescent="0.25">
      <c r="A100" s="25"/>
      <c r="B100" s="12" t="str">
        <f>CONCATENATE("     ","Repair and Maintenance                            ")</f>
        <v xml:space="preserve">     Repair and Maintenance                            </v>
      </c>
      <c r="C100" s="12"/>
      <c r="D100" s="1">
        <f>SUM(OSRRefD22_9x_0)</f>
        <v>254.93</v>
      </c>
      <c r="E100" s="1"/>
      <c r="F100" s="5">
        <f t="shared" ref="F100:F102" si="61">IF(D$12=0,0,D100/D$12)</f>
        <v>6.9268226145963521E-3</v>
      </c>
      <c r="G100" s="1"/>
      <c r="H100" s="1">
        <f>SUM(OSRRefH22_9x_0)</f>
        <v>32.15</v>
      </c>
      <c r="I100" s="1"/>
      <c r="J100" s="5">
        <f t="shared" ref="J100:J102" si="62">IF(H$12=0,0,H100/H$12)</f>
        <v>6.8278158634691695E-3</v>
      </c>
      <c r="K100" s="1"/>
      <c r="L100" s="1">
        <f t="shared" ref="L100:L102" si="63">+D100-H100</f>
        <v>222.78</v>
      </c>
      <c r="M100" s="1"/>
      <c r="N100" s="5">
        <f t="shared" ref="N100:N102" si="64">IF(H100=0,0,L100/H100)</f>
        <v>6.9293934681181959</v>
      </c>
      <c r="O100" s="12"/>
      <c r="P100" s="1">
        <f>SUM(OSRRefP22_9x_0)</f>
        <v>462.25</v>
      </c>
      <c r="Q100" s="1"/>
      <c r="R100" s="5">
        <f t="shared" ref="R100:R102" si="65">IF(P$12=0,0,P100/P$12)</f>
        <v>2.4143970120373194E-4</v>
      </c>
      <c r="S100" s="1"/>
      <c r="T100" s="1">
        <f>SUM(OSRRefT22_9x_0)</f>
        <v>242.45</v>
      </c>
      <c r="U100" s="1"/>
      <c r="V100" s="5">
        <f t="shared" ref="V100:V102" si="66">IF(T$12=0,0,T100/T$12)</f>
        <v>7.3625579947964436E-5</v>
      </c>
      <c r="W100" s="1"/>
      <c r="X100" s="1">
        <f t="shared" ref="X100:X102" si="67">+P100-T100</f>
        <v>219.8</v>
      </c>
      <c r="Y100" s="1"/>
      <c r="Z100" s="5">
        <f t="shared" ref="Z100:Z102" si="68">IF(T100=0,0,X100/T100)</f>
        <v>0.90657867601567343</v>
      </c>
    </row>
    <row r="101" spans="1:26" s="23" customFormat="1" hidden="1" outlineLevel="2" x14ac:dyDescent="0.25">
      <c r="A101" s="27"/>
      <c r="B101" s="10" t="str">
        <f>CONCATENATE("          ", "6373", " - ", "MAINTENANCE CONTRACTS")</f>
        <v xml:space="preserve">          6373 - MAINTENANCE CONTRACTS</v>
      </c>
      <c r="C101" s="10"/>
      <c r="D101" s="6">
        <v>22.53</v>
      </c>
      <c r="E101" s="2"/>
      <c r="F101" s="7">
        <f t="shared" si="61"/>
        <v>6.1217319855197828E-4</v>
      </c>
      <c r="G101" s="2"/>
      <c r="H101" s="6">
        <v>32.15</v>
      </c>
      <c r="I101" s="2"/>
      <c r="J101" s="7">
        <f t="shared" si="62"/>
        <v>6.8278158634691695E-3</v>
      </c>
      <c r="K101" s="2"/>
      <c r="L101" s="6">
        <f t="shared" si="63"/>
        <v>-9.6199999999999974</v>
      </c>
      <c r="M101" s="2"/>
      <c r="N101" s="7">
        <f t="shared" si="64"/>
        <v>-0.29922239502332809</v>
      </c>
      <c r="O101" s="10"/>
      <c r="P101" s="6">
        <v>204.74</v>
      </c>
      <c r="Q101" s="2"/>
      <c r="R101" s="7">
        <f t="shared" si="65"/>
        <v>1.0693859258940418E-4</v>
      </c>
      <c r="S101" s="2"/>
      <c r="T101" s="6">
        <v>242.45</v>
      </c>
      <c r="U101" s="2"/>
      <c r="V101" s="7">
        <f t="shared" si="66"/>
        <v>7.3625579947964436E-5</v>
      </c>
      <c r="W101" s="2"/>
      <c r="X101" s="6">
        <f t="shared" si="67"/>
        <v>-37.70999999999998</v>
      </c>
      <c r="Y101" s="2"/>
      <c r="Z101" s="7">
        <f t="shared" si="68"/>
        <v>-0.15553722416993188</v>
      </c>
    </row>
    <row r="102" spans="1:26" s="23" customFormat="1" hidden="1" outlineLevel="2" x14ac:dyDescent="0.25">
      <c r="A102" s="27"/>
      <c r="B102" s="10" t="str">
        <f>CONCATENATE("          ", "6375", " - ", "OUTSIDE REPAIRS &amp; MAINTENANCE")</f>
        <v xml:space="preserve">          6375 - OUTSIDE REPAIRS &amp; MAINTENANCE</v>
      </c>
      <c r="C102" s="10"/>
      <c r="D102" s="6">
        <v>232.4</v>
      </c>
      <c r="E102" s="2"/>
      <c r="F102" s="7">
        <f t="shared" si="61"/>
        <v>6.3146494160443737E-3</v>
      </c>
      <c r="G102" s="2"/>
      <c r="H102" s="6"/>
      <c r="I102" s="2"/>
      <c r="J102" s="7">
        <f t="shared" si="62"/>
        <v>0</v>
      </c>
      <c r="K102" s="2"/>
      <c r="L102" s="6">
        <f t="shared" si="63"/>
        <v>232.4</v>
      </c>
      <c r="M102" s="2"/>
      <c r="N102" s="7">
        <f t="shared" si="64"/>
        <v>0</v>
      </c>
      <c r="O102" s="10"/>
      <c r="P102" s="6">
        <v>257.51</v>
      </c>
      <c r="Q102" s="2"/>
      <c r="R102" s="7">
        <f t="shared" si="65"/>
        <v>1.3450110861432777E-4</v>
      </c>
      <c r="S102" s="2"/>
      <c r="T102" s="6"/>
      <c r="U102" s="2"/>
      <c r="V102" s="7">
        <f t="shared" si="66"/>
        <v>0</v>
      </c>
      <c r="W102" s="2"/>
      <c r="X102" s="6">
        <f t="shared" si="67"/>
        <v>257.51</v>
      </c>
      <c r="Y102" s="2"/>
      <c r="Z102" s="7">
        <f t="shared" si="68"/>
        <v>0</v>
      </c>
    </row>
    <row r="103" spans="1:26" s="26" customFormat="1" outlineLevel="1" collapsed="1" x14ac:dyDescent="0.25">
      <c r="A103" s="25"/>
      <c r="B103" s="12" t="str">
        <f>CONCATENATE("     ","Subscriptions &amp; Dues                              ")</f>
        <v xml:space="preserve">     Subscriptions &amp; Dues                              </v>
      </c>
      <c r="C103" s="12"/>
      <c r="D103" s="1">
        <f>SUM(OSRRefD22_10x_0)</f>
        <v>328.71</v>
      </c>
      <c r="E103" s="1"/>
      <c r="F103" s="5">
        <f t="shared" ref="F103:F105" si="69">IF(D$12=0,0,D103/D$12)</f>
        <v>8.931533603906824E-3</v>
      </c>
      <c r="G103" s="1"/>
      <c r="H103" s="1">
        <f>SUM(OSRRefH22_10x_0)</f>
        <v>2102.08</v>
      </c>
      <c r="I103" s="1"/>
      <c r="J103" s="5">
        <f t="shared" ref="J103:J105" si="70">IF(H$12=0,0,H103/H$12)</f>
        <v>0.44642659938666474</v>
      </c>
      <c r="K103" s="1"/>
      <c r="L103" s="1">
        <f t="shared" ref="L103:L105" si="71">+D103-H103</f>
        <v>-1773.37</v>
      </c>
      <c r="M103" s="1"/>
      <c r="N103" s="5">
        <f t="shared" ref="N103:N105" si="72">IF(H103=0,0,L103/H103)</f>
        <v>-0.84362631298523361</v>
      </c>
      <c r="O103" s="12"/>
      <c r="P103" s="1">
        <f>SUM(OSRRefP22_10x_0)</f>
        <v>4655.34</v>
      </c>
      <c r="Q103" s="1"/>
      <c r="R103" s="5">
        <f t="shared" ref="R103:R105" si="73">IF(P$12=0,0,P103/P$12)</f>
        <v>2.4315498076836811E-3</v>
      </c>
      <c r="S103" s="1"/>
      <c r="T103" s="1">
        <f>SUM(OSRRefT22_10x_0)</f>
        <v>5050.5599999999995</v>
      </c>
      <c r="U103" s="1"/>
      <c r="V103" s="5">
        <f t="shared" ref="V103:V105" si="74">IF(T$12=0,0,T103/T$12)</f>
        <v>1.5337199796328779E-3</v>
      </c>
      <c r="W103" s="1"/>
      <c r="X103" s="1">
        <f t="shared" ref="X103:X105" si="75">+P103-T103</f>
        <v>-395.21999999999935</v>
      </c>
      <c r="Y103" s="1"/>
      <c r="Z103" s="5">
        <f t="shared" ref="Z103:Z105" si="76">IF(T103=0,0,X103/T103)</f>
        <v>-7.82527086105302E-2</v>
      </c>
    </row>
    <row r="104" spans="1:26" s="23" customFormat="1" hidden="1" outlineLevel="2" x14ac:dyDescent="0.25">
      <c r="A104" s="27"/>
      <c r="B104" s="10" t="str">
        <f>CONCATENATE("          ", "6258", " - ", "MEMBERSHIP DUES")</f>
        <v xml:space="preserve">          6258 - MEMBERSHIP DUES</v>
      </c>
      <c r="C104" s="10"/>
      <c r="D104" s="6">
        <v>328.71</v>
      </c>
      <c r="E104" s="2"/>
      <c r="F104" s="7">
        <f t="shared" si="69"/>
        <v>8.931533603906824E-3</v>
      </c>
      <c r="G104" s="2"/>
      <c r="H104" s="6">
        <v>250</v>
      </c>
      <c r="I104" s="2"/>
      <c r="J104" s="7">
        <f t="shared" si="70"/>
        <v>5.3093435952326358E-2</v>
      </c>
      <c r="K104" s="2"/>
      <c r="L104" s="6">
        <f t="shared" si="71"/>
        <v>78.70999999999998</v>
      </c>
      <c r="M104" s="2"/>
      <c r="N104" s="7">
        <f t="shared" si="72"/>
        <v>0.3148399999999999</v>
      </c>
      <c r="O104" s="10"/>
      <c r="P104" s="6">
        <v>2803.26</v>
      </c>
      <c r="Q104" s="2"/>
      <c r="R104" s="7">
        <f t="shared" si="73"/>
        <v>1.4641822753842589E-3</v>
      </c>
      <c r="S104" s="2"/>
      <c r="T104" s="6">
        <v>3198.48</v>
      </c>
      <c r="U104" s="2"/>
      <c r="V104" s="7">
        <f t="shared" si="74"/>
        <v>9.7129282306440625E-4</v>
      </c>
      <c r="W104" s="2"/>
      <c r="X104" s="6">
        <f t="shared" si="75"/>
        <v>-395.2199999999998</v>
      </c>
      <c r="Y104" s="2"/>
      <c r="Z104" s="7">
        <f t="shared" si="76"/>
        <v>-0.12356494334809028</v>
      </c>
    </row>
    <row r="105" spans="1:26" s="23" customFormat="1" hidden="1" outlineLevel="2" x14ac:dyDescent="0.25">
      <c r="A105" s="27"/>
      <c r="B105" s="10" t="str">
        <f>CONCATENATE("          ", "6275", " - ", "SUBSCRIPTIONS")</f>
        <v xml:space="preserve">          6275 - SUBSCRIPTIONS</v>
      </c>
      <c r="C105" s="10"/>
      <c r="D105" s="6"/>
      <c r="E105" s="2"/>
      <c r="F105" s="7">
        <f t="shared" si="69"/>
        <v>0</v>
      </c>
      <c r="G105" s="2"/>
      <c r="H105" s="6">
        <v>1852.08</v>
      </c>
      <c r="I105" s="2"/>
      <c r="J105" s="7">
        <f t="shared" si="70"/>
        <v>0.39333316343433838</v>
      </c>
      <c r="K105" s="2"/>
      <c r="L105" s="6">
        <f t="shared" si="71"/>
        <v>-1852.08</v>
      </c>
      <c r="M105" s="2"/>
      <c r="N105" s="7">
        <f t="shared" si="72"/>
        <v>-1</v>
      </c>
      <c r="O105" s="10"/>
      <c r="P105" s="6">
        <v>1852.08</v>
      </c>
      <c r="Q105" s="2"/>
      <c r="R105" s="7">
        <f t="shared" si="73"/>
        <v>9.67367532299422E-4</v>
      </c>
      <c r="S105" s="2"/>
      <c r="T105" s="6">
        <v>1852.08</v>
      </c>
      <c r="U105" s="2"/>
      <c r="V105" s="7">
        <f t="shared" si="74"/>
        <v>5.6242715656847173E-4</v>
      </c>
      <c r="W105" s="2"/>
      <c r="X105" s="6">
        <f t="shared" si="75"/>
        <v>0</v>
      </c>
      <c r="Y105" s="2"/>
      <c r="Z105" s="7">
        <f t="shared" si="76"/>
        <v>0</v>
      </c>
    </row>
    <row r="106" spans="1:26" s="26" customFormat="1" outlineLevel="1" collapsed="1" x14ac:dyDescent="0.25">
      <c r="A106" s="25"/>
      <c r="B106" s="12" t="str">
        <f>CONCATENATE("     ","Supplies                                          ")</f>
        <v xml:space="preserve">     Supplies                                          </v>
      </c>
      <c r="C106" s="12"/>
      <c r="D106" s="1">
        <f>SUM(OSRRefD22_11x_0)</f>
        <v>362.77</v>
      </c>
      <c r="E106" s="1"/>
      <c r="F106" s="5">
        <f t="shared" ref="F106:F109" si="77">IF(D$12=0,0,D106/D$12)</f>
        <v>9.8569938410431046E-3</v>
      </c>
      <c r="G106" s="1"/>
      <c r="H106" s="1">
        <f>SUM(OSRRefH22_11x_0)</f>
        <v>1628.03</v>
      </c>
      <c r="I106" s="1"/>
      <c r="J106" s="5">
        <f t="shared" ref="J106:J109" si="78">IF(H$12=0,0,H106/H$12)</f>
        <v>0.34575082613386354</v>
      </c>
      <c r="K106" s="1"/>
      <c r="L106" s="1">
        <f t="shared" ref="L106:L109" si="79">+D106-H106</f>
        <v>-1265.26</v>
      </c>
      <c r="M106" s="1"/>
      <c r="N106" s="5">
        <f t="shared" ref="N106:N109" si="80">IF(H106=0,0,L106/H106)</f>
        <v>-0.7771724108278103</v>
      </c>
      <c r="O106" s="12"/>
      <c r="P106" s="1">
        <f>SUM(OSRRefP22_11x_0)</f>
        <v>5373.43</v>
      </c>
      <c r="Q106" s="1"/>
      <c r="R106" s="5">
        <f t="shared" ref="R106:R109" si="81">IF(P$12=0,0,P106/P$12)</f>
        <v>2.8066183529241091E-3</v>
      </c>
      <c r="S106" s="1"/>
      <c r="T106" s="1">
        <f>SUM(OSRRefT22_11x_0)</f>
        <v>12747.93</v>
      </c>
      <c r="U106" s="1"/>
      <c r="V106" s="5">
        <f t="shared" ref="V106:V109" si="82">IF(T$12=0,0,T106/T$12)</f>
        <v>3.8712053593980382E-3</v>
      </c>
      <c r="W106" s="1"/>
      <c r="X106" s="1">
        <f t="shared" ref="X106:X109" si="83">+P106-T106</f>
        <v>-7374.5</v>
      </c>
      <c r="Y106" s="1"/>
      <c r="Z106" s="5">
        <f t="shared" ref="Z106:Z109" si="84">IF(T106=0,0,X106/T106)</f>
        <v>-0.57848607577857736</v>
      </c>
    </row>
    <row r="107" spans="1:26" s="23" customFormat="1" hidden="1" outlineLevel="2" x14ac:dyDescent="0.25">
      <c r="A107" s="27"/>
      <c r="B107" s="10" t="str">
        <f>CONCATENATE("          ", "6241", " - ", "OFFICE EXPENSE")</f>
        <v xml:space="preserve">          6241 - OFFICE EXPENSE</v>
      </c>
      <c r="C107" s="10"/>
      <c r="D107" s="6">
        <v>151.37</v>
      </c>
      <c r="E107" s="2"/>
      <c r="F107" s="7">
        <f t="shared" si="77"/>
        <v>4.112945275846114E-3</v>
      </c>
      <c r="G107" s="2"/>
      <c r="H107" s="6"/>
      <c r="I107" s="2"/>
      <c r="J107" s="7">
        <f t="shared" si="78"/>
        <v>0</v>
      </c>
      <c r="K107" s="2"/>
      <c r="L107" s="6">
        <f t="shared" si="79"/>
        <v>151.37</v>
      </c>
      <c r="M107" s="2"/>
      <c r="N107" s="7">
        <f t="shared" si="80"/>
        <v>0</v>
      </c>
      <c r="O107" s="10"/>
      <c r="P107" s="6">
        <v>1566.67</v>
      </c>
      <c r="Q107" s="2"/>
      <c r="R107" s="7">
        <f t="shared" si="81"/>
        <v>8.1829385978334391E-4</v>
      </c>
      <c r="S107" s="2"/>
      <c r="T107" s="6">
        <v>4027.86</v>
      </c>
      <c r="U107" s="2"/>
      <c r="V107" s="7">
        <f t="shared" si="82"/>
        <v>1.2231533448100972E-3</v>
      </c>
      <c r="W107" s="2"/>
      <c r="X107" s="6">
        <f t="shared" si="83"/>
        <v>-2461.19</v>
      </c>
      <c r="Y107" s="2"/>
      <c r="Z107" s="7">
        <f t="shared" si="84"/>
        <v>-0.61104159528881341</v>
      </c>
    </row>
    <row r="108" spans="1:26" s="23" customFormat="1" hidden="1" outlineLevel="2" x14ac:dyDescent="0.25">
      <c r="A108" s="27"/>
      <c r="B108" s="10" t="str">
        <f>CONCATENATE("          ", "6245", " - ", "PRINTING")</f>
        <v xml:space="preserve">          6245 - PRINTING</v>
      </c>
      <c r="C108" s="10"/>
      <c r="D108" s="6"/>
      <c r="E108" s="2"/>
      <c r="F108" s="7">
        <f t="shared" si="77"/>
        <v>0</v>
      </c>
      <c r="G108" s="2"/>
      <c r="H108" s="6">
        <v>220.5</v>
      </c>
      <c r="I108" s="2"/>
      <c r="J108" s="7">
        <f t="shared" si="78"/>
        <v>4.6828410509951846E-2</v>
      </c>
      <c r="K108" s="2"/>
      <c r="L108" s="6">
        <f t="shared" si="79"/>
        <v>-220.5</v>
      </c>
      <c r="M108" s="2"/>
      <c r="N108" s="7">
        <f t="shared" si="80"/>
        <v>-1</v>
      </c>
      <c r="O108" s="10"/>
      <c r="P108" s="6"/>
      <c r="Q108" s="2"/>
      <c r="R108" s="7">
        <f t="shared" si="81"/>
        <v>0</v>
      </c>
      <c r="S108" s="2"/>
      <c r="T108" s="6">
        <v>5198.58</v>
      </c>
      <c r="U108" s="2"/>
      <c r="V108" s="7">
        <f t="shared" si="82"/>
        <v>1.5786696943942626E-3</v>
      </c>
      <c r="W108" s="2"/>
      <c r="X108" s="6">
        <f t="shared" si="83"/>
        <v>-5198.58</v>
      </c>
      <c r="Y108" s="2"/>
      <c r="Z108" s="7">
        <f t="shared" si="84"/>
        <v>-1</v>
      </c>
    </row>
    <row r="109" spans="1:26" s="23" customFormat="1" hidden="1" outlineLevel="2" x14ac:dyDescent="0.25">
      <c r="A109" s="27"/>
      <c r="B109" s="10" t="str">
        <f>CONCATENATE("          ", "6247", " - ", "STORE SUPPLIES")</f>
        <v xml:space="preserve">          6247 - STORE SUPPLIES</v>
      </c>
      <c r="C109" s="10"/>
      <c r="D109" s="6">
        <v>211.4</v>
      </c>
      <c r="E109" s="2"/>
      <c r="F109" s="7">
        <f t="shared" si="77"/>
        <v>5.7440485651969906E-3</v>
      </c>
      <c r="G109" s="2"/>
      <c r="H109" s="6">
        <v>1407.53</v>
      </c>
      <c r="I109" s="2"/>
      <c r="J109" s="7">
        <f t="shared" si="78"/>
        <v>0.2989224156239117</v>
      </c>
      <c r="K109" s="2"/>
      <c r="L109" s="6">
        <f t="shared" si="79"/>
        <v>-1196.1299999999999</v>
      </c>
      <c r="M109" s="2"/>
      <c r="N109" s="7">
        <f t="shared" si="80"/>
        <v>-0.84980781937152305</v>
      </c>
      <c r="O109" s="10"/>
      <c r="P109" s="6">
        <v>3806.76</v>
      </c>
      <c r="Q109" s="2"/>
      <c r="R109" s="7">
        <f t="shared" si="81"/>
        <v>1.9883244931407653E-3</v>
      </c>
      <c r="S109" s="2"/>
      <c r="T109" s="6">
        <v>3521.49</v>
      </c>
      <c r="U109" s="2"/>
      <c r="V109" s="7">
        <f t="shared" si="82"/>
        <v>1.0693823201936782E-3</v>
      </c>
      <c r="W109" s="2"/>
      <c r="X109" s="6">
        <f t="shared" si="83"/>
        <v>285.27000000000044</v>
      </c>
      <c r="Y109" s="2"/>
      <c r="Z109" s="7">
        <f t="shared" si="84"/>
        <v>8.1008323181380737E-2</v>
      </c>
    </row>
    <row r="110" spans="1:26" s="26" customFormat="1" outlineLevel="1" collapsed="1" x14ac:dyDescent="0.25">
      <c r="A110" s="25"/>
      <c r="B110" s="12" t="str">
        <f>CONCATENATE("     ","Telephone/Data Lines                              ")</f>
        <v xml:space="preserve">     Telephone/Data Lines                              </v>
      </c>
      <c r="C110" s="12"/>
      <c r="D110" s="1">
        <f>SUM(OSRRefD22_12x_0)</f>
        <v>1003.95</v>
      </c>
      <c r="E110" s="1"/>
      <c r="F110" s="5">
        <f t="shared" ref="F110:F112" si="85">IF(D$12=0,0,D110/D$12)</f>
        <v>2.7278796390868113E-2</v>
      </c>
      <c r="G110" s="1"/>
      <c r="H110" s="1">
        <f>SUM(OSRRefH22_12x_0)</f>
        <v>474.35</v>
      </c>
      <c r="I110" s="1"/>
      <c r="J110" s="5">
        <f t="shared" ref="J110:J112" si="86">IF(H$12=0,0,H110/H$12)</f>
        <v>0.10073948537594404</v>
      </c>
      <c r="K110" s="1"/>
      <c r="L110" s="1">
        <f t="shared" ref="L110:L112" si="87">+D110-H110</f>
        <v>529.6</v>
      </c>
      <c r="M110" s="1"/>
      <c r="N110" s="5">
        <f t="shared" ref="N110:N112" si="88">IF(H110=0,0,L110/H110)</f>
        <v>1.1164751765573944</v>
      </c>
      <c r="O110" s="12"/>
      <c r="P110" s="1">
        <f>SUM(OSRRefP22_12x_0)</f>
        <v>8185.9</v>
      </c>
      <c r="Q110" s="1"/>
      <c r="R110" s="5">
        <f t="shared" ref="R110:R112" si="89">IF(P$12=0,0,P110/P$12)</f>
        <v>4.2756111413382999E-3</v>
      </c>
      <c r="S110" s="1"/>
      <c r="T110" s="1">
        <f>SUM(OSRRefT22_12x_0)</f>
        <v>7145.99</v>
      </c>
      <c r="U110" s="1"/>
      <c r="V110" s="5">
        <f t="shared" ref="V110:V112" si="90">IF(T$12=0,0,T110/T$12)</f>
        <v>2.1700460220761162E-3</v>
      </c>
      <c r="W110" s="1"/>
      <c r="X110" s="1">
        <f t="shared" ref="X110:X112" si="91">+P110-T110</f>
        <v>1039.9099999999999</v>
      </c>
      <c r="Y110" s="1"/>
      <c r="Z110" s="5">
        <f t="shared" ref="Z110:Z112" si="92">IF(T110=0,0,X110/T110)</f>
        <v>0.14552357336072397</v>
      </c>
    </row>
    <row r="111" spans="1:26" s="23" customFormat="1" hidden="1" outlineLevel="2" x14ac:dyDescent="0.25">
      <c r="A111" s="27"/>
      <c r="B111" s="10" t="str">
        <f>CONCATENATE("          ", "6303", " - ", "DATA PHONE LINES")</f>
        <v xml:space="preserve">          6303 - DATA PHONE LINES</v>
      </c>
      <c r="C111" s="10"/>
      <c r="D111" s="6">
        <v>590</v>
      </c>
      <c r="E111" s="2"/>
      <c r="F111" s="7">
        <f t="shared" si="85"/>
        <v>1.6031166761902669E-2</v>
      </c>
      <c r="G111" s="2"/>
      <c r="H111" s="6"/>
      <c r="I111" s="2"/>
      <c r="J111" s="7">
        <f t="shared" si="86"/>
        <v>0</v>
      </c>
      <c r="K111" s="2"/>
      <c r="L111" s="6">
        <f t="shared" si="87"/>
        <v>590</v>
      </c>
      <c r="M111" s="2"/>
      <c r="N111" s="7">
        <f t="shared" si="88"/>
        <v>0</v>
      </c>
      <c r="O111" s="10"/>
      <c r="P111" s="6">
        <v>3540</v>
      </c>
      <c r="Q111" s="2"/>
      <c r="R111" s="7">
        <f t="shared" si="89"/>
        <v>1.8489919789317708E-3</v>
      </c>
      <c r="S111" s="2"/>
      <c r="T111" s="6">
        <v>2360</v>
      </c>
      <c r="U111" s="2"/>
      <c r="V111" s="7">
        <f t="shared" si="90"/>
        <v>7.1666887472549424E-4</v>
      </c>
      <c r="W111" s="2"/>
      <c r="X111" s="6">
        <f t="shared" si="91"/>
        <v>1180</v>
      </c>
      <c r="Y111" s="2"/>
      <c r="Z111" s="7">
        <f t="shared" si="92"/>
        <v>0.5</v>
      </c>
    </row>
    <row r="112" spans="1:26" s="23" customFormat="1" hidden="1" outlineLevel="2" x14ac:dyDescent="0.25">
      <c r="A112" s="27"/>
      <c r="B112" s="10" t="str">
        <f>CONCATENATE("          ", "6309", " - ", "TELEPHONE")</f>
        <v xml:space="preserve">          6309 - TELEPHONE</v>
      </c>
      <c r="C112" s="10"/>
      <c r="D112" s="6">
        <v>413.95</v>
      </c>
      <c r="E112" s="2"/>
      <c r="F112" s="7">
        <f t="shared" si="85"/>
        <v>1.1247629628965441E-2</v>
      </c>
      <c r="G112" s="2"/>
      <c r="H112" s="6">
        <v>474.35</v>
      </c>
      <c r="I112" s="2"/>
      <c r="J112" s="7">
        <f t="shared" si="86"/>
        <v>0.10073948537594404</v>
      </c>
      <c r="K112" s="2"/>
      <c r="L112" s="6">
        <f t="shared" si="87"/>
        <v>-60.400000000000034</v>
      </c>
      <c r="M112" s="2"/>
      <c r="N112" s="7">
        <f t="shared" si="88"/>
        <v>-0.12733213871613794</v>
      </c>
      <c r="O112" s="10"/>
      <c r="P112" s="6">
        <v>4645.8999999999996</v>
      </c>
      <c r="Q112" s="2"/>
      <c r="R112" s="7">
        <f t="shared" si="89"/>
        <v>2.4266191624065293E-3</v>
      </c>
      <c r="S112" s="2"/>
      <c r="T112" s="6">
        <v>4785.99</v>
      </c>
      <c r="U112" s="2"/>
      <c r="V112" s="7">
        <f t="shared" si="90"/>
        <v>1.453377147350622E-3</v>
      </c>
      <c r="W112" s="2"/>
      <c r="X112" s="6">
        <f t="shared" si="91"/>
        <v>-140.09000000000015</v>
      </c>
      <c r="Y112" s="2"/>
      <c r="Z112" s="7">
        <f t="shared" si="92"/>
        <v>-2.9270850962914707E-2</v>
      </c>
    </row>
    <row r="113" spans="1:26" s="26" customFormat="1" outlineLevel="1" collapsed="1" x14ac:dyDescent="0.25">
      <c r="A113" s="25"/>
      <c r="B113" s="12" t="str">
        <f>CONCATENATE("     ","Training                                          ")</f>
        <v xml:space="preserve">     Training                                          </v>
      </c>
      <c r="C113" s="12"/>
      <c r="D113" s="1">
        <f>SUM(OSRRefD22_13x_0)</f>
        <v>0</v>
      </c>
      <c r="E113" s="1"/>
      <c r="F113" s="5">
        <f t="shared" ref="F113:F116" si="93">IF(D$12=0,0,D113/D$12)</f>
        <v>0</v>
      </c>
      <c r="G113" s="1"/>
      <c r="H113" s="1">
        <f>SUM(OSRRefH22_13x_0)</f>
        <v>0</v>
      </c>
      <c r="I113" s="1"/>
      <c r="J113" s="5">
        <f t="shared" ref="J113:J116" si="94">IF(H$12=0,0,H113/H$12)</f>
        <v>0</v>
      </c>
      <c r="K113" s="1"/>
      <c r="L113" s="1">
        <f t="shared" ref="L113:L116" si="95">+D113-H113</f>
        <v>0</v>
      </c>
      <c r="M113" s="1"/>
      <c r="N113" s="5">
        <f t="shared" ref="N113:N116" si="96">IF(H113=0,0,L113/H113)</f>
        <v>0</v>
      </c>
      <c r="O113" s="12"/>
      <c r="P113" s="1">
        <f>SUM(OSRRefP22_13x_0)</f>
        <v>0</v>
      </c>
      <c r="Q113" s="1"/>
      <c r="R113" s="5">
        <f t="shared" ref="R113:R116" si="97">IF(P$12=0,0,P113/P$12)</f>
        <v>0</v>
      </c>
      <c r="S113" s="1"/>
      <c r="T113" s="1">
        <f>SUM(OSRRefT22_13x_0)</f>
        <v>4157.1499999999996</v>
      </c>
      <c r="U113" s="1"/>
      <c r="V113" s="5">
        <f t="shared" ref="V113:V116" si="98">IF(T$12=0,0,T113/T$12)</f>
        <v>1.262415259561478E-3</v>
      </c>
      <c r="W113" s="1"/>
      <c r="X113" s="1">
        <f t="shared" ref="X113:X116" si="99">+P113-T113</f>
        <v>-4157.1499999999996</v>
      </c>
      <c r="Y113" s="1"/>
      <c r="Z113" s="5">
        <f t="shared" ref="Z113:Z116" si="100">IF(T113=0,0,X113/T113)</f>
        <v>-1</v>
      </c>
    </row>
    <row r="114" spans="1:26" s="23" customFormat="1" hidden="1" outlineLevel="2" x14ac:dyDescent="0.25">
      <c r="A114" s="27"/>
      <c r="B114" s="10" t="str">
        <f>CONCATENATE("          ", "6376", " - ", "TRAINING")</f>
        <v xml:space="preserve">          6376 - TRAINING</v>
      </c>
      <c r="C114" s="10"/>
      <c r="D114" s="6"/>
      <c r="E114" s="2"/>
      <c r="F114" s="7">
        <f t="shared" si="93"/>
        <v>0</v>
      </c>
      <c r="G114" s="2"/>
      <c r="H114" s="6"/>
      <c r="I114" s="2"/>
      <c r="J114" s="7">
        <f t="shared" si="94"/>
        <v>0</v>
      </c>
      <c r="K114" s="2"/>
      <c r="L114" s="6">
        <f t="shared" si="95"/>
        <v>0</v>
      </c>
      <c r="M114" s="2"/>
      <c r="N114" s="7">
        <f t="shared" si="96"/>
        <v>0</v>
      </c>
      <c r="O114" s="10"/>
      <c r="P114" s="6"/>
      <c r="Q114" s="2"/>
      <c r="R114" s="7">
        <f t="shared" si="97"/>
        <v>0</v>
      </c>
      <c r="S114" s="2"/>
      <c r="T114" s="6">
        <v>4157.1499999999996</v>
      </c>
      <c r="U114" s="2"/>
      <c r="V114" s="7">
        <f t="shared" si="98"/>
        <v>1.262415259561478E-3</v>
      </c>
      <c r="W114" s="2"/>
      <c r="X114" s="6">
        <f t="shared" si="99"/>
        <v>-4157.1499999999996</v>
      </c>
      <c r="Y114" s="2"/>
      <c r="Z114" s="7">
        <f t="shared" si="100"/>
        <v>-1</v>
      </c>
    </row>
    <row r="115" spans="1:26" s="26" customFormat="1" outlineLevel="1" collapsed="1" x14ac:dyDescent="0.25">
      <c r="A115" s="25"/>
      <c r="B115" s="12" t="str">
        <f>CONCATENATE("     ","Travel                                            ")</f>
        <v xml:space="preserve">     Travel                                            </v>
      </c>
      <c r="C115" s="12"/>
      <c r="D115" s="1">
        <f>SUM(OSRRefD22_14x_0)</f>
        <v>0</v>
      </c>
      <c r="E115" s="1"/>
      <c r="F115" s="5">
        <f t="shared" si="93"/>
        <v>0</v>
      </c>
      <c r="G115" s="1"/>
      <c r="H115" s="1">
        <f>SUM(OSRRefH22_14x_0)</f>
        <v>0</v>
      </c>
      <c r="I115" s="1"/>
      <c r="J115" s="5">
        <f t="shared" si="94"/>
        <v>0</v>
      </c>
      <c r="K115" s="1"/>
      <c r="L115" s="1">
        <f t="shared" si="95"/>
        <v>0</v>
      </c>
      <c r="M115" s="1"/>
      <c r="N115" s="5">
        <f t="shared" si="96"/>
        <v>0</v>
      </c>
      <c r="O115" s="12"/>
      <c r="P115" s="1">
        <f>SUM(OSRRefP22_14x_0)</f>
        <v>0.16</v>
      </c>
      <c r="Q115" s="1"/>
      <c r="R115" s="5">
        <f t="shared" si="97"/>
        <v>8.3570258934769304E-8</v>
      </c>
      <c r="S115" s="1"/>
      <c r="T115" s="1">
        <f>SUM(OSRRefT22_14x_0)</f>
        <v>83.93</v>
      </c>
      <c r="U115" s="1"/>
      <c r="V115" s="5">
        <f t="shared" si="98"/>
        <v>2.5487296040555397E-5</v>
      </c>
      <c r="W115" s="1"/>
      <c r="X115" s="1">
        <f t="shared" si="99"/>
        <v>-83.77000000000001</v>
      </c>
      <c r="Y115" s="1"/>
      <c r="Z115" s="5">
        <f t="shared" si="100"/>
        <v>-0.99809364946979628</v>
      </c>
    </row>
    <row r="116" spans="1:26" s="23" customFormat="1" hidden="1" outlineLevel="2" x14ac:dyDescent="0.25">
      <c r="A116" s="27"/>
      <c r="B116" s="10" t="str">
        <f>CONCATENATE("          ", "6292", " - ", "TRAVEL/CONFERENCE")</f>
        <v xml:space="preserve">          6292 - TRAVEL/CONFERENCE</v>
      </c>
      <c r="C116" s="10"/>
      <c r="D116" s="6"/>
      <c r="E116" s="2"/>
      <c r="F116" s="7">
        <f t="shared" si="93"/>
        <v>0</v>
      </c>
      <c r="G116" s="2"/>
      <c r="H116" s="6"/>
      <c r="I116" s="2"/>
      <c r="J116" s="7">
        <f t="shared" si="94"/>
        <v>0</v>
      </c>
      <c r="K116" s="2"/>
      <c r="L116" s="6">
        <f t="shared" si="95"/>
        <v>0</v>
      </c>
      <c r="M116" s="2"/>
      <c r="N116" s="7">
        <f t="shared" si="96"/>
        <v>0</v>
      </c>
      <c r="O116" s="10"/>
      <c r="P116" s="6">
        <v>0.16</v>
      </c>
      <c r="Q116" s="2"/>
      <c r="R116" s="7">
        <f t="shared" si="97"/>
        <v>8.3570258934769304E-8</v>
      </c>
      <c r="S116" s="2"/>
      <c r="T116" s="6">
        <v>83.93</v>
      </c>
      <c r="U116" s="2"/>
      <c r="V116" s="7">
        <f t="shared" si="98"/>
        <v>2.5487296040555397E-5</v>
      </c>
      <c r="W116" s="2"/>
      <c r="X116" s="6">
        <f t="shared" si="99"/>
        <v>-83.77000000000001</v>
      </c>
      <c r="Y116" s="2"/>
      <c r="Z116" s="7">
        <f t="shared" si="100"/>
        <v>-0.99809364946979628</v>
      </c>
    </row>
    <row r="117" spans="1:26" s="62" customFormat="1" x14ac:dyDescent="0.25">
      <c r="A117" s="37"/>
      <c r="B117" s="37"/>
      <c r="C117" s="37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7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4" customFormat="1" collapsed="1" x14ac:dyDescent="0.25">
      <c r="A118" s="11"/>
      <c r="B118" s="28" t="s">
        <v>292</v>
      </c>
      <c r="C118" s="11"/>
      <c r="D118" s="4">
        <f>SUM(OSRRefD25x_0)</f>
        <v>505.94</v>
      </c>
      <c r="E118" s="4"/>
      <c r="F118" s="13">
        <f t="shared" ref="F118:F121" si="101">IF(D$12=0,0,D118/D$12)</f>
        <v>1.3747133070367859E-2</v>
      </c>
      <c r="G118" s="4"/>
      <c r="H118" s="4">
        <f>SUM(OSRRefH25x_0)</f>
        <v>186.38</v>
      </c>
      <c r="I118" s="4"/>
      <c r="J118" s="13">
        <f t="shared" ref="J118:J121" si="102">IF(H$12=0,0,H118/H$12)</f>
        <v>3.9582218371178347E-2</v>
      </c>
      <c r="K118" s="4"/>
      <c r="L118" s="4">
        <f t="shared" ref="L118:L121" si="103">+D118-H118</f>
        <v>319.56</v>
      </c>
      <c r="M118" s="4"/>
      <c r="N118" s="13">
        <f t="shared" ref="N118:N121" si="104">IF(H118=0,0,L118/H118)</f>
        <v>1.7145616482455199</v>
      </c>
      <c r="O118" s="11"/>
      <c r="P118" s="4">
        <f>SUM(OSRRefP25x_0)</f>
        <v>331308.07</v>
      </c>
      <c r="Q118" s="4"/>
      <c r="R118" s="13">
        <f t="shared" ref="R118:R121" si="105">IF(P$12=0,0,P118/P$12)</f>
        <v>0.17304688248174172</v>
      </c>
      <c r="S118" s="4"/>
      <c r="T118" s="4">
        <f>SUM(OSRRefT25x_0)</f>
        <v>188042.77999999997</v>
      </c>
      <c r="U118" s="4"/>
      <c r="V118" s="13">
        <f t="shared" ref="V118:V121" si="106">IF(T$12=0,0,T118/T$12)</f>
        <v>5.7103562518158325E-2</v>
      </c>
      <c r="W118" s="4"/>
      <c r="X118" s="4">
        <f t="shared" ref="X118:X121" si="107">+P118-T118</f>
        <v>143265.29000000004</v>
      </c>
      <c r="Y118" s="4"/>
      <c r="Z118" s="13">
        <f t="shared" ref="Z118:Z121" si="108">IF(T118=0,0,X118/T118)</f>
        <v>0.76187604756747407</v>
      </c>
    </row>
    <row r="119" spans="1:26" s="23" customFormat="1" hidden="1" outlineLevel="1" x14ac:dyDescent="0.25">
      <c r="A119" s="44"/>
      <c r="B119" s="10" t="str">
        <f>CONCATENATE("          ", "9150", " - ", "MISC. INCOME")</f>
        <v xml:space="preserve">          9150 - MISC. INCOME</v>
      </c>
      <c r="C119" s="10"/>
      <c r="D119" s="2">
        <f t="shared" ref="D119:D120" si="109">0</f>
        <v>0</v>
      </c>
      <c r="E119" s="2"/>
      <c r="F119" s="19">
        <f t="shared" si="101"/>
        <v>0</v>
      </c>
      <c r="G119" s="2"/>
      <c r="H119" s="2">
        <f>--104.19</f>
        <v>104.19</v>
      </c>
      <c r="I119" s="2"/>
      <c r="J119" s="19">
        <f t="shared" si="102"/>
        <v>2.2127220367491533E-2</v>
      </c>
      <c r="K119" s="2"/>
      <c r="L119" s="2">
        <f t="shared" si="103"/>
        <v>-104.19</v>
      </c>
      <c r="M119" s="2"/>
      <c r="N119" s="19">
        <f t="shared" si="104"/>
        <v>-1</v>
      </c>
      <c r="O119" s="10"/>
      <c r="P119" s="2">
        <f>--31463.11</f>
        <v>31463.11</v>
      </c>
      <c r="Q119" s="2"/>
      <c r="R119" s="19">
        <f t="shared" si="105"/>
        <v>1.643362655995706E-2</v>
      </c>
      <c r="S119" s="2"/>
      <c r="T119" s="2">
        <f>--20516.43</f>
        <v>20516.43</v>
      </c>
      <c r="U119" s="2"/>
      <c r="V119" s="19">
        <f t="shared" si="106"/>
        <v>6.2302910175781236E-3</v>
      </c>
      <c r="W119" s="2"/>
      <c r="X119" s="2">
        <f t="shared" si="107"/>
        <v>10946.68</v>
      </c>
      <c r="Y119" s="2"/>
      <c r="Z119" s="19">
        <f t="shared" si="108"/>
        <v>0.53355676401791152</v>
      </c>
    </row>
    <row r="120" spans="1:26" s="23" customFormat="1" hidden="1" outlineLevel="1" x14ac:dyDescent="0.25">
      <c r="A120" s="44"/>
      <c r="B120" s="10" t="str">
        <f>CONCATENATE("          ", "9151", " - ", "MISC. INCOME")</f>
        <v xml:space="preserve">          9151 - MISC. INCOME</v>
      </c>
      <c r="C120" s="10"/>
      <c r="D120" s="2">
        <f t="shared" si="109"/>
        <v>0</v>
      </c>
      <c r="E120" s="2"/>
      <c r="F120" s="19">
        <f t="shared" si="101"/>
        <v>0</v>
      </c>
      <c r="G120" s="2"/>
      <c r="H120" s="2">
        <f>0</f>
        <v>0</v>
      </c>
      <c r="I120" s="2"/>
      <c r="J120" s="19">
        <f t="shared" si="102"/>
        <v>0</v>
      </c>
      <c r="K120" s="2"/>
      <c r="L120" s="2">
        <f t="shared" si="103"/>
        <v>0</v>
      </c>
      <c r="M120" s="2"/>
      <c r="N120" s="19">
        <f t="shared" si="104"/>
        <v>0</v>
      </c>
      <c r="O120" s="10"/>
      <c r="P120" s="2">
        <f>--295628.46</f>
        <v>295628.46000000002</v>
      </c>
      <c r="Q120" s="2"/>
      <c r="R120" s="19">
        <f t="shared" si="105"/>
        <v>0.15441091844179433</v>
      </c>
      <c r="S120" s="2"/>
      <c r="T120" s="2">
        <f>--162744.3</f>
        <v>162744.29999999999</v>
      </c>
      <c r="U120" s="2"/>
      <c r="V120" s="19">
        <f t="shared" si="106"/>
        <v>4.9421090825842472E-2</v>
      </c>
      <c r="W120" s="2"/>
      <c r="X120" s="2">
        <f t="shared" si="107"/>
        <v>132884.16000000003</v>
      </c>
      <c r="Y120" s="2"/>
      <c r="Z120" s="19">
        <f t="shared" si="108"/>
        <v>0.81652113161566975</v>
      </c>
    </row>
    <row r="121" spans="1:26" s="23" customFormat="1" hidden="1" outlineLevel="1" x14ac:dyDescent="0.25">
      <c r="A121" s="44"/>
      <c r="B121" s="10" t="str">
        <f>CONCATENATE("          ", "9152", " - ", "MISC. INCOME")</f>
        <v xml:space="preserve">          9152 - MISC. INCOME</v>
      </c>
      <c r="C121" s="10"/>
      <c r="D121" s="2">
        <f>--505.94</f>
        <v>505.94</v>
      </c>
      <c r="E121" s="2"/>
      <c r="F121" s="19">
        <f t="shared" si="101"/>
        <v>1.3747133070367859E-2</v>
      </c>
      <c r="G121" s="2"/>
      <c r="H121" s="2">
        <f>--82.19</f>
        <v>82.19</v>
      </c>
      <c r="I121" s="2"/>
      <c r="J121" s="19">
        <f t="shared" si="102"/>
        <v>1.7454998003686814E-2</v>
      </c>
      <c r="K121" s="2"/>
      <c r="L121" s="2">
        <f t="shared" si="103"/>
        <v>423.75</v>
      </c>
      <c r="M121" s="2"/>
      <c r="N121" s="19">
        <f t="shared" si="104"/>
        <v>5.1557367076286651</v>
      </c>
      <c r="O121" s="10"/>
      <c r="P121" s="2">
        <f>--4216.5</f>
        <v>4216.5</v>
      </c>
      <c r="Q121" s="2"/>
      <c r="R121" s="19">
        <f t="shared" si="105"/>
        <v>2.2023374799903421E-3</v>
      </c>
      <c r="S121" s="2"/>
      <c r="T121" s="2">
        <f>--4782.05</f>
        <v>4782.05</v>
      </c>
      <c r="U121" s="2"/>
      <c r="V121" s="19">
        <f t="shared" si="106"/>
        <v>1.4521806747377329E-3</v>
      </c>
      <c r="W121" s="2"/>
      <c r="X121" s="2">
        <f t="shared" si="107"/>
        <v>-565.55000000000018</v>
      </c>
      <c r="Y121" s="2"/>
      <c r="Z121" s="19">
        <f t="shared" si="108"/>
        <v>-0.1182651791595655</v>
      </c>
    </row>
    <row r="122" spans="1:26" x14ac:dyDescent="0.25">
      <c r="A122" s="9"/>
      <c r="B122" s="11"/>
      <c r="C122" s="11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1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4" customFormat="1" x14ac:dyDescent="0.25">
      <c r="A123" s="11"/>
      <c r="B123" s="29" t="s">
        <v>276</v>
      </c>
      <c r="C123" s="29"/>
      <c r="D123" s="20">
        <f>+D62-D64+D118</f>
        <v>-46258.900000000023</v>
      </c>
      <c r="E123" s="14"/>
      <c r="F123" s="22">
        <f>IF(D$12=0,0,D123/D$12)</f>
        <v>-1.2569222713935251</v>
      </c>
      <c r="G123" s="14"/>
      <c r="H123" s="20">
        <f>+H62-H64+H118</f>
        <v>-50286.080000000009</v>
      </c>
      <c r="I123" s="14"/>
      <c r="J123" s="22">
        <f>IF(H$12=0,0,H123/H$12)</f>
        <v>-10.679443071094241</v>
      </c>
      <c r="K123" s="16"/>
      <c r="L123" s="20">
        <f>+D123-H123</f>
        <v>4027.1799999999857</v>
      </c>
      <c r="M123" s="16"/>
      <c r="N123" s="22">
        <f>IF(H123=0,0,L123/H123)</f>
        <v>-8.0085383469938098E-2</v>
      </c>
      <c r="O123" s="28"/>
      <c r="P123" s="20">
        <f>+P62-P64+P118</f>
        <v>422698.44000000006</v>
      </c>
      <c r="Q123" s="14"/>
      <c r="R123" s="22">
        <f>IF(P$12=0,0,P123/P$12)</f>
        <v>0.22078136301326906</v>
      </c>
      <c r="S123" s="14"/>
      <c r="T123" s="20">
        <f>+T62-T64+T118</f>
        <v>692492.96999999892</v>
      </c>
      <c r="U123" s="14"/>
      <c r="V123" s="22">
        <f>IF(T$12=0,0,T123/T$12)</f>
        <v>0.21029159218865029</v>
      </c>
      <c r="W123" s="16"/>
      <c r="X123" s="20">
        <f>+P123-T123</f>
        <v>-269794.52999999886</v>
      </c>
      <c r="Y123" s="16"/>
      <c r="Z123" s="22">
        <f>IF(T123=0,0,X123/T123)</f>
        <v>-0.38959894423188046</v>
      </c>
    </row>
    <row r="124" spans="1:26" x14ac:dyDescent="0.25">
      <c r="A124" s="9"/>
      <c r="B124" s="11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4" customFormat="1" x14ac:dyDescent="0.25">
      <c r="A125" s="51"/>
      <c r="B125" s="11" t="s">
        <v>127</v>
      </c>
      <c r="C125" s="11"/>
      <c r="D125" s="4">
        <v>13544</v>
      </c>
      <c r="E125" s="4"/>
      <c r="F125" s="13">
        <f>IF(D$12=0,0,D125/D$12)</f>
        <v>0.36801037732747416</v>
      </c>
      <c r="G125" s="4"/>
      <c r="H125" s="4">
        <v>21548.28</v>
      </c>
      <c r="I125" s="4"/>
      <c r="J125" s="13">
        <f>IF(H$12=0,0,H125/H$12)</f>
        <v>4.5762888962511798</v>
      </c>
      <c r="K125" s="4"/>
      <c r="L125" s="4">
        <f>+D125-H125</f>
        <v>-8004.2799999999988</v>
      </c>
      <c r="M125" s="4"/>
      <c r="N125" s="13">
        <f>IF(H125=0,0,L125/H125)</f>
        <v>-0.37145795395270526</v>
      </c>
      <c r="O125" s="11"/>
      <c r="P125" s="4">
        <v>400533.03</v>
      </c>
      <c r="Q125" s="4"/>
      <c r="R125" s="13">
        <f>IF(P$12=0,0,P125/P$12)</f>
        <v>0.20920405643142329</v>
      </c>
      <c r="S125" s="4"/>
      <c r="T125" s="4">
        <v>373898.07</v>
      </c>
      <c r="U125" s="4"/>
      <c r="V125" s="13">
        <f>IF(T$12=0,0,T125/T$12)</f>
        <v>0.1135428428342941</v>
      </c>
      <c r="W125" s="4"/>
      <c r="X125" s="4">
        <f>+P125-T125</f>
        <v>26634.960000000021</v>
      </c>
      <c r="Y125" s="4"/>
      <c r="Z125" s="13">
        <f>IF(T125=0,0,X125/T125)</f>
        <v>7.1235885224013112E-2</v>
      </c>
    </row>
    <row r="126" spans="1:26" x14ac:dyDescent="0.25">
      <c r="A126" s="9"/>
      <c r="B126" s="11"/>
      <c r="C126" s="11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1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4" customFormat="1" ht="15.75" thickBot="1" x14ac:dyDescent="0.3">
      <c r="A127" s="11"/>
      <c r="B127" s="29" t="s">
        <v>125</v>
      </c>
      <c r="C127" s="29"/>
      <c r="D127" s="30">
        <f>+D123-D125</f>
        <v>-59802.900000000023</v>
      </c>
      <c r="E127" s="14"/>
      <c r="F127" s="34">
        <f>IF(D$12=0,0,D127/D$12)</f>
        <v>-1.6249326487209992</v>
      </c>
      <c r="G127" s="14"/>
      <c r="H127" s="30">
        <f>+H123-H125</f>
        <v>-71834.360000000015</v>
      </c>
      <c r="I127" s="14"/>
      <c r="J127" s="34">
        <f>IF(H$12=0,0,H127/H$12)</f>
        <v>-15.255731967345421</v>
      </c>
      <c r="K127" s="16"/>
      <c r="L127" s="30">
        <f>D127-H127</f>
        <v>12031.459999999992</v>
      </c>
      <c r="M127" s="16"/>
      <c r="N127" s="34">
        <f>IF(H127=0,0,L127/H127)</f>
        <v>-0.1674889286965178</v>
      </c>
      <c r="O127" s="28"/>
      <c r="P127" s="30">
        <f>+P123-P125</f>
        <v>22165.410000000033</v>
      </c>
      <c r="Q127" s="14"/>
      <c r="R127" s="34">
        <f>IF(P$12=0,0,P127/P$12)</f>
        <v>1.1577306581845798E-2</v>
      </c>
      <c r="S127" s="14"/>
      <c r="T127" s="30">
        <f>+T123-T125</f>
        <v>318594.89999999892</v>
      </c>
      <c r="U127" s="14"/>
      <c r="V127" s="34">
        <f>IF(T$12=0,0,T127/T$12)</f>
        <v>9.6748749354356178E-2</v>
      </c>
      <c r="W127" s="16"/>
      <c r="X127" s="30">
        <f>P127-T127</f>
        <v>-296429.48999999888</v>
      </c>
      <c r="Y127" s="16"/>
      <c r="Z127" s="34">
        <f>IF(T127=0,0,X127/T127)</f>
        <v>-0.93042760571496874</v>
      </c>
    </row>
    <row r="128" spans="1:26" ht="15.75" thickTop="1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4" customFormat="1" ht="15.75" thickBot="1" x14ac:dyDescent="0.3">
      <c r="A130" s="11"/>
      <c r="B130" s="29" t="s">
        <v>293</v>
      </c>
      <c r="C130" s="29"/>
      <c r="D130" s="32">
        <f>SUM(D127:D129)</f>
        <v>-59802.900000000023</v>
      </c>
      <c r="E130" s="14"/>
      <c r="F130" s="35">
        <f>IF(D$12=0,0,D130/D$12)</f>
        <v>-1.6249326487209992</v>
      </c>
      <c r="G130" s="14"/>
      <c r="H130" s="32">
        <f>SUM(H127:H129)</f>
        <v>-71834.360000000015</v>
      </c>
      <c r="I130" s="14"/>
      <c r="J130" s="35">
        <f>IF(H$12=0,0,H130/H$12)</f>
        <v>-15.255731967345421</v>
      </c>
      <c r="K130" s="16"/>
      <c r="L130" s="32">
        <f>+D130-H130</f>
        <v>12031.459999999992</v>
      </c>
      <c r="M130" s="16"/>
      <c r="N130" s="35">
        <f>IF(H130=0,0,L130/H130)</f>
        <v>-0.1674889286965178</v>
      </c>
      <c r="O130" s="28"/>
      <c r="P130" s="32">
        <f>SUM(P127:P129)</f>
        <v>22165.410000000033</v>
      </c>
      <c r="Q130" s="14"/>
      <c r="R130" s="35">
        <f>IF(P$12=0,0,P130/P$12)</f>
        <v>1.1577306581845798E-2</v>
      </c>
      <c r="S130" s="14"/>
      <c r="T130" s="32">
        <f>SUM(T127:T129)</f>
        <v>318594.89999999892</v>
      </c>
      <c r="U130" s="14"/>
      <c r="V130" s="35">
        <f>IF(T$12=0,0,T130/T$12)</f>
        <v>9.6748749354356178E-2</v>
      </c>
      <c r="W130" s="16"/>
      <c r="X130" s="32">
        <f>+P130-T130</f>
        <v>-296429.48999999888</v>
      </c>
      <c r="Y130" s="16"/>
      <c r="Z130" s="35">
        <f>IF(T130=0,0,X130/T130)</f>
        <v>-0.93042760571496874</v>
      </c>
    </row>
    <row r="131" spans="1:26" ht="15.75" thickTop="1" x14ac:dyDescent="0.25">
      <c r="A131" s="9"/>
      <c r="C131" s="9"/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6" x14ac:dyDescent="0.25">
      <c r="A132" s="9"/>
      <c r="B132" s="59">
        <v>44330.00886898148</v>
      </c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6" x14ac:dyDescent="0.25">
      <c r="A133" s="9"/>
      <c r="B133" s="52" t="s">
        <v>56</v>
      </c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  <row r="134" spans="1:26" x14ac:dyDescent="0.25">
      <c r="A134" s="9"/>
      <c r="B134" s="55"/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","324", " - ", "Textbook Rental")</f>
        <v>Department 324 - Textbook Rental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-11152.18</v>
      </c>
      <c r="E12" s="4"/>
      <c r="F12" s="13"/>
      <c r="G12" s="4"/>
      <c r="H12" s="4">
        <f>SUM(OSRRefH13x_0)</f>
        <v>28043.919999999998</v>
      </c>
      <c r="I12" s="4"/>
      <c r="J12" s="13"/>
      <c r="K12" s="4"/>
      <c r="L12" s="4">
        <f t="shared" ref="L12:L15" si="0">+D12-H12</f>
        <v>-39196.1</v>
      </c>
      <c r="M12" s="4"/>
      <c r="N12" s="13">
        <f t="shared" ref="N12:N15" si="1">IF(H12=0,0,L12/H12)</f>
        <v>-1.3976683716113867</v>
      </c>
      <c r="O12" s="11"/>
      <c r="P12" s="4">
        <f>SUM(OSRRefP13x_0)</f>
        <v>765079.81</v>
      </c>
      <c r="Q12" s="4"/>
      <c r="R12" s="13"/>
      <c r="S12" s="4"/>
      <c r="T12" s="4">
        <f>SUM(OSRRefT13x_0)</f>
        <v>1575599.52</v>
      </c>
      <c r="U12" s="4"/>
      <c r="V12" s="13"/>
      <c r="W12" s="4"/>
      <c r="X12" s="4">
        <f t="shared" ref="X12:X15" si="2">+P12-T12</f>
        <v>-810519.71</v>
      </c>
      <c r="Y12" s="4"/>
      <c r="Z12" s="13">
        <f t="shared" ref="Z12:Z15" si="3">IF(T12=0,0,X12/T12)</f>
        <v>-0.51441987618782714</v>
      </c>
    </row>
    <row r="13" spans="1:26" s="23" customFormat="1" hidden="1" outlineLevel="1" x14ac:dyDescent="0.25">
      <c r="A13" s="44"/>
      <c r="B13" s="10" t="str">
        <f>CONCATENATE("          ", "4001", " - ", "TAXABLE SALES-NEW TEXT")</f>
        <v xml:space="preserve">          4001 - TAXABLE SALES-NEW TEXT</v>
      </c>
      <c r="C13" s="10"/>
      <c r="D13" s="2">
        <f>--552.45</f>
        <v>552.45000000000005</v>
      </c>
      <c r="E13" s="2"/>
      <c r="F13" s="19"/>
      <c r="G13" s="2"/>
      <c r="H13" s="2">
        <f>--128.35</f>
        <v>128.35</v>
      </c>
      <c r="I13" s="2"/>
      <c r="J13" s="19"/>
      <c r="K13" s="2"/>
      <c r="L13" s="2">
        <f t="shared" si="0"/>
        <v>424.1</v>
      </c>
      <c r="M13" s="2"/>
      <c r="N13" s="19">
        <f t="shared" si="1"/>
        <v>3.3042462017919756</v>
      </c>
      <c r="O13" s="10"/>
      <c r="P13" s="2">
        <f>--264005.38</f>
        <v>264005.38</v>
      </c>
      <c r="Q13" s="2"/>
      <c r="R13" s="19"/>
      <c r="S13" s="2"/>
      <c r="T13" s="2">
        <f>--408400.11</f>
        <v>408400.11</v>
      </c>
      <c r="U13" s="2"/>
      <c r="V13" s="19"/>
      <c r="W13" s="2"/>
      <c r="X13" s="2">
        <f t="shared" si="2"/>
        <v>-144394.72999999998</v>
      </c>
      <c r="Y13" s="2"/>
      <c r="Z13" s="19">
        <f t="shared" si="3"/>
        <v>-0.35356192729722818</v>
      </c>
    </row>
    <row r="14" spans="1:26" s="23" customFormat="1" hidden="1" outlineLevel="1" x14ac:dyDescent="0.25">
      <c r="A14" s="44"/>
      <c r="B14" s="10" t="str">
        <f>CONCATENATE("          ", "4002", " - ", "TAXABLE SALES-USED TEXT")</f>
        <v xml:space="preserve">          4002 - TAXABLE SALES-USED TEXT</v>
      </c>
      <c r="C14" s="10"/>
      <c r="D14" s="2">
        <f>--680.7</f>
        <v>680.7</v>
      </c>
      <c r="E14" s="2"/>
      <c r="F14" s="19"/>
      <c r="G14" s="2"/>
      <c r="H14" s="2">
        <f>-8.25</f>
        <v>-8.25</v>
      </c>
      <c r="I14" s="2"/>
      <c r="J14" s="19"/>
      <c r="K14" s="2"/>
      <c r="L14" s="2">
        <f t="shared" si="0"/>
        <v>688.95</v>
      </c>
      <c r="M14" s="2"/>
      <c r="N14" s="19">
        <f t="shared" si="1"/>
        <v>-83.509090909090915</v>
      </c>
      <c r="O14" s="10"/>
      <c r="P14" s="2">
        <f>--227235.66</f>
        <v>227235.66</v>
      </c>
      <c r="Q14" s="2"/>
      <c r="R14" s="19"/>
      <c r="S14" s="2"/>
      <c r="T14" s="2">
        <f>--564962.94</f>
        <v>564962.93999999994</v>
      </c>
      <c r="U14" s="2"/>
      <c r="V14" s="19"/>
      <c r="W14" s="2"/>
      <c r="X14" s="2">
        <f t="shared" si="2"/>
        <v>-337727.27999999991</v>
      </c>
      <c r="Y14" s="2"/>
      <c r="Z14" s="19">
        <f t="shared" si="3"/>
        <v>-0.59778660879950807</v>
      </c>
    </row>
    <row r="15" spans="1:26" s="23" customFormat="1" hidden="1" outlineLevel="1" x14ac:dyDescent="0.25">
      <c r="A15" s="44"/>
      <c r="B15" s="10" t="str">
        <f>CONCATENATE("          ", "4100", " - ", "NON-TAXABLE SALES")</f>
        <v xml:space="preserve">          4100 - NON-TAXABLE SALES</v>
      </c>
      <c r="C15" s="10"/>
      <c r="D15" s="2">
        <f>-12385.33</f>
        <v>-12385.33</v>
      </c>
      <c r="E15" s="2"/>
      <c r="F15" s="19"/>
      <c r="G15" s="2"/>
      <c r="H15" s="2">
        <f>--27923.82</f>
        <v>27923.82</v>
      </c>
      <c r="I15" s="2"/>
      <c r="J15" s="19"/>
      <c r="K15" s="2"/>
      <c r="L15" s="2">
        <f t="shared" si="0"/>
        <v>-40309.15</v>
      </c>
      <c r="M15" s="2"/>
      <c r="N15" s="19">
        <f t="shared" si="1"/>
        <v>-1.4435399597906018</v>
      </c>
      <c r="O15" s="10"/>
      <c r="P15" s="2">
        <f>--273838.77</f>
        <v>273838.77</v>
      </c>
      <c r="Q15" s="2"/>
      <c r="R15" s="19"/>
      <c r="S15" s="2"/>
      <c r="T15" s="2">
        <f>--602236.47</f>
        <v>602236.47</v>
      </c>
      <c r="U15" s="2"/>
      <c r="V15" s="19"/>
      <c r="W15" s="2"/>
      <c r="X15" s="2">
        <f t="shared" si="2"/>
        <v>-328397.69999999995</v>
      </c>
      <c r="Y15" s="2"/>
      <c r="Z15" s="19">
        <f t="shared" si="3"/>
        <v>-0.54529693294728554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8" t="s">
        <v>256</v>
      </c>
      <c r="C17" s="11"/>
      <c r="D17" s="4">
        <f>SUM(OSRRefD16x_0)</f>
        <v>274.5</v>
      </c>
      <c r="E17" s="4"/>
      <c r="F17" s="13">
        <f t="shared" ref="F17:F19" si="4">IF(D$12=0,0,D17/D$12)</f>
        <v>-2.461402165316557E-2</v>
      </c>
      <c r="G17" s="4"/>
      <c r="H17" s="4">
        <f>SUM(OSRRefH16x_0)</f>
        <v>16341.529999999999</v>
      </c>
      <c r="I17" s="4"/>
      <c r="J17" s="13">
        <f t="shared" ref="J17:J19" si="5">IF(H$12=0,0,H17/H$12)</f>
        <v>0.58271204596219073</v>
      </c>
      <c r="K17" s="4"/>
      <c r="L17" s="4">
        <f t="shared" ref="L17:L19" si="6">+D17-H17</f>
        <v>-16067.029999999999</v>
      </c>
      <c r="M17" s="4"/>
      <c r="N17" s="13">
        <f t="shared" ref="N17:N19" si="7">IF(H17=0,0,L17/H17)</f>
        <v>-0.98320230725030033</v>
      </c>
      <c r="O17" s="11"/>
      <c r="P17" s="4">
        <f>SUM(OSRRefP16x_0)</f>
        <v>543197.22</v>
      </c>
      <c r="Q17" s="4"/>
      <c r="R17" s="13">
        <f t="shared" ref="R17:R19" si="8">IF(P$12=0,0,P17/P$12)</f>
        <v>0.70998765475199244</v>
      </c>
      <c r="S17" s="4"/>
      <c r="T17" s="4">
        <f>SUM(OSRRefT16x_0)</f>
        <v>1166478.57</v>
      </c>
      <c r="U17" s="4"/>
      <c r="V17" s="13">
        <f t="shared" ref="V17:V19" si="9">IF(T$12=0,0,T17/T$12)</f>
        <v>0.74033950581553876</v>
      </c>
      <c r="W17" s="4"/>
      <c r="X17" s="4">
        <f t="shared" ref="X17:X19" si="10">+P17-T17</f>
        <v>-623281.35000000009</v>
      </c>
      <c r="Y17" s="4"/>
      <c r="Z17" s="13">
        <f t="shared" ref="Z17:Z19" si="11">IF(T17=0,0,X17/T17)</f>
        <v>-0.53432730444417853</v>
      </c>
    </row>
    <row r="18" spans="1:26" s="23" customFormat="1" hidden="1" outlineLevel="1" x14ac:dyDescent="0.25">
      <c r="A18" s="44"/>
      <c r="B18" s="10" t="str">
        <f>CONCATENATE("          ", "5001", " - ", "PURCHASES @ COST-NEW TEXT")</f>
        <v xml:space="preserve">          5001 - PURCHASES @ COST-NEW TEXT</v>
      </c>
      <c r="C18" s="10"/>
      <c r="D18" s="2">
        <v>128.88999999999999</v>
      </c>
      <c r="E18" s="2"/>
      <c r="F18" s="19">
        <f t="shared" si="4"/>
        <v>-1.1557381606107505E-2</v>
      </c>
      <c r="G18" s="2"/>
      <c r="H18" s="2">
        <v>8050.54</v>
      </c>
      <c r="I18" s="2"/>
      <c r="J18" s="19">
        <f t="shared" si="5"/>
        <v>0.28706899748679932</v>
      </c>
      <c r="K18" s="2"/>
      <c r="L18" s="2">
        <f t="shared" si="6"/>
        <v>-7921.65</v>
      </c>
      <c r="M18" s="2"/>
      <c r="N18" s="19">
        <f t="shared" si="7"/>
        <v>-0.98398989384563018</v>
      </c>
      <c r="O18" s="10"/>
      <c r="P18" s="2">
        <v>300559.03000000003</v>
      </c>
      <c r="Q18" s="2"/>
      <c r="R18" s="19">
        <f t="shared" si="8"/>
        <v>0.39284663648358464</v>
      </c>
      <c r="S18" s="2"/>
      <c r="T18" s="2">
        <v>485272.46</v>
      </c>
      <c r="U18" s="2"/>
      <c r="V18" s="19">
        <f t="shared" si="9"/>
        <v>0.30799226189152434</v>
      </c>
      <c r="W18" s="2"/>
      <c r="X18" s="2">
        <f t="shared" si="10"/>
        <v>-184713.43</v>
      </c>
      <c r="Y18" s="2"/>
      <c r="Z18" s="19">
        <f t="shared" si="11"/>
        <v>-0.38063860042665515</v>
      </c>
    </row>
    <row r="19" spans="1:26" s="23" customFormat="1" hidden="1" outlineLevel="1" x14ac:dyDescent="0.25">
      <c r="A19" s="44"/>
      <c r="B19" s="10" t="str">
        <f>CONCATENATE("          ", "5002", " - ", "PURCHASES @ COST-USED TEXT")</f>
        <v xml:space="preserve">          5002 - PURCHASES @ COST-USED TEXT</v>
      </c>
      <c r="C19" s="10"/>
      <c r="D19" s="2">
        <v>145.61000000000001</v>
      </c>
      <c r="E19" s="2"/>
      <c r="F19" s="19">
        <f t="shared" si="4"/>
        <v>-1.3056640047058065E-2</v>
      </c>
      <c r="G19" s="2"/>
      <c r="H19" s="2">
        <v>8290.99</v>
      </c>
      <c r="I19" s="2"/>
      <c r="J19" s="19">
        <f t="shared" si="5"/>
        <v>0.29564304847539147</v>
      </c>
      <c r="K19" s="2"/>
      <c r="L19" s="2">
        <f t="shared" si="6"/>
        <v>-8145.38</v>
      </c>
      <c r="M19" s="2"/>
      <c r="N19" s="19">
        <f t="shared" si="7"/>
        <v>-0.98243756173870678</v>
      </c>
      <c r="O19" s="10"/>
      <c r="P19" s="2">
        <v>242638.19</v>
      </c>
      <c r="Q19" s="2"/>
      <c r="R19" s="19">
        <f t="shared" si="8"/>
        <v>0.31714101826840785</v>
      </c>
      <c r="S19" s="2"/>
      <c r="T19" s="2">
        <v>681206.11</v>
      </c>
      <c r="U19" s="2"/>
      <c r="V19" s="19">
        <f t="shared" si="9"/>
        <v>0.43234724392401436</v>
      </c>
      <c r="W19" s="2"/>
      <c r="X19" s="2">
        <f t="shared" si="10"/>
        <v>-438567.92</v>
      </c>
      <c r="Y19" s="2"/>
      <c r="Z19" s="19">
        <f t="shared" si="11"/>
        <v>-0.6438109018135495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9" t="s">
        <v>107</v>
      </c>
      <c r="C21" s="29"/>
      <c r="D21" s="20">
        <f>D12-D17</f>
        <v>-11426.68</v>
      </c>
      <c r="E21" s="14"/>
      <c r="F21" s="22">
        <f>IF(D$12=0,0,D21/D$12)</f>
        <v>1.0246140216531656</v>
      </c>
      <c r="G21" s="14"/>
      <c r="H21" s="20">
        <f>H12-H17</f>
        <v>11702.39</v>
      </c>
      <c r="I21" s="14"/>
      <c r="J21" s="22">
        <f>IF(H$12=0,0,H21/H$12)</f>
        <v>0.41728795403780927</v>
      </c>
      <c r="K21" s="16"/>
      <c r="L21" s="20">
        <f>+D21-H21</f>
        <v>-23129.07</v>
      </c>
      <c r="M21" s="16"/>
      <c r="N21" s="22">
        <f>IF(H21=0,0,L21/H21)</f>
        <v>-1.9764398554483316</v>
      </c>
      <c r="O21" s="28"/>
      <c r="P21" s="20">
        <f>P12-P17</f>
        <v>221882.59000000008</v>
      </c>
      <c r="Q21" s="14"/>
      <c r="R21" s="22">
        <f>IF(P$12=0,0,P21/P$12)</f>
        <v>0.29001234524800762</v>
      </c>
      <c r="S21" s="14"/>
      <c r="T21" s="20">
        <f>T12-T17</f>
        <v>409120.94999999995</v>
      </c>
      <c r="U21" s="14"/>
      <c r="V21" s="22">
        <f>IF(T$12=0,0,T21/T$12)</f>
        <v>0.25966049418446124</v>
      </c>
      <c r="W21" s="16"/>
      <c r="X21" s="20">
        <f>+P21-T21</f>
        <v>-187238.35999999987</v>
      </c>
      <c r="Y21" s="16"/>
      <c r="Z21" s="22">
        <f>IF(T21=0,0,X21/T21)</f>
        <v>-0.45766016137770477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8" t="s">
        <v>294</v>
      </c>
      <c r="C23" s="11"/>
      <c r="D23" s="21">
        <f>SUM(0)</f>
        <v>0</v>
      </c>
      <c r="E23" s="21"/>
      <c r="F23" s="31">
        <f>IF(D$12=0,0,D23/D$12)</f>
        <v>0</v>
      </c>
      <c r="G23" s="21"/>
      <c r="H23" s="21">
        <f>SUM(0)</f>
        <v>0</v>
      </c>
      <c r="I23" s="21"/>
      <c r="J23" s="31">
        <f>IF(H$12=0,0,H23/H$12)</f>
        <v>0</v>
      </c>
      <c r="K23" s="4"/>
      <c r="L23" s="21">
        <f>+D23-H23</f>
        <v>0</v>
      </c>
      <c r="M23" s="4"/>
      <c r="N23" s="31">
        <f>IF(H23=0,0,L23/H23)</f>
        <v>0</v>
      </c>
      <c r="O23" s="11"/>
      <c r="P23" s="21">
        <f>SUM(0)</f>
        <v>0</v>
      </c>
      <c r="Q23" s="21"/>
      <c r="R23" s="31">
        <f>IF(P$12=0,0,P23/P$12)</f>
        <v>0</v>
      </c>
      <c r="S23" s="21"/>
      <c r="T23" s="21">
        <f>SUM(0)</f>
        <v>0</v>
      </c>
      <c r="U23" s="21"/>
      <c r="V23" s="31">
        <f>IF(T$12=0,0,T23/T$12)</f>
        <v>0</v>
      </c>
      <c r="W23" s="4"/>
      <c r="X23" s="21">
        <f>+P23-T23</f>
        <v>0</v>
      </c>
      <c r="Y23" s="4"/>
      <c r="Z23" s="31">
        <f>IF(T23=0,0,X23/T23)</f>
        <v>0</v>
      </c>
    </row>
    <row r="24" spans="1:26" s="62" customFormat="1" x14ac:dyDescent="0.25">
      <c r="A24" s="37"/>
      <c r="B24" s="37"/>
      <c r="C24" s="37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4" customFormat="1" x14ac:dyDescent="0.25">
      <c r="A25" s="11"/>
      <c r="B25" s="28" t="s">
        <v>292</v>
      </c>
      <c r="C25" s="11"/>
      <c r="D25" s="4">
        <f>SUM(0)</f>
        <v>0</v>
      </c>
      <c r="E25" s="4"/>
      <c r="F25" s="13">
        <f>IF(D$12=0,0,D25/D$12)</f>
        <v>0</v>
      </c>
      <c r="G25" s="4"/>
      <c r="H25" s="4">
        <f>SUM(0)</f>
        <v>0</v>
      </c>
      <c r="I25" s="4"/>
      <c r="J25" s="13">
        <f>IF(H$12=0,0,H25/H$12)</f>
        <v>0</v>
      </c>
      <c r="K25" s="4"/>
      <c r="L25" s="4">
        <f>+D25-H25</f>
        <v>0</v>
      </c>
      <c r="M25" s="4"/>
      <c r="N25" s="13">
        <f>IF(H25=0,0,L25/H25)</f>
        <v>0</v>
      </c>
      <c r="O25" s="11"/>
      <c r="P25" s="4">
        <f>SUM(0)</f>
        <v>0</v>
      </c>
      <c r="Q25" s="4"/>
      <c r="R25" s="13">
        <f>IF(P$12=0,0,P25/P$12)</f>
        <v>0</v>
      </c>
      <c r="S25" s="4"/>
      <c r="T25" s="4">
        <f>SUM(0)</f>
        <v>0</v>
      </c>
      <c r="U25" s="4"/>
      <c r="V25" s="13">
        <f>IF(T$12=0,0,T25/T$12)</f>
        <v>0</v>
      </c>
      <c r="W25" s="4"/>
      <c r="X25" s="4">
        <f>+P25-T25</f>
        <v>0</v>
      </c>
      <c r="Y25" s="4"/>
      <c r="Z25" s="13">
        <f>IF(T25=0,0,X25/T25)</f>
        <v>0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>
        <f>+D21-D23+D25</f>
        <v>-11426.68</v>
      </c>
      <c r="E27" s="14"/>
      <c r="F27" s="22">
        <f>IF(D$12=0,0,D27/D$12)</f>
        <v>1.0246140216531656</v>
      </c>
      <c r="G27" s="14"/>
      <c r="H27" s="20">
        <f>+H21-H23+H25</f>
        <v>11702.39</v>
      </c>
      <c r="I27" s="14"/>
      <c r="J27" s="22">
        <f>IF(H$12=0,0,H27/H$12)</f>
        <v>0.41728795403780927</v>
      </c>
      <c r="K27" s="16"/>
      <c r="L27" s="20">
        <f>+D27-H27</f>
        <v>-23129.07</v>
      </c>
      <c r="M27" s="16"/>
      <c r="N27" s="22">
        <f>IF(H27=0,0,L27/H27)</f>
        <v>-1.9764398554483316</v>
      </c>
      <c r="O27" s="28"/>
      <c r="P27" s="20">
        <f>+P21-P23+P25</f>
        <v>221882.59000000008</v>
      </c>
      <c r="Q27" s="14"/>
      <c r="R27" s="22">
        <f>IF(P$12=0,0,P27/P$12)</f>
        <v>0.29001234524800762</v>
      </c>
      <c r="S27" s="14"/>
      <c r="T27" s="20">
        <f>+T21-T23+T25</f>
        <v>409120.94999999995</v>
      </c>
      <c r="U27" s="14"/>
      <c r="V27" s="22">
        <f>IF(T$12=0,0,T27/T$12)</f>
        <v>0.25966049418446124</v>
      </c>
      <c r="W27" s="16"/>
      <c r="X27" s="20">
        <f>+P27-T27</f>
        <v>-187238.35999999987</v>
      </c>
      <c r="Y27" s="16"/>
      <c r="Z27" s="22">
        <f>IF(T27=0,0,X27/T27)</f>
        <v>-0.45766016137770477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>
        <v>82.98</v>
      </c>
      <c r="E29" s="4"/>
      <c r="F29" s="13">
        <f>IF(D$12=0,0,D29/D$12)</f>
        <v>-7.4406976931864445E-3</v>
      </c>
      <c r="G29" s="4"/>
      <c r="H29" s="4">
        <v>13073.72</v>
      </c>
      <c r="I29" s="4"/>
      <c r="J29" s="13">
        <f>IF(H$12=0,0,H29/H$12)</f>
        <v>0.46618732331286067</v>
      </c>
      <c r="K29" s="4"/>
      <c r="L29" s="4">
        <f>+D29-H29</f>
        <v>-12990.74</v>
      </c>
      <c r="M29" s="4"/>
      <c r="N29" s="13">
        <f>IF(H29=0,0,L29/H29)</f>
        <v>-0.99365291592599503</v>
      </c>
      <c r="O29" s="11"/>
      <c r="P29" s="4">
        <v>160057.79999999999</v>
      </c>
      <c r="Q29" s="4"/>
      <c r="R29" s="13">
        <f>IF(P$12=0,0,P29/P$12)</f>
        <v>0.20920405676369891</v>
      </c>
      <c r="S29" s="4"/>
      <c r="T29" s="4">
        <v>178898.05</v>
      </c>
      <c r="U29" s="4"/>
      <c r="V29" s="13">
        <f>IF(T$12=0,0,T29/T$12)</f>
        <v>0.11354284367895719</v>
      </c>
      <c r="W29" s="4"/>
      <c r="X29" s="4">
        <f>+P29-T29</f>
        <v>-18840.25</v>
      </c>
      <c r="Y29" s="4"/>
      <c r="Z29" s="13">
        <f>IF(T29=0,0,X29/T29)</f>
        <v>-0.10531277451039853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>
        <f>+D27-D29</f>
        <v>-11509.66</v>
      </c>
      <c r="E31" s="14"/>
      <c r="F31" s="34">
        <f>IF(D$12=0,0,D31/D$12)</f>
        <v>1.0320547193463521</v>
      </c>
      <c r="G31" s="14"/>
      <c r="H31" s="30">
        <f>+H27-H29</f>
        <v>-1371.33</v>
      </c>
      <c r="I31" s="14"/>
      <c r="J31" s="34">
        <f>IF(H$12=0,0,H31/H$12)</f>
        <v>-4.8899369275051417E-2</v>
      </c>
      <c r="K31" s="16"/>
      <c r="L31" s="30">
        <f>D31-H31</f>
        <v>-10138.33</v>
      </c>
      <c r="M31" s="16"/>
      <c r="N31" s="34">
        <f>IF(H31=0,0,L31/H31)</f>
        <v>7.3930636681178132</v>
      </c>
      <c r="O31" s="28"/>
      <c r="P31" s="30">
        <f>+P27-P29</f>
        <v>61824.790000000095</v>
      </c>
      <c r="Q31" s="14"/>
      <c r="R31" s="34">
        <f>IF(P$12=0,0,P31/P$12)</f>
        <v>8.080828848430871E-2</v>
      </c>
      <c r="S31" s="14"/>
      <c r="T31" s="30">
        <f>+T27-T29</f>
        <v>230222.89999999997</v>
      </c>
      <c r="U31" s="14"/>
      <c r="V31" s="34">
        <f>IF(T$12=0,0,T31/T$12)</f>
        <v>0.14611765050550407</v>
      </c>
      <c r="W31" s="16"/>
      <c r="X31" s="30">
        <f>P31-T31</f>
        <v>-168398.10999999987</v>
      </c>
      <c r="Y31" s="16"/>
      <c r="Z31" s="34">
        <f>IF(T31=0,0,X31/T31)</f>
        <v>-0.73145681858755096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4" customFormat="1" ht="15.75" thickBot="1" x14ac:dyDescent="0.3">
      <c r="A34" s="11"/>
      <c r="B34" s="29" t="s">
        <v>293</v>
      </c>
      <c r="C34" s="29"/>
      <c r="D34" s="32">
        <f>SUM(D31:D33)</f>
        <v>-11509.66</v>
      </c>
      <c r="E34" s="14"/>
      <c r="F34" s="35">
        <f>IF(D$12=0,0,D34/D$12)</f>
        <v>1.0320547193463521</v>
      </c>
      <c r="G34" s="14"/>
      <c r="H34" s="32">
        <f>SUM(H31:H33)</f>
        <v>-1371.33</v>
      </c>
      <c r="I34" s="14"/>
      <c r="J34" s="35">
        <f>IF(H$12=0,0,H34/H$12)</f>
        <v>-4.8899369275051417E-2</v>
      </c>
      <c r="K34" s="16"/>
      <c r="L34" s="32">
        <f>+D34-H34</f>
        <v>-10138.33</v>
      </c>
      <c r="M34" s="16"/>
      <c r="N34" s="35">
        <f>IF(H34=0,0,L34/H34)</f>
        <v>7.3930636681178132</v>
      </c>
      <c r="O34" s="28"/>
      <c r="P34" s="32">
        <f>SUM(P31:P33)</f>
        <v>61824.790000000095</v>
      </c>
      <c r="Q34" s="14"/>
      <c r="R34" s="35">
        <f>IF(P$12=0,0,P34/P$12)</f>
        <v>8.080828848430871E-2</v>
      </c>
      <c r="S34" s="14"/>
      <c r="T34" s="32">
        <f>SUM(T31:T33)</f>
        <v>230222.89999999997</v>
      </c>
      <c r="U34" s="14"/>
      <c r="V34" s="35">
        <f>IF(T$12=0,0,T34/T$12)</f>
        <v>0.14611765050550407</v>
      </c>
      <c r="W34" s="16"/>
      <c r="X34" s="32">
        <f>+P34-T34</f>
        <v>-168398.10999999987</v>
      </c>
      <c r="Y34" s="16"/>
      <c r="Z34" s="35">
        <f>IF(T34=0,0,X34/T34)</f>
        <v>-0.73145681858755096</v>
      </c>
    </row>
    <row r="35" spans="1:26" ht="15.75" thickTop="1" x14ac:dyDescent="0.25">
      <c r="A35" s="9"/>
      <c r="C35" s="9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6" x14ac:dyDescent="0.25">
      <c r="A36" s="9"/>
      <c r="B36" s="59">
        <v>44330.00886898148</v>
      </c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25">
      <c r="A37" s="9"/>
      <c r="B37" s="52" t="s">
        <v>56</v>
      </c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8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22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409112.63</v>
      </c>
      <c r="E12" s="4"/>
      <c r="F12" s="13"/>
      <c r="G12" s="4"/>
      <c r="H12" s="4">
        <f>SUM(OSRRefH13x_0)</f>
        <v>124650.43999999997</v>
      </c>
      <c r="I12" s="4"/>
      <c r="J12" s="13"/>
      <c r="K12" s="4"/>
      <c r="L12" s="4">
        <f t="shared" ref="L12:L54" si="0">+D12-H12</f>
        <v>284462.19000000006</v>
      </c>
      <c r="M12" s="4"/>
      <c r="N12" s="13">
        <f t="shared" ref="N12:N54" si="1">IF(H12=0,0,L12/H12)</f>
        <v>2.2820793091464426</v>
      </c>
      <c r="O12" s="11"/>
      <c r="P12" s="4">
        <f>SUM(OSRRefP13x_0)</f>
        <v>1886993.4999999995</v>
      </c>
      <c r="Q12" s="4"/>
      <c r="R12" s="13"/>
      <c r="S12" s="4"/>
      <c r="T12" s="4">
        <f>SUM(OSRRefT13x_0)</f>
        <v>2587978.1400000006</v>
      </c>
      <c r="U12" s="4"/>
      <c r="V12" s="13"/>
      <c r="W12" s="4"/>
      <c r="X12" s="4">
        <f t="shared" ref="X12:X54" si="2">+P12-T12</f>
        <v>-700984.64000000106</v>
      </c>
      <c r="Y12" s="4"/>
      <c r="Z12" s="13">
        <f t="shared" ref="Z12:Z54" si="3">IF(T12=0,0,X12/T12)</f>
        <v>-0.27086188602814121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-12952.02</f>
        <v>-12952.02</v>
      </c>
      <c r="E13" s="2"/>
      <c r="F13" s="19"/>
      <c r="G13" s="2"/>
      <c r="H13" s="2">
        <f t="shared" ref="H13:H19" si="4">0</f>
        <v>0</v>
      </c>
      <c r="I13" s="2"/>
      <c r="J13" s="19"/>
      <c r="K13" s="2"/>
      <c r="L13" s="2">
        <f t="shared" si="0"/>
        <v>-12952.02</v>
      </c>
      <c r="M13" s="2"/>
      <c r="N13" s="19">
        <f t="shared" si="1"/>
        <v>0</v>
      </c>
      <c r="O13" s="10"/>
      <c r="P13" s="2">
        <f>-123410.75</f>
        <v>-123410.75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-123410.75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"4025", " - ", "TAXABLE SALES-TEST FORMS")</f>
        <v xml:space="preserve">          4025 - TAXABLE SALES-TEST FORMS</v>
      </c>
      <c r="C14" s="10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--13.62</f>
        <v>13.62</v>
      </c>
      <c r="U14" s="2"/>
      <c r="V14" s="19"/>
      <c r="W14" s="2"/>
      <c r="X14" s="2">
        <f t="shared" si="2"/>
        <v>-13.62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"4026", " - ", "TAXABLE SALES-WRITING INSTRUME")</f>
        <v xml:space="preserve">          4026 - TAXABLE SALES-WRITING INSTRUME</v>
      </c>
      <c r="C15" s="10"/>
      <c r="D15" s="2">
        <f>--21.42</f>
        <v>21.42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21.42</v>
      </c>
      <c r="M15" s="2"/>
      <c r="N15" s="19">
        <f t="shared" si="1"/>
        <v>0</v>
      </c>
      <c r="O15" s="10"/>
      <c r="P15" s="2">
        <f>--468.66</f>
        <v>468.66</v>
      </c>
      <c r="Q15" s="2"/>
      <c r="R15" s="19"/>
      <c r="S15" s="2"/>
      <c r="T15" s="2">
        <f>--229.51</f>
        <v>229.51</v>
      </c>
      <c r="U15" s="2"/>
      <c r="V15" s="19"/>
      <c r="W15" s="2"/>
      <c r="X15" s="2">
        <f t="shared" si="2"/>
        <v>239.15000000000003</v>
      </c>
      <c r="Y15" s="2"/>
      <c r="Z15" s="19">
        <f t="shared" si="3"/>
        <v>1.0420025271230013</v>
      </c>
    </row>
    <row r="16" spans="1:26" s="23" customFormat="1" hidden="1" outlineLevel="1" x14ac:dyDescent="0.25">
      <c r="A16" s="44"/>
      <c r="B16" s="10" t="str">
        <f>CONCATENATE("          ", "4027", " - ", "TAXABLE SALES-SCHOOL SUPPLIES")</f>
        <v xml:space="preserve">          4027 - TAXABLE SALES-SCHOOL SUPPLIES</v>
      </c>
      <c r="C16" s="10"/>
      <c r="D16" s="2">
        <f>--6558.65</f>
        <v>6558.65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6558.65</v>
      </c>
      <c r="M16" s="2"/>
      <c r="N16" s="19">
        <f t="shared" si="1"/>
        <v>0</v>
      </c>
      <c r="O16" s="10"/>
      <c r="P16" s="2">
        <f>--56080.65</f>
        <v>56080.65</v>
      </c>
      <c r="Q16" s="2"/>
      <c r="R16" s="19"/>
      <c r="S16" s="2"/>
      <c r="T16" s="2">
        <f>--161.59</f>
        <v>161.59</v>
      </c>
      <c r="U16" s="2"/>
      <c r="V16" s="19"/>
      <c r="W16" s="2"/>
      <c r="X16" s="2">
        <f t="shared" si="2"/>
        <v>55919.060000000005</v>
      </c>
      <c r="Y16" s="2"/>
      <c r="Z16" s="19">
        <f t="shared" si="3"/>
        <v>346.05520143573244</v>
      </c>
    </row>
    <row r="17" spans="1:26" s="23" customFormat="1" hidden="1" outlineLevel="1" x14ac:dyDescent="0.25">
      <c r="A17" s="44"/>
      <c r="B17" s="10" t="str">
        <f>CONCATENATE("          ", "4028", " - ", "TAXABLE SALES-ART/TECH")</f>
        <v xml:space="preserve">          4028 - TAXABLE SALES-ART/TECH</v>
      </c>
      <c r="C17" s="10"/>
      <c r="D17" s="2">
        <f>--2650.79</f>
        <v>2650.79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2650.79</v>
      </c>
      <c r="M17" s="2"/>
      <c r="N17" s="19">
        <f t="shared" si="1"/>
        <v>0</v>
      </c>
      <c r="O17" s="10"/>
      <c r="P17" s="2">
        <f>--34421.12</f>
        <v>34421.120000000003</v>
      </c>
      <c r="Q17" s="2"/>
      <c r="R17" s="19"/>
      <c r="S17" s="2"/>
      <c r="T17" s="2">
        <f t="shared" ref="T17:T19" si="5">0</f>
        <v>0</v>
      </c>
      <c r="U17" s="2"/>
      <c r="V17" s="19"/>
      <c r="W17" s="2"/>
      <c r="X17" s="2">
        <f t="shared" si="2"/>
        <v>34421.120000000003</v>
      </c>
      <c r="Y17" s="2"/>
      <c r="Z17" s="19">
        <f t="shared" si="3"/>
        <v>0</v>
      </c>
    </row>
    <row r="18" spans="1:26" s="23" customFormat="1" hidden="1" outlineLevel="1" x14ac:dyDescent="0.25">
      <c r="A18" s="44"/>
      <c r="B18" s="10" t="str">
        <f>CONCATENATE("          ", "4031", " - ", "TAXABLE SALES-FOOD")</f>
        <v xml:space="preserve">          4031 - TAXABLE SALES-FOOD</v>
      </c>
      <c r="C18" s="10"/>
      <c r="D18" s="2">
        <f>--595.72</f>
        <v>595.72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595.72</v>
      </c>
      <c r="M18" s="2"/>
      <c r="N18" s="19">
        <f t="shared" si="1"/>
        <v>0</v>
      </c>
      <c r="O18" s="10"/>
      <c r="P18" s="2">
        <f>--3836.04</f>
        <v>3836.04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3836.04</v>
      </c>
      <c r="Y18" s="2"/>
      <c r="Z18" s="19">
        <f t="shared" si="3"/>
        <v>0</v>
      </c>
    </row>
    <row r="19" spans="1:26" s="23" customFormat="1" hidden="1" outlineLevel="1" x14ac:dyDescent="0.25">
      <c r="A19" s="44"/>
      <c r="B19" s="10" t="str">
        <f>CONCATENATE("          ", "4034", " - ", "TAXABLE SALES-SODA")</f>
        <v xml:space="preserve">          4034 - TAXABLE SALES-SODA</v>
      </c>
      <c r="C19" s="10"/>
      <c r="D19" s="2">
        <f>0</f>
        <v>0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0"/>
      <c r="P19" s="2">
        <f>--6.78</f>
        <v>6.78</v>
      </c>
      <c r="Q19" s="2"/>
      <c r="R19" s="19"/>
      <c r="S19" s="2"/>
      <c r="T19" s="2">
        <f t="shared" si="5"/>
        <v>0</v>
      </c>
      <c r="U19" s="2"/>
      <c r="V19" s="19"/>
      <c r="W19" s="2"/>
      <c r="X19" s="2">
        <f t="shared" si="2"/>
        <v>6.78</v>
      </c>
      <c r="Y19" s="2"/>
      <c r="Z19" s="19">
        <f t="shared" si="3"/>
        <v>0</v>
      </c>
    </row>
    <row r="20" spans="1:26" s="23" customFormat="1" hidden="1" outlineLevel="1" x14ac:dyDescent="0.25">
      <c r="A20" s="44"/>
      <c r="B20" s="10" t="str">
        <f>CONCATENATE("          ", "4040", " - ", "TAXABLE SALES-LOGO CLOTHING")</f>
        <v xml:space="preserve">          4040 - TAXABLE SALES-LOGO CLOTHING</v>
      </c>
      <c r="C20" s="10"/>
      <c r="D20" s="2">
        <f>--159179.58</f>
        <v>159179.57999999999</v>
      </c>
      <c r="E20" s="2"/>
      <c r="F20" s="19"/>
      <c r="G20" s="2"/>
      <c r="H20" s="2">
        <f>--67974.91</f>
        <v>67974.91</v>
      </c>
      <c r="I20" s="2"/>
      <c r="J20" s="19"/>
      <c r="K20" s="2"/>
      <c r="L20" s="2">
        <f t="shared" si="0"/>
        <v>91204.669999999984</v>
      </c>
      <c r="M20" s="2"/>
      <c r="N20" s="19">
        <f t="shared" si="1"/>
        <v>1.3417402097332674</v>
      </c>
      <c r="O20" s="10"/>
      <c r="P20" s="2">
        <f>--913180.73</f>
        <v>913180.73</v>
      </c>
      <c r="Q20" s="2"/>
      <c r="R20" s="19"/>
      <c r="S20" s="2"/>
      <c r="T20" s="2">
        <f>--1844103.4</f>
        <v>1844103.4</v>
      </c>
      <c r="U20" s="2"/>
      <c r="V20" s="19"/>
      <c r="W20" s="2"/>
      <c r="X20" s="2">
        <f t="shared" si="2"/>
        <v>-930922.66999999993</v>
      </c>
      <c r="Y20" s="2"/>
      <c r="Z20" s="19">
        <f t="shared" si="3"/>
        <v>-0.50481045151806558</v>
      </c>
    </row>
    <row r="21" spans="1:26" s="23" customFormat="1" hidden="1" outlineLevel="1" x14ac:dyDescent="0.25">
      <c r="A21" s="44"/>
      <c r="B21" s="10" t="str">
        <f>CONCATENATE("          ", "4041", " - ", "TAXABLE SALES-LOGO GIFTS")</f>
        <v xml:space="preserve">          4041 - TAXABLE SALES-LOGO GIFTS</v>
      </c>
      <c r="C21" s="10"/>
      <c r="D21" s="2">
        <f>--116178</f>
        <v>116178</v>
      </c>
      <c r="E21" s="2"/>
      <c r="F21" s="19"/>
      <c r="G21" s="2"/>
      <c r="H21" s="2">
        <f>--14090.87</f>
        <v>14090.87</v>
      </c>
      <c r="I21" s="2"/>
      <c r="J21" s="19"/>
      <c r="K21" s="2"/>
      <c r="L21" s="2">
        <f t="shared" si="0"/>
        <v>102087.13</v>
      </c>
      <c r="M21" s="2"/>
      <c r="N21" s="19">
        <f t="shared" si="1"/>
        <v>7.2449131955656396</v>
      </c>
      <c r="O21" s="10"/>
      <c r="P21" s="2">
        <f>--347536.81</f>
        <v>347536.81</v>
      </c>
      <c r="Q21" s="2"/>
      <c r="R21" s="19"/>
      <c r="S21" s="2"/>
      <c r="T21" s="2">
        <f>--306431.84</f>
        <v>306431.84000000003</v>
      </c>
      <c r="U21" s="2"/>
      <c r="V21" s="19"/>
      <c r="W21" s="2"/>
      <c r="X21" s="2">
        <f t="shared" si="2"/>
        <v>41104.969999999972</v>
      </c>
      <c r="Y21" s="2"/>
      <c r="Z21" s="19">
        <f t="shared" si="3"/>
        <v>0.1341406624063608</v>
      </c>
    </row>
    <row r="22" spans="1:26" s="23" customFormat="1" hidden="1" outlineLevel="1" x14ac:dyDescent="0.25">
      <c r="A22" s="44"/>
      <c r="B22" s="10" t="str">
        <f>CONCATENATE("          ", "4042", " - ", "TAXABLE SALES-EVERYDAY GIFTS")</f>
        <v xml:space="preserve">          4042 - TAXABLE SALES-EVERYDAY GIFTS</v>
      </c>
      <c r="C22" s="10"/>
      <c r="D22" s="2">
        <f>--9350.43</f>
        <v>9350.43</v>
      </c>
      <c r="E22" s="2"/>
      <c r="F22" s="19"/>
      <c r="G22" s="2"/>
      <c r="H22" s="2">
        <f>--1459.57</f>
        <v>1459.57</v>
      </c>
      <c r="I22" s="2"/>
      <c r="J22" s="19"/>
      <c r="K22" s="2"/>
      <c r="L22" s="2">
        <f t="shared" si="0"/>
        <v>7890.8600000000006</v>
      </c>
      <c r="M22" s="2"/>
      <c r="N22" s="19">
        <f t="shared" si="1"/>
        <v>5.4062908938934076</v>
      </c>
      <c r="O22" s="10"/>
      <c r="P22" s="2">
        <f>--83578.68</f>
        <v>83578.679999999993</v>
      </c>
      <c r="Q22" s="2"/>
      <c r="R22" s="19"/>
      <c r="S22" s="2"/>
      <c r="T22" s="2">
        <f>--204271.87</f>
        <v>204271.87</v>
      </c>
      <c r="U22" s="2"/>
      <c r="V22" s="19"/>
      <c r="W22" s="2"/>
      <c r="X22" s="2">
        <f t="shared" si="2"/>
        <v>-120693.19</v>
      </c>
      <c r="Y22" s="2"/>
      <c r="Z22" s="19">
        <f t="shared" si="3"/>
        <v>-0.59084586634469061</v>
      </c>
    </row>
    <row r="23" spans="1:26" s="23" customFormat="1" hidden="1" outlineLevel="1" x14ac:dyDescent="0.25">
      <c r="A23" s="44"/>
      <c r="B23" s="10" t="str">
        <f>CONCATENATE("          ", "4043", " - ", "TAXABLE SALES-CARDS")</f>
        <v xml:space="preserve">          4043 - TAXABLE SALES-CARDS</v>
      </c>
      <c r="C23" s="10"/>
      <c r="D23" s="2">
        <f>--4423.21</f>
        <v>4423.21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4423.21</v>
      </c>
      <c r="M23" s="2"/>
      <c r="N23" s="19">
        <f t="shared" si="1"/>
        <v>0</v>
      </c>
      <c r="O23" s="10"/>
      <c r="P23" s="2">
        <f>--136806.7</f>
        <v>136806.70000000001</v>
      </c>
      <c r="Q23" s="2"/>
      <c r="R23" s="19"/>
      <c r="S23" s="2"/>
      <c r="T23" s="2">
        <f>--76297.51</f>
        <v>76297.509999999995</v>
      </c>
      <c r="U23" s="2"/>
      <c r="V23" s="19"/>
      <c r="W23" s="2"/>
      <c r="X23" s="2">
        <f t="shared" si="2"/>
        <v>60509.190000000017</v>
      </c>
      <c r="Y23" s="2"/>
      <c r="Z23" s="19">
        <f t="shared" si="3"/>
        <v>0.79306900054798668</v>
      </c>
    </row>
    <row r="24" spans="1:26" s="23" customFormat="1" hidden="1" outlineLevel="1" x14ac:dyDescent="0.25">
      <c r="A24" s="44"/>
      <c r="B24" s="10" t="str">
        <f>CONCATENATE("          ", "4044", " - ", "TAXABLE SALES-ACCESSORIES")</f>
        <v xml:space="preserve">          4044 - TAXABLE SALES-ACCESSORIES</v>
      </c>
      <c r="C24" s="10"/>
      <c r="D24" s="2">
        <f>--4745.38</f>
        <v>4745.38</v>
      </c>
      <c r="E24" s="2"/>
      <c r="F24" s="19"/>
      <c r="G24" s="2"/>
      <c r="H24" s="2">
        <f>--673.79</f>
        <v>673.79</v>
      </c>
      <c r="I24" s="2"/>
      <c r="J24" s="19"/>
      <c r="K24" s="2"/>
      <c r="L24" s="2">
        <f t="shared" si="0"/>
        <v>4071.59</v>
      </c>
      <c r="M24" s="2"/>
      <c r="N24" s="19">
        <f t="shared" si="1"/>
        <v>6.0428174950652283</v>
      </c>
      <c r="O24" s="10"/>
      <c r="P24" s="2">
        <f>--36092.23</f>
        <v>36092.230000000003</v>
      </c>
      <c r="Q24" s="2"/>
      <c r="R24" s="19"/>
      <c r="S24" s="2"/>
      <c r="T24" s="2">
        <f>--66925.84</f>
        <v>66925.84</v>
      </c>
      <c r="U24" s="2"/>
      <c r="V24" s="19"/>
      <c r="W24" s="2"/>
      <c r="X24" s="2">
        <f t="shared" si="2"/>
        <v>-30833.609999999993</v>
      </c>
      <c r="Y24" s="2"/>
      <c r="Z24" s="19">
        <f t="shared" si="3"/>
        <v>-0.46071308182310444</v>
      </c>
    </row>
    <row r="25" spans="1:26" s="23" customFormat="1" hidden="1" outlineLevel="1" x14ac:dyDescent="0.25">
      <c r="A25" s="44"/>
      <c r="B25" s="10" t="str">
        <f>CONCATENATE("          ", "4045", " - ", "TAXABLE SALES-SPECIAL ORDERS")</f>
        <v xml:space="preserve">          4045 - TAXABLE SALES-SPECIAL ORDERS</v>
      </c>
      <c r="C25" s="10"/>
      <c r="D25" s="2">
        <f>--63044.9</f>
        <v>63044.9</v>
      </c>
      <c r="E25" s="2"/>
      <c r="F25" s="19"/>
      <c r="G25" s="2"/>
      <c r="H25" s="2">
        <f>--8913.15</f>
        <v>8913.15</v>
      </c>
      <c r="I25" s="2"/>
      <c r="J25" s="19"/>
      <c r="K25" s="2"/>
      <c r="L25" s="2">
        <f t="shared" si="0"/>
        <v>54131.75</v>
      </c>
      <c r="M25" s="2"/>
      <c r="N25" s="19">
        <f t="shared" si="1"/>
        <v>6.0732457099902959</v>
      </c>
      <c r="O25" s="10"/>
      <c r="P25" s="2">
        <f>--207242.34</f>
        <v>207242.34</v>
      </c>
      <c r="Q25" s="2"/>
      <c r="R25" s="19"/>
      <c r="S25" s="2"/>
      <c r="T25" s="2">
        <f>--83313.97</f>
        <v>83313.97</v>
      </c>
      <c r="U25" s="2"/>
      <c r="V25" s="19"/>
      <c r="W25" s="2"/>
      <c r="X25" s="2">
        <f t="shared" si="2"/>
        <v>123928.37</v>
      </c>
      <c r="Y25" s="2"/>
      <c r="Z25" s="19">
        <f t="shared" si="3"/>
        <v>1.4874860722637511</v>
      </c>
    </row>
    <row r="26" spans="1:26" s="23" customFormat="1" hidden="1" outlineLevel="1" x14ac:dyDescent="0.25">
      <c r="A26" s="44"/>
      <c r="B26" s="10" t="str">
        <f>CONCATENATE("          ", "4092", " - ", "TAXABLE SALES-GRAD MERCH")</f>
        <v xml:space="preserve">          4092 - TAXABLE SALES-GRAD MERCH</v>
      </c>
      <c r="C26" s="10"/>
      <c r="D26" s="2">
        <f t="shared" ref="D26:D28" si="6">0</f>
        <v>0</v>
      </c>
      <c r="E26" s="2"/>
      <c r="F26" s="19"/>
      <c r="G26" s="2"/>
      <c r="H26" s="2">
        <f t="shared" ref="H26:H35" si="7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0"/>
      <c r="P26" s="2">
        <f t="shared" ref="P26:P27" si="8">0</f>
        <v>0</v>
      </c>
      <c r="Q26" s="2"/>
      <c r="R26" s="19"/>
      <c r="S26" s="2"/>
      <c r="T26" s="2">
        <f>-39.95</f>
        <v>-39.950000000000003</v>
      </c>
      <c r="U26" s="2"/>
      <c r="V26" s="19"/>
      <c r="W26" s="2"/>
      <c r="X26" s="2">
        <f t="shared" si="2"/>
        <v>39.950000000000003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"4095", " - ", "TAXABLE SALES-CUSTOMER SERVICE")</f>
        <v xml:space="preserve">          4095 - TAXABLE SALES-CUSTOMER SERVICE</v>
      </c>
      <c r="C27" s="10"/>
      <c r="D27" s="2">
        <f t="shared" si="6"/>
        <v>0</v>
      </c>
      <c r="E27" s="2"/>
      <c r="F27" s="19"/>
      <c r="G27" s="2"/>
      <c r="H27" s="2">
        <f t="shared" si="7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si="8"/>
        <v>0</v>
      </c>
      <c r="Q27" s="2"/>
      <c r="R27" s="19"/>
      <c r="S27" s="2"/>
      <c r="T27" s="2">
        <f>--29.7</f>
        <v>29.7</v>
      </c>
      <c r="U27" s="2"/>
      <c r="V27" s="19"/>
      <c r="W27" s="2"/>
      <c r="X27" s="2">
        <f t="shared" si="2"/>
        <v>-29.7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"4126", " - ", "NON-TAXABLE SALES-WRITING INST")</f>
        <v xml:space="preserve">          4126 - NON-TAXABLE SALES-WRITING INST</v>
      </c>
      <c r="C28" s="10"/>
      <c r="D28" s="2">
        <f t="shared" si="6"/>
        <v>0</v>
      </c>
      <c r="E28" s="2"/>
      <c r="F28" s="19"/>
      <c r="G28" s="2"/>
      <c r="H28" s="2">
        <f t="shared" si="7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>--52.68</f>
        <v>52.68</v>
      </c>
      <c r="Q28" s="2"/>
      <c r="R28" s="19"/>
      <c r="S28" s="2"/>
      <c r="T28" s="2">
        <f t="shared" ref="T28:T34" si="9">0</f>
        <v>0</v>
      </c>
      <c r="U28" s="2"/>
      <c r="V28" s="19"/>
      <c r="W28" s="2"/>
      <c r="X28" s="2">
        <f t="shared" si="2"/>
        <v>52.68</v>
      </c>
      <c r="Y28" s="2"/>
      <c r="Z28" s="19">
        <f t="shared" si="3"/>
        <v>0</v>
      </c>
    </row>
    <row r="29" spans="1:26" s="23" customFormat="1" hidden="1" outlineLevel="1" x14ac:dyDescent="0.25">
      <c r="A29" s="44"/>
      <c r="B29" s="10" t="str">
        <f>CONCATENATE("          ", "4127", " - ", "NON-TAXABLE SALES-SCHOOL SUPPL")</f>
        <v xml:space="preserve">          4127 - NON-TAXABLE SALES-SCHOOL SUPPL</v>
      </c>
      <c r="C29" s="10"/>
      <c r="D29" s="2">
        <f>--493.37</f>
        <v>493.37</v>
      </c>
      <c r="E29" s="2"/>
      <c r="F29" s="19"/>
      <c r="G29" s="2"/>
      <c r="H29" s="2">
        <f t="shared" si="7"/>
        <v>0</v>
      </c>
      <c r="I29" s="2"/>
      <c r="J29" s="19"/>
      <c r="K29" s="2"/>
      <c r="L29" s="2">
        <f t="shared" si="0"/>
        <v>493.37</v>
      </c>
      <c r="M29" s="2"/>
      <c r="N29" s="19">
        <f t="shared" si="1"/>
        <v>0</v>
      </c>
      <c r="O29" s="10"/>
      <c r="P29" s="2">
        <f>--7100.68</f>
        <v>7100.68</v>
      </c>
      <c r="Q29" s="2"/>
      <c r="R29" s="19"/>
      <c r="S29" s="2"/>
      <c r="T29" s="2">
        <f t="shared" si="9"/>
        <v>0</v>
      </c>
      <c r="U29" s="2"/>
      <c r="V29" s="19"/>
      <c r="W29" s="2"/>
      <c r="X29" s="2">
        <f t="shared" si="2"/>
        <v>7100.68</v>
      </c>
      <c r="Y29" s="2"/>
      <c r="Z29" s="19">
        <f t="shared" si="3"/>
        <v>0</v>
      </c>
    </row>
    <row r="30" spans="1:26" s="23" customFormat="1" hidden="1" outlineLevel="1" x14ac:dyDescent="0.25">
      <c r="A30" s="44"/>
      <c r="B30" s="10" t="str">
        <f>CONCATENATE("          ", "4128", " - ", "NON-TAXABLE SALES-ART/TECH")</f>
        <v xml:space="preserve">          4128 - NON-TAXABLE SALES-ART/TECH</v>
      </c>
      <c r="C30" s="10"/>
      <c r="D30" s="2">
        <f>--31.37</f>
        <v>31.37</v>
      </c>
      <c r="E30" s="2"/>
      <c r="F30" s="19"/>
      <c r="G30" s="2"/>
      <c r="H30" s="2">
        <f t="shared" si="7"/>
        <v>0</v>
      </c>
      <c r="I30" s="2"/>
      <c r="J30" s="19"/>
      <c r="K30" s="2"/>
      <c r="L30" s="2">
        <f t="shared" si="0"/>
        <v>31.37</v>
      </c>
      <c r="M30" s="2"/>
      <c r="N30" s="19">
        <f t="shared" si="1"/>
        <v>0</v>
      </c>
      <c r="O30" s="10"/>
      <c r="P30" s="2">
        <f>--69.95</f>
        <v>69.95</v>
      </c>
      <c r="Q30" s="2"/>
      <c r="R30" s="19"/>
      <c r="S30" s="2"/>
      <c r="T30" s="2">
        <f t="shared" si="9"/>
        <v>0</v>
      </c>
      <c r="U30" s="2"/>
      <c r="V30" s="19"/>
      <c r="W30" s="2"/>
      <c r="X30" s="2">
        <f t="shared" si="2"/>
        <v>69.95</v>
      </c>
      <c r="Y30" s="2"/>
      <c r="Z30" s="19">
        <f t="shared" si="3"/>
        <v>0</v>
      </c>
    </row>
    <row r="31" spans="1:26" s="23" customFormat="1" hidden="1" outlineLevel="1" x14ac:dyDescent="0.25">
      <c r="A31" s="44"/>
      <c r="B31" s="10" t="str">
        <f>CONCATENATE("          ", "4131", " - ", "NON-TAXABLE SALES-FOOD")</f>
        <v xml:space="preserve">          4131 - NON-TAXABLE SALES-FOOD</v>
      </c>
      <c r="C31" s="10"/>
      <c r="D31" s="2">
        <f>--975.93</f>
        <v>975.93</v>
      </c>
      <c r="E31" s="2"/>
      <c r="F31" s="19"/>
      <c r="G31" s="2"/>
      <c r="H31" s="2">
        <f t="shared" si="7"/>
        <v>0</v>
      </c>
      <c r="I31" s="2"/>
      <c r="J31" s="19"/>
      <c r="K31" s="2"/>
      <c r="L31" s="2">
        <f t="shared" si="0"/>
        <v>975.93</v>
      </c>
      <c r="M31" s="2"/>
      <c r="N31" s="19">
        <f t="shared" si="1"/>
        <v>0</v>
      </c>
      <c r="O31" s="10"/>
      <c r="P31" s="2">
        <f>--9533.2</f>
        <v>9533.2000000000007</v>
      </c>
      <c r="Q31" s="2"/>
      <c r="R31" s="19"/>
      <c r="S31" s="2"/>
      <c r="T31" s="2">
        <f t="shared" si="9"/>
        <v>0</v>
      </c>
      <c r="U31" s="2"/>
      <c r="V31" s="19"/>
      <c r="W31" s="2"/>
      <c r="X31" s="2">
        <f t="shared" si="2"/>
        <v>9533.2000000000007</v>
      </c>
      <c r="Y31" s="2"/>
      <c r="Z31" s="19">
        <f t="shared" si="3"/>
        <v>0</v>
      </c>
    </row>
    <row r="32" spans="1:26" s="23" customFormat="1" hidden="1" outlineLevel="1" x14ac:dyDescent="0.25">
      <c r="A32" s="44"/>
      <c r="B32" s="10" t="str">
        <f>CONCATENATE("          ", "4132", " - ", "NON-TAXABLE SALES-JUICE")</f>
        <v xml:space="preserve">          4132 - NON-TAXABLE SALES-JUICE</v>
      </c>
      <c r="C32" s="10"/>
      <c r="D32" s="2">
        <f t="shared" ref="D32:D35" si="10">0</f>
        <v>0</v>
      </c>
      <c r="E32" s="2"/>
      <c r="F32" s="19"/>
      <c r="G32" s="2"/>
      <c r="H32" s="2">
        <f t="shared" si="7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--22.49</f>
        <v>22.49</v>
      </c>
      <c r="Q32" s="2"/>
      <c r="R32" s="19"/>
      <c r="S32" s="2"/>
      <c r="T32" s="2">
        <f t="shared" si="9"/>
        <v>0</v>
      </c>
      <c r="U32" s="2"/>
      <c r="V32" s="19"/>
      <c r="W32" s="2"/>
      <c r="X32" s="2">
        <f t="shared" si="2"/>
        <v>22.49</v>
      </c>
      <c r="Y32" s="2"/>
      <c r="Z32" s="19">
        <f t="shared" si="3"/>
        <v>0</v>
      </c>
    </row>
    <row r="33" spans="1:26" s="23" customFormat="1" hidden="1" outlineLevel="1" x14ac:dyDescent="0.25">
      <c r="A33" s="44"/>
      <c r="B33" s="10" t="str">
        <f>CONCATENATE("          ", "4133", " - ", "NON-TAXABLE SALES-CANDY")</f>
        <v xml:space="preserve">          4133 - NON-TAXABLE SALES-CANDY</v>
      </c>
      <c r="C33" s="10"/>
      <c r="D33" s="2">
        <f t="shared" si="10"/>
        <v>0</v>
      </c>
      <c r="E33" s="2"/>
      <c r="F33" s="19"/>
      <c r="G33" s="2"/>
      <c r="H33" s="2">
        <f t="shared" si="7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>--80.71</f>
        <v>80.709999999999994</v>
      </c>
      <c r="Q33" s="2"/>
      <c r="R33" s="19"/>
      <c r="S33" s="2"/>
      <c r="T33" s="2">
        <f t="shared" si="9"/>
        <v>0</v>
      </c>
      <c r="U33" s="2"/>
      <c r="V33" s="19"/>
      <c r="W33" s="2"/>
      <c r="X33" s="2">
        <f t="shared" si="2"/>
        <v>80.709999999999994</v>
      </c>
      <c r="Y33" s="2"/>
      <c r="Z33" s="19">
        <f t="shared" si="3"/>
        <v>0</v>
      </c>
    </row>
    <row r="34" spans="1:26" s="23" customFormat="1" hidden="1" outlineLevel="1" x14ac:dyDescent="0.25">
      <c r="A34" s="44"/>
      <c r="B34" s="10" t="str">
        <f>CONCATENATE("          ", "4134", " - ", "NON-TAXABLE SALES-SODA")</f>
        <v xml:space="preserve">          4134 - NON-TAXABLE SALES-SODA</v>
      </c>
      <c r="C34" s="10"/>
      <c r="D34" s="2">
        <f t="shared" si="10"/>
        <v>0</v>
      </c>
      <c r="E34" s="2"/>
      <c r="F34" s="19"/>
      <c r="G34" s="2"/>
      <c r="H34" s="2">
        <f t="shared" si="7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>--45.53</f>
        <v>45.53</v>
      </c>
      <c r="Q34" s="2"/>
      <c r="R34" s="19"/>
      <c r="S34" s="2"/>
      <c r="T34" s="2">
        <f t="shared" si="9"/>
        <v>0</v>
      </c>
      <c r="U34" s="2"/>
      <c r="V34" s="19"/>
      <c r="W34" s="2"/>
      <c r="X34" s="2">
        <f t="shared" si="2"/>
        <v>45.53</v>
      </c>
      <c r="Y34" s="2"/>
      <c r="Z34" s="19">
        <f t="shared" si="3"/>
        <v>0</v>
      </c>
    </row>
    <row r="35" spans="1:26" s="23" customFormat="1" hidden="1" outlineLevel="1" x14ac:dyDescent="0.25">
      <c r="A35" s="44"/>
      <c r="B35" s="10" t="str">
        <f>CONCATENATE("          ", "4137", " - ", "NON-TAXABLE SALES-WATER")</f>
        <v xml:space="preserve">          4137 - NON-TAXABLE SALES-WATER</v>
      </c>
      <c r="C35" s="10"/>
      <c r="D35" s="2">
        <f t="shared" si="10"/>
        <v>0</v>
      </c>
      <c r="E35" s="2"/>
      <c r="F35" s="19"/>
      <c r="G35" s="2"/>
      <c r="H35" s="2">
        <f t="shared" si="7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--68.25</f>
        <v>68.25</v>
      </c>
      <c r="Q35" s="2"/>
      <c r="R35" s="19"/>
      <c r="S35" s="2"/>
      <c r="T35" s="2">
        <f>--123</f>
        <v>123</v>
      </c>
      <c r="U35" s="2"/>
      <c r="V35" s="19"/>
      <c r="W35" s="2"/>
      <c r="X35" s="2">
        <f t="shared" si="2"/>
        <v>-54.75</v>
      </c>
      <c r="Y35" s="2"/>
      <c r="Z35" s="19">
        <f t="shared" si="3"/>
        <v>-0.4451219512195122</v>
      </c>
    </row>
    <row r="36" spans="1:26" s="23" customFormat="1" hidden="1" outlineLevel="1" x14ac:dyDescent="0.25">
      <c r="A36" s="44"/>
      <c r="B36" s="10" t="str">
        <f>CONCATENATE("          ", "4140", " - ", "NON-TAXABLE SALES-LOGO CLOTHIN")</f>
        <v xml:space="preserve">          4140 - NON-TAXABLE SALES-LOGO CLOTHIN</v>
      </c>
      <c r="C36" s="10"/>
      <c r="D36" s="2">
        <f>--23040.7</f>
        <v>23040.7</v>
      </c>
      <c r="E36" s="2"/>
      <c r="F36" s="19"/>
      <c r="G36" s="2"/>
      <c r="H36" s="2">
        <f>--30875.73</f>
        <v>30875.73</v>
      </c>
      <c r="I36" s="2"/>
      <c r="J36" s="19"/>
      <c r="K36" s="2"/>
      <c r="L36" s="2">
        <f t="shared" si="0"/>
        <v>-7835.0299999999988</v>
      </c>
      <c r="M36" s="2"/>
      <c r="N36" s="19">
        <f t="shared" si="1"/>
        <v>-0.25376015401093349</v>
      </c>
      <c r="O36" s="10"/>
      <c r="P36" s="2">
        <f>--154792.39</f>
        <v>154792.39000000001</v>
      </c>
      <c r="Q36" s="2"/>
      <c r="R36" s="19"/>
      <c r="S36" s="2"/>
      <c r="T36" s="2">
        <f>--78924.71</f>
        <v>78924.710000000006</v>
      </c>
      <c r="U36" s="2"/>
      <c r="V36" s="19"/>
      <c r="W36" s="2"/>
      <c r="X36" s="2">
        <f t="shared" si="2"/>
        <v>75867.680000000008</v>
      </c>
      <c r="Y36" s="2"/>
      <c r="Z36" s="19">
        <f t="shared" si="3"/>
        <v>0.96126650322820317</v>
      </c>
    </row>
    <row r="37" spans="1:26" s="23" customFormat="1" hidden="1" outlineLevel="1" x14ac:dyDescent="0.25">
      <c r="A37" s="44"/>
      <c r="B37" s="10" t="str">
        <f>CONCATENATE("          ", "4141", " - ", "NON-TAXABLE SALES-LOGO GIFTS")</f>
        <v xml:space="preserve">          4141 - NON-TAXABLE SALES-LOGO GIFTS</v>
      </c>
      <c r="C37" s="10"/>
      <c r="D37" s="2">
        <f>--27227.97</f>
        <v>27227.97</v>
      </c>
      <c r="E37" s="2"/>
      <c r="F37" s="19"/>
      <c r="G37" s="2"/>
      <c r="H37" s="2">
        <f>--1860.77</f>
        <v>1860.77</v>
      </c>
      <c r="I37" s="2"/>
      <c r="J37" s="19"/>
      <c r="K37" s="2"/>
      <c r="L37" s="2">
        <f t="shared" si="0"/>
        <v>25367.200000000001</v>
      </c>
      <c r="M37" s="2"/>
      <c r="N37" s="19">
        <f t="shared" si="1"/>
        <v>13.632635951783403</v>
      </c>
      <c r="O37" s="10"/>
      <c r="P37" s="2">
        <f>--35517.57</f>
        <v>35517.57</v>
      </c>
      <c r="Q37" s="2"/>
      <c r="R37" s="19"/>
      <c r="S37" s="2"/>
      <c r="T37" s="2">
        <f>--11910.73</f>
        <v>11910.73</v>
      </c>
      <c r="U37" s="2"/>
      <c r="V37" s="19"/>
      <c r="W37" s="2"/>
      <c r="X37" s="2">
        <f t="shared" si="2"/>
        <v>23606.84</v>
      </c>
      <c r="Y37" s="2"/>
      <c r="Z37" s="19">
        <f t="shared" si="3"/>
        <v>1.9819809533084876</v>
      </c>
    </row>
    <row r="38" spans="1:26" s="23" customFormat="1" hidden="1" outlineLevel="1" x14ac:dyDescent="0.25">
      <c r="A38" s="44"/>
      <c r="B38" s="10" t="str">
        <f>CONCATENATE("          ", "4142", " - ", "NON-TAXABLE SALES-EVERYDAY GIF")</f>
        <v xml:space="preserve">          4142 - NON-TAXABLE SALES-EVERYDAY GIF</v>
      </c>
      <c r="C38" s="10"/>
      <c r="D38" s="2">
        <f>--284.63</f>
        <v>284.63</v>
      </c>
      <c r="E38" s="2"/>
      <c r="F38" s="19"/>
      <c r="G38" s="2"/>
      <c r="H38" s="2">
        <f>--386.65</f>
        <v>386.65</v>
      </c>
      <c r="I38" s="2"/>
      <c r="J38" s="19"/>
      <c r="K38" s="2"/>
      <c r="L38" s="2">
        <f t="shared" si="0"/>
        <v>-102.01999999999998</v>
      </c>
      <c r="M38" s="2"/>
      <c r="N38" s="19">
        <f t="shared" si="1"/>
        <v>-0.26385620069830595</v>
      </c>
      <c r="O38" s="10"/>
      <c r="P38" s="2">
        <f>--1455.41</f>
        <v>1455.41</v>
      </c>
      <c r="Q38" s="2"/>
      <c r="R38" s="19"/>
      <c r="S38" s="2"/>
      <c r="T38" s="2">
        <f>--5204.06</f>
        <v>5204.0600000000004</v>
      </c>
      <c r="U38" s="2"/>
      <c r="V38" s="19"/>
      <c r="W38" s="2"/>
      <c r="X38" s="2">
        <f t="shared" si="2"/>
        <v>-3748.6500000000005</v>
      </c>
      <c r="Y38" s="2"/>
      <c r="Z38" s="19">
        <f t="shared" si="3"/>
        <v>-0.72033181784990952</v>
      </c>
    </row>
    <row r="39" spans="1:26" s="23" customFormat="1" hidden="1" outlineLevel="1" x14ac:dyDescent="0.25">
      <c r="A39" s="44"/>
      <c r="B39" s="10" t="str">
        <f>CONCATENATE("          ", "4143", " - ", "NON-TAXABLE SALES-CARDS")</f>
        <v xml:space="preserve">          4143 - NON-TAXABLE SALES-CARDS</v>
      </c>
      <c r="C39" s="10"/>
      <c r="D39" s="2">
        <f>--49.97</f>
        <v>49.97</v>
      </c>
      <c r="E39" s="2"/>
      <c r="F39" s="19"/>
      <c r="G39" s="2"/>
      <c r="H39" s="2">
        <f>-9.99</f>
        <v>-9.99</v>
      </c>
      <c r="I39" s="2"/>
      <c r="J39" s="19"/>
      <c r="K39" s="2"/>
      <c r="L39" s="2">
        <f t="shared" si="0"/>
        <v>59.96</v>
      </c>
      <c r="M39" s="2"/>
      <c r="N39" s="19">
        <f t="shared" si="1"/>
        <v>-6.0020020020020022</v>
      </c>
      <c r="O39" s="10"/>
      <c r="P39" s="2">
        <f>--2431.45</f>
        <v>2431.4499999999998</v>
      </c>
      <c r="Q39" s="2"/>
      <c r="R39" s="19"/>
      <c r="S39" s="2"/>
      <c r="T39" s="2">
        <f>0</f>
        <v>0</v>
      </c>
      <c r="U39" s="2"/>
      <c r="V39" s="19"/>
      <c r="W39" s="2"/>
      <c r="X39" s="2">
        <f t="shared" si="2"/>
        <v>2431.4499999999998</v>
      </c>
      <c r="Y39" s="2"/>
      <c r="Z39" s="19">
        <f t="shared" si="3"/>
        <v>0</v>
      </c>
    </row>
    <row r="40" spans="1:26" s="23" customFormat="1" hidden="1" outlineLevel="1" x14ac:dyDescent="0.25">
      <c r="A40" s="44"/>
      <c r="B40" s="10" t="str">
        <f>CONCATENATE("          ", "4144", " - ", "NON-TAXABLE SALES-ACCESSORIES")</f>
        <v xml:space="preserve">          4144 - NON-TAXABLE SALES-ACCESSORIES</v>
      </c>
      <c r="C40" s="10"/>
      <c r="D40" s="2">
        <f>--29.85</f>
        <v>29.85</v>
      </c>
      <c r="E40" s="2"/>
      <c r="F40" s="19"/>
      <c r="G40" s="2"/>
      <c r="H40" s="2">
        <f>--299.4</f>
        <v>299.39999999999998</v>
      </c>
      <c r="I40" s="2"/>
      <c r="J40" s="19"/>
      <c r="K40" s="2"/>
      <c r="L40" s="2">
        <f t="shared" si="0"/>
        <v>-269.54999999999995</v>
      </c>
      <c r="M40" s="2"/>
      <c r="N40" s="19">
        <f t="shared" si="1"/>
        <v>-0.90030060120240474</v>
      </c>
      <c r="O40" s="10"/>
      <c r="P40" s="2">
        <f>--709.1</f>
        <v>709.1</v>
      </c>
      <c r="Q40" s="2"/>
      <c r="R40" s="19"/>
      <c r="S40" s="2"/>
      <c r="T40" s="2">
        <f>--2339.67</f>
        <v>2339.67</v>
      </c>
      <c r="U40" s="2"/>
      <c r="V40" s="19"/>
      <c r="W40" s="2"/>
      <c r="X40" s="2">
        <f t="shared" si="2"/>
        <v>-1630.5700000000002</v>
      </c>
      <c r="Y40" s="2"/>
      <c r="Z40" s="19">
        <f t="shared" si="3"/>
        <v>-0.69692307034752765</v>
      </c>
    </row>
    <row r="41" spans="1:26" s="23" customFormat="1" hidden="1" outlineLevel="1" x14ac:dyDescent="0.25">
      <c r="A41" s="44"/>
      <c r="B41" s="10" t="str">
        <f>CONCATENATE("          ", "4145", " - ", "NON-TAXABLE SALES-SPECIAL ORDE")</f>
        <v xml:space="preserve">          4145 - NON-TAXABLE SALES-SPECIAL ORDE</v>
      </c>
      <c r="C41" s="10"/>
      <c r="D41" s="2">
        <f>--20350.8</f>
        <v>20350.8</v>
      </c>
      <c r="E41" s="2"/>
      <c r="F41" s="19"/>
      <c r="G41" s="2"/>
      <c r="H41" s="2">
        <f t="shared" ref="H41:H44" si="11">0</f>
        <v>0</v>
      </c>
      <c r="I41" s="2"/>
      <c r="J41" s="19"/>
      <c r="K41" s="2"/>
      <c r="L41" s="2">
        <f t="shared" si="0"/>
        <v>20350.8</v>
      </c>
      <c r="M41" s="2"/>
      <c r="N41" s="19">
        <f t="shared" si="1"/>
        <v>0</v>
      </c>
      <c r="O41" s="10"/>
      <c r="P41" s="2">
        <f>--74066.89</f>
        <v>74066.89</v>
      </c>
      <c r="Q41" s="2"/>
      <c r="R41" s="19"/>
      <c r="S41" s="2"/>
      <c r="T41" s="2">
        <f>--140</f>
        <v>140</v>
      </c>
      <c r="U41" s="2"/>
      <c r="V41" s="19"/>
      <c r="W41" s="2"/>
      <c r="X41" s="2">
        <f t="shared" si="2"/>
        <v>73926.89</v>
      </c>
      <c r="Y41" s="2"/>
      <c r="Z41" s="19">
        <f t="shared" si="3"/>
        <v>528.04921428571424</v>
      </c>
    </row>
    <row r="42" spans="1:26" s="23" customFormat="1" hidden="1" outlineLevel="1" x14ac:dyDescent="0.25">
      <c r="A42" s="44"/>
      <c r="B42" s="10" t="str">
        <f>CONCATENATE("          ", "4226", " - ", "SALES RETURN TAXABLE-WRITING I")</f>
        <v xml:space="preserve">          4226 - SALES RETURN TAXABLE-WRITING I</v>
      </c>
      <c r="C42" s="10"/>
      <c r="D42" s="2">
        <f>0</f>
        <v>0</v>
      </c>
      <c r="E42" s="2"/>
      <c r="F42" s="19"/>
      <c r="G42" s="2"/>
      <c r="H42" s="2">
        <f t="shared" si="11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0"/>
      <c r="P42" s="2">
        <f>-34.23</f>
        <v>-34.229999999999997</v>
      </c>
      <c r="Q42" s="2"/>
      <c r="R42" s="19"/>
      <c r="S42" s="2"/>
      <c r="T42" s="2">
        <f>-134.8</f>
        <v>-134.80000000000001</v>
      </c>
      <c r="U42" s="2"/>
      <c r="V42" s="19"/>
      <c r="W42" s="2"/>
      <c r="X42" s="2">
        <f t="shared" si="2"/>
        <v>100.57000000000002</v>
      </c>
      <c r="Y42" s="2"/>
      <c r="Z42" s="19">
        <f t="shared" si="3"/>
        <v>-0.74606824925816029</v>
      </c>
    </row>
    <row r="43" spans="1:26" s="23" customFormat="1" hidden="1" outlineLevel="1" x14ac:dyDescent="0.25">
      <c r="A43" s="44"/>
      <c r="B43" s="10" t="str">
        <f>CONCATENATE("          ", "4227", " - ", "SALES RETURN TAXABLE-SCHOOL SU")</f>
        <v xml:space="preserve">          4227 - SALES RETURN TAXABLE-SCHOOL SU</v>
      </c>
      <c r="C43" s="10"/>
      <c r="D43" s="2">
        <f>-500.54</f>
        <v>-500.54</v>
      </c>
      <c r="E43" s="2"/>
      <c r="F43" s="19"/>
      <c r="G43" s="2"/>
      <c r="H43" s="2">
        <f t="shared" si="11"/>
        <v>0</v>
      </c>
      <c r="I43" s="2"/>
      <c r="J43" s="19"/>
      <c r="K43" s="2"/>
      <c r="L43" s="2">
        <f t="shared" si="0"/>
        <v>-500.54</v>
      </c>
      <c r="M43" s="2"/>
      <c r="N43" s="19">
        <f t="shared" si="1"/>
        <v>0</v>
      </c>
      <c r="O43" s="10"/>
      <c r="P43" s="2">
        <f>-1186.69</f>
        <v>-1186.69</v>
      </c>
      <c r="Q43" s="2"/>
      <c r="R43" s="19"/>
      <c r="S43" s="2"/>
      <c r="T43" s="2">
        <f t="shared" ref="T43:T44" si="12">0</f>
        <v>0</v>
      </c>
      <c r="U43" s="2"/>
      <c r="V43" s="19"/>
      <c r="W43" s="2"/>
      <c r="X43" s="2">
        <f t="shared" si="2"/>
        <v>-1186.69</v>
      </c>
      <c r="Y43" s="2"/>
      <c r="Z43" s="19">
        <f t="shared" si="3"/>
        <v>0</v>
      </c>
    </row>
    <row r="44" spans="1:26" s="23" customFormat="1" hidden="1" outlineLevel="1" x14ac:dyDescent="0.25">
      <c r="A44" s="44"/>
      <c r="B44" s="10" t="str">
        <f>CONCATENATE("          ", "4228", " - ", "SALES RETURN TAXABLE-ART/TECH")</f>
        <v xml:space="preserve">          4228 - SALES RETURN TAXABLE-ART/TECH</v>
      </c>
      <c r="C44" s="10"/>
      <c r="D44" s="2">
        <f>-136.11</f>
        <v>-136.11000000000001</v>
      </c>
      <c r="E44" s="2"/>
      <c r="F44" s="19"/>
      <c r="G44" s="2"/>
      <c r="H44" s="2">
        <f t="shared" si="11"/>
        <v>0</v>
      </c>
      <c r="I44" s="2"/>
      <c r="J44" s="19"/>
      <c r="K44" s="2"/>
      <c r="L44" s="2">
        <f t="shared" si="0"/>
        <v>-136.11000000000001</v>
      </c>
      <c r="M44" s="2"/>
      <c r="N44" s="19">
        <f t="shared" si="1"/>
        <v>0</v>
      </c>
      <c r="O44" s="10"/>
      <c r="P44" s="2">
        <f>-12751.53</f>
        <v>-12751.53</v>
      </c>
      <c r="Q44" s="2"/>
      <c r="R44" s="19"/>
      <c r="S44" s="2"/>
      <c r="T44" s="2">
        <f t="shared" si="12"/>
        <v>0</v>
      </c>
      <c r="U44" s="2"/>
      <c r="V44" s="19"/>
      <c r="W44" s="2"/>
      <c r="X44" s="2">
        <f t="shared" si="2"/>
        <v>-12751.53</v>
      </c>
      <c r="Y44" s="2"/>
      <c r="Z44" s="19">
        <f t="shared" si="3"/>
        <v>0</v>
      </c>
    </row>
    <row r="45" spans="1:26" s="23" customFormat="1" hidden="1" outlineLevel="1" x14ac:dyDescent="0.25">
      <c r="A45" s="44"/>
      <c r="B45" s="10" t="str">
        <f>CONCATENATE("          ", "4240", " - ", "SALES RETURN TAXABLE-LOGO CLOT")</f>
        <v xml:space="preserve">          4240 - SALES RETURN TAXABLE-LOGO CLOT</v>
      </c>
      <c r="C45" s="10"/>
      <c r="D45" s="2">
        <f>-5611.92</f>
        <v>-5611.92</v>
      </c>
      <c r="E45" s="2"/>
      <c r="F45" s="19"/>
      <c r="G45" s="2"/>
      <c r="H45" s="2">
        <f>-1642.96</f>
        <v>-1642.96</v>
      </c>
      <c r="I45" s="2"/>
      <c r="J45" s="19"/>
      <c r="K45" s="2"/>
      <c r="L45" s="2">
        <f t="shared" si="0"/>
        <v>-3968.96</v>
      </c>
      <c r="M45" s="2"/>
      <c r="N45" s="19">
        <f t="shared" si="1"/>
        <v>2.4157374494814237</v>
      </c>
      <c r="O45" s="10"/>
      <c r="P45" s="2">
        <f>-40666.27</f>
        <v>-40666.269999999997</v>
      </c>
      <c r="Q45" s="2"/>
      <c r="R45" s="19"/>
      <c r="S45" s="2"/>
      <c r="T45" s="2">
        <f>-74455.19</f>
        <v>-74455.19</v>
      </c>
      <c r="U45" s="2"/>
      <c r="V45" s="19"/>
      <c r="W45" s="2"/>
      <c r="X45" s="2">
        <f t="shared" si="2"/>
        <v>33788.920000000006</v>
      </c>
      <c r="Y45" s="2"/>
      <c r="Z45" s="19">
        <f t="shared" si="3"/>
        <v>-0.45381550970456197</v>
      </c>
    </row>
    <row r="46" spans="1:26" s="23" customFormat="1" hidden="1" outlineLevel="1" x14ac:dyDescent="0.25">
      <c r="A46" s="44"/>
      <c r="B46" s="10" t="str">
        <f>CONCATENATE("          ", "4241", " - ", "SALES RETURN TAXABLE-LOGO GIFT")</f>
        <v xml:space="preserve">          4241 - SALES RETURN TAXABLE-LOGO GIFT</v>
      </c>
      <c r="C46" s="10"/>
      <c r="D46" s="2">
        <f>-5633.91</f>
        <v>-5633.91</v>
      </c>
      <c r="E46" s="2"/>
      <c r="F46" s="19"/>
      <c r="G46" s="2"/>
      <c r="H46" s="2">
        <f>-190.5</f>
        <v>-190.5</v>
      </c>
      <c r="I46" s="2"/>
      <c r="J46" s="19"/>
      <c r="K46" s="2"/>
      <c r="L46" s="2">
        <f t="shared" si="0"/>
        <v>-5443.41</v>
      </c>
      <c r="M46" s="2"/>
      <c r="N46" s="19">
        <f t="shared" si="1"/>
        <v>28.574330708661417</v>
      </c>
      <c r="O46" s="10"/>
      <c r="P46" s="2">
        <f>-10890.2</f>
        <v>-10890.2</v>
      </c>
      <c r="Q46" s="2"/>
      <c r="R46" s="19"/>
      <c r="S46" s="2"/>
      <c r="T46" s="2">
        <f>-5272.48</f>
        <v>-5272.48</v>
      </c>
      <c r="U46" s="2"/>
      <c r="V46" s="19"/>
      <c r="W46" s="2"/>
      <c r="X46" s="2">
        <f t="shared" si="2"/>
        <v>-5617.7200000000012</v>
      </c>
      <c r="Y46" s="2"/>
      <c r="Z46" s="19">
        <f t="shared" si="3"/>
        <v>1.0654796224926413</v>
      </c>
    </row>
    <row r="47" spans="1:26" s="23" customFormat="1" hidden="1" outlineLevel="1" x14ac:dyDescent="0.25">
      <c r="A47" s="44"/>
      <c r="B47" s="10" t="str">
        <f>CONCATENATE("          ", "4242", " - ", "SALES RETURN TAXABLE-EVERYDAY")</f>
        <v xml:space="preserve">          4242 - SALES RETURN TAXABLE-EVERYDAY</v>
      </c>
      <c r="C47" s="10"/>
      <c r="D47" s="2">
        <f>-332.27</f>
        <v>-332.27</v>
      </c>
      <c r="E47" s="2"/>
      <c r="F47" s="19"/>
      <c r="G47" s="2"/>
      <c r="H47" s="2">
        <f>-3</f>
        <v>-3</v>
      </c>
      <c r="I47" s="2"/>
      <c r="J47" s="19"/>
      <c r="K47" s="2"/>
      <c r="L47" s="2">
        <f t="shared" si="0"/>
        <v>-329.27</v>
      </c>
      <c r="M47" s="2"/>
      <c r="N47" s="19">
        <f t="shared" si="1"/>
        <v>109.75666666666666</v>
      </c>
      <c r="O47" s="10"/>
      <c r="P47" s="2">
        <f>-2636.09</f>
        <v>-2636.09</v>
      </c>
      <c r="Q47" s="2"/>
      <c r="R47" s="19"/>
      <c r="S47" s="2"/>
      <c r="T47" s="2">
        <f>-3953.71</f>
        <v>-3953.71</v>
      </c>
      <c r="U47" s="2"/>
      <c r="V47" s="19"/>
      <c r="W47" s="2"/>
      <c r="X47" s="2">
        <f t="shared" si="2"/>
        <v>1317.62</v>
      </c>
      <c r="Y47" s="2"/>
      <c r="Z47" s="19">
        <f t="shared" si="3"/>
        <v>-0.33326167068399043</v>
      </c>
    </row>
    <row r="48" spans="1:26" s="23" customFormat="1" hidden="1" outlineLevel="1" x14ac:dyDescent="0.25">
      <c r="A48" s="44"/>
      <c r="B48" s="10" t="str">
        <f>CONCATENATE("          ", "4243", " - ", "SALES RETURN TAXABLE-CARDS")</f>
        <v xml:space="preserve">          4243 - SALES RETURN TAXABLE-CARDS</v>
      </c>
      <c r="C48" s="10"/>
      <c r="D48" s="2">
        <f>-199.86</f>
        <v>-199.86</v>
      </c>
      <c r="E48" s="2"/>
      <c r="F48" s="19"/>
      <c r="G48" s="2"/>
      <c r="H48" s="2">
        <f>-13</f>
        <v>-13</v>
      </c>
      <c r="I48" s="2"/>
      <c r="J48" s="19"/>
      <c r="K48" s="2"/>
      <c r="L48" s="2">
        <f t="shared" si="0"/>
        <v>-186.86</v>
      </c>
      <c r="M48" s="2"/>
      <c r="N48" s="19">
        <f t="shared" si="1"/>
        <v>14.373846153846156</v>
      </c>
      <c r="O48" s="10"/>
      <c r="P48" s="2">
        <f>-6142.09</f>
        <v>-6142.09</v>
      </c>
      <c r="Q48" s="2"/>
      <c r="R48" s="19"/>
      <c r="S48" s="2"/>
      <c r="T48" s="2">
        <f>-3006.31</f>
        <v>-3006.31</v>
      </c>
      <c r="U48" s="2"/>
      <c r="V48" s="19"/>
      <c r="W48" s="2"/>
      <c r="X48" s="2">
        <f t="shared" si="2"/>
        <v>-3135.78</v>
      </c>
      <c r="Y48" s="2"/>
      <c r="Z48" s="19">
        <f t="shared" si="3"/>
        <v>1.0430660843359467</v>
      </c>
    </row>
    <row r="49" spans="1:26" s="23" customFormat="1" hidden="1" outlineLevel="1" x14ac:dyDescent="0.25">
      <c r="A49" s="44"/>
      <c r="B49" s="10" t="str">
        <f>CONCATENATE("          ", "4244", " - ", "SALES RETURN TAXABLE-ACCESSORI")</f>
        <v xml:space="preserve">          4244 - SALES RETURN TAXABLE-ACCESSORI</v>
      </c>
      <c r="C49" s="10"/>
      <c r="D49" s="2">
        <f>-8.24</f>
        <v>-8.24</v>
      </c>
      <c r="E49" s="2"/>
      <c r="F49" s="19"/>
      <c r="G49" s="2"/>
      <c r="H49" s="2">
        <f t="shared" ref="H49:H51" si="13">0</f>
        <v>0</v>
      </c>
      <c r="I49" s="2"/>
      <c r="J49" s="19"/>
      <c r="K49" s="2"/>
      <c r="L49" s="2">
        <f t="shared" si="0"/>
        <v>-8.24</v>
      </c>
      <c r="M49" s="2"/>
      <c r="N49" s="19">
        <f t="shared" si="1"/>
        <v>0</v>
      </c>
      <c r="O49" s="10"/>
      <c r="P49" s="2">
        <f>-1243.5</f>
        <v>-1243.5</v>
      </c>
      <c r="Q49" s="2"/>
      <c r="R49" s="19"/>
      <c r="S49" s="2"/>
      <c r="T49" s="2">
        <f>-2470.7</f>
        <v>-2470.6999999999998</v>
      </c>
      <c r="U49" s="2"/>
      <c r="V49" s="19"/>
      <c r="W49" s="2"/>
      <c r="X49" s="2">
        <f t="shared" si="2"/>
        <v>1227.1999999999998</v>
      </c>
      <c r="Y49" s="2"/>
      <c r="Z49" s="19">
        <f t="shared" si="3"/>
        <v>-0.4967013397012992</v>
      </c>
    </row>
    <row r="50" spans="1:26" s="23" customFormat="1" hidden="1" outlineLevel="1" x14ac:dyDescent="0.25">
      <c r="A50" s="44"/>
      <c r="B50" s="10" t="str">
        <f>CONCATENATE("          ", "4245", " - ", "SALES RETURN TAXABLE-SPECIAL O")</f>
        <v xml:space="preserve">          4245 - SALES RETURN TAXABLE-SPECIAL O</v>
      </c>
      <c r="C50" s="10"/>
      <c r="D50" s="2">
        <f>-4071.14</f>
        <v>-4071.14</v>
      </c>
      <c r="E50" s="2"/>
      <c r="F50" s="19"/>
      <c r="G50" s="2"/>
      <c r="H50" s="2">
        <f t="shared" si="13"/>
        <v>0</v>
      </c>
      <c r="I50" s="2"/>
      <c r="J50" s="19"/>
      <c r="K50" s="2"/>
      <c r="L50" s="2">
        <f t="shared" si="0"/>
        <v>-4071.14</v>
      </c>
      <c r="M50" s="2"/>
      <c r="N50" s="19">
        <f t="shared" si="1"/>
        <v>0</v>
      </c>
      <c r="O50" s="10"/>
      <c r="P50" s="2">
        <f>-15424.73</f>
        <v>-15424.73</v>
      </c>
      <c r="Q50" s="2"/>
      <c r="R50" s="19"/>
      <c r="S50" s="2"/>
      <c r="T50" s="2">
        <f>-1735.03</f>
        <v>-1735.03</v>
      </c>
      <c r="U50" s="2"/>
      <c r="V50" s="19"/>
      <c r="W50" s="2"/>
      <c r="X50" s="2">
        <f t="shared" si="2"/>
        <v>-13689.699999999999</v>
      </c>
      <c r="Y50" s="2"/>
      <c r="Z50" s="19">
        <f t="shared" si="3"/>
        <v>7.890180573246572</v>
      </c>
    </row>
    <row r="51" spans="1:26" s="23" customFormat="1" hidden="1" outlineLevel="1" x14ac:dyDescent="0.25">
      <c r="A51" s="44"/>
      <c r="B51" s="10" t="str">
        <f>CONCATENATE("          ", "4295", " - ", "SALES RETURN TAXABLE-CUSTOMER")</f>
        <v xml:space="preserve">          4295 - SALES RETURN TAXABLE-CUSTOMER</v>
      </c>
      <c r="C51" s="10"/>
      <c r="D51" s="2">
        <f>0</f>
        <v>0</v>
      </c>
      <c r="E51" s="2"/>
      <c r="F51" s="19"/>
      <c r="G51" s="2"/>
      <c r="H51" s="2">
        <f t="shared" si="13"/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0"/>
      <c r="P51" s="2">
        <f>0</f>
        <v>0</v>
      </c>
      <c r="Q51" s="2"/>
      <c r="R51" s="19"/>
      <c r="S51" s="2"/>
      <c r="T51" s="2">
        <f>--0.99</f>
        <v>0.99</v>
      </c>
      <c r="U51" s="2"/>
      <c r="V51" s="19"/>
      <c r="W51" s="2"/>
      <c r="X51" s="2">
        <f t="shared" si="2"/>
        <v>-0.99</v>
      </c>
      <c r="Y51" s="2"/>
      <c r="Z51" s="19">
        <f t="shared" si="3"/>
        <v>-1</v>
      </c>
    </row>
    <row r="52" spans="1:26" s="23" customFormat="1" hidden="1" outlineLevel="1" x14ac:dyDescent="0.25">
      <c r="A52" s="44"/>
      <c r="B52" s="10" t="str">
        <f>CONCATENATE("          ", "4340", " - ", "SALES RETURN NON TAXABLE-LOGO")</f>
        <v xml:space="preserve">          4340 - SALES RETURN NON TAXABLE-LOGO</v>
      </c>
      <c r="C52" s="10"/>
      <c r="D52" s="2">
        <f>-664.13</f>
        <v>-664.13</v>
      </c>
      <c r="E52" s="2"/>
      <c r="F52" s="19"/>
      <c r="G52" s="2"/>
      <c r="H52" s="2">
        <f>-24.95</f>
        <v>-24.95</v>
      </c>
      <c r="I52" s="2"/>
      <c r="J52" s="19"/>
      <c r="K52" s="2"/>
      <c r="L52" s="2">
        <f t="shared" si="0"/>
        <v>-639.17999999999995</v>
      </c>
      <c r="M52" s="2"/>
      <c r="N52" s="19">
        <f t="shared" si="1"/>
        <v>25.618436873747495</v>
      </c>
      <c r="O52" s="10"/>
      <c r="P52" s="2">
        <f>-3307.52</f>
        <v>-3307.52</v>
      </c>
      <c r="Q52" s="2"/>
      <c r="R52" s="19"/>
      <c r="S52" s="2"/>
      <c r="T52" s="2">
        <f>-1020.4</f>
        <v>-1020.4</v>
      </c>
      <c r="U52" s="2"/>
      <c r="V52" s="19"/>
      <c r="W52" s="2"/>
      <c r="X52" s="2">
        <f t="shared" si="2"/>
        <v>-2287.12</v>
      </c>
      <c r="Y52" s="2"/>
      <c r="Z52" s="19">
        <f t="shared" si="3"/>
        <v>2.2413955311642493</v>
      </c>
    </row>
    <row r="53" spans="1:26" s="23" customFormat="1" hidden="1" outlineLevel="1" x14ac:dyDescent="0.25">
      <c r="A53" s="44"/>
      <c r="B53" s="10" t="str">
        <f>CONCATENATE("          ", "4341", " - ", "SALES RETURN NON TAXABLE-LOGO")</f>
        <v xml:space="preserve">          4341 - SALES RETURN NON TAXABLE-LOGO</v>
      </c>
      <c r="C53" s="10"/>
      <c r="D53" s="2">
        <f>-9.9</f>
        <v>-9.9</v>
      </c>
      <c r="E53" s="2"/>
      <c r="F53" s="19"/>
      <c r="G53" s="2"/>
      <c r="H53" s="2">
        <f t="shared" ref="H53:H54" si="14">0</f>
        <v>0</v>
      </c>
      <c r="I53" s="2"/>
      <c r="J53" s="19"/>
      <c r="K53" s="2"/>
      <c r="L53" s="2">
        <f t="shared" si="0"/>
        <v>-9.9</v>
      </c>
      <c r="M53" s="2"/>
      <c r="N53" s="19">
        <f t="shared" si="1"/>
        <v>0</v>
      </c>
      <c r="O53" s="10"/>
      <c r="P53" s="2">
        <f>-391.24</f>
        <v>-391.24</v>
      </c>
      <c r="Q53" s="2"/>
      <c r="R53" s="19"/>
      <c r="S53" s="2"/>
      <c r="T53" s="2">
        <f>-245.5</f>
        <v>-245.5</v>
      </c>
      <c r="U53" s="2"/>
      <c r="V53" s="19"/>
      <c r="W53" s="2"/>
      <c r="X53" s="2">
        <f t="shared" si="2"/>
        <v>-145.74</v>
      </c>
      <c r="Y53" s="2"/>
      <c r="Z53" s="19">
        <f t="shared" si="3"/>
        <v>0.59364562118126274</v>
      </c>
    </row>
    <row r="54" spans="1:26" s="23" customFormat="1" hidden="1" outlineLevel="1" x14ac:dyDescent="0.25">
      <c r="A54" s="44"/>
      <c r="B54" s="10" t="str">
        <f>CONCATENATE("          ", "4342", " - ", "SALES RETURN NON TAXABLE-EVERY")</f>
        <v xml:space="preserve">          4342 - SALES RETURN NON TAXABLE-EVERY</v>
      </c>
      <c r="C54" s="10"/>
      <c r="D54" s="2">
        <f>0</f>
        <v>0</v>
      </c>
      <c r="E54" s="2"/>
      <c r="F54" s="19"/>
      <c r="G54" s="2"/>
      <c r="H54" s="2">
        <f t="shared" si="14"/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0"/>
      <c r="P54" s="2">
        <f>-118.7</f>
        <v>-118.7</v>
      </c>
      <c r="Q54" s="2"/>
      <c r="R54" s="19"/>
      <c r="S54" s="2"/>
      <c r="T54" s="2">
        <f>-109.8</f>
        <v>-109.8</v>
      </c>
      <c r="U54" s="2"/>
      <c r="V54" s="19"/>
      <c r="W54" s="2"/>
      <c r="X54" s="2">
        <f t="shared" si="2"/>
        <v>-8.9000000000000057</v>
      </c>
      <c r="Y54" s="2"/>
      <c r="Z54" s="19">
        <f t="shared" si="3"/>
        <v>8.1056466302367999E-2</v>
      </c>
    </row>
    <row r="55" spans="1:26" x14ac:dyDescent="0.25">
      <c r="A55" s="9"/>
      <c r="B55" s="11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4" customFormat="1" collapsed="1" x14ac:dyDescent="0.25">
      <c r="A56" s="11"/>
      <c r="B56" s="28" t="s">
        <v>256</v>
      </c>
      <c r="C56" s="11"/>
      <c r="D56" s="4">
        <f>SUM(OSRRefD16x_0)</f>
        <v>191894</v>
      </c>
      <c r="E56" s="4"/>
      <c r="F56" s="13">
        <f t="shared" ref="F56:F86" si="15">IF(D$12=0,0,D56/D$12)</f>
        <v>0.46904931778811132</v>
      </c>
      <c r="G56" s="4"/>
      <c r="H56" s="4">
        <f>SUM(OSRRefH16x_0)</f>
        <v>58392.840000000004</v>
      </c>
      <c r="I56" s="4"/>
      <c r="J56" s="13">
        <f t="shared" ref="J56:J86" si="16">IF(H$12=0,0,H56/H$12)</f>
        <v>0.46845273871476117</v>
      </c>
      <c r="K56" s="4"/>
      <c r="L56" s="4">
        <f t="shared" ref="L56:L86" si="17">+D56-H56</f>
        <v>133501.16</v>
      </c>
      <c r="M56" s="4"/>
      <c r="N56" s="13">
        <f t="shared" ref="N56:N86" si="18">IF(H56=0,0,L56/H56)</f>
        <v>2.2862590687488398</v>
      </c>
      <c r="O56" s="11"/>
      <c r="P56" s="4">
        <f>SUM(OSRRefP16x_0)</f>
        <v>1025845.54</v>
      </c>
      <c r="Q56" s="4"/>
      <c r="R56" s="13">
        <f t="shared" ref="R56:R86" si="19">IF(P$12=0,0,P56/P$12)</f>
        <v>0.5436402086175709</v>
      </c>
      <c r="S56" s="4"/>
      <c r="T56" s="4">
        <f>SUM(OSRRefT16x_0)</f>
        <v>1190823.8099999996</v>
      </c>
      <c r="U56" s="4"/>
      <c r="V56" s="13">
        <f t="shared" ref="V56:V86" si="20">IF(T$12=0,0,T56/T$12)</f>
        <v>0.46013673438524461</v>
      </c>
      <c r="W56" s="4"/>
      <c r="X56" s="4">
        <f t="shared" ref="X56:X86" si="21">+P56-T56</f>
        <v>-164978.26999999955</v>
      </c>
      <c r="Y56" s="4"/>
      <c r="Z56" s="13">
        <f t="shared" ref="Z56:Z86" si="22">IF(T56=0,0,X56/T56)</f>
        <v>-0.13854129268711851</v>
      </c>
    </row>
    <row r="57" spans="1:26" s="23" customFormat="1" hidden="1" outlineLevel="1" x14ac:dyDescent="0.25">
      <c r="A57" s="44"/>
      <c r="B57" s="10" t="str">
        <f>CONCATENATE("          ", "5000", " - ", "PURCHASES @ COST")</f>
        <v xml:space="preserve">          5000 - PURCHASES @ COST</v>
      </c>
      <c r="C57" s="10"/>
      <c r="D57" s="2"/>
      <c r="E57" s="2"/>
      <c r="F57" s="19">
        <f t="shared" si="15"/>
        <v>0</v>
      </c>
      <c r="G57" s="2"/>
      <c r="H57" s="2">
        <v>0</v>
      </c>
      <c r="I57" s="2"/>
      <c r="J57" s="19">
        <f t="shared" si="16"/>
        <v>0</v>
      </c>
      <c r="K57" s="2"/>
      <c r="L57" s="2">
        <f t="shared" si="17"/>
        <v>0</v>
      </c>
      <c r="M57" s="2"/>
      <c r="N57" s="19">
        <f t="shared" si="18"/>
        <v>0</v>
      </c>
      <c r="O57" s="10"/>
      <c r="P57" s="2"/>
      <c r="Q57" s="2"/>
      <c r="R57" s="19">
        <f t="shared" si="19"/>
        <v>0</v>
      </c>
      <c r="S57" s="2"/>
      <c r="T57" s="2">
        <v>0</v>
      </c>
      <c r="U57" s="2"/>
      <c r="V57" s="19">
        <f t="shared" si="20"/>
        <v>0</v>
      </c>
      <c r="W57" s="2"/>
      <c r="X57" s="2">
        <f t="shared" si="21"/>
        <v>0</v>
      </c>
      <c r="Y57" s="2"/>
      <c r="Z57" s="19">
        <f t="shared" si="22"/>
        <v>0</v>
      </c>
    </row>
    <row r="58" spans="1:26" s="23" customFormat="1" hidden="1" outlineLevel="1" x14ac:dyDescent="0.25">
      <c r="A58" s="44"/>
      <c r="B58" s="10" t="str">
        <f>CONCATENATE("          ", "5025", " - ", "PURCHASES @ COST-TEST FORMS")</f>
        <v xml:space="preserve">          5025 - PURCHASES @ COST-TEST FORMS</v>
      </c>
      <c r="C58" s="10"/>
      <c r="D58" s="2"/>
      <c r="E58" s="2"/>
      <c r="F58" s="19">
        <f t="shared" si="15"/>
        <v>0</v>
      </c>
      <c r="G58" s="2"/>
      <c r="H58" s="2"/>
      <c r="I58" s="2"/>
      <c r="J58" s="19">
        <f t="shared" si="16"/>
        <v>0</v>
      </c>
      <c r="K58" s="2"/>
      <c r="L58" s="2">
        <f t="shared" si="17"/>
        <v>0</v>
      </c>
      <c r="M58" s="2"/>
      <c r="N58" s="19">
        <f t="shared" si="18"/>
        <v>0</v>
      </c>
      <c r="O58" s="10"/>
      <c r="P58" s="2">
        <v>599.29</v>
      </c>
      <c r="Q58" s="2"/>
      <c r="R58" s="19">
        <f t="shared" si="19"/>
        <v>3.1758985921255165E-4</v>
      </c>
      <c r="S58" s="2"/>
      <c r="T58" s="2">
        <v>6.06</v>
      </c>
      <c r="U58" s="2"/>
      <c r="V58" s="19">
        <f t="shared" si="20"/>
        <v>2.3415962856625976E-6</v>
      </c>
      <c r="W58" s="2"/>
      <c r="X58" s="2">
        <f t="shared" si="21"/>
        <v>593.23</v>
      </c>
      <c r="Y58" s="2"/>
      <c r="Z58" s="19">
        <f t="shared" si="22"/>
        <v>97.892739273927404</v>
      </c>
    </row>
    <row r="59" spans="1:26" s="23" customFormat="1" hidden="1" outlineLevel="1" x14ac:dyDescent="0.25">
      <c r="A59" s="44"/>
      <c r="B59" s="10" t="str">
        <f>CONCATENATE("          ", "5026", " - ", "PURCHASES @ COST-WRITING INSTR")</f>
        <v xml:space="preserve">          5026 - PURCHASES @ COST-WRITING INSTR</v>
      </c>
      <c r="C59" s="10"/>
      <c r="D59" s="2"/>
      <c r="E59" s="2"/>
      <c r="F59" s="19">
        <f t="shared" si="15"/>
        <v>0</v>
      </c>
      <c r="G59" s="2"/>
      <c r="H59" s="2"/>
      <c r="I59" s="2"/>
      <c r="J59" s="19">
        <f t="shared" si="16"/>
        <v>0</v>
      </c>
      <c r="K59" s="2"/>
      <c r="L59" s="2">
        <f t="shared" si="17"/>
        <v>0</v>
      </c>
      <c r="M59" s="2"/>
      <c r="N59" s="19">
        <f t="shared" si="18"/>
        <v>0</v>
      </c>
      <c r="O59" s="10"/>
      <c r="P59" s="2">
        <v>219.64</v>
      </c>
      <c r="Q59" s="2"/>
      <c r="R59" s="19">
        <f t="shared" si="19"/>
        <v>1.1639679733925953E-4</v>
      </c>
      <c r="S59" s="2"/>
      <c r="T59" s="2">
        <v>1198.07</v>
      </c>
      <c r="U59" s="2"/>
      <c r="V59" s="19">
        <f t="shared" si="20"/>
        <v>4.6293667689171428E-4</v>
      </c>
      <c r="W59" s="2"/>
      <c r="X59" s="2">
        <f t="shared" si="21"/>
        <v>-978.43</v>
      </c>
      <c r="Y59" s="2"/>
      <c r="Z59" s="19">
        <f t="shared" si="22"/>
        <v>-0.81667181383391618</v>
      </c>
    </row>
    <row r="60" spans="1:26" s="23" customFormat="1" hidden="1" outlineLevel="1" x14ac:dyDescent="0.25">
      <c r="A60" s="44"/>
      <c r="B60" s="10" t="str">
        <f>CONCATENATE("          ", "5027", " - ", "PURCHASES @ COST-SCHOOL SUPPLI")</f>
        <v xml:space="preserve">          5027 - PURCHASES @ COST-SCHOOL SUPPLI</v>
      </c>
      <c r="C60" s="10"/>
      <c r="D60" s="2">
        <v>1838.72</v>
      </c>
      <c r="E60" s="2"/>
      <c r="F60" s="19">
        <f t="shared" si="15"/>
        <v>4.4944102556794688E-3</v>
      </c>
      <c r="G60" s="2"/>
      <c r="H60" s="2"/>
      <c r="I60" s="2"/>
      <c r="J60" s="19">
        <f t="shared" si="16"/>
        <v>0</v>
      </c>
      <c r="K60" s="2"/>
      <c r="L60" s="2">
        <f t="shared" si="17"/>
        <v>1838.72</v>
      </c>
      <c r="M60" s="2"/>
      <c r="N60" s="19">
        <f t="shared" si="18"/>
        <v>0</v>
      </c>
      <c r="O60" s="10"/>
      <c r="P60" s="2">
        <v>22839.13</v>
      </c>
      <c r="Q60" s="2"/>
      <c r="R60" s="19">
        <f t="shared" si="19"/>
        <v>1.210344921696869E-2</v>
      </c>
      <c r="S60" s="2"/>
      <c r="T60" s="2">
        <v>325.45</v>
      </c>
      <c r="U60" s="2"/>
      <c r="V60" s="19">
        <f t="shared" si="20"/>
        <v>1.2575453979684693E-4</v>
      </c>
      <c r="W60" s="2"/>
      <c r="X60" s="2">
        <f t="shared" si="21"/>
        <v>22513.68</v>
      </c>
      <c r="Y60" s="2"/>
      <c r="Z60" s="19">
        <f t="shared" si="22"/>
        <v>69.177077892149342</v>
      </c>
    </row>
    <row r="61" spans="1:26" s="23" customFormat="1" hidden="1" outlineLevel="1" x14ac:dyDescent="0.25">
      <c r="A61" s="44"/>
      <c r="B61" s="10" t="str">
        <f>CONCATENATE("          ", "5028", " - ", "PURCHASES @ COST-ART/TECH")</f>
        <v xml:space="preserve">          5028 - PURCHASES @ COST-ART/TECH</v>
      </c>
      <c r="C61" s="10"/>
      <c r="D61" s="2">
        <v>1371.26</v>
      </c>
      <c r="E61" s="2"/>
      <c r="F61" s="19">
        <f t="shared" si="15"/>
        <v>3.3517909236876896E-3</v>
      </c>
      <c r="G61" s="2"/>
      <c r="H61" s="2"/>
      <c r="I61" s="2"/>
      <c r="J61" s="19">
        <f t="shared" si="16"/>
        <v>0</v>
      </c>
      <c r="K61" s="2"/>
      <c r="L61" s="2">
        <f t="shared" si="17"/>
        <v>1371.26</v>
      </c>
      <c r="M61" s="2"/>
      <c r="N61" s="19">
        <f t="shared" si="18"/>
        <v>0</v>
      </c>
      <c r="O61" s="10"/>
      <c r="P61" s="2">
        <v>5564.77</v>
      </c>
      <c r="Q61" s="2"/>
      <c r="R61" s="19">
        <f t="shared" si="19"/>
        <v>2.9490138678273147E-3</v>
      </c>
      <c r="S61" s="2"/>
      <c r="T61" s="2"/>
      <c r="U61" s="2"/>
      <c r="V61" s="19">
        <f t="shared" si="20"/>
        <v>0</v>
      </c>
      <c r="W61" s="2"/>
      <c r="X61" s="2">
        <f t="shared" si="21"/>
        <v>5564.77</v>
      </c>
      <c r="Y61" s="2"/>
      <c r="Z61" s="19">
        <f t="shared" si="22"/>
        <v>0</v>
      </c>
    </row>
    <row r="62" spans="1:26" s="23" customFormat="1" hidden="1" outlineLevel="1" x14ac:dyDescent="0.25">
      <c r="A62" s="44"/>
      <c r="B62" s="10" t="str">
        <f>CONCATENATE("          ", "5031", " - ", "PURCHASES @ COST-FOOD")</f>
        <v xml:space="preserve">          5031 - PURCHASES @ COST-FOOD</v>
      </c>
      <c r="C62" s="10"/>
      <c r="D62" s="2"/>
      <c r="E62" s="2"/>
      <c r="F62" s="19">
        <f t="shared" si="15"/>
        <v>0</v>
      </c>
      <c r="G62" s="2"/>
      <c r="H62" s="2"/>
      <c r="I62" s="2"/>
      <c r="J62" s="19">
        <f t="shared" si="16"/>
        <v>0</v>
      </c>
      <c r="K62" s="2"/>
      <c r="L62" s="2">
        <f t="shared" si="17"/>
        <v>0</v>
      </c>
      <c r="M62" s="2"/>
      <c r="N62" s="19">
        <f t="shared" si="18"/>
        <v>0</v>
      </c>
      <c r="O62" s="10"/>
      <c r="P62" s="2">
        <v>5344.15</v>
      </c>
      <c r="Q62" s="2"/>
      <c r="R62" s="19">
        <f t="shared" si="19"/>
        <v>2.8320977258268249E-3</v>
      </c>
      <c r="S62" s="2"/>
      <c r="T62" s="2"/>
      <c r="U62" s="2"/>
      <c r="V62" s="19">
        <f t="shared" si="20"/>
        <v>0</v>
      </c>
      <c r="W62" s="2"/>
      <c r="X62" s="2">
        <f t="shared" si="21"/>
        <v>5344.15</v>
      </c>
      <c r="Y62" s="2"/>
      <c r="Z62" s="19">
        <f t="shared" si="22"/>
        <v>0</v>
      </c>
    </row>
    <row r="63" spans="1:26" s="23" customFormat="1" hidden="1" outlineLevel="1" x14ac:dyDescent="0.25">
      <c r="A63" s="44"/>
      <c r="B63" s="10" t="str">
        <f>CONCATENATE("          ", "5037", " - ", "PURCHASES @ COST-WATER")</f>
        <v xml:space="preserve">          5037 - PURCHASES @ COST-WATER</v>
      </c>
      <c r="C63" s="10"/>
      <c r="D63" s="2"/>
      <c r="E63" s="2"/>
      <c r="F63" s="19">
        <f t="shared" si="15"/>
        <v>0</v>
      </c>
      <c r="G63" s="2"/>
      <c r="H63" s="2"/>
      <c r="I63" s="2"/>
      <c r="J63" s="19">
        <f t="shared" si="16"/>
        <v>0</v>
      </c>
      <c r="K63" s="2"/>
      <c r="L63" s="2">
        <f t="shared" si="17"/>
        <v>0</v>
      </c>
      <c r="M63" s="2"/>
      <c r="N63" s="19">
        <f t="shared" si="18"/>
        <v>0</v>
      </c>
      <c r="O63" s="10"/>
      <c r="P63" s="2"/>
      <c r="Q63" s="2"/>
      <c r="R63" s="19">
        <f t="shared" si="19"/>
        <v>0</v>
      </c>
      <c r="S63" s="2"/>
      <c r="T63" s="2">
        <v>29.76</v>
      </c>
      <c r="U63" s="2"/>
      <c r="V63" s="19">
        <f t="shared" si="20"/>
        <v>1.1499324333550976E-5</v>
      </c>
      <c r="W63" s="2"/>
      <c r="X63" s="2">
        <f t="shared" si="21"/>
        <v>-29.76</v>
      </c>
      <c r="Y63" s="2"/>
      <c r="Z63" s="19">
        <f t="shared" si="22"/>
        <v>-1</v>
      </c>
    </row>
    <row r="64" spans="1:26" s="23" customFormat="1" hidden="1" outlineLevel="1" x14ac:dyDescent="0.25">
      <c r="A64" s="44"/>
      <c r="B64" s="10" t="str">
        <f>CONCATENATE("          ", "5040", " - ", "PURCHASES @ COST-LOGO CLOTHING")</f>
        <v xml:space="preserve">          5040 - PURCHASES @ COST-LOGO CLOTHING</v>
      </c>
      <c r="C64" s="10"/>
      <c r="D64" s="2">
        <v>39218.65</v>
      </c>
      <c r="E64" s="2"/>
      <c r="F64" s="19">
        <f t="shared" si="15"/>
        <v>9.5862721226670514E-2</v>
      </c>
      <c r="G64" s="2"/>
      <c r="H64" s="2">
        <v>8012.9</v>
      </c>
      <c r="I64" s="2"/>
      <c r="J64" s="19">
        <f t="shared" si="16"/>
        <v>6.4282966028840344E-2</v>
      </c>
      <c r="K64" s="2"/>
      <c r="L64" s="2">
        <f t="shared" si="17"/>
        <v>31205.75</v>
      </c>
      <c r="M64" s="2"/>
      <c r="N64" s="19">
        <f t="shared" si="18"/>
        <v>3.894438967165446</v>
      </c>
      <c r="O64" s="10"/>
      <c r="P64" s="2">
        <v>279090.25</v>
      </c>
      <c r="Q64" s="2"/>
      <c r="R64" s="19">
        <f t="shared" si="19"/>
        <v>0.14790207279463341</v>
      </c>
      <c r="S64" s="2"/>
      <c r="T64" s="2">
        <v>974911.44</v>
      </c>
      <c r="U64" s="2"/>
      <c r="V64" s="19">
        <f t="shared" si="20"/>
        <v>0.37670775689009478</v>
      </c>
      <c r="W64" s="2"/>
      <c r="X64" s="2">
        <f t="shared" si="21"/>
        <v>-695821.19</v>
      </c>
      <c r="Y64" s="2"/>
      <c r="Z64" s="19">
        <f t="shared" si="22"/>
        <v>-0.71372758740014375</v>
      </c>
    </row>
    <row r="65" spans="1:26" s="23" customFormat="1" hidden="1" outlineLevel="1" x14ac:dyDescent="0.25">
      <c r="A65" s="44"/>
      <c r="B65" s="10" t="str">
        <f>CONCATENATE("          ", "5041", " - ", "PURCHASES @ COST-LOGO GIFTS")</f>
        <v xml:space="preserve">          5041 - PURCHASES @ COST-LOGO GIFTS</v>
      </c>
      <c r="C65" s="10"/>
      <c r="D65" s="2">
        <v>15798.51</v>
      </c>
      <c r="E65" s="2"/>
      <c r="F65" s="19">
        <f t="shared" si="15"/>
        <v>3.861652963390546E-2</v>
      </c>
      <c r="G65" s="2"/>
      <c r="H65" s="2">
        <v>-4050.7</v>
      </c>
      <c r="I65" s="2"/>
      <c r="J65" s="19">
        <f t="shared" si="16"/>
        <v>-3.249647574448996E-2</v>
      </c>
      <c r="K65" s="2"/>
      <c r="L65" s="2">
        <f t="shared" si="17"/>
        <v>19849.21</v>
      </c>
      <c r="M65" s="2"/>
      <c r="N65" s="19">
        <f t="shared" si="18"/>
        <v>-4.9001925593107361</v>
      </c>
      <c r="O65" s="10"/>
      <c r="P65" s="2">
        <v>84261.95</v>
      </c>
      <c r="Q65" s="2"/>
      <c r="R65" s="19">
        <f t="shared" si="19"/>
        <v>4.4654075384997362E-2</v>
      </c>
      <c r="S65" s="2"/>
      <c r="T65" s="2">
        <v>145460.03</v>
      </c>
      <c r="U65" s="2"/>
      <c r="V65" s="19">
        <f t="shared" si="20"/>
        <v>5.6206050488509907E-2</v>
      </c>
      <c r="W65" s="2"/>
      <c r="X65" s="2">
        <f t="shared" si="21"/>
        <v>-61198.080000000002</v>
      </c>
      <c r="Y65" s="2"/>
      <c r="Z65" s="19">
        <f t="shared" si="22"/>
        <v>-0.42072093619119977</v>
      </c>
    </row>
    <row r="66" spans="1:26" s="23" customFormat="1" hidden="1" outlineLevel="1" x14ac:dyDescent="0.25">
      <c r="A66" s="44"/>
      <c r="B66" s="10" t="str">
        <f>CONCATENATE("          ", "5042", " - ", "PURCHASES @ COST-EVERYDAY GIFT")</f>
        <v xml:space="preserve">          5042 - PURCHASES @ COST-EVERYDAY GIFT</v>
      </c>
      <c r="C66" s="10"/>
      <c r="D66" s="2"/>
      <c r="E66" s="2"/>
      <c r="F66" s="19">
        <f t="shared" si="15"/>
        <v>0</v>
      </c>
      <c r="G66" s="2"/>
      <c r="H66" s="2">
        <v>521.79999999999995</v>
      </c>
      <c r="I66" s="2"/>
      <c r="J66" s="19">
        <f t="shared" si="16"/>
        <v>4.1861063627212231E-3</v>
      </c>
      <c r="K66" s="2"/>
      <c r="L66" s="2">
        <f t="shared" si="17"/>
        <v>-521.79999999999995</v>
      </c>
      <c r="M66" s="2"/>
      <c r="N66" s="19">
        <f t="shared" si="18"/>
        <v>-1</v>
      </c>
      <c r="O66" s="10"/>
      <c r="P66" s="2">
        <v>18748.18</v>
      </c>
      <c r="Q66" s="2"/>
      <c r="R66" s="19">
        <f t="shared" si="19"/>
        <v>9.9354767252775398E-3</v>
      </c>
      <c r="S66" s="2"/>
      <c r="T66" s="2">
        <v>115885.04</v>
      </c>
      <c r="U66" s="2"/>
      <c r="V66" s="19">
        <f t="shared" si="20"/>
        <v>4.4778214394036564E-2</v>
      </c>
      <c r="W66" s="2"/>
      <c r="X66" s="2">
        <f t="shared" si="21"/>
        <v>-97136.859999999986</v>
      </c>
      <c r="Y66" s="2"/>
      <c r="Z66" s="19">
        <f t="shared" si="22"/>
        <v>-0.83821742651165321</v>
      </c>
    </row>
    <row r="67" spans="1:26" s="23" customFormat="1" hidden="1" outlineLevel="1" x14ac:dyDescent="0.25">
      <c r="A67" s="44"/>
      <c r="B67" s="10" t="str">
        <f>CONCATENATE("          ", "5043", " - ", "PURCHASES @ COST-CARDS")</f>
        <v xml:space="preserve">          5043 - PURCHASES @ COST-CARDS</v>
      </c>
      <c r="C67" s="10"/>
      <c r="D67" s="2">
        <v>41</v>
      </c>
      <c r="E67" s="2"/>
      <c r="F67" s="19">
        <f t="shared" si="15"/>
        <v>1.002169011501796E-4</v>
      </c>
      <c r="G67" s="2"/>
      <c r="H67" s="2">
        <v>6137.75</v>
      </c>
      <c r="I67" s="2"/>
      <c r="J67" s="19">
        <f t="shared" si="16"/>
        <v>4.9239697830188174E-2</v>
      </c>
      <c r="K67" s="2"/>
      <c r="L67" s="2">
        <f t="shared" si="17"/>
        <v>-6096.75</v>
      </c>
      <c r="M67" s="2"/>
      <c r="N67" s="19">
        <f t="shared" si="18"/>
        <v>-0.9933200276974461</v>
      </c>
      <c r="O67" s="10"/>
      <c r="P67" s="2">
        <v>55405.33</v>
      </c>
      <c r="Q67" s="2"/>
      <c r="R67" s="19">
        <f t="shared" si="19"/>
        <v>2.9361696264454548E-2</v>
      </c>
      <c r="S67" s="2"/>
      <c r="T67" s="2">
        <v>30914.66</v>
      </c>
      <c r="U67" s="2"/>
      <c r="V67" s="19">
        <f t="shared" si="20"/>
        <v>1.1945487298435987E-2</v>
      </c>
      <c r="W67" s="2"/>
      <c r="X67" s="2">
        <f t="shared" si="21"/>
        <v>24490.670000000002</v>
      </c>
      <c r="Y67" s="2"/>
      <c r="Z67" s="19">
        <f t="shared" si="22"/>
        <v>0.7922024696373825</v>
      </c>
    </row>
    <row r="68" spans="1:26" s="23" customFormat="1" hidden="1" outlineLevel="1" x14ac:dyDescent="0.25">
      <c r="A68" s="44"/>
      <c r="B68" s="10" t="str">
        <f>CONCATENATE("          ", "5044", " - ", "PURCHASES @ COST-ACCESSORIES")</f>
        <v xml:space="preserve">          5044 - PURCHASES @ COST-ACCESSORIES</v>
      </c>
      <c r="C68" s="10"/>
      <c r="D68" s="2">
        <v>1490.88</v>
      </c>
      <c r="E68" s="2"/>
      <c r="F68" s="19">
        <f t="shared" si="15"/>
        <v>3.6441798435799945E-3</v>
      </c>
      <c r="G68" s="2"/>
      <c r="H68" s="2">
        <v>4380</v>
      </c>
      <c r="I68" s="2"/>
      <c r="J68" s="19">
        <f t="shared" si="16"/>
        <v>3.5138263450975392E-2</v>
      </c>
      <c r="K68" s="2"/>
      <c r="L68" s="2">
        <f t="shared" si="17"/>
        <v>-2889.12</v>
      </c>
      <c r="M68" s="2"/>
      <c r="N68" s="19">
        <f t="shared" si="18"/>
        <v>-0.65961643835616435</v>
      </c>
      <c r="O68" s="10"/>
      <c r="P68" s="2">
        <v>2555.71</v>
      </c>
      <c r="Q68" s="2"/>
      <c r="R68" s="19">
        <f t="shared" si="19"/>
        <v>1.3543819838277135E-3</v>
      </c>
      <c r="S68" s="2"/>
      <c r="T68" s="2">
        <v>36474.03</v>
      </c>
      <c r="U68" s="2"/>
      <c r="V68" s="19">
        <f t="shared" si="20"/>
        <v>1.4093639137152832E-2</v>
      </c>
      <c r="W68" s="2"/>
      <c r="X68" s="2">
        <f t="shared" si="21"/>
        <v>-33918.32</v>
      </c>
      <c r="Y68" s="2"/>
      <c r="Z68" s="19">
        <f t="shared" si="22"/>
        <v>-0.92993069315345744</v>
      </c>
    </row>
    <row r="69" spans="1:26" s="23" customFormat="1" hidden="1" outlineLevel="1" x14ac:dyDescent="0.25">
      <c r="A69" s="44"/>
      <c r="B69" s="10" t="str">
        <f>CONCATENATE("          ", "5045", " - ", "PURCHASES @ COST-SPECIAL ORDER")</f>
        <v xml:space="preserve">          5045 - PURCHASES @ COST-SPECIAL ORDER</v>
      </c>
      <c r="C69" s="10"/>
      <c r="D69" s="2">
        <v>5771.38</v>
      </c>
      <c r="E69" s="2"/>
      <c r="F69" s="19">
        <f t="shared" si="15"/>
        <v>1.4107068755124965E-2</v>
      </c>
      <c r="G69" s="2"/>
      <c r="H69" s="2">
        <v>4221.8999999999996</v>
      </c>
      <c r="I69" s="2"/>
      <c r="J69" s="19">
        <f t="shared" si="16"/>
        <v>3.3869916544217581E-2</v>
      </c>
      <c r="K69" s="2"/>
      <c r="L69" s="2">
        <f t="shared" si="17"/>
        <v>1549.4800000000005</v>
      </c>
      <c r="M69" s="2"/>
      <c r="N69" s="19">
        <f t="shared" si="18"/>
        <v>0.36701011392974742</v>
      </c>
      <c r="O69" s="10"/>
      <c r="P69" s="2">
        <v>114998.07</v>
      </c>
      <c r="Q69" s="2"/>
      <c r="R69" s="19">
        <f t="shared" si="19"/>
        <v>6.0942483373684138E-2</v>
      </c>
      <c r="S69" s="2"/>
      <c r="T69" s="2">
        <v>61923.15</v>
      </c>
      <c r="U69" s="2"/>
      <c r="V69" s="19">
        <f t="shared" si="20"/>
        <v>2.3927230699097014E-2</v>
      </c>
      <c r="W69" s="2"/>
      <c r="X69" s="2">
        <f t="shared" si="21"/>
        <v>53074.920000000006</v>
      </c>
      <c r="Y69" s="2"/>
      <c r="Z69" s="19">
        <f t="shared" si="22"/>
        <v>0.85710949782108958</v>
      </c>
    </row>
    <row r="70" spans="1:26" s="23" customFormat="1" hidden="1" outlineLevel="1" x14ac:dyDescent="0.25">
      <c r="A70" s="44"/>
      <c r="B70" s="10" t="str">
        <f>CONCATENATE("          ", "5083", " - ", "PURCHASES @ COST-COMPUTER EQUI")</f>
        <v xml:space="preserve">          5083 - PURCHASES @ COST-COMPUTER EQUI</v>
      </c>
      <c r="C70" s="10"/>
      <c r="D70" s="2"/>
      <c r="E70" s="2"/>
      <c r="F70" s="19">
        <f t="shared" si="15"/>
        <v>0</v>
      </c>
      <c r="G70" s="2"/>
      <c r="H70" s="2"/>
      <c r="I70" s="2"/>
      <c r="J70" s="19">
        <f t="shared" si="16"/>
        <v>0</v>
      </c>
      <c r="K70" s="2"/>
      <c r="L70" s="2">
        <f t="shared" si="17"/>
        <v>0</v>
      </c>
      <c r="M70" s="2"/>
      <c r="N70" s="19">
        <f t="shared" si="18"/>
        <v>0</v>
      </c>
      <c r="O70" s="10"/>
      <c r="P70" s="2"/>
      <c r="Q70" s="2"/>
      <c r="R70" s="19">
        <f t="shared" si="19"/>
        <v>0</v>
      </c>
      <c r="S70" s="2"/>
      <c r="T70" s="2">
        <v>90.35</v>
      </c>
      <c r="U70" s="2"/>
      <c r="V70" s="19">
        <f t="shared" si="20"/>
        <v>3.4911423169903583E-5</v>
      </c>
      <c r="W70" s="2"/>
      <c r="X70" s="2">
        <f t="shared" si="21"/>
        <v>-90.35</v>
      </c>
      <c r="Y70" s="2"/>
      <c r="Z70" s="19">
        <f t="shared" si="22"/>
        <v>-1</v>
      </c>
    </row>
    <row r="71" spans="1:26" s="23" customFormat="1" hidden="1" outlineLevel="1" x14ac:dyDescent="0.25">
      <c r="A71" s="44"/>
      <c r="B71" s="10" t="str">
        <f>CONCATENATE("          ", "5086", " - ", "PURCHASES @ COST-COMPUTER SUPP")</f>
        <v xml:space="preserve">          5086 - PURCHASES @ COST-COMPUTER SUPP</v>
      </c>
      <c r="C71" s="10"/>
      <c r="D71" s="2"/>
      <c r="E71" s="2"/>
      <c r="F71" s="19">
        <f t="shared" si="15"/>
        <v>0</v>
      </c>
      <c r="G71" s="2"/>
      <c r="H71" s="2"/>
      <c r="I71" s="2"/>
      <c r="J71" s="19">
        <f t="shared" si="16"/>
        <v>0</v>
      </c>
      <c r="K71" s="2"/>
      <c r="L71" s="2">
        <f t="shared" si="17"/>
        <v>0</v>
      </c>
      <c r="M71" s="2"/>
      <c r="N71" s="19">
        <f t="shared" si="18"/>
        <v>0</v>
      </c>
      <c r="O71" s="10"/>
      <c r="P71" s="2">
        <v>13.21</v>
      </c>
      <c r="Q71" s="2"/>
      <c r="R71" s="19">
        <f t="shared" si="19"/>
        <v>7.0005540559625693E-6</v>
      </c>
      <c r="S71" s="2"/>
      <c r="T71" s="2">
        <v>0</v>
      </c>
      <c r="U71" s="2"/>
      <c r="V71" s="19">
        <f t="shared" si="20"/>
        <v>0</v>
      </c>
      <c r="W71" s="2"/>
      <c r="X71" s="2">
        <f t="shared" si="21"/>
        <v>13.21</v>
      </c>
      <c r="Y71" s="2"/>
      <c r="Z71" s="19">
        <f t="shared" si="22"/>
        <v>0</v>
      </c>
    </row>
    <row r="72" spans="1:26" s="23" customFormat="1" hidden="1" outlineLevel="1" x14ac:dyDescent="0.25">
      <c r="A72" s="44"/>
      <c r="B72" s="10" t="str">
        <f>CONCATENATE("          ", "5092", " - ", "PURCHASES @ COST-GRAD MERCH")</f>
        <v xml:space="preserve">          5092 - PURCHASES @ COST-GRAD MERCH</v>
      </c>
      <c r="C72" s="10"/>
      <c r="D72" s="2"/>
      <c r="E72" s="2"/>
      <c r="F72" s="19">
        <f t="shared" si="15"/>
        <v>0</v>
      </c>
      <c r="G72" s="2"/>
      <c r="H72" s="2"/>
      <c r="I72" s="2"/>
      <c r="J72" s="19">
        <f t="shared" si="16"/>
        <v>0</v>
      </c>
      <c r="K72" s="2"/>
      <c r="L72" s="2">
        <f t="shared" si="17"/>
        <v>0</v>
      </c>
      <c r="M72" s="2"/>
      <c r="N72" s="19">
        <f t="shared" si="18"/>
        <v>0</v>
      </c>
      <c r="O72" s="10"/>
      <c r="P72" s="2"/>
      <c r="Q72" s="2"/>
      <c r="R72" s="19">
        <f t="shared" si="19"/>
        <v>0</v>
      </c>
      <c r="S72" s="2"/>
      <c r="T72" s="2">
        <v>-60.35</v>
      </c>
      <c r="U72" s="2"/>
      <c r="V72" s="19">
        <f t="shared" si="20"/>
        <v>-2.3319362349791714E-5</v>
      </c>
      <c r="W72" s="2"/>
      <c r="X72" s="2">
        <f t="shared" si="21"/>
        <v>60.35</v>
      </c>
      <c r="Y72" s="2"/>
      <c r="Z72" s="19">
        <f t="shared" si="22"/>
        <v>-1</v>
      </c>
    </row>
    <row r="73" spans="1:26" s="23" customFormat="1" hidden="1" outlineLevel="1" x14ac:dyDescent="0.25">
      <c r="A73" s="44"/>
      <c r="B73" s="10" t="str">
        <f>CONCATENATE("          ", "5095", " - ", "PURCHASES @ COST-CUSTOMER SERV")</f>
        <v xml:space="preserve">          5095 - PURCHASES @ COST-CUSTOMER SERV</v>
      </c>
      <c r="C73" s="10"/>
      <c r="D73" s="2"/>
      <c r="E73" s="2"/>
      <c r="F73" s="19">
        <f t="shared" si="15"/>
        <v>0</v>
      </c>
      <c r="G73" s="2"/>
      <c r="H73" s="2"/>
      <c r="I73" s="2"/>
      <c r="J73" s="19">
        <f t="shared" si="16"/>
        <v>0</v>
      </c>
      <c r="K73" s="2"/>
      <c r="L73" s="2">
        <f t="shared" si="17"/>
        <v>0</v>
      </c>
      <c r="M73" s="2"/>
      <c r="N73" s="19">
        <f t="shared" si="18"/>
        <v>0</v>
      </c>
      <c r="O73" s="10"/>
      <c r="P73" s="2"/>
      <c r="Q73" s="2"/>
      <c r="R73" s="19">
        <f t="shared" si="19"/>
        <v>0</v>
      </c>
      <c r="S73" s="2"/>
      <c r="T73" s="2">
        <v>-11.85</v>
      </c>
      <c r="U73" s="2"/>
      <c r="V73" s="19">
        <f t="shared" si="20"/>
        <v>-4.5788640239441884E-6</v>
      </c>
      <c r="W73" s="2"/>
      <c r="X73" s="2">
        <f t="shared" si="21"/>
        <v>11.85</v>
      </c>
      <c r="Y73" s="2"/>
      <c r="Z73" s="19">
        <f t="shared" si="22"/>
        <v>-1</v>
      </c>
    </row>
    <row r="74" spans="1:26" s="23" customFormat="1" hidden="1" outlineLevel="1" x14ac:dyDescent="0.25">
      <c r="A74" s="44"/>
      <c r="B74" s="10" t="str">
        <f>CONCATENATE("          ", "5200", " - ", "PURCHASES OFFSET")</f>
        <v xml:space="preserve">          5200 - PURCHASES OFFSET</v>
      </c>
      <c r="C74" s="10"/>
      <c r="D74" s="2">
        <v>-70754.37</v>
      </c>
      <c r="E74" s="2"/>
      <c r="F74" s="19">
        <f t="shared" si="15"/>
        <v>-0.17294594400568858</v>
      </c>
      <c r="G74" s="2"/>
      <c r="H74" s="2">
        <v>-20517</v>
      </c>
      <c r="I74" s="2"/>
      <c r="J74" s="19">
        <f t="shared" si="16"/>
        <v>-0.16459629023371281</v>
      </c>
      <c r="K74" s="2"/>
      <c r="L74" s="2">
        <f t="shared" si="17"/>
        <v>-50237.369999999995</v>
      </c>
      <c r="M74" s="2"/>
      <c r="N74" s="19">
        <f t="shared" si="18"/>
        <v>2.4485728907735047</v>
      </c>
      <c r="O74" s="10"/>
      <c r="P74" s="2">
        <v>-614625.82999999996</v>
      </c>
      <c r="Q74" s="2"/>
      <c r="R74" s="19">
        <f t="shared" si="19"/>
        <v>-0.32571698312686298</v>
      </c>
      <c r="S74" s="2"/>
      <c r="T74" s="2">
        <v>-1371748</v>
      </c>
      <c r="U74" s="2"/>
      <c r="V74" s="19">
        <f t="shared" si="20"/>
        <v>-0.53004620819556059</v>
      </c>
      <c r="W74" s="2"/>
      <c r="X74" s="2">
        <f t="shared" si="21"/>
        <v>757122.17</v>
      </c>
      <c r="Y74" s="2"/>
      <c r="Z74" s="19">
        <f t="shared" si="22"/>
        <v>-0.55193969300483769</v>
      </c>
    </row>
    <row r="75" spans="1:26" s="23" customFormat="1" hidden="1" outlineLevel="1" x14ac:dyDescent="0.25">
      <c r="A75" s="44"/>
      <c r="B75" s="10" t="str">
        <f>CONCATENATE("          ", "5300", " - ", "COG$ OFFSET")</f>
        <v xml:space="preserve">          5300 - COG$ OFFSET</v>
      </c>
      <c r="C75" s="10"/>
      <c r="D75" s="2">
        <v>191894</v>
      </c>
      <c r="E75" s="2"/>
      <c r="F75" s="19">
        <f t="shared" si="15"/>
        <v>0.46904931778811132</v>
      </c>
      <c r="G75" s="2"/>
      <c r="H75" s="2">
        <v>58392</v>
      </c>
      <c r="I75" s="2"/>
      <c r="J75" s="19">
        <f t="shared" si="16"/>
        <v>0.46844599986971575</v>
      </c>
      <c r="K75" s="2"/>
      <c r="L75" s="2">
        <f t="shared" si="17"/>
        <v>133502</v>
      </c>
      <c r="M75" s="2"/>
      <c r="N75" s="19">
        <f t="shared" si="18"/>
        <v>2.2863063433347035</v>
      </c>
      <c r="O75" s="10"/>
      <c r="P75" s="2">
        <v>1024929</v>
      </c>
      <c r="Q75" s="2"/>
      <c r="R75" s="19">
        <f t="shared" si="19"/>
        <v>0.54315449417287354</v>
      </c>
      <c r="S75" s="2"/>
      <c r="T75" s="2">
        <v>1152669</v>
      </c>
      <c r="U75" s="2"/>
      <c r="V75" s="19">
        <f t="shared" si="20"/>
        <v>0.44539363844858432</v>
      </c>
      <c r="W75" s="2"/>
      <c r="X75" s="2">
        <f t="shared" si="21"/>
        <v>-127740</v>
      </c>
      <c r="Y75" s="2"/>
      <c r="Z75" s="19">
        <f t="shared" si="22"/>
        <v>-0.11082105964504987</v>
      </c>
    </row>
    <row r="76" spans="1:26" s="23" customFormat="1" hidden="1" outlineLevel="1" x14ac:dyDescent="0.25">
      <c r="A76" s="44"/>
      <c r="B76" s="10" t="str">
        <f>CONCATENATE("          ", "5500", " - ", "FREIGHT-IN")</f>
        <v xml:space="preserve">          5500 - FREIGHT-IN</v>
      </c>
      <c r="C76" s="10"/>
      <c r="D76" s="2"/>
      <c r="E76" s="2"/>
      <c r="F76" s="19">
        <f t="shared" si="15"/>
        <v>0</v>
      </c>
      <c r="G76" s="2"/>
      <c r="H76" s="2"/>
      <c r="I76" s="2"/>
      <c r="J76" s="19">
        <f t="shared" si="16"/>
        <v>0</v>
      </c>
      <c r="K76" s="2"/>
      <c r="L76" s="2">
        <f t="shared" si="17"/>
        <v>0</v>
      </c>
      <c r="M76" s="2"/>
      <c r="N76" s="19">
        <f t="shared" si="18"/>
        <v>0</v>
      </c>
      <c r="O76" s="10"/>
      <c r="P76" s="2"/>
      <c r="Q76" s="2"/>
      <c r="R76" s="19">
        <f t="shared" si="19"/>
        <v>0</v>
      </c>
      <c r="S76" s="2"/>
      <c r="T76" s="2">
        <v>29.23</v>
      </c>
      <c r="U76" s="2"/>
      <c r="V76" s="19">
        <f t="shared" si="20"/>
        <v>1.1294531259062333E-5</v>
      </c>
      <c r="W76" s="2"/>
      <c r="X76" s="2">
        <f t="shared" si="21"/>
        <v>-29.23</v>
      </c>
      <c r="Y76" s="2"/>
      <c r="Z76" s="19">
        <f t="shared" si="22"/>
        <v>-1</v>
      </c>
    </row>
    <row r="77" spans="1:26" s="23" customFormat="1" hidden="1" outlineLevel="1" x14ac:dyDescent="0.25">
      <c r="A77" s="44"/>
      <c r="B77" s="10" t="str">
        <f>CONCATENATE("          ", "5525", " - ", "FREIGHT-IN-TEST FORMS")</f>
        <v xml:space="preserve">          5525 - FREIGHT-IN-TEST FORMS</v>
      </c>
      <c r="C77" s="10"/>
      <c r="D77" s="2"/>
      <c r="E77" s="2"/>
      <c r="F77" s="19">
        <f t="shared" si="15"/>
        <v>0</v>
      </c>
      <c r="G77" s="2"/>
      <c r="H77" s="2"/>
      <c r="I77" s="2"/>
      <c r="J77" s="19">
        <f t="shared" si="16"/>
        <v>0</v>
      </c>
      <c r="K77" s="2"/>
      <c r="L77" s="2">
        <f t="shared" si="17"/>
        <v>0</v>
      </c>
      <c r="M77" s="2"/>
      <c r="N77" s="19">
        <f t="shared" si="18"/>
        <v>0</v>
      </c>
      <c r="O77" s="10"/>
      <c r="P77" s="2">
        <v>48.14</v>
      </c>
      <c r="Q77" s="2"/>
      <c r="R77" s="19">
        <f t="shared" si="19"/>
        <v>2.5511481624075552E-5</v>
      </c>
      <c r="S77" s="2"/>
      <c r="T77" s="2"/>
      <c r="U77" s="2"/>
      <c r="V77" s="19">
        <f t="shared" si="20"/>
        <v>0</v>
      </c>
      <c r="W77" s="2"/>
      <c r="X77" s="2">
        <f t="shared" si="21"/>
        <v>48.14</v>
      </c>
      <c r="Y77" s="2"/>
      <c r="Z77" s="19">
        <f t="shared" si="22"/>
        <v>0</v>
      </c>
    </row>
    <row r="78" spans="1:26" s="23" customFormat="1" hidden="1" outlineLevel="1" x14ac:dyDescent="0.25">
      <c r="A78" s="44"/>
      <c r="B78" s="10" t="str">
        <f>CONCATENATE("          ", "5526", " - ", "FREIGHT-IN-WRITING INSTRUMENTS")</f>
        <v xml:space="preserve">          5526 - FREIGHT-IN-WRITING INSTRUMENTS</v>
      </c>
      <c r="C78" s="10"/>
      <c r="D78" s="2"/>
      <c r="E78" s="2"/>
      <c r="F78" s="19">
        <f t="shared" si="15"/>
        <v>0</v>
      </c>
      <c r="G78" s="2"/>
      <c r="H78" s="2"/>
      <c r="I78" s="2"/>
      <c r="J78" s="19">
        <f t="shared" si="16"/>
        <v>0</v>
      </c>
      <c r="K78" s="2"/>
      <c r="L78" s="2">
        <f t="shared" si="17"/>
        <v>0</v>
      </c>
      <c r="M78" s="2"/>
      <c r="N78" s="19">
        <f t="shared" si="18"/>
        <v>0</v>
      </c>
      <c r="O78" s="10"/>
      <c r="P78" s="2">
        <v>0</v>
      </c>
      <c r="Q78" s="2"/>
      <c r="R78" s="19">
        <f t="shared" si="19"/>
        <v>0</v>
      </c>
      <c r="S78" s="2"/>
      <c r="T78" s="2"/>
      <c r="U78" s="2"/>
      <c r="V78" s="19">
        <f t="shared" si="20"/>
        <v>0</v>
      </c>
      <c r="W78" s="2"/>
      <c r="X78" s="2">
        <f t="shared" si="21"/>
        <v>0</v>
      </c>
      <c r="Y78" s="2"/>
      <c r="Z78" s="19">
        <f t="shared" si="22"/>
        <v>0</v>
      </c>
    </row>
    <row r="79" spans="1:26" s="23" customFormat="1" hidden="1" outlineLevel="1" x14ac:dyDescent="0.25">
      <c r="A79" s="44"/>
      <c r="B79" s="10" t="str">
        <f>CONCATENATE("          ", "5527", " - ", "FREIGHT-IN-SCHOOL SUPPLIES")</f>
        <v xml:space="preserve">          5527 - FREIGHT-IN-SCHOOL SUPPLIES</v>
      </c>
      <c r="C79" s="10"/>
      <c r="D79" s="2"/>
      <c r="E79" s="2"/>
      <c r="F79" s="19">
        <f t="shared" si="15"/>
        <v>0</v>
      </c>
      <c r="G79" s="2"/>
      <c r="H79" s="2"/>
      <c r="I79" s="2"/>
      <c r="J79" s="19">
        <f t="shared" si="16"/>
        <v>0</v>
      </c>
      <c r="K79" s="2"/>
      <c r="L79" s="2">
        <f t="shared" si="17"/>
        <v>0</v>
      </c>
      <c r="M79" s="2"/>
      <c r="N79" s="19">
        <f t="shared" si="18"/>
        <v>0</v>
      </c>
      <c r="O79" s="10"/>
      <c r="P79" s="2">
        <v>218.62</v>
      </c>
      <c r="Q79" s="2"/>
      <c r="R79" s="19">
        <f t="shared" si="19"/>
        <v>1.1585625493675524E-4</v>
      </c>
      <c r="S79" s="2"/>
      <c r="T79" s="2"/>
      <c r="U79" s="2"/>
      <c r="V79" s="19">
        <f t="shared" si="20"/>
        <v>0</v>
      </c>
      <c r="W79" s="2"/>
      <c r="X79" s="2">
        <f t="shared" si="21"/>
        <v>218.62</v>
      </c>
      <c r="Y79" s="2"/>
      <c r="Z79" s="19">
        <f t="shared" si="22"/>
        <v>0</v>
      </c>
    </row>
    <row r="80" spans="1:26" s="23" customFormat="1" hidden="1" outlineLevel="1" x14ac:dyDescent="0.25">
      <c r="A80" s="44"/>
      <c r="B80" s="10" t="str">
        <f>CONCATENATE("          ", "5528", " - ", "FREIGHT-IN-ART/TECH")</f>
        <v xml:space="preserve">          5528 - FREIGHT-IN-ART/TECH</v>
      </c>
      <c r="C80" s="10"/>
      <c r="D80" s="2">
        <v>69.73</v>
      </c>
      <c r="E80" s="2"/>
      <c r="F80" s="19">
        <f t="shared" si="15"/>
        <v>1.7044206139517131E-4</v>
      </c>
      <c r="G80" s="2"/>
      <c r="H80" s="2"/>
      <c r="I80" s="2"/>
      <c r="J80" s="19">
        <f t="shared" si="16"/>
        <v>0</v>
      </c>
      <c r="K80" s="2"/>
      <c r="L80" s="2">
        <f t="shared" si="17"/>
        <v>69.73</v>
      </c>
      <c r="M80" s="2"/>
      <c r="N80" s="19">
        <f t="shared" si="18"/>
        <v>0</v>
      </c>
      <c r="O80" s="10"/>
      <c r="P80" s="2">
        <v>176.91</v>
      </c>
      <c r="Q80" s="2"/>
      <c r="R80" s="19">
        <f t="shared" si="19"/>
        <v>9.3752310222584254E-5</v>
      </c>
      <c r="S80" s="2"/>
      <c r="T80" s="2"/>
      <c r="U80" s="2"/>
      <c r="V80" s="19">
        <f t="shared" si="20"/>
        <v>0</v>
      </c>
      <c r="W80" s="2"/>
      <c r="X80" s="2">
        <f t="shared" si="21"/>
        <v>176.91</v>
      </c>
      <c r="Y80" s="2"/>
      <c r="Z80" s="19">
        <f t="shared" si="22"/>
        <v>0</v>
      </c>
    </row>
    <row r="81" spans="1:26" s="23" customFormat="1" hidden="1" outlineLevel="1" x14ac:dyDescent="0.25">
      <c r="A81" s="44"/>
      <c r="B81" s="10" t="str">
        <f>CONCATENATE("          ", "5540", " - ", "FREIGHT-IN-LOGO CLOTHING")</f>
        <v xml:space="preserve">          5540 - FREIGHT-IN-LOGO CLOTHING</v>
      </c>
      <c r="C81" s="10"/>
      <c r="D81" s="2">
        <v>2107.65</v>
      </c>
      <c r="E81" s="2"/>
      <c r="F81" s="19">
        <f t="shared" si="15"/>
        <v>5.1517597977847815E-3</v>
      </c>
      <c r="G81" s="2"/>
      <c r="H81" s="2">
        <v>1044.9100000000001</v>
      </c>
      <c r="I81" s="2"/>
      <c r="J81" s="19">
        <f t="shared" si="16"/>
        <v>8.3827221147394285E-3</v>
      </c>
      <c r="K81" s="2"/>
      <c r="L81" s="2">
        <f t="shared" si="17"/>
        <v>1062.74</v>
      </c>
      <c r="M81" s="2"/>
      <c r="N81" s="19">
        <f t="shared" si="18"/>
        <v>1.0170636705553588</v>
      </c>
      <c r="O81" s="10"/>
      <c r="P81" s="2">
        <v>9216.02</v>
      </c>
      <c r="Q81" s="2"/>
      <c r="R81" s="19">
        <f t="shared" si="19"/>
        <v>4.8839701885565598E-3</v>
      </c>
      <c r="S81" s="2"/>
      <c r="T81" s="2">
        <v>31703.3</v>
      </c>
      <c r="U81" s="2"/>
      <c r="V81" s="19">
        <f t="shared" si="20"/>
        <v>1.2250219393275089E-2</v>
      </c>
      <c r="W81" s="2"/>
      <c r="X81" s="2">
        <f t="shared" si="21"/>
        <v>-22487.279999999999</v>
      </c>
      <c r="Y81" s="2"/>
      <c r="Z81" s="19">
        <f t="shared" si="22"/>
        <v>-0.7093040787552084</v>
      </c>
    </row>
    <row r="82" spans="1:26" s="23" customFormat="1" hidden="1" outlineLevel="1" x14ac:dyDescent="0.25">
      <c r="A82" s="44"/>
      <c r="B82" s="10" t="str">
        <f>CONCATENATE("          ", "5541", " - ", "FREIGHT-IN-LOGO GIFTS")</f>
        <v xml:space="preserve">          5541 - FREIGHT-IN-LOGO GIFTS</v>
      </c>
      <c r="C82" s="10"/>
      <c r="D82" s="2">
        <v>2877.99</v>
      </c>
      <c r="E82" s="2"/>
      <c r="F82" s="19">
        <f t="shared" si="15"/>
        <v>7.0347131546635456E-3</v>
      </c>
      <c r="G82" s="2"/>
      <c r="H82" s="2">
        <v>186.99</v>
      </c>
      <c r="I82" s="2"/>
      <c r="J82" s="19">
        <f t="shared" si="16"/>
        <v>1.5001150417118466E-3</v>
      </c>
      <c r="K82" s="2"/>
      <c r="L82" s="2">
        <f t="shared" si="17"/>
        <v>2691</v>
      </c>
      <c r="M82" s="2"/>
      <c r="N82" s="19">
        <f t="shared" si="18"/>
        <v>14.391143911439114</v>
      </c>
      <c r="O82" s="10"/>
      <c r="P82" s="2">
        <v>5015.99</v>
      </c>
      <c r="Q82" s="2"/>
      <c r="R82" s="19">
        <f t="shared" si="19"/>
        <v>2.6581914564093628E-3</v>
      </c>
      <c r="S82" s="2"/>
      <c r="T82" s="2">
        <v>4882.9399999999996</v>
      </c>
      <c r="U82" s="2"/>
      <c r="V82" s="19">
        <f t="shared" si="20"/>
        <v>1.8867779153652351E-3</v>
      </c>
      <c r="W82" s="2"/>
      <c r="X82" s="2">
        <f t="shared" si="21"/>
        <v>133.05000000000018</v>
      </c>
      <c r="Y82" s="2"/>
      <c r="Z82" s="19">
        <f t="shared" si="22"/>
        <v>2.7247928502090991E-2</v>
      </c>
    </row>
    <row r="83" spans="1:26" s="23" customFormat="1" hidden="1" outlineLevel="1" x14ac:dyDescent="0.25">
      <c r="A83" s="44"/>
      <c r="B83" s="10" t="str">
        <f>CONCATENATE("          ", "5542", " - ", "FREIGHT-IN-EVERYDAY GIFTS")</f>
        <v xml:space="preserve">          5542 - FREIGHT-IN-EVERYDAY GIFTS</v>
      </c>
      <c r="C83" s="10"/>
      <c r="D83" s="2"/>
      <c r="E83" s="2"/>
      <c r="F83" s="19">
        <f t="shared" si="15"/>
        <v>0</v>
      </c>
      <c r="G83" s="2"/>
      <c r="H83" s="2">
        <v>45.1</v>
      </c>
      <c r="I83" s="2"/>
      <c r="J83" s="19">
        <f t="shared" si="16"/>
        <v>3.6181179946095666E-4</v>
      </c>
      <c r="K83" s="2"/>
      <c r="L83" s="2">
        <f t="shared" si="17"/>
        <v>-45.1</v>
      </c>
      <c r="M83" s="2"/>
      <c r="N83" s="19">
        <f t="shared" si="18"/>
        <v>-1</v>
      </c>
      <c r="O83" s="10"/>
      <c r="P83" s="2">
        <v>681.72</v>
      </c>
      <c r="Q83" s="2"/>
      <c r="R83" s="19">
        <f t="shared" si="19"/>
        <v>3.6127310454434536E-4</v>
      </c>
      <c r="S83" s="2"/>
      <c r="T83" s="2">
        <v>1839.04</v>
      </c>
      <c r="U83" s="2"/>
      <c r="V83" s="19">
        <f t="shared" si="20"/>
        <v>7.1060878435395109E-4</v>
      </c>
      <c r="W83" s="2"/>
      <c r="X83" s="2">
        <f t="shared" si="21"/>
        <v>-1157.32</v>
      </c>
      <c r="Y83" s="2"/>
      <c r="Z83" s="19">
        <f t="shared" si="22"/>
        <v>-0.62930659474508432</v>
      </c>
    </row>
    <row r="84" spans="1:26" s="23" customFormat="1" hidden="1" outlineLevel="1" x14ac:dyDescent="0.25">
      <c r="A84" s="44"/>
      <c r="B84" s="10" t="str">
        <f>CONCATENATE("          ", "5543", " - ", "FREIGHT-IN-CARDS")</f>
        <v xml:space="preserve">          5543 - FREIGHT-IN-CARDS</v>
      </c>
      <c r="C84" s="10"/>
      <c r="D84" s="2"/>
      <c r="E84" s="2"/>
      <c r="F84" s="19">
        <f t="shared" si="15"/>
        <v>0</v>
      </c>
      <c r="G84" s="2"/>
      <c r="H84" s="2"/>
      <c r="I84" s="2"/>
      <c r="J84" s="19">
        <f t="shared" si="16"/>
        <v>0</v>
      </c>
      <c r="K84" s="2"/>
      <c r="L84" s="2">
        <f t="shared" si="17"/>
        <v>0</v>
      </c>
      <c r="M84" s="2"/>
      <c r="N84" s="19">
        <f t="shared" si="18"/>
        <v>0</v>
      </c>
      <c r="O84" s="10"/>
      <c r="P84" s="2">
        <v>9110.5300000000007</v>
      </c>
      <c r="Q84" s="2"/>
      <c r="R84" s="19">
        <f t="shared" si="19"/>
        <v>4.8280664453799142E-3</v>
      </c>
      <c r="S84" s="2"/>
      <c r="T84" s="2">
        <v>2926.76</v>
      </c>
      <c r="U84" s="2"/>
      <c r="V84" s="19">
        <f t="shared" si="20"/>
        <v>1.1309059975290207E-3</v>
      </c>
      <c r="W84" s="2"/>
      <c r="X84" s="2">
        <f t="shared" si="21"/>
        <v>6183.77</v>
      </c>
      <c r="Y84" s="2"/>
      <c r="Z84" s="19">
        <f t="shared" si="22"/>
        <v>2.112838087168063</v>
      </c>
    </row>
    <row r="85" spans="1:26" s="23" customFormat="1" hidden="1" outlineLevel="1" x14ac:dyDescent="0.25">
      <c r="A85" s="44"/>
      <c r="B85" s="10" t="str">
        <f>CONCATENATE("          ", "5544", " - ", "FREIGHT-IN-ACCESSORIES")</f>
        <v xml:space="preserve">          5544 - FREIGHT-IN-ACCESSORIES</v>
      </c>
      <c r="C85" s="10"/>
      <c r="D85" s="2"/>
      <c r="E85" s="2"/>
      <c r="F85" s="19">
        <f t="shared" si="15"/>
        <v>0</v>
      </c>
      <c r="G85" s="2"/>
      <c r="H85" s="2"/>
      <c r="I85" s="2"/>
      <c r="J85" s="19">
        <f t="shared" si="16"/>
        <v>0</v>
      </c>
      <c r="K85" s="2"/>
      <c r="L85" s="2">
        <f t="shared" si="17"/>
        <v>0</v>
      </c>
      <c r="M85" s="2"/>
      <c r="N85" s="19">
        <f t="shared" si="18"/>
        <v>0</v>
      </c>
      <c r="O85" s="10"/>
      <c r="P85" s="2"/>
      <c r="Q85" s="2"/>
      <c r="R85" s="19">
        <f t="shared" si="19"/>
        <v>0</v>
      </c>
      <c r="S85" s="2"/>
      <c r="T85" s="2">
        <v>483.44</v>
      </c>
      <c r="U85" s="2"/>
      <c r="V85" s="19">
        <f t="shared" si="20"/>
        <v>1.8680219609582943E-4</v>
      </c>
      <c r="W85" s="2"/>
      <c r="X85" s="2">
        <f t="shared" si="21"/>
        <v>-483.44</v>
      </c>
      <c r="Y85" s="2"/>
      <c r="Z85" s="19">
        <f t="shared" si="22"/>
        <v>-1</v>
      </c>
    </row>
    <row r="86" spans="1:26" s="23" customFormat="1" hidden="1" outlineLevel="1" x14ac:dyDescent="0.25">
      <c r="A86" s="44"/>
      <c r="B86" s="10" t="str">
        <f>CONCATENATE("          ", "5545", " - ", "FREIGHT-IN-SPECIAL ORDERS")</f>
        <v xml:space="preserve">          5545 - FREIGHT-IN-SPECIAL ORDERS</v>
      </c>
      <c r="C86" s="10"/>
      <c r="D86" s="2">
        <v>168.6</v>
      </c>
      <c r="E86" s="2"/>
      <c r="F86" s="19">
        <f t="shared" si="15"/>
        <v>4.1211145204683611E-4</v>
      </c>
      <c r="G86" s="2"/>
      <c r="H86" s="2">
        <v>17.190000000000001</v>
      </c>
      <c r="I86" s="2"/>
      <c r="J86" s="19">
        <f t="shared" si="16"/>
        <v>1.3790565039321166E-4</v>
      </c>
      <c r="K86" s="2"/>
      <c r="L86" s="2">
        <f t="shared" si="17"/>
        <v>151.41</v>
      </c>
      <c r="M86" s="2"/>
      <c r="N86" s="19">
        <f t="shared" si="18"/>
        <v>8.8080279232111689</v>
      </c>
      <c r="O86" s="10"/>
      <c r="P86" s="2">
        <v>1434.76</v>
      </c>
      <c r="Q86" s="2"/>
      <c r="R86" s="19">
        <f t="shared" si="19"/>
        <v>7.6034178178144242E-4</v>
      </c>
      <c r="S86" s="2"/>
      <c r="T86" s="2">
        <v>892.26</v>
      </c>
      <c r="U86" s="2"/>
      <c r="V86" s="19">
        <f t="shared" si="20"/>
        <v>3.4477107291176724E-4</v>
      </c>
      <c r="W86" s="2"/>
      <c r="X86" s="2">
        <f t="shared" si="21"/>
        <v>542.5</v>
      </c>
      <c r="Y86" s="2"/>
      <c r="Z86" s="19">
        <f t="shared" si="22"/>
        <v>0.60800663483737927</v>
      </c>
    </row>
    <row r="87" spans="1:26" x14ac:dyDescent="0.25">
      <c r="A87" s="9"/>
      <c r="B87" s="11"/>
      <c r="C87" s="11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1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4" customFormat="1" x14ac:dyDescent="0.25">
      <c r="A88" s="11"/>
      <c r="B88" s="29" t="s">
        <v>107</v>
      </c>
      <c r="C88" s="29"/>
      <c r="D88" s="20">
        <f>D12-D56</f>
        <v>217218.63</v>
      </c>
      <c r="E88" s="14"/>
      <c r="F88" s="22">
        <f>IF(D$12=0,0,D88/D$12)</f>
        <v>0.53095068221188868</v>
      </c>
      <c r="G88" s="14"/>
      <c r="H88" s="20">
        <f>H12-H56</f>
        <v>66257.599999999977</v>
      </c>
      <c r="I88" s="14"/>
      <c r="J88" s="22">
        <f>IF(H$12=0,0,H88/H$12)</f>
        <v>0.53154726128523888</v>
      </c>
      <c r="K88" s="16"/>
      <c r="L88" s="20">
        <f>+D88-H88</f>
        <v>150961.03000000003</v>
      </c>
      <c r="M88" s="16"/>
      <c r="N88" s="22">
        <f>IF(H88=0,0,L88/H88)</f>
        <v>2.2783956859288605</v>
      </c>
      <c r="O88" s="28"/>
      <c r="P88" s="20">
        <f>P12-P56</f>
        <v>861147.9599999995</v>
      </c>
      <c r="Q88" s="14"/>
      <c r="R88" s="22">
        <f>IF(P$12=0,0,P88/P$12)</f>
        <v>0.4563597913824291</v>
      </c>
      <c r="S88" s="14"/>
      <c r="T88" s="20">
        <f>T12-T56</f>
        <v>1397154.330000001</v>
      </c>
      <c r="U88" s="14"/>
      <c r="V88" s="22">
        <f>IF(T$12=0,0,T88/T$12)</f>
        <v>0.53986326561475539</v>
      </c>
      <c r="W88" s="16"/>
      <c r="X88" s="20">
        <f>+P88-T88</f>
        <v>-536006.37000000151</v>
      </c>
      <c r="Y88" s="16"/>
      <c r="Z88" s="22">
        <f>IF(T88=0,0,X88/T88)</f>
        <v>-0.3836414907721763</v>
      </c>
    </row>
    <row r="89" spans="1:26" x14ac:dyDescent="0.25">
      <c r="A89" s="9"/>
      <c r="B89" s="11"/>
      <c r="C89" s="9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4" customFormat="1" x14ac:dyDescent="0.25">
      <c r="A90" s="11"/>
      <c r="B90" s="28" t="s">
        <v>294</v>
      </c>
      <c r="C90" s="11"/>
      <c r="D90" s="21">
        <f>SUM(OSRRefD22x_0)</f>
        <v>81431.67</v>
      </c>
      <c r="E90" s="21"/>
      <c r="F90" s="31">
        <f t="shared" ref="F90:F99" si="23">IF(D$12=0,0,D90/D$12)</f>
        <v>0.19904462494839134</v>
      </c>
      <c r="G90" s="21"/>
      <c r="H90" s="21">
        <f>SUM(OSRRefH22x_0)</f>
        <v>85912.510000000009</v>
      </c>
      <c r="I90" s="21"/>
      <c r="J90" s="31">
        <f t="shared" ref="J90:J99" si="24">IF(H$12=0,0,H90/H$12)</f>
        <v>0.6892274908937347</v>
      </c>
      <c r="K90" s="4"/>
      <c r="L90" s="21">
        <f t="shared" ref="L90:L99" si="25">+D90-H90</f>
        <v>-4480.8400000000111</v>
      </c>
      <c r="M90" s="4"/>
      <c r="N90" s="31">
        <f t="shared" ref="N90:N99" si="26">IF(H90=0,0,L90/H90)</f>
        <v>-5.2155850178280332E-2</v>
      </c>
      <c r="O90" s="11"/>
      <c r="P90" s="21">
        <f>SUM(OSRRefP22x_0)</f>
        <v>689587.46</v>
      </c>
      <c r="Q90" s="21"/>
      <c r="R90" s="31">
        <f t="shared" ref="R90:R99" si="27">IF(P$12=0,0,P90/P$12)</f>
        <v>0.36544241408356737</v>
      </c>
      <c r="S90" s="21"/>
      <c r="T90" s="21">
        <f>SUM(OSRRefT22x_0)</f>
        <v>921266.12</v>
      </c>
      <c r="U90" s="21"/>
      <c r="V90" s="31">
        <f t="shared" ref="V90:V99" si="28">IF(T$12=0,0,T90/T$12)</f>
        <v>0.35597909648494935</v>
      </c>
      <c r="W90" s="4"/>
      <c r="X90" s="21">
        <f t="shared" ref="X90:X99" si="29">+P90-T90</f>
        <v>-231678.66000000003</v>
      </c>
      <c r="Y90" s="4"/>
      <c r="Z90" s="31">
        <f t="shared" ref="Z90:Z99" si="30">IF(T90=0,0,X90/T90)</f>
        <v>-0.25147854129271574</v>
      </c>
    </row>
    <row r="91" spans="1:26" s="26" customFormat="1" outlineLevel="1" collapsed="1" x14ac:dyDescent="0.25">
      <c r="A91" s="25"/>
      <c r="B91" s="12" t="str">
        <f>CONCATENATE("     ","*Benefits                                         ")</f>
        <v xml:space="preserve">     *Benefits                                         </v>
      </c>
      <c r="C91" s="12"/>
      <c r="D91" s="1">
        <f>SUM(OSRRefD22_0x_0)</f>
        <v>15713.970000000001</v>
      </c>
      <c r="E91" s="1"/>
      <c r="F91" s="5">
        <f t="shared" si="23"/>
        <v>3.8409887272363115E-2</v>
      </c>
      <c r="G91" s="1"/>
      <c r="H91" s="1">
        <f>SUM(OSRRefH22_0x_0)</f>
        <v>9655.869999999999</v>
      </c>
      <c r="I91" s="1"/>
      <c r="J91" s="5">
        <f t="shared" si="24"/>
        <v>7.7463585367207696E-2</v>
      </c>
      <c r="K91" s="1"/>
      <c r="L91" s="1">
        <f t="shared" si="25"/>
        <v>6058.1000000000022</v>
      </c>
      <c r="M91" s="1"/>
      <c r="N91" s="5">
        <f t="shared" si="26"/>
        <v>0.62740074172498206</v>
      </c>
      <c r="O91" s="12"/>
      <c r="P91" s="1">
        <f>SUM(OSRRefP22_0x_0)</f>
        <v>149688.74000000002</v>
      </c>
      <c r="Q91" s="1"/>
      <c r="R91" s="5">
        <f t="shared" si="27"/>
        <v>7.9326579556315405E-2</v>
      </c>
      <c r="S91" s="1"/>
      <c r="T91" s="1">
        <f>SUM(OSRRefT22_0x_0)</f>
        <v>92288.000000000015</v>
      </c>
      <c r="U91" s="1"/>
      <c r="V91" s="5">
        <f t="shared" si="28"/>
        <v>3.5660270298882815E-2</v>
      </c>
      <c r="W91" s="1"/>
      <c r="X91" s="1">
        <f t="shared" si="29"/>
        <v>57400.740000000005</v>
      </c>
      <c r="Y91" s="1"/>
      <c r="Z91" s="5">
        <f t="shared" si="30"/>
        <v>0.62197403779472948</v>
      </c>
    </row>
    <row r="92" spans="1:26" s="23" customFormat="1" hidden="1" outlineLevel="2" x14ac:dyDescent="0.25">
      <c r="A92" s="27"/>
      <c r="B92" s="10" t="str">
        <f>CONCATENATE("          ", "6111", " - ", "F.I.C.A.")</f>
        <v xml:space="preserve">          6111 - F.I.C.A.</v>
      </c>
      <c r="C92" s="10"/>
      <c r="D92" s="6">
        <v>3546.36</v>
      </c>
      <c r="E92" s="2"/>
      <c r="F92" s="7">
        <f t="shared" si="23"/>
        <v>8.6684197454378279E-3</v>
      </c>
      <c r="G92" s="2"/>
      <c r="H92" s="6">
        <v>2066.7800000000002</v>
      </c>
      <c r="I92" s="2"/>
      <c r="J92" s="7">
        <f t="shared" si="24"/>
        <v>1.6580607336805234E-2</v>
      </c>
      <c r="K92" s="2"/>
      <c r="L92" s="6">
        <f t="shared" si="25"/>
        <v>1479.58</v>
      </c>
      <c r="M92" s="2"/>
      <c r="N92" s="7">
        <f t="shared" si="26"/>
        <v>0.71588654815703645</v>
      </c>
      <c r="O92" s="10"/>
      <c r="P92" s="6">
        <v>29868.65</v>
      </c>
      <c r="Q92" s="2"/>
      <c r="R92" s="7">
        <f t="shared" si="27"/>
        <v>1.5828697873098138E-2</v>
      </c>
      <c r="S92" s="2"/>
      <c r="T92" s="6">
        <v>17452.61</v>
      </c>
      <c r="U92" s="2"/>
      <c r="V92" s="7">
        <f t="shared" si="28"/>
        <v>6.7437238863230879E-3</v>
      </c>
      <c r="W92" s="2"/>
      <c r="X92" s="6">
        <f t="shared" si="29"/>
        <v>12416.04</v>
      </c>
      <c r="Y92" s="2"/>
      <c r="Z92" s="7">
        <f t="shared" si="30"/>
        <v>0.71141451049441895</v>
      </c>
    </row>
    <row r="93" spans="1:26" s="23" customFormat="1" hidden="1" outlineLevel="2" x14ac:dyDescent="0.25">
      <c r="A93" s="27"/>
      <c r="B93" s="10" t="str">
        <f>CONCATENATE("          ", "6112", " - ", "COMPENSATION INSURANCE")</f>
        <v xml:space="preserve">          6112 - COMPENSATION INSURANCE</v>
      </c>
      <c r="C93" s="10"/>
      <c r="D93" s="6">
        <v>695.25</v>
      </c>
      <c r="E93" s="2"/>
      <c r="F93" s="7">
        <f t="shared" si="23"/>
        <v>1.699409768894204E-3</v>
      </c>
      <c r="G93" s="2"/>
      <c r="H93" s="6">
        <v>341.19</v>
      </c>
      <c r="I93" s="2"/>
      <c r="J93" s="7">
        <f t="shared" si="24"/>
        <v>2.7371744536160486E-3</v>
      </c>
      <c r="K93" s="2"/>
      <c r="L93" s="6">
        <f t="shared" si="25"/>
        <v>354.06</v>
      </c>
      <c r="M93" s="2"/>
      <c r="N93" s="7">
        <f t="shared" si="26"/>
        <v>1.037720917963598</v>
      </c>
      <c r="O93" s="10"/>
      <c r="P93" s="6">
        <v>9926.1200000000008</v>
      </c>
      <c r="Q93" s="2"/>
      <c r="R93" s="7">
        <f t="shared" si="27"/>
        <v>5.2602830905352895E-3</v>
      </c>
      <c r="S93" s="2"/>
      <c r="T93" s="6">
        <v>5816.77</v>
      </c>
      <c r="U93" s="2"/>
      <c r="V93" s="7">
        <f t="shared" si="28"/>
        <v>2.2476117205534043E-3</v>
      </c>
      <c r="W93" s="2"/>
      <c r="X93" s="6">
        <f t="shared" si="29"/>
        <v>4109.3500000000004</v>
      </c>
      <c r="Y93" s="2"/>
      <c r="Z93" s="7">
        <f t="shared" si="30"/>
        <v>0.70646595963051662</v>
      </c>
    </row>
    <row r="94" spans="1:26" s="23" customFormat="1" hidden="1" outlineLevel="2" x14ac:dyDescent="0.25">
      <c r="A94" s="27"/>
      <c r="B94" s="10" t="str">
        <f>CONCATENATE("          ", "6113", " - ", "GROUP INSURANCE")</f>
        <v xml:space="preserve">          6113 - GROUP INSURANCE</v>
      </c>
      <c r="C94" s="10"/>
      <c r="D94" s="6">
        <v>4822.38</v>
      </c>
      <c r="E94" s="2"/>
      <c r="F94" s="7">
        <f t="shared" si="23"/>
        <v>1.1787414140697637E-2</v>
      </c>
      <c r="G94" s="2"/>
      <c r="H94" s="6">
        <v>3476.37</v>
      </c>
      <c r="I94" s="2"/>
      <c r="J94" s="7">
        <f t="shared" si="24"/>
        <v>2.7888950893394365E-2</v>
      </c>
      <c r="K94" s="2"/>
      <c r="L94" s="6">
        <f t="shared" si="25"/>
        <v>1346.0100000000002</v>
      </c>
      <c r="M94" s="2"/>
      <c r="N94" s="7">
        <f t="shared" si="26"/>
        <v>0.38718836027235315</v>
      </c>
      <c r="O94" s="10"/>
      <c r="P94" s="6">
        <v>53412.18</v>
      </c>
      <c r="Q94" s="2"/>
      <c r="R94" s="7">
        <f t="shared" si="27"/>
        <v>2.8305439313913914E-2</v>
      </c>
      <c r="S94" s="2"/>
      <c r="T94" s="6">
        <v>29910.7</v>
      </c>
      <c r="U94" s="2"/>
      <c r="V94" s="7">
        <f t="shared" si="28"/>
        <v>1.1557555119070671E-2</v>
      </c>
      <c r="W94" s="2"/>
      <c r="X94" s="6">
        <f t="shared" si="29"/>
        <v>23501.48</v>
      </c>
      <c r="Y94" s="2"/>
      <c r="Z94" s="7">
        <f t="shared" si="30"/>
        <v>0.78572149765802868</v>
      </c>
    </row>
    <row r="95" spans="1:26" s="23" customFormat="1" hidden="1" outlineLevel="2" x14ac:dyDescent="0.25">
      <c r="A95" s="27"/>
      <c r="B95" s="10" t="str">
        <f>CONCATENATE("          ", "6114", " - ", "STATE UNEMPLOYMENT INSURANCE")</f>
        <v xml:space="preserve">          6114 - STATE UNEMPLOYMENT INSURANCE</v>
      </c>
      <c r="C95" s="10"/>
      <c r="D95" s="6">
        <v>97.71</v>
      </c>
      <c r="E95" s="2"/>
      <c r="F95" s="7">
        <f t="shared" si="23"/>
        <v>2.3883398564351335E-4</v>
      </c>
      <c r="G95" s="2"/>
      <c r="H95" s="6">
        <v>46.69</v>
      </c>
      <c r="I95" s="2"/>
      <c r="J95" s="7">
        <f t="shared" si="24"/>
        <v>3.7456747043973536E-4</v>
      </c>
      <c r="K95" s="2"/>
      <c r="L95" s="6">
        <f t="shared" si="25"/>
        <v>51.019999999999996</v>
      </c>
      <c r="M95" s="2"/>
      <c r="N95" s="7">
        <f t="shared" si="26"/>
        <v>1.0927393446134075</v>
      </c>
      <c r="O95" s="10"/>
      <c r="P95" s="6">
        <v>1194.9100000000001</v>
      </c>
      <c r="Q95" s="2"/>
      <c r="R95" s="7">
        <f t="shared" si="27"/>
        <v>6.3323482566315166E-4</v>
      </c>
      <c r="S95" s="2"/>
      <c r="T95" s="6">
        <v>905.48</v>
      </c>
      <c r="U95" s="2"/>
      <c r="V95" s="7">
        <f t="shared" si="28"/>
        <v>3.4987930771316321E-4</v>
      </c>
      <c r="W95" s="2"/>
      <c r="X95" s="6">
        <f t="shared" si="29"/>
        <v>289.43000000000006</v>
      </c>
      <c r="Y95" s="2"/>
      <c r="Z95" s="7">
        <f t="shared" si="30"/>
        <v>0.31964262048858072</v>
      </c>
    </row>
    <row r="96" spans="1:26" s="23" customFormat="1" hidden="1" outlineLevel="2" x14ac:dyDescent="0.25">
      <c r="A96" s="27"/>
      <c r="B96" s="10" t="str">
        <f>CONCATENATE("          ", "6115", " - ", "P.E.R.S.")</f>
        <v xml:space="preserve">          6115 - P.E.R.S.</v>
      </c>
      <c r="C96" s="10"/>
      <c r="D96" s="6">
        <v>1841.51</v>
      </c>
      <c r="E96" s="2"/>
      <c r="F96" s="7">
        <f t="shared" si="23"/>
        <v>4.5012298935870054E-3</v>
      </c>
      <c r="G96" s="2"/>
      <c r="H96" s="6">
        <v>1019.1</v>
      </c>
      <c r="I96" s="2"/>
      <c r="J96" s="7">
        <f t="shared" si="24"/>
        <v>8.1756630782851645E-3</v>
      </c>
      <c r="K96" s="2"/>
      <c r="L96" s="6">
        <f t="shared" si="25"/>
        <v>822.41</v>
      </c>
      <c r="M96" s="2"/>
      <c r="N96" s="7">
        <f t="shared" si="26"/>
        <v>0.8069963693455009</v>
      </c>
      <c r="O96" s="10"/>
      <c r="P96" s="6">
        <v>20006.36</v>
      </c>
      <c r="Q96" s="2"/>
      <c r="R96" s="7">
        <f t="shared" si="27"/>
        <v>1.0602241078201916E-2</v>
      </c>
      <c r="S96" s="2"/>
      <c r="T96" s="6">
        <v>10158.65</v>
      </c>
      <c r="U96" s="2"/>
      <c r="V96" s="7">
        <f t="shared" si="28"/>
        <v>3.9253229550076487E-3</v>
      </c>
      <c r="W96" s="2"/>
      <c r="X96" s="6">
        <f t="shared" si="29"/>
        <v>9847.7100000000009</v>
      </c>
      <c r="Y96" s="2"/>
      <c r="Z96" s="7">
        <f t="shared" si="30"/>
        <v>0.96939160223061149</v>
      </c>
    </row>
    <row r="97" spans="1:26" s="23" customFormat="1" hidden="1" outlineLevel="2" x14ac:dyDescent="0.25">
      <c r="A97" s="27"/>
      <c r="B97" s="10" t="str">
        <f>CONCATENATE("          ", "6118", " - ", "VACATION")</f>
        <v xml:space="preserve">          6118 - VACATION</v>
      </c>
      <c r="C97" s="10"/>
      <c r="D97" s="6">
        <v>2449.77</v>
      </c>
      <c r="E97" s="2"/>
      <c r="F97" s="7">
        <f t="shared" si="23"/>
        <v>5.9880087300164747E-3</v>
      </c>
      <c r="G97" s="2"/>
      <c r="H97" s="6">
        <v>1501.08</v>
      </c>
      <c r="I97" s="2"/>
      <c r="J97" s="7">
        <f t="shared" si="24"/>
        <v>1.204231609611647E-2</v>
      </c>
      <c r="K97" s="2"/>
      <c r="L97" s="6">
        <f t="shared" si="25"/>
        <v>948.69</v>
      </c>
      <c r="M97" s="2"/>
      <c r="N97" s="7">
        <f t="shared" si="26"/>
        <v>0.63200495643136945</v>
      </c>
      <c r="O97" s="10"/>
      <c r="P97" s="6">
        <v>17712.36</v>
      </c>
      <c r="Q97" s="2"/>
      <c r="R97" s="7">
        <f t="shared" si="27"/>
        <v>9.3865506160991045E-3</v>
      </c>
      <c r="S97" s="2"/>
      <c r="T97" s="6">
        <v>11642.46</v>
      </c>
      <c r="U97" s="2"/>
      <c r="V97" s="7">
        <f t="shared" si="28"/>
        <v>4.4986701471906544E-3</v>
      </c>
      <c r="W97" s="2"/>
      <c r="X97" s="6">
        <f t="shared" si="29"/>
        <v>6069.9000000000015</v>
      </c>
      <c r="Y97" s="2"/>
      <c r="Z97" s="7">
        <f t="shared" si="30"/>
        <v>0.52135888807004727</v>
      </c>
    </row>
    <row r="98" spans="1:26" s="23" customFormat="1" hidden="1" outlineLevel="2" x14ac:dyDescent="0.25">
      <c r="A98" s="27"/>
      <c r="B98" s="10" t="str">
        <f>CONCATENATE("          ", "6119", " - ", "SICK LEAVE")</f>
        <v xml:space="preserve">          6119 - SICK LEAVE</v>
      </c>
      <c r="C98" s="10"/>
      <c r="D98" s="6">
        <v>1658.43</v>
      </c>
      <c r="E98" s="2"/>
      <c r="F98" s="7">
        <f t="shared" si="23"/>
        <v>4.0537247652315212E-3</v>
      </c>
      <c r="G98" s="2"/>
      <c r="H98" s="6">
        <v>1058.1600000000001</v>
      </c>
      <c r="I98" s="2"/>
      <c r="J98" s="7">
        <f t="shared" si="24"/>
        <v>8.4890193728959177E-3</v>
      </c>
      <c r="K98" s="2"/>
      <c r="L98" s="6">
        <f t="shared" si="25"/>
        <v>600.27</v>
      </c>
      <c r="M98" s="2"/>
      <c r="N98" s="7">
        <f t="shared" si="26"/>
        <v>0.5672771603538217</v>
      </c>
      <c r="O98" s="10"/>
      <c r="P98" s="6">
        <v>12895.07</v>
      </c>
      <c r="Q98" s="2"/>
      <c r="R98" s="7">
        <f t="shared" si="27"/>
        <v>6.8336589394717064E-3</v>
      </c>
      <c r="S98" s="2"/>
      <c r="T98" s="6">
        <v>13952.55</v>
      </c>
      <c r="U98" s="2"/>
      <c r="V98" s="7">
        <f t="shared" si="28"/>
        <v>5.3912936065217288E-3</v>
      </c>
      <c r="W98" s="2"/>
      <c r="X98" s="6">
        <f t="shared" si="29"/>
        <v>-1057.4799999999996</v>
      </c>
      <c r="Y98" s="2"/>
      <c r="Z98" s="7">
        <f t="shared" si="30"/>
        <v>-7.5791163622420249E-2</v>
      </c>
    </row>
    <row r="99" spans="1:26" s="23" customFormat="1" hidden="1" outlineLevel="2" x14ac:dyDescent="0.25">
      <c r="A99" s="27"/>
      <c r="B99" s="10" t="str">
        <f>CONCATENATE("          ", "6156", " - ", "EMPLOYEE MEALS")</f>
        <v xml:space="preserve">          6156 - EMPLOYEE MEALS</v>
      </c>
      <c r="C99" s="10"/>
      <c r="D99" s="6">
        <v>602.55999999999995</v>
      </c>
      <c r="E99" s="2"/>
      <c r="F99" s="7">
        <f t="shared" si="23"/>
        <v>1.472846242854932E-3</v>
      </c>
      <c r="G99" s="2"/>
      <c r="H99" s="6">
        <v>146.5</v>
      </c>
      <c r="I99" s="2"/>
      <c r="J99" s="7">
        <f t="shared" si="24"/>
        <v>1.1752866656547704E-3</v>
      </c>
      <c r="K99" s="2"/>
      <c r="L99" s="6">
        <f t="shared" si="25"/>
        <v>456.05999999999995</v>
      </c>
      <c r="M99" s="2"/>
      <c r="N99" s="7">
        <f t="shared" si="26"/>
        <v>3.1130375426621155</v>
      </c>
      <c r="O99" s="10"/>
      <c r="P99" s="6">
        <v>4673.09</v>
      </c>
      <c r="Q99" s="2"/>
      <c r="R99" s="7">
        <f t="shared" si="27"/>
        <v>2.4764738193321818E-3</v>
      </c>
      <c r="S99" s="2"/>
      <c r="T99" s="6">
        <v>2448.7800000000002</v>
      </c>
      <c r="U99" s="2"/>
      <c r="V99" s="7">
        <f t="shared" si="28"/>
        <v>9.4621355650245165E-4</v>
      </c>
      <c r="W99" s="2"/>
      <c r="X99" s="6">
        <f t="shared" si="29"/>
        <v>2224.31</v>
      </c>
      <c r="Y99" s="2"/>
      <c r="Z99" s="7">
        <f t="shared" si="30"/>
        <v>0.90833394588325611</v>
      </c>
    </row>
    <row r="100" spans="1:26" s="26" customFormat="1" outlineLevel="1" collapsed="1" x14ac:dyDescent="0.25">
      <c r="A100" s="25"/>
      <c r="B100" s="12" t="str">
        <f>CONCATENATE("     ","*Payroll                                          ")</f>
        <v xml:space="preserve">     *Payroll                                          </v>
      </c>
      <c r="C100" s="12"/>
      <c r="D100" s="1">
        <f>SUM(OSRRefD22_1x_0)</f>
        <v>43955.270000000004</v>
      </c>
      <c r="E100" s="1"/>
      <c r="F100" s="5">
        <f t="shared" ref="F100:F106" si="31">IF(D$12=0,0,D100/D$12)</f>
        <v>0.10744051094193793</v>
      </c>
      <c r="G100" s="1"/>
      <c r="H100" s="1">
        <f>SUM(OSRRefH22_1x_0)</f>
        <v>14784.730000000001</v>
      </c>
      <c r="I100" s="1"/>
      <c r="J100" s="5">
        <f t="shared" ref="J100:J106" si="32">IF(H$12=0,0,H100/H$12)</f>
        <v>0.11860952917615056</v>
      </c>
      <c r="K100" s="1"/>
      <c r="L100" s="1">
        <f t="shared" ref="L100:L106" si="33">+D100-H100</f>
        <v>29170.54</v>
      </c>
      <c r="M100" s="1"/>
      <c r="N100" s="5">
        <f t="shared" ref="N100:N106" si="34">IF(H100=0,0,L100/H100)</f>
        <v>1.9730181071957349</v>
      </c>
      <c r="O100" s="12"/>
      <c r="P100" s="1">
        <f>SUM(OSRRefP22_1x_0)</f>
        <v>388939.59</v>
      </c>
      <c r="Q100" s="1"/>
      <c r="R100" s="5">
        <f t="shared" ref="R100:R106" si="35">IF(P$12=0,0,P100/P$12)</f>
        <v>0.20611602000748816</v>
      </c>
      <c r="S100" s="1"/>
      <c r="T100" s="1">
        <f>SUM(OSRRefT22_1x_0)</f>
        <v>337848.54000000004</v>
      </c>
      <c r="U100" s="1"/>
      <c r="V100" s="5">
        <f t="shared" ref="V100:V106" si="36">IF(T$12=0,0,T100/T$12)</f>
        <v>0.13054536078886661</v>
      </c>
      <c r="W100" s="1"/>
      <c r="X100" s="1">
        <f t="shared" ref="X100:X106" si="37">+P100-T100</f>
        <v>51091.049999999988</v>
      </c>
      <c r="Y100" s="1"/>
      <c r="Z100" s="5">
        <f t="shared" ref="Z100:Z106" si="38">IF(T100=0,0,X100/T100)</f>
        <v>0.15122471744291091</v>
      </c>
    </row>
    <row r="101" spans="1:26" s="23" customFormat="1" hidden="1" outlineLevel="2" x14ac:dyDescent="0.25">
      <c r="A101" s="27"/>
      <c r="B101" s="10" t="str">
        <f>CONCATENATE("          ", "6002", " - ", "STAFF SALARIES")</f>
        <v xml:space="preserve">          6002 - STAFF SALARIES</v>
      </c>
      <c r="C101" s="10"/>
      <c r="D101" s="6">
        <v>22106.6</v>
      </c>
      <c r="E101" s="2"/>
      <c r="F101" s="7">
        <f t="shared" si="31"/>
        <v>5.4035486511379516E-2</v>
      </c>
      <c r="G101" s="2"/>
      <c r="H101" s="6">
        <v>7549.7</v>
      </c>
      <c r="I101" s="2"/>
      <c r="J101" s="7">
        <f t="shared" si="32"/>
        <v>6.0566974332381028E-2</v>
      </c>
      <c r="K101" s="2"/>
      <c r="L101" s="6">
        <f t="shared" si="33"/>
        <v>14556.899999999998</v>
      </c>
      <c r="M101" s="2"/>
      <c r="N101" s="7">
        <f t="shared" si="34"/>
        <v>1.928142840112852</v>
      </c>
      <c r="O101" s="10"/>
      <c r="P101" s="6">
        <v>187130.61</v>
      </c>
      <c r="Q101" s="2"/>
      <c r="R101" s="7">
        <f t="shared" si="35"/>
        <v>9.916865638381904E-2</v>
      </c>
      <c r="S101" s="2"/>
      <c r="T101" s="6">
        <v>96097</v>
      </c>
      <c r="U101" s="2"/>
      <c r="V101" s="7">
        <f t="shared" si="36"/>
        <v>3.7132075621009682E-2</v>
      </c>
      <c r="W101" s="2"/>
      <c r="X101" s="6">
        <f t="shared" si="37"/>
        <v>91033.609999999986</v>
      </c>
      <c r="Y101" s="2"/>
      <c r="Z101" s="7">
        <f t="shared" si="38"/>
        <v>0.94730959343163668</v>
      </c>
    </row>
    <row r="102" spans="1:26" s="23" customFormat="1" hidden="1" outlineLevel="2" x14ac:dyDescent="0.25">
      <c r="A102" s="27"/>
      <c r="B102" s="10" t="str">
        <f>CONCATENATE("          ", "6004", " - ", "STAFF HOURLY")</f>
        <v xml:space="preserve">          6004 - STAFF HOURLY</v>
      </c>
      <c r="C102" s="10"/>
      <c r="D102" s="6">
        <v>5641.76</v>
      </c>
      <c r="E102" s="2"/>
      <c r="F102" s="7">
        <f t="shared" si="31"/>
        <v>1.3790236688610664E-2</v>
      </c>
      <c r="G102" s="2"/>
      <c r="H102" s="6">
        <v>4882.32</v>
      </c>
      <c r="I102" s="2"/>
      <c r="J102" s="7">
        <f t="shared" si="32"/>
        <v>3.9168092788120126E-2</v>
      </c>
      <c r="K102" s="2"/>
      <c r="L102" s="6">
        <f t="shared" si="33"/>
        <v>759.44000000000051</v>
      </c>
      <c r="M102" s="2"/>
      <c r="N102" s="7">
        <f t="shared" si="34"/>
        <v>0.15554900129446667</v>
      </c>
      <c r="O102" s="10"/>
      <c r="P102" s="6">
        <v>58047.75</v>
      </c>
      <c r="Q102" s="2"/>
      <c r="R102" s="7">
        <f t="shared" si="35"/>
        <v>3.0762029651930447E-2</v>
      </c>
      <c r="S102" s="2"/>
      <c r="T102" s="6">
        <v>12748.51</v>
      </c>
      <c r="U102" s="2"/>
      <c r="V102" s="7">
        <f t="shared" si="36"/>
        <v>4.9260501095268125E-3</v>
      </c>
      <c r="W102" s="2"/>
      <c r="X102" s="6">
        <f t="shared" si="37"/>
        <v>45299.24</v>
      </c>
      <c r="Y102" s="2"/>
      <c r="Z102" s="7">
        <f t="shared" si="38"/>
        <v>3.5532968166475922</v>
      </c>
    </row>
    <row r="103" spans="1:26" s="23" customFormat="1" hidden="1" outlineLevel="2" x14ac:dyDescent="0.25">
      <c r="A103" s="27"/>
      <c r="B103" s="10" t="str">
        <f>CONCATENATE("          ", "6005", " - ", "TEMPORARY WAGES-HOURLY")</f>
        <v xml:space="preserve">          6005 - TEMPORARY WAGES-HOURLY</v>
      </c>
      <c r="C103" s="10"/>
      <c r="D103" s="6">
        <v>7541.21</v>
      </c>
      <c r="E103" s="2"/>
      <c r="F103" s="7">
        <f t="shared" si="31"/>
        <v>1.8433090173725509E-2</v>
      </c>
      <c r="G103" s="2"/>
      <c r="H103" s="6">
        <v>1196.76</v>
      </c>
      <c r="I103" s="2"/>
      <c r="J103" s="7">
        <f t="shared" si="32"/>
        <v>9.6009288053856869E-3</v>
      </c>
      <c r="K103" s="2"/>
      <c r="L103" s="6">
        <f t="shared" si="33"/>
        <v>6344.45</v>
      </c>
      <c r="M103" s="2"/>
      <c r="N103" s="7">
        <f t="shared" si="34"/>
        <v>5.301355326046993</v>
      </c>
      <c r="O103" s="10"/>
      <c r="P103" s="6">
        <v>59382.07</v>
      </c>
      <c r="Q103" s="2"/>
      <c r="R103" s="7">
        <f t="shared" si="35"/>
        <v>3.1469143905371172E-2</v>
      </c>
      <c r="S103" s="2"/>
      <c r="T103" s="6">
        <v>42291.11</v>
      </c>
      <c r="U103" s="2"/>
      <c r="V103" s="7">
        <f t="shared" si="36"/>
        <v>1.6341370642334711E-2</v>
      </c>
      <c r="W103" s="2"/>
      <c r="X103" s="6">
        <f t="shared" si="37"/>
        <v>17090.96</v>
      </c>
      <c r="Y103" s="2"/>
      <c r="Z103" s="7">
        <f t="shared" si="38"/>
        <v>0.40412654101535755</v>
      </c>
    </row>
    <row r="104" spans="1:26" s="23" customFormat="1" hidden="1" outlineLevel="2" x14ac:dyDescent="0.25">
      <c r="A104" s="27"/>
      <c r="B104" s="10" t="str">
        <f>CONCATENATE("          ", "6006", " - ", "TEMPORARY PART TIME")</f>
        <v xml:space="preserve">          6006 - TEMPORARY PART TIME</v>
      </c>
      <c r="C104" s="10"/>
      <c r="D104" s="6">
        <v>2207.4699999999998</v>
      </c>
      <c r="E104" s="2"/>
      <c r="F104" s="7">
        <f t="shared" si="31"/>
        <v>5.3957512873655349E-3</v>
      </c>
      <c r="G104" s="2"/>
      <c r="H104" s="6"/>
      <c r="I104" s="2"/>
      <c r="J104" s="7">
        <f t="shared" si="32"/>
        <v>0</v>
      </c>
      <c r="K104" s="2"/>
      <c r="L104" s="6">
        <f t="shared" si="33"/>
        <v>2207.4699999999998</v>
      </c>
      <c r="M104" s="2"/>
      <c r="N104" s="7">
        <f t="shared" si="34"/>
        <v>0</v>
      </c>
      <c r="O104" s="10"/>
      <c r="P104" s="6">
        <v>4978.08</v>
      </c>
      <c r="Q104" s="2"/>
      <c r="R104" s="7">
        <f t="shared" si="35"/>
        <v>2.6381012971162863E-3</v>
      </c>
      <c r="S104" s="2"/>
      <c r="T104" s="6">
        <v>1227.45</v>
      </c>
      <c r="U104" s="2"/>
      <c r="V104" s="7">
        <f t="shared" si="36"/>
        <v>4.7428916845487719E-4</v>
      </c>
      <c r="W104" s="2"/>
      <c r="X104" s="6">
        <f t="shared" si="37"/>
        <v>3750.63</v>
      </c>
      <c r="Y104" s="2"/>
      <c r="Z104" s="7">
        <f t="shared" si="38"/>
        <v>3.0556275204692653</v>
      </c>
    </row>
    <row r="105" spans="1:26" s="23" customFormat="1" hidden="1" outlineLevel="2" x14ac:dyDescent="0.25">
      <c r="A105" s="27"/>
      <c r="B105" s="10" t="str">
        <f>CONCATENATE("          ", "6007", " - ", "STUDENT HOURLY")</f>
        <v xml:space="preserve">          6007 - STUDENT HOURLY</v>
      </c>
      <c r="C105" s="10"/>
      <c r="D105" s="6">
        <v>4867.8999999999996</v>
      </c>
      <c r="E105" s="2"/>
      <c r="F105" s="7">
        <f t="shared" si="31"/>
        <v>1.1898679344120956E-2</v>
      </c>
      <c r="G105" s="2"/>
      <c r="H105" s="6">
        <v>1155.95</v>
      </c>
      <c r="I105" s="2"/>
      <c r="J105" s="7">
        <f t="shared" si="32"/>
        <v>9.2735332502636991E-3</v>
      </c>
      <c r="K105" s="2"/>
      <c r="L105" s="6">
        <f t="shared" si="33"/>
        <v>3711.95</v>
      </c>
      <c r="M105" s="2"/>
      <c r="N105" s="7">
        <f t="shared" si="34"/>
        <v>3.2111683031272977</v>
      </c>
      <c r="O105" s="10"/>
      <c r="P105" s="6">
        <v>70366.39</v>
      </c>
      <c r="Q105" s="2"/>
      <c r="R105" s="7">
        <f t="shared" si="35"/>
        <v>3.7290213241328078E-2</v>
      </c>
      <c r="S105" s="2"/>
      <c r="T105" s="6">
        <v>185289.47</v>
      </c>
      <c r="U105" s="2"/>
      <c r="V105" s="7">
        <f t="shared" si="36"/>
        <v>7.1596226852209788E-2</v>
      </c>
      <c r="W105" s="2"/>
      <c r="X105" s="6">
        <f t="shared" si="37"/>
        <v>-114923.08</v>
      </c>
      <c r="Y105" s="2"/>
      <c r="Z105" s="7">
        <f t="shared" si="38"/>
        <v>-0.62023535390327367</v>
      </c>
    </row>
    <row r="106" spans="1:26" s="23" customFormat="1" hidden="1" outlineLevel="2" x14ac:dyDescent="0.25">
      <c r="A106" s="27"/>
      <c r="B106" s="10" t="str">
        <f>CONCATENATE("          ", "6008", " - ", "STUDENT HOURLY-FICA EXEMPT")</f>
        <v xml:space="preserve">          6008 - STUDENT HOURLY-FICA EXEMPT</v>
      </c>
      <c r="C106" s="10"/>
      <c r="D106" s="6">
        <v>1590.33</v>
      </c>
      <c r="E106" s="2"/>
      <c r="F106" s="7">
        <f t="shared" si="31"/>
        <v>3.8872669367357345E-3</v>
      </c>
      <c r="G106" s="2"/>
      <c r="H106" s="6"/>
      <c r="I106" s="2"/>
      <c r="J106" s="7">
        <f t="shared" si="32"/>
        <v>0</v>
      </c>
      <c r="K106" s="2"/>
      <c r="L106" s="6">
        <f t="shared" si="33"/>
        <v>1590.33</v>
      </c>
      <c r="M106" s="2"/>
      <c r="N106" s="7">
        <f t="shared" si="34"/>
        <v>0</v>
      </c>
      <c r="O106" s="10"/>
      <c r="P106" s="6">
        <v>9034.69</v>
      </c>
      <c r="Q106" s="2"/>
      <c r="R106" s="7">
        <f t="shared" si="35"/>
        <v>4.7878755279231232E-3</v>
      </c>
      <c r="S106" s="2"/>
      <c r="T106" s="6">
        <v>195</v>
      </c>
      <c r="U106" s="2"/>
      <c r="V106" s="7">
        <f t="shared" si="36"/>
        <v>7.5348395330727163E-5</v>
      </c>
      <c r="W106" s="2"/>
      <c r="X106" s="6">
        <f t="shared" si="37"/>
        <v>8839.69</v>
      </c>
      <c r="Y106" s="2"/>
      <c r="Z106" s="7">
        <f t="shared" si="38"/>
        <v>45.331743589743596</v>
      </c>
    </row>
    <row r="107" spans="1:26" s="26" customFormat="1" outlineLevel="1" collapsed="1" x14ac:dyDescent="0.25">
      <c r="A107" s="25"/>
      <c r="B107" s="12" t="str">
        <f>CONCATENATE("     ","Advertising/Promo                                 ")</f>
        <v xml:space="preserve">     Advertising/Promo                                 </v>
      </c>
      <c r="C107" s="12"/>
      <c r="D107" s="1">
        <f>SUM(OSRRefD22_2x_0)</f>
        <v>1011.62</v>
      </c>
      <c r="E107" s="1"/>
      <c r="F107" s="5">
        <f t="shared" ref="F107:F115" si="39">IF(D$12=0,0,D107/D$12)</f>
        <v>2.4727175985742606E-3</v>
      </c>
      <c r="G107" s="1"/>
      <c r="H107" s="1">
        <f>SUM(OSRRefH22_2x_0)</f>
        <v>799.5</v>
      </c>
      <c r="I107" s="1"/>
      <c r="J107" s="5">
        <f t="shared" ref="J107:J115" si="40">IF(H$12=0,0,H107/H$12)</f>
        <v>6.413936444989686E-3</v>
      </c>
      <c r="K107" s="1"/>
      <c r="L107" s="1">
        <f t="shared" ref="L107:L115" si="41">+D107-H107</f>
        <v>212.12</v>
      </c>
      <c r="M107" s="1"/>
      <c r="N107" s="5">
        <f t="shared" ref="N107:N115" si="42">IF(H107=0,0,L107/H107)</f>
        <v>0.26531582238899315</v>
      </c>
      <c r="O107" s="12"/>
      <c r="P107" s="1">
        <f>SUM(OSRRefP22_2x_0)</f>
        <v>14853.74</v>
      </c>
      <c r="Q107" s="1"/>
      <c r="R107" s="5">
        <f t="shared" ref="R107:R115" si="43">IF(P$12=0,0,P107/P$12)</f>
        <v>7.8716434370335684E-3</v>
      </c>
      <c r="S107" s="1"/>
      <c r="T107" s="1">
        <f>SUM(OSRRefT22_2x_0)</f>
        <v>21824.68</v>
      </c>
      <c r="U107" s="1"/>
      <c r="V107" s="5">
        <f t="shared" ref="V107:V115" si="44">IF(T$12=0,0,T107/T$12)</f>
        <v>8.433100597982638E-3</v>
      </c>
      <c r="W107" s="1"/>
      <c r="X107" s="1">
        <f t="shared" ref="X107:X115" si="45">+P107-T107</f>
        <v>-6970.9400000000005</v>
      </c>
      <c r="Y107" s="1"/>
      <c r="Z107" s="5">
        <f t="shared" ref="Z107:Z115" si="46">IF(T107=0,0,X107/T107)</f>
        <v>-0.31940628682757322</v>
      </c>
    </row>
    <row r="108" spans="1:26" s="23" customFormat="1" hidden="1" outlineLevel="2" x14ac:dyDescent="0.25">
      <c r="A108" s="27"/>
      <c r="B108" s="10" t="str">
        <f>CONCATENATE("          ", "6362", " - ", "ADVERTISING EXPENSE")</f>
        <v xml:space="preserve">          6362 - ADVERTISING EXPENSE</v>
      </c>
      <c r="C108" s="10"/>
      <c r="D108" s="6">
        <v>1011.62</v>
      </c>
      <c r="E108" s="2"/>
      <c r="F108" s="7">
        <f t="shared" si="39"/>
        <v>2.4727175985742606E-3</v>
      </c>
      <c r="G108" s="2"/>
      <c r="H108" s="6">
        <v>799.5</v>
      </c>
      <c r="I108" s="2"/>
      <c r="J108" s="7">
        <f t="shared" si="40"/>
        <v>6.413936444989686E-3</v>
      </c>
      <c r="K108" s="2"/>
      <c r="L108" s="6">
        <f t="shared" si="41"/>
        <v>212.12</v>
      </c>
      <c r="M108" s="2"/>
      <c r="N108" s="7">
        <f t="shared" si="42"/>
        <v>0.26531582238899315</v>
      </c>
      <c r="O108" s="10"/>
      <c r="P108" s="6">
        <v>14853.74</v>
      </c>
      <c r="Q108" s="2"/>
      <c r="R108" s="7">
        <f t="shared" si="43"/>
        <v>7.8716434370335684E-3</v>
      </c>
      <c r="S108" s="2"/>
      <c r="T108" s="6">
        <v>21824.68</v>
      </c>
      <c r="U108" s="2"/>
      <c r="V108" s="7">
        <f t="shared" si="44"/>
        <v>8.433100597982638E-3</v>
      </c>
      <c r="W108" s="2"/>
      <c r="X108" s="6">
        <f t="shared" si="45"/>
        <v>-6970.9400000000005</v>
      </c>
      <c r="Y108" s="2"/>
      <c r="Z108" s="7">
        <f t="shared" si="46"/>
        <v>-0.31940628682757322</v>
      </c>
    </row>
    <row r="109" spans="1:26" s="26" customFormat="1" outlineLevel="1" collapsed="1" x14ac:dyDescent="0.25">
      <c r="A109" s="25"/>
      <c r="B109" s="12" t="str">
        <f>CONCATENATE("     ","Bad Debts/Over/Short                              ")</f>
        <v xml:space="preserve">     Bad Debts/Over/Short                              </v>
      </c>
      <c r="C109" s="12"/>
      <c r="D109" s="1">
        <f>SUM(OSRRefD22_3x_0)</f>
        <v>0.26</v>
      </c>
      <c r="E109" s="1"/>
      <c r="F109" s="5">
        <f t="shared" si="39"/>
        <v>6.3552181217187063E-7</v>
      </c>
      <c r="G109" s="1"/>
      <c r="H109" s="1">
        <f>SUM(OSRRefH22_3x_0)</f>
        <v>0</v>
      </c>
      <c r="I109" s="1"/>
      <c r="J109" s="5">
        <f t="shared" si="40"/>
        <v>0</v>
      </c>
      <c r="K109" s="1"/>
      <c r="L109" s="1">
        <f t="shared" si="41"/>
        <v>0.26</v>
      </c>
      <c r="M109" s="1"/>
      <c r="N109" s="5">
        <f t="shared" si="42"/>
        <v>0</v>
      </c>
      <c r="O109" s="12"/>
      <c r="P109" s="1">
        <f>SUM(OSRRefP22_3x_0)</f>
        <v>-23.1</v>
      </c>
      <c r="Q109" s="1"/>
      <c r="R109" s="5">
        <f t="shared" si="43"/>
        <v>-1.2241695586126824E-5</v>
      </c>
      <c r="S109" s="1"/>
      <c r="T109" s="1">
        <f>SUM(OSRRefT22_3x_0)</f>
        <v>44.45</v>
      </c>
      <c r="U109" s="1"/>
      <c r="V109" s="5">
        <f t="shared" si="44"/>
        <v>1.7175570115132421E-5</v>
      </c>
      <c r="W109" s="1"/>
      <c r="X109" s="1">
        <f t="shared" si="45"/>
        <v>-67.550000000000011</v>
      </c>
      <c r="Y109" s="1"/>
      <c r="Z109" s="5">
        <f t="shared" si="46"/>
        <v>-1.5196850393700789</v>
      </c>
    </row>
    <row r="110" spans="1:26" s="23" customFormat="1" hidden="1" outlineLevel="2" x14ac:dyDescent="0.25">
      <c r="A110" s="27"/>
      <c r="B110" s="10" t="str">
        <f>CONCATENATE("          ", "6272", " - ", "CASH (OVER/SHORT)")</f>
        <v xml:space="preserve">          6272 - CASH (OVER/SHORT)</v>
      </c>
      <c r="C110" s="10"/>
      <c r="D110" s="6">
        <v>0.26</v>
      </c>
      <c r="E110" s="2"/>
      <c r="F110" s="7">
        <f t="shared" si="39"/>
        <v>6.3552181217187063E-7</v>
      </c>
      <c r="G110" s="2"/>
      <c r="H110" s="6"/>
      <c r="I110" s="2"/>
      <c r="J110" s="7">
        <f t="shared" si="40"/>
        <v>0</v>
      </c>
      <c r="K110" s="2"/>
      <c r="L110" s="6">
        <f t="shared" si="41"/>
        <v>0.26</v>
      </c>
      <c r="M110" s="2"/>
      <c r="N110" s="7">
        <f t="shared" si="42"/>
        <v>0</v>
      </c>
      <c r="O110" s="10"/>
      <c r="P110" s="6">
        <v>-23.1</v>
      </c>
      <c r="Q110" s="2"/>
      <c r="R110" s="7">
        <f t="shared" si="43"/>
        <v>-1.2241695586126824E-5</v>
      </c>
      <c r="S110" s="2"/>
      <c r="T110" s="6">
        <v>44.45</v>
      </c>
      <c r="U110" s="2"/>
      <c r="V110" s="7">
        <f t="shared" si="44"/>
        <v>1.7175570115132421E-5</v>
      </c>
      <c r="W110" s="2"/>
      <c r="X110" s="6">
        <f t="shared" si="45"/>
        <v>-67.550000000000011</v>
      </c>
      <c r="Y110" s="2"/>
      <c r="Z110" s="7">
        <f t="shared" si="46"/>
        <v>-1.5196850393700789</v>
      </c>
    </row>
    <row r="111" spans="1:26" s="26" customFormat="1" outlineLevel="1" collapsed="1" x14ac:dyDescent="0.25">
      <c r="A111" s="25"/>
      <c r="B111" s="12" t="str">
        <f>CONCATENATE("     ","Bank/card Fees                                    ")</f>
        <v xml:space="preserve">     Bank/card Fees                                    </v>
      </c>
      <c r="C111" s="12"/>
      <c r="D111" s="1">
        <f>SUM(OSRRefD22_4x_0)</f>
        <v>494.45</v>
      </c>
      <c r="E111" s="1"/>
      <c r="F111" s="5">
        <f t="shared" si="39"/>
        <v>1.2085913847245439E-3</v>
      </c>
      <c r="G111" s="1"/>
      <c r="H111" s="1">
        <f>SUM(OSRRefH22_4x_0)</f>
        <v>13.04</v>
      </c>
      <c r="I111" s="1"/>
      <c r="J111" s="5">
        <f t="shared" si="40"/>
        <v>1.0461254689514134E-4</v>
      </c>
      <c r="K111" s="1"/>
      <c r="L111" s="1">
        <f t="shared" si="41"/>
        <v>481.40999999999997</v>
      </c>
      <c r="M111" s="1"/>
      <c r="N111" s="5">
        <f t="shared" si="42"/>
        <v>36.91794478527607</v>
      </c>
      <c r="O111" s="12"/>
      <c r="P111" s="1">
        <f>SUM(OSRRefP22_4x_0)</f>
        <v>3832.35</v>
      </c>
      <c r="Q111" s="1"/>
      <c r="R111" s="5">
        <f t="shared" si="43"/>
        <v>2.0309290943503521E-3</v>
      </c>
      <c r="S111" s="1"/>
      <c r="T111" s="1">
        <f>SUM(OSRRefT22_4x_0)</f>
        <v>6160.92</v>
      </c>
      <c r="U111" s="1"/>
      <c r="V111" s="5">
        <f t="shared" si="44"/>
        <v>2.3805919782614541E-3</v>
      </c>
      <c r="W111" s="1"/>
      <c r="X111" s="1">
        <f t="shared" si="45"/>
        <v>-2328.5700000000002</v>
      </c>
      <c r="Y111" s="1"/>
      <c r="Z111" s="5">
        <f t="shared" si="46"/>
        <v>-0.37795816209267447</v>
      </c>
    </row>
    <row r="112" spans="1:26" s="23" customFormat="1" hidden="1" outlineLevel="2" x14ac:dyDescent="0.25">
      <c r="A112" s="27"/>
      <c r="B112" s="10" t="str">
        <f>CONCATENATE("          ", "6381", " - ", "BANK/CREDIT CARD FEES")</f>
        <v xml:space="preserve">          6381 - BANK/CREDIT CARD FEES</v>
      </c>
      <c r="C112" s="10"/>
      <c r="D112" s="6">
        <v>494.45</v>
      </c>
      <c r="E112" s="2"/>
      <c r="F112" s="7">
        <f t="shared" si="39"/>
        <v>1.2085913847245439E-3</v>
      </c>
      <c r="G112" s="2"/>
      <c r="H112" s="6">
        <v>13.04</v>
      </c>
      <c r="I112" s="2"/>
      <c r="J112" s="7">
        <f t="shared" si="40"/>
        <v>1.0461254689514134E-4</v>
      </c>
      <c r="K112" s="2"/>
      <c r="L112" s="6">
        <f t="shared" si="41"/>
        <v>481.40999999999997</v>
      </c>
      <c r="M112" s="2"/>
      <c r="N112" s="7">
        <f t="shared" si="42"/>
        <v>36.91794478527607</v>
      </c>
      <c r="O112" s="10"/>
      <c r="P112" s="6">
        <v>3832.35</v>
      </c>
      <c r="Q112" s="2"/>
      <c r="R112" s="7">
        <f t="shared" si="43"/>
        <v>2.0309290943503521E-3</v>
      </c>
      <c r="S112" s="2"/>
      <c r="T112" s="6">
        <v>6160.92</v>
      </c>
      <c r="U112" s="2"/>
      <c r="V112" s="7">
        <f t="shared" si="44"/>
        <v>2.3805919782614541E-3</v>
      </c>
      <c r="W112" s="2"/>
      <c r="X112" s="6">
        <f t="shared" si="45"/>
        <v>-2328.5700000000002</v>
      </c>
      <c r="Y112" s="2"/>
      <c r="Z112" s="7">
        <f t="shared" si="46"/>
        <v>-0.37795816209267447</v>
      </c>
    </row>
    <row r="113" spans="1:26" s="26" customFormat="1" outlineLevel="1" collapsed="1" x14ac:dyDescent="0.25">
      <c r="A113" s="25"/>
      <c r="B113" s="12" t="str">
        <f>CONCATENATE("     ","Discounts and Markdowns                           ")</f>
        <v xml:space="preserve">     Discounts and Markdowns                           </v>
      </c>
      <c r="C113" s="12"/>
      <c r="D113" s="1">
        <f>SUM(OSRRefD22_5x_0)</f>
        <v>0</v>
      </c>
      <c r="E113" s="1"/>
      <c r="F113" s="5">
        <f t="shared" si="39"/>
        <v>0</v>
      </c>
      <c r="G113" s="1"/>
      <c r="H113" s="1">
        <f>SUM(OSRRefH22_5x_0)</f>
        <v>30989.040000000001</v>
      </c>
      <c r="I113" s="1"/>
      <c r="J113" s="5">
        <f t="shared" si="40"/>
        <v>0.24860754603032295</v>
      </c>
      <c r="K113" s="1"/>
      <c r="L113" s="1">
        <f t="shared" si="41"/>
        <v>-30989.040000000001</v>
      </c>
      <c r="M113" s="1"/>
      <c r="N113" s="5">
        <f t="shared" si="42"/>
        <v>-1</v>
      </c>
      <c r="O113" s="12"/>
      <c r="P113" s="1">
        <f>SUM(OSRRefP22_5x_0)</f>
        <v>0</v>
      </c>
      <c r="Q113" s="1"/>
      <c r="R113" s="5">
        <f t="shared" si="43"/>
        <v>0</v>
      </c>
      <c r="S113" s="1"/>
      <c r="T113" s="1">
        <f>SUM(OSRRefT22_5x_0)</f>
        <v>285852.18</v>
      </c>
      <c r="U113" s="1"/>
      <c r="V113" s="5">
        <f t="shared" si="44"/>
        <v>0.11045386187071886</v>
      </c>
      <c r="W113" s="1"/>
      <c r="X113" s="1">
        <f t="shared" si="45"/>
        <v>-285852.18</v>
      </c>
      <c r="Y113" s="1"/>
      <c r="Z113" s="5">
        <f t="shared" si="46"/>
        <v>-1</v>
      </c>
    </row>
    <row r="114" spans="1:26" s="23" customFormat="1" hidden="1" outlineLevel="2" x14ac:dyDescent="0.25">
      <c r="A114" s="27"/>
      <c r="B114" s="10" t="str">
        <f>CONCATENATE("          ", "6382", " - ", "DISCOUNTS/MARK DOWNS")</f>
        <v xml:space="preserve">          6382 - DISCOUNTS/MARK DOWNS</v>
      </c>
      <c r="C114" s="10"/>
      <c r="D114" s="6">
        <v>0</v>
      </c>
      <c r="E114" s="2"/>
      <c r="F114" s="7">
        <f t="shared" si="39"/>
        <v>0</v>
      </c>
      <c r="G114" s="2"/>
      <c r="H114" s="6">
        <v>30989.040000000001</v>
      </c>
      <c r="I114" s="2"/>
      <c r="J114" s="7">
        <f t="shared" si="40"/>
        <v>0.24860754603032295</v>
      </c>
      <c r="K114" s="2"/>
      <c r="L114" s="6">
        <f t="shared" si="41"/>
        <v>-30989.040000000001</v>
      </c>
      <c r="M114" s="2"/>
      <c r="N114" s="7">
        <f t="shared" si="42"/>
        <v>-1</v>
      </c>
      <c r="O114" s="10"/>
      <c r="P114" s="6">
        <v>0</v>
      </c>
      <c r="Q114" s="2"/>
      <c r="R114" s="7">
        <f t="shared" si="43"/>
        <v>0</v>
      </c>
      <c r="S114" s="2"/>
      <c r="T114" s="6">
        <v>285871.57</v>
      </c>
      <c r="U114" s="2"/>
      <c r="V114" s="7">
        <f t="shared" si="44"/>
        <v>0.11046135420602894</v>
      </c>
      <c r="W114" s="2"/>
      <c r="X114" s="6">
        <f t="shared" si="45"/>
        <v>-285871.57</v>
      </c>
      <c r="Y114" s="2"/>
      <c r="Z114" s="7">
        <f t="shared" si="46"/>
        <v>-1</v>
      </c>
    </row>
    <row r="115" spans="1:26" s="23" customFormat="1" hidden="1" outlineLevel="2" x14ac:dyDescent="0.25">
      <c r="A115" s="27"/>
      <c r="B115" s="10" t="str">
        <f>CONCATENATE("          ", "9175", " - ", "EARNED DISCOUNTS")</f>
        <v xml:space="preserve">          9175 - EARNED DISCOUNTS</v>
      </c>
      <c r="C115" s="10"/>
      <c r="D115" s="6">
        <v>0</v>
      </c>
      <c r="E115" s="2"/>
      <c r="F115" s="7">
        <f t="shared" si="39"/>
        <v>0</v>
      </c>
      <c r="G115" s="2"/>
      <c r="H115" s="6"/>
      <c r="I115" s="2"/>
      <c r="J115" s="7">
        <f t="shared" si="40"/>
        <v>0</v>
      </c>
      <c r="K115" s="2"/>
      <c r="L115" s="6">
        <f t="shared" si="41"/>
        <v>0</v>
      </c>
      <c r="M115" s="2"/>
      <c r="N115" s="7">
        <f t="shared" si="42"/>
        <v>0</v>
      </c>
      <c r="O115" s="10"/>
      <c r="P115" s="6">
        <v>0</v>
      </c>
      <c r="Q115" s="2"/>
      <c r="R115" s="7">
        <f t="shared" si="43"/>
        <v>0</v>
      </c>
      <c r="S115" s="2"/>
      <c r="T115" s="6">
        <v>-19.39</v>
      </c>
      <c r="U115" s="2"/>
      <c r="V115" s="7">
        <f t="shared" si="44"/>
        <v>-7.4923353100656389E-6</v>
      </c>
      <c r="W115" s="2"/>
      <c r="X115" s="6">
        <f t="shared" si="45"/>
        <v>19.39</v>
      </c>
      <c r="Y115" s="2"/>
      <c r="Z115" s="7">
        <f t="shared" si="46"/>
        <v>-1</v>
      </c>
    </row>
    <row r="116" spans="1:26" s="26" customFormat="1" outlineLevel="1" collapsed="1" x14ac:dyDescent="0.25">
      <c r="A116" s="25"/>
      <c r="B116" s="12" t="str">
        <f>CONCATENATE("     ","Employees' Appreciation                           ")</f>
        <v xml:space="preserve">     Employees' Appreciation                           </v>
      </c>
      <c r="C116" s="12"/>
      <c r="D116" s="1">
        <f>SUM(OSRRefD22_6x_0)</f>
        <v>0</v>
      </c>
      <c r="E116" s="1"/>
      <c r="F116" s="5">
        <f t="shared" ref="F116:F120" si="47">IF(D$12=0,0,D116/D$12)</f>
        <v>0</v>
      </c>
      <c r="G116" s="1"/>
      <c r="H116" s="1">
        <f>SUM(OSRRefH22_6x_0)</f>
        <v>0</v>
      </c>
      <c r="I116" s="1"/>
      <c r="J116" s="5">
        <f t="shared" ref="J116:J120" si="48">IF(H$12=0,0,H116/H$12)</f>
        <v>0</v>
      </c>
      <c r="K116" s="1"/>
      <c r="L116" s="1">
        <f t="shared" ref="L116:L120" si="49">+D116-H116</f>
        <v>0</v>
      </c>
      <c r="M116" s="1"/>
      <c r="N116" s="5">
        <f t="shared" ref="N116:N120" si="50">IF(H116=0,0,L116/H116)</f>
        <v>0</v>
      </c>
      <c r="O116" s="12"/>
      <c r="P116" s="1">
        <f>SUM(OSRRefP22_6x_0)</f>
        <v>0</v>
      </c>
      <c r="Q116" s="1"/>
      <c r="R116" s="5">
        <f t="shared" ref="R116:R120" si="51">IF(P$12=0,0,P116/P$12)</f>
        <v>0</v>
      </c>
      <c r="S116" s="1"/>
      <c r="T116" s="1">
        <f>SUM(OSRRefT22_6x_0)</f>
        <v>376.37</v>
      </c>
      <c r="U116" s="1"/>
      <c r="V116" s="5">
        <f t="shared" ref="V116:V120" si="52">IF(T$12=0,0,T116/T$12)</f>
        <v>1.4543013102885015E-4</v>
      </c>
      <c r="W116" s="1"/>
      <c r="X116" s="1">
        <f t="shared" ref="X116:X120" si="53">+P116-T116</f>
        <v>-376.37</v>
      </c>
      <c r="Y116" s="1"/>
      <c r="Z116" s="5">
        <f t="shared" ref="Z116:Z120" si="54">IF(T116=0,0,X116/T116)</f>
        <v>-1</v>
      </c>
    </row>
    <row r="117" spans="1:26" s="23" customFormat="1" hidden="1" outlineLevel="2" x14ac:dyDescent="0.25">
      <c r="A117" s="27"/>
      <c r="B117" s="10" t="str">
        <f>CONCATENATE("          ", "6277", " - ", "EMPLOYEE APPRECIATION")</f>
        <v xml:space="preserve">          6277 - EMPLOYEE APPRECIATION</v>
      </c>
      <c r="C117" s="10"/>
      <c r="D117" s="6"/>
      <c r="E117" s="2"/>
      <c r="F117" s="7">
        <f t="shared" si="47"/>
        <v>0</v>
      </c>
      <c r="G117" s="2"/>
      <c r="H117" s="6"/>
      <c r="I117" s="2"/>
      <c r="J117" s="7">
        <f t="shared" si="48"/>
        <v>0</v>
      </c>
      <c r="K117" s="2"/>
      <c r="L117" s="6">
        <f t="shared" si="49"/>
        <v>0</v>
      </c>
      <c r="M117" s="2"/>
      <c r="N117" s="7">
        <f t="shared" si="50"/>
        <v>0</v>
      </c>
      <c r="O117" s="10"/>
      <c r="P117" s="6"/>
      <c r="Q117" s="2"/>
      <c r="R117" s="7">
        <f t="shared" si="51"/>
        <v>0</v>
      </c>
      <c r="S117" s="2"/>
      <c r="T117" s="6">
        <v>376.37</v>
      </c>
      <c r="U117" s="2"/>
      <c r="V117" s="7">
        <f t="shared" si="52"/>
        <v>1.4543013102885015E-4</v>
      </c>
      <c r="W117" s="2"/>
      <c r="X117" s="6">
        <f t="shared" si="53"/>
        <v>-376.37</v>
      </c>
      <c r="Y117" s="2"/>
      <c r="Z117" s="7">
        <f t="shared" si="54"/>
        <v>-1</v>
      </c>
    </row>
    <row r="118" spans="1:26" s="26" customFormat="1" outlineLevel="1" collapsed="1" x14ac:dyDescent="0.25">
      <c r="A118" s="25"/>
      <c r="B118" s="12" t="str">
        <f>CONCATENATE("     ","Freight out/Postage                               ")</f>
        <v xml:space="preserve">     Freight out/Postage                               </v>
      </c>
      <c r="C118" s="12"/>
      <c r="D118" s="1">
        <f>SUM(OSRRefD22_7x_0)</f>
        <v>40.200000000000003</v>
      </c>
      <c r="E118" s="1"/>
      <c r="F118" s="5">
        <f t="shared" si="47"/>
        <v>9.8261449420420001E-5</v>
      </c>
      <c r="G118" s="1"/>
      <c r="H118" s="1">
        <f>SUM(OSRRefH22_7x_0)</f>
        <v>37.69</v>
      </c>
      <c r="I118" s="1"/>
      <c r="J118" s="5">
        <f t="shared" si="48"/>
        <v>3.0236555923910101E-4</v>
      </c>
      <c r="K118" s="1"/>
      <c r="L118" s="1">
        <f t="shared" si="49"/>
        <v>2.5100000000000051</v>
      </c>
      <c r="M118" s="1"/>
      <c r="N118" s="5">
        <f t="shared" si="50"/>
        <v>6.659591403555333E-2</v>
      </c>
      <c r="O118" s="12"/>
      <c r="P118" s="1">
        <f>SUM(OSRRefP22_7x_0)</f>
        <v>-175.89999999999998</v>
      </c>
      <c r="Q118" s="1"/>
      <c r="R118" s="5">
        <f t="shared" si="51"/>
        <v>-9.321706725539861E-5</v>
      </c>
      <c r="S118" s="1"/>
      <c r="T118" s="1">
        <f>SUM(OSRRefT22_7x_0)</f>
        <v>118.87</v>
      </c>
      <c r="U118" s="1"/>
      <c r="V118" s="5">
        <f t="shared" si="52"/>
        <v>4.5931608989556603E-5</v>
      </c>
      <c r="W118" s="1"/>
      <c r="X118" s="1">
        <f t="shared" si="53"/>
        <v>-294.77</v>
      </c>
      <c r="Y118" s="1"/>
      <c r="Z118" s="5">
        <f t="shared" si="54"/>
        <v>-2.4797678135778578</v>
      </c>
    </row>
    <row r="119" spans="1:26" s="23" customFormat="1" hidden="1" outlineLevel="2" x14ac:dyDescent="0.25">
      <c r="A119" s="27"/>
      <c r="B119" s="10" t="str">
        <f>CONCATENATE("          ", "6305", " - ", "FREIGHT OUT")</f>
        <v xml:space="preserve">          6305 - FREIGHT OUT</v>
      </c>
      <c r="C119" s="10"/>
      <c r="D119" s="6">
        <v>40.200000000000003</v>
      </c>
      <c r="E119" s="2"/>
      <c r="F119" s="7">
        <f t="shared" si="47"/>
        <v>9.8261449420420001E-5</v>
      </c>
      <c r="G119" s="2"/>
      <c r="H119" s="6">
        <v>37.69</v>
      </c>
      <c r="I119" s="2"/>
      <c r="J119" s="7">
        <f t="shared" si="48"/>
        <v>3.0236555923910101E-4</v>
      </c>
      <c r="K119" s="2"/>
      <c r="L119" s="6">
        <f t="shared" si="49"/>
        <v>2.5100000000000051</v>
      </c>
      <c r="M119" s="2"/>
      <c r="N119" s="7">
        <f t="shared" si="50"/>
        <v>6.659591403555333E-2</v>
      </c>
      <c r="O119" s="10"/>
      <c r="P119" s="6">
        <v>113.44</v>
      </c>
      <c r="Q119" s="2"/>
      <c r="R119" s="7">
        <f t="shared" si="51"/>
        <v>6.0116794254988173E-5</v>
      </c>
      <c r="S119" s="2"/>
      <c r="T119" s="6">
        <v>118.37</v>
      </c>
      <c r="U119" s="2"/>
      <c r="V119" s="7">
        <f t="shared" si="52"/>
        <v>4.5738407975888073E-5</v>
      </c>
      <c r="W119" s="2"/>
      <c r="X119" s="6">
        <f t="shared" si="53"/>
        <v>-4.9300000000000068</v>
      </c>
      <c r="Y119" s="2"/>
      <c r="Z119" s="7">
        <f t="shared" si="54"/>
        <v>-4.1649066486440879E-2</v>
      </c>
    </row>
    <row r="120" spans="1:26" s="23" customFormat="1" hidden="1" outlineLevel="2" x14ac:dyDescent="0.25">
      <c r="A120" s="27"/>
      <c r="B120" s="10" t="str">
        <f>CONCATENATE("          ", "6307", " - ", "POSTAGE")</f>
        <v xml:space="preserve">          6307 - POSTAGE</v>
      </c>
      <c r="C120" s="10"/>
      <c r="D120" s="6"/>
      <c r="E120" s="2"/>
      <c r="F120" s="7">
        <f t="shared" si="47"/>
        <v>0</v>
      </c>
      <c r="G120" s="2"/>
      <c r="H120" s="6"/>
      <c r="I120" s="2"/>
      <c r="J120" s="7">
        <f t="shared" si="48"/>
        <v>0</v>
      </c>
      <c r="K120" s="2"/>
      <c r="L120" s="6">
        <f t="shared" si="49"/>
        <v>0</v>
      </c>
      <c r="M120" s="2"/>
      <c r="N120" s="7">
        <f t="shared" si="50"/>
        <v>0</v>
      </c>
      <c r="O120" s="10"/>
      <c r="P120" s="6">
        <v>-289.33999999999997</v>
      </c>
      <c r="Q120" s="2"/>
      <c r="R120" s="7">
        <f t="shared" si="51"/>
        <v>-1.5333386151038678E-4</v>
      </c>
      <c r="S120" s="2"/>
      <c r="T120" s="6">
        <v>0.5</v>
      </c>
      <c r="U120" s="2"/>
      <c r="V120" s="7">
        <f t="shared" si="52"/>
        <v>1.9320101366853116E-7</v>
      </c>
      <c r="W120" s="2"/>
      <c r="X120" s="6">
        <f t="shared" si="53"/>
        <v>-289.83999999999997</v>
      </c>
      <c r="Y120" s="2"/>
      <c r="Z120" s="7">
        <f t="shared" si="54"/>
        <v>-579.67999999999995</v>
      </c>
    </row>
    <row r="121" spans="1:26" s="26" customFormat="1" outlineLevel="1" collapsed="1" x14ac:dyDescent="0.25">
      <c r="A121" s="25"/>
      <c r="B121" s="12" t="str">
        <f>CONCATENATE("     ","General                                           ")</f>
        <v xml:space="preserve">     General                                           </v>
      </c>
      <c r="C121" s="12"/>
      <c r="D121" s="1">
        <f>SUM(OSRRefD22_8x_0)</f>
        <v>94.83</v>
      </c>
      <c r="E121" s="1"/>
      <c r="F121" s="5">
        <f t="shared" ref="F121:F127" si="55">IF(D$12=0,0,D121/D$12)</f>
        <v>2.317943594163788E-4</v>
      </c>
      <c r="G121" s="1"/>
      <c r="H121" s="1">
        <f>SUM(OSRRefH22_8x_0)</f>
        <v>0</v>
      </c>
      <c r="I121" s="1"/>
      <c r="J121" s="5">
        <f t="shared" ref="J121:J127" si="56">IF(H$12=0,0,H121/H$12)</f>
        <v>0</v>
      </c>
      <c r="K121" s="1"/>
      <c r="L121" s="1">
        <f t="shared" ref="L121:L127" si="57">+D121-H121</f>
        <v>94.83</v>
      </c>
      <c r="M121" s="1"/>
      <c r="N121" s="5">
        <f t="shared" ref="N121:N127" si="58">IF(H121=0,0,L121/H121)</f>
        <v>0</v>
      </c>
      <c r="O121" s="12"/>
      <c r="P121" s="1">
        <f>SUM(OSRRefP22_8x_0)</f>
        <v>1380.29</v>
      </c>
      <c r="Q121" s="1"/>
      <c r="R121" s="5">
        <f t="shared" ref="R121:R127" si="59">IF(P$12=0,0,P121/P$12)</f>
        <v>7.3147575760064898E-4</v>
      </c>
      <c r="S121" s="1"/>
      <c r="T121" s="1">
        <f>SUM(OSRRefT22_8x_0)</f>
        <v>1271.44</v>
      </c>
      <c r="U121" s="1"/>
      <c r="V121" s="5">
        <f t="shared" ref="V121:V127" si="60">IF(T$12=0,0,T121/T$12)</f>
        <v>4.9128699363743455E-4</v>
      </c>
      <c r="W121" s="1"/>
      <c r="X121" s="1">
        <f t="shared" ref="X121:X127" si="61">+P121-T121</f>
        <v>108.84999999999991</v>
      </c>
      <c r="Y121" s="1"/>
      <c r="Z121" s="5">
        <f t="shared" ref="Z121:Z127" si="62">IF(T121=0,0,X121/T121)</f>
        <v>8.5611590008179625E-2</v>
      </c>
    </row>
    <row r="122" spans="1:26" s="23" customFormat="1" hidden="1" outlineLevel="2" x14ac:dyDescent="0.25">
      <c r="A122" s="27"/>
      <c r="B122" s="10" t="str">
        <f>CONCATENATE("          ", "6279", " - ", "GENERAL EXPENSE")</f>
        <v xml:space="preserve">          6279 - GENERAL EXPENSE</v>
      </c>
      <c r="C122" s="10"/>
      <c r="D122" s="6">
        <v>94.83</v>
      </c>
      <c r="E122" s="2"/>
      <c r="F122" s="7">
        <f t="shared" si="55"/>
        <v>2.317943594163788E-4</v>
      </c>
      <c r="G122" s="2"/>
      <c r="H122" s="6"/>
      <c r="I122" s="2"/>
      <c r="J122" s="7">
        <f t="shared" si="56"/>
        <v>0</v>
      </c>
      <c r="K122" s="2"/>
      <c r="L122" s="6">
        <f t="shared" si="57"/>
        <v>94.83</v>
      </c>
      <c r="M122" s="2"/>
      <c r="N122" s="7">
        <f t="shared" si="58"/>
        <v>0</v>
      </c>
      <c r="O122" s="10"/>
      <c r="P122" s="6">
        <v>1380.29</v>
      </c>
      <c r="Q122" s="2"/>
      <c r="R122" s="7">
        <f t="shared" si="59"/>
        <v>7.3147575760064898E-4</v>
      </c>
      <c r="S122" s="2"/>
      <c r="T122" s="6">
        <v>1271.44</v>
      </c>
      <c r="U122" s="2"/>
      <c r="V122" s="7">
        <f t="shared" si="60"/>
        <v>4.9128699363743455E-4</v>
      </c>
      <c r="W122" s="2"/>
      <c r="X122" s="6">
        <f t="shared" si="61"/>
        <v>108.84999999999991</v>
      </c>
      <c r="Y122" s="2"/>
      <c r="Z122" s="7">
        <f t="shared" si="62"/>
        <v>8.5611590008179625E-2</v>
      </c>
    </row>
    <row r="123" spans="1:26" s="26" customFormat="1" outlineLevel="1" collapsed="1" x14ac:dyDescent="0.25">
      <c r="A123" s="25"/>
      <c r="B123" s="12" t="str">
        <f>CONCATENATE("     ","Insurance                                         ")</f>
        <v xml:space="preserve">     Insurance                                         </v>
      </c>
      <c r="C123" s="12"/>
      <c r="D123" s="1">
        <f>SUM(OSRRefD22_9x_0)</f>
        <v>161.18</v>
      </c>
      <c r="E123" s="1"/>
      <c r="F123" s="5">
        <f t="shared" si="55"/>
        <v>3.9397463725331582E-4</v>
      </c>
      <c r="G123" s="1"/>
      <c r="H123" s="1">
        <f>SUM(OSRRefH22_9x_0)</f>
        <v>161.18</v>
      </c>
      <c r="I123" s="1"/>
      <c r="J123" s="5">
        <f t="shared" si="56"/>
        <v>1.2930560052575831E-3</v>
      </c>
      <c r="K123" s="1"/>
      <c r="L123" s="1">
        <f t="shared" si="57"/>
        <v>0</v>
      </c>
      <c r="M123" s="1"/>
      <c r="N123" s="5">
        <f t="shared" si="58"/>
        <v>0</v>
      </c>
      <c r="O123" s="12"/>
      <c r="P123" s="1">
        <f>SUM(OSRRefP22_9x_0)</f>
        <v>1611.8</v>
      </c>
      <c r="Q123" s="1"/>
      <c r="R123" s="5">
        <f t="shared" si="59"/>
        <v>8.5416298466316936E-4</v>
      </c>
      <c r="S123" s="1"/>
      <c r="T123" s="1">
        <f>SUM(OSRRefT22_9x_0)</f>
        <v>1611.8</v>
      </c>
      <c r="U123" s="1"/>
      <c r="V123" s="5">
        <f t="shared" si="60"/>
        <v>6.2280278766187712E-4</v>
      </c>
      <c r="W123" s="1"/>
      <c r="X123" s="1">
        <f t="shared" si="61"/>
        <v>0</v>
      </c>
      <c r="Y123" s="1"/>
      <c r="Z123" s="5">
        <f t="shared" si="62"/>
        <v>0</v>
      </c>
    </row>
    <row r="124" spans="1:26" s="23" customFormat="1" hidden="1" outlineLevel="2" x14ac:dyDescent="0.25">
      <c r="A124" s="27"/>
      <c r="B124" s="10" t="str">
        <f>CONCATENATE("          ", "6314", " - ", "LIABILITY INSURANCE")</f>
        <v xml:space="preserve">          6314 - LIABILITY INSURANCE</v>
      </c>
      <c r="C124" s="10"/>
      <c r="D124" s="6">
        <v>161.18</v>
      </c>
      <c r="E124" s="2"/>
      <c r="F124" s="7">
        <f t="shared" si="55"/>
        <v>3.9397463725331582E-4</v>
      </c>
      <c r="G124" s="2"/>
      <c r="H124" s="6">
        <v>161.18</v>
      </c>
      <c r="I124" s="2"/>
      <c r="J124" s="7">
        <f t="shared" si="56"/>
        <v>1.2930560052575831E-3</v>
      </c>
      <c r="K124" s="2"/>
      <c r="L124" s="6">
        <f t="shared" si="57"/>
        <v>0</v>
      </c>
      <c r="M124" s="2"/>
      <c r="N124" s="7">
        <f t="shared" si="58"/>
        <v>0</v>
      </c>
      <c r="O124" s="10"/>
      <c r="P124" s="6">
        <v>1611.8</v>
      </c>
      <c r="Q124" s="2"/>
      <c r="R124" s="7">
        <f t="shared" si="59"/>
        <v>8.5416298466316936E-4</v>
      </c>
      <c r="S124" s="2"/>
      <c r="T124" s="6">
        <v>1611.8</v>
      </c>
      <c r="U124" s="2"/>
      <c r="V124" s="7">
        <f t="shared" si="60"/>
        <v>6.2280278766187712E-4</v>
      </c>
      <c r="W124" s="2"/>
      <c r="X124" s="6">
        <f t="shared" si="61"/>
        <v>0</v>
      </c>
      <c r="Y124" s="2"/>
      <c r="Z124" s="7">
        <f t="shared" si="62"/>
        <v>0</v>
      </c>
    </row>
    <row r="125" spans="1:26" s="26" customFormat="1" outlineLevel="1" collapsed="1" x14ac:dyDescent="0.25">
      <c r="A125" s="25"/>
      <c r="B125" s="12" t="str">
        <f>CONCATENATE("     ","Inventory Adjustment                              ")</f>
        <v xml:space="preserve">     Inventory Adjustment                              </v>
      </c>
      <c r="C125" s="12"/>
      <c r="D125" s="1">
        <f>SUM(OSRRefD22_10x_0)</f>
        <v>1100</v>
      </c>
      <c r="E125" s="1"/>
      <c r="F125" s="5">
        <f t="shared" si="55"/>
        <v>2.6887461284194527E-3</v>
      </c>
      <c r="G125" s="1"/>
      <c r="H125" s="1">
        <f>SUM(OSRRefH22_10x_0)</f>
        <v>3450</v>
      </c>
      <c r="I125" s="1"/>
      <c r="J125" s="5">
        <f t="shared" si="56"/>
        <v>2.7677399293576505E-2</v>
      </c>
      <c r="K125" s="1"/>
      <c r="L125" s="1">
        <f t="shared" si="57"/>
        <v>-2350</v>
      </c>
      <c r="M125" s="1"/>
      <c r="N125" s="5">
        <f t="shared" si="58"/>
        <v>-0.6811594202898551</v>
      </c>
      <c r="O125" s="12"/>
      <c r="P125" s="1">
        <f>SUM(OSRRefP22_10x_0)</f>
        <v>11000</v>
      </c>
      <c r="Q125" s="1"/>
      <c r="R125" s="5">
        <f t="shared" si="59"/>
        <v>5.8293788505365826E-3</v>
      </c>
      <c r="S125" s="1"/>
      <c r="T125" s="1">
        <f>SUM(OSRRefT22_10x_0)</f>
        <v>32100</v>
      </c>
      <c r="U125" s="1"/>
      <c r="V125" s="5">
        <f t="shared" si="60"/>
        <v>1.2403505077519701E-2</v>
      </c>
      <c r="W125" s="1"/>
      <c r="X125" s="1">
        <f t="shared" si="61"/>
        <v>-21100</v>
      </c>
      <c r="Y125" s="1"/>
      <c r="Z125" s="5">
        <f t="shared" si="62"/>
        <v>-0.65732087227414326</v>
      </c>
    </row>
    <row r="126" spans="1:26" s="23" customFormat="1" hidden="1" outlineLevel="2" x14ac:dyDescent="0.25">
      <c r="A126" s="27"/>
      <c r="B126" s="10" t="str">
        <f>CONCATENATE("          ", "6408", " - ", "INVENTORY ADJUSTMENT")</f>
        <v xml:space="preserve">          6408 - INVENTORY ADJUSTMENT</v>
      </c>
      <c r="C126" s="10"/>
      <c r="D126" s="6">
        <v>1100</v>
      </c>
      <c r="E126" s="2"/>
      <c r="F126" s="7">
        <f t="shared" si="55"/>
        <v>2.6887461284194527E-3</v>
      </c>
      <c r="G126" s="2"/>
      <c r="H126" s="6">
        <v>3450</v>
      </c>
      <c r="I126" s="2"/>
      <c r="J126" s="7">
        <f t="shared" si="56"/>
        <v>2.7677399293576505E-2</v>
      </c>
      <c r="K126" s="2"/>
      <c r="L126" s="6">
        <f t="shared" si="57"/>
        <v>-2350</v>
      </c>
      <c r="M126" s="2"/>
      <c r="N126" s="7">
        <f t="shared" si="58"/>
        <v>-0.6811594202898551</v>
      </c>
      <c r="O126" s="10"/>
      <c r="P126" s="6">
        <v>11000</v>
      </c>
      <c r="Q126" s="2"/>
      <c r="R126" s="7">
        <f t="shared" si="59"/>
        <v>5.8293788505365826E-3</v>
      </c>
      <c r="S126" s="2"/>
      <c r="T126" s="6">
        <v>32100</v>
      </c>
      <c r="U126" s="2"/>
      <c r="V126" s="7">
        <f t="shared" si="60"/>
        <v>1.2403505077519701E-2</v>
      </c>
      <c r="W126" s="2"/>
      <c r="X126" s="6">
        <f t="shared" si="61"/>
        <v>-21100</v>
      </c>
      <c r="Y126" s="2"/>
      <c r="Z126" s="7">
        <f t="shared" si="62"/>
        <v>-0.65732087227414326</v>
      </c>
    </row>
    <row r="127" spans="1:26" s="23" customFormat="1" hidden="1" outlineLevel="2" x14ac:dyDescent="0.25">
      <c r="A127" s="27"/>
      <c r="B127" s="10" t="str">
        <f>CONCATENATE("          ", "7741", " - ", "INV. SHRINKAGE-LOGO GIFTS")</f>
        <v xml:space="preserve">          7741 - INV. SHRINKAGE-LOGO GIFTS</v>
      </c>
      <c r="C127" s="10"/>
      <c r="D127" s="6"/>
      <c r="E127" s="2"/>
      <c r="F127" s="7">
        <f t="shared" si="55"/>
        <v>0</v>
      </c>
      <c r="G127" s="2"/>
      <c r="H127" s="6"/>
      <c r="I127" s="2"/>
      <c r="J127" s="7">
        <f t="shared" si="56"/>
        <v>0</v>
      </c>
      <c r="K127" s="2"/>
      <c r="L127" s="6">
        <f t="shared" si="57"/>
        <v>0</v>
      </c>
      <c r="M127" s="2"/>
      <c r="N127" s="7">
        <f t="shared" si="58"/>
        <v>0</v>
      </c>
      <c r="O127" s="10"/>
      <c r="P127" s="6">
        <v>0</v>
      </c>
      <c r="Q127" s="2"/>
      <c r="R127" s="7">
        <f t="shared" si="59"/>
        <v>0</v>
      </c>
      <c r="S127" s="2"/>
      <c r="T127" s="6"/>
      <c r="U127" s="2"/>
      <c r="V127" s="7">
        <f t="shared" si="60"/>
        <v>0</v>
      </c>
      <c r="W127" s="2"/>
      <c r="X127" s="6">
        <f t="shared" si="61"/>
        <v>0</v>
      </c>
      <c r="Y127" s="2"/>
      <c r="Z127" s="7">
        <f t="shared" si="62"/>
        <v>0</v>
      </c>
    </row>
    <row r="128" spans="1:26" s="26" customFormat="1" outlineLevel="1" collapsed="1" x14ac:dyDescent="0.25">
      <c r="A128" s="25"/>
      <c r="B128" s="12" t="str">
        <f>CONCATENATE("     ","Professional Services                             ")</f>
        <v xml:space="preserve">     Professional Services                             </v>
      </c>
      <c r="C128" s="12"/>
      <c r="D128" s="1">
        <f>SUM(OSRRefD22_11x_0)</f>
        <v>0</v>
      </c>
      <c r="E128" s="1"/>
      <c r="F128" s="5">
        <f t="shared" ref="F128:F135" si="63">IF(D$12=0,0,D128/D$12)</f>
        <v>0</v>
      </c>
      <c r="G128" s="1"/>
      <c r="H128" s="1">
        <f>SUM(OSRRefH22_11x_0)</f>
        <v>2930</v>
      </c>
      <c r="I128" s="1"/>
      <c r="J128" s="5">
        <f t="shared" ref="J128:J135" si="64">IF(H$12=0,0,H128/H$12)</f>
        <v>2.3505733313095412E-2</v>
      </c>
      <c r="K128" s="1"/>
      <c r="L128" s="1">
        <f t="shared" ref="L128:L135" si="65">+D128-H128</f>
        <v>-2930</v>
      </c>
      <c r="M128" s="1"/>
      <c r="N128" s="5">
        <f t="shared" ref="N128:N135" si="66">IF(H128=0,0,L128/H128)</f>
        <v>-1</v>
      </c>
      <c r="O128" s="12"/>
      <c r="P128" s="1">
        <f>SUM(OSRRefP22_11x_0)</f>
        <v>0</v>
      </c>
      <c r="Q128" s="1"/>
      <c r="R128" s="5">
        <f t="shared" ref="R128:R135" si="67">IF(P$12=0,0,P128/P$12)</f>
        <v>0</v>
      </c>
      <c r="S128" s="1"/>
      <c r="T128" s="1">
        <f>SUM(OSRRefT22_11x_0)</f>
        <v>3680</v>
      </c>
      <c r="U128" s="1"/>
      <c r="V128" s="5">
        <f t="shared" ref="V128:V135" si="68">IF(T$12=0,0,T128/T$12)</f>
        <v>1.4219594606003894E-3</v>
      </c>
      <c r="W128" s="1"/>
      <c r="X128" s="1">
        <f t="shared" ref="X128:X135" si="69">+P128-T128</f>
        <v>-3680</v>
      </c>
      <c r="Y128" s="1"/>
      <c r="Z128" s="5">
        <f t="shared" ref="Z128:Z135" si="70">IF(T128=0,0,X128/T128)</f>
        <v>-1</v>
      </c>
    </row>
    <row r="129" spans="1:26" s="23" customFormat="1" hidden="1" outlineLevel="2" x14ac:dyDescent="0.25">
      <c r="A129" s="27"/>
      <c r="B129" s="10" t="str">
        <f>CONCATENATE("          ", "6336", " - ", "PROFESSIONAL SERVICES")</f>
        <v xml:space="preserve">          6336 - PROFESSIONAL SERVICES</v>
      </c>
      <c r="C129" s="10"/>
      <c r="D129" s="6"/>
      <c r="E129" s="2"/>
      <c r="F129" s="7">
        <f t="shared" si="63"/>
        <v>0</v>
      </c>
      <c r="G129" s="2"/>
      <c r="H129" s="6">
        <v>2930</v>
      </c>
      <c r="I129" s="2"/>
      <c r="J129" s="7">
        <f t="shared" si="64"/>
        <v>2.3505733313095412E-2</v>
      </c>
      <c r="K129" s="2"/>
      <c r="L129" s="6">
        <f t="shared" si="65"/>
        <v>-2930</v>
      </c>
      <c r="M129" s="2"/>
      <c r="N129" s="7">
        <f t="shared" si="66"/>
        <v>-1</v>
      </c>
      <c r="O129" s="10"/>
      <c r="P129" s="6"/>
      <c r="Q129" s="2"/>
      <c r="R129" s="7">
        <f t="shared" si="67"/>
        <v>0</v>
      </c>
      <c r="S129" s="2"/>
      <c r="T129" s="6">
        <v>3680</v>
      </c>
      <c r="U129" s="2"/>
      <c r="V129" s="7">
        <f t="shared" si="68"/>
        <v>1.4219594606003894E-3</v>
      </c>
      <c r="W129" s="2"/>
      <c r="X129" s="6">
        <f t="shared" si="69"/>
        <v>-3680</v>
      </c>
      <c r="Y129" s="2"/>
      <c r="Z129" s="7">
        <f t="shared" si="70"/>
        <v>-1</v>
      </c>
    </row>
    <row r="130" spans="1:26" s="26" customFormat="1" outlineLevel="1" collapsed="1" x14ac:dyDescent="0.25">
      <c r="A130" s="25"/>
      <c r="B130" s="12" t="str">
        <f>CONCATENATE("     ","Rent                                              ")</f>
        <v xml:space="preserve">     Rent                                              </v>
      </c>
      <c r="C130" s="12"/>
      <c r="D130" s="1">
        <f>SUM(OSRRefD22_12x_0)</f>
        <v>6900</v>
      </c>
      <c r="E130" s="1"/>
      <c r="F130" s="5">
        <f t="shared" si="63"/>
        <v>1.6865771169176567E-2</v>
      </c>
      <c r="G130" s="1"/>
      <c r="H130" s="1">
        <f>SUM(OSRRefH22_12x_0)</f>
        <v>6900</v>
      </c>
      <c r="I130" s="1"/>
      <c r="J130" s="5">
        <f t="shared" si="64"/>
        <v>5.535479858715301E-2</v>
      </c>
      <c r="K130" s="1"/>
      <c r="L130" s="1">
        <f t="shared" si="65"/>
        <v>0</v>
      </c>
      <c r="M130" s="1"/>
      <c r="N130" s="5">
        <f t="shared" si="66"/>
        <v>0</v>
      </c>
      <c r="O130" s="12"/>
      <c r="P130" s="1">
        <f>SUM(OSRRefP22_12x_0)</f>
        <v>69000</v>
      </c>
      <c r="Q130" s="1"/>
      <c r="R130" s="5">
        <f t="shared" si="67"/>
        <v>3.6566103698820379E-2</v>
      </c>
      <c r="S130" s="1"/>
      <c r="T130" s="1">
        <f>SUM(OSRRefT22_12x_0)</f>
        <v>69000</v>
      </c>
      <c r="U130" s="1"/>
      <c r="V130" s="5">
        <f t="shared" si="68"/>
        <v>2.66617398862573E-2</v>
      </c>
      <c r="W130" s="1"/>
      <c r="X130" s="1">
        <f t="shared" si="69"/>
        <v>0</v>
      </c>
      <c r="Y130" s="1"/>
      <c r="Z130" s="5">
        <f t="shared" si="70"/>
        <v>0</v>
      </c>
    </row>
    <row r="131" spans="1:26" s="23" customFormat="1" hidden="1" outlineLevel="2" x14ac:dyDescent="0.25">
      <c r="A131" s="27"/>
      <c r="B131" s="10" t="str">
        <f>CONCATENATE("          ", "6273", " - ", "RENT")</f>
        <v xml:space="preserve">          6273 - RENT</v>
      </c>
      <c r="C131" s="10"/>
      <c r="D131" s="6">
        <v>6900</v>
      </c>
      <c r="E131" s="2"/>
      <c r="F131" s="7">
        <f t="shared" si="63"/>
        <v>1.6865771169176567E-2</v>
      </c>
      <c r="G131" s="2"/>
      <c r="H131" s="6">
        <v>6900</v>
      </c>
      <c r="I131" s="2"/>
      <c r="J131" s="7">
        <f t="shared" si="64"/>
        <v>5.535479858715301E-2</v>
      </c>
      <c r="K131" s="2"/>
      <c r="L131" s="6">
        <f t="shared" si="65"/>
        <v>0</v>
      </c>
      <c r="M131" s="2"/>
      <c r="N131" s="7">
        <f t="shared" si="66"/>
        <v>0</v>
      </c>
      <c r="O131" s="10"/>
      <c r="P131" s="6">
        <v>69000</v>
      </c>
      <c r="Q131" s="2"/>
      <c r="R131" s="7">
        <f t="shared" si="67"/>
        <v>3.6566103698820379E-2</v>
      </c>
      <c r="S131" s="2"/>
      <c r="T131" s="6">
        <v>69000</v>
      </c>
      <c r="U131" s="2"/>
      <c r="V131" s="7">
        <f t="shared" si="68"/>
        <v>2.66617398862573E-2</v>
      </c>
      <c r="W131" s="2"/>
      <c r="X131" s="6">
        <f t="shared" si="69"/>
        <v>0</v>
      </c>
      <c r="Y131" s="2"/>
      <c r="Z131" s="7">
        <f t="shared" si="70"/>
        <v>0</v>
      </c>
    </row>
    <row r="132" spans="1:26" s="26" customFormat="1" outlineLevel="1" collapsed="1" x14ac:dyDescent="0.25">
      <c r="A132" s="25"/>
      <c r="B132" s="12" t="str">
        <f>CONCATENATE("     ","Repair and Maintenance                            ")</f>
        <v xml:space="preserve">     Repair and Maintenance                            </v>
      </c>
      <c r="C132" s="12"/>
      <c r="D132" s="1">
        <f>SUM(OSRRefD22_13x_0)</f>
        <v>0</v>
      </c>
      <c r="E132" s="1"/>
      <c r="F132" s="5">
        <f t="shared" si="63"/>
        <v>0</v>
      </c>
      <c r="G132" s="1"/>
      <c r="H132" s="1">
        <f>SUM(OSRRefH22_13x_0)</f>
        <v>0</v>
      </c>
      <c r="I132" s="1"/>
      <c r="J132" s="5">
        <f t="shared" si="64"/>
        <v>0</v>
      </c>
      <c r="K132" s="1"/>
      <c r="L132" s="1">
        <f t="shared" si="65"/>
        <v>0</v>
      </c>
      <c r="M132" s="1"/>
      <c r="N132" s="5">
        <f t="shared" si="66"/>
        <v>0</v>
      </c>
      <c r="O132" s="12"/>
      <c r="P132" s="1">
        <f>SUM(OSRRefP22_13x_0)</f>
        <v>309.70999999999998</v>
      </c>
      <c r="Q132" s="1"/>
      <c r="R132" s="5">
        <f t="shared" si="67"/>
        <v>1.6412881125451681E-4</v>
      </c>
      <c r="S132" s="1"/>
      <c r="T132" s="1">
        <f>SUM(OSRRefT22_13x_0)</f>
        <v>633.76</v>
      </c>
      <c r="U132" s="1"/>
      <c r="V132" s="5">
        <f t="shared" si="68"/>
        <v>2.4488614884513661E-4</v>
      </c>
      <c r="W132" s="1"/>
      <c r="X132" s="1">
        <f t="shared" si="69"/>
        <v>-324.05</v>
      </c>
      <c r="Y132" s="1"/>
      <c r="Z132" s="5">
        <f t="shared" si="70"/>
        <v>-0.51131343095177983</v>
      </c>
    </row>
    <row r="133" spans="1:26" s="23" customFormat="1" hidden="1" outlineLevel="2" x14ac:dyDescent="0.25">
      <c r="A133" s="27"/>
      <c r="B133" s="10" t="str">
        <f>CONCATENATE("          ", "6372", " - ", "COMPUTER HARDWARE MAINTENANCE")</f>
        <v xml:space="preserve">          6372 - COMPUTER HARDWARE MAINTENANCE</v>
      </c>
      <c r="C133" s="10"/>
      <c r="D133" s="6"/>
      <c r="E133" s="2"/>
      <c r="F133" s="7">
        <f t="shared" si="63"/>
        <v>0</v>
      </c>
      <c r="G133" s="2"/>
      <c r="H133" s="6"/>
      <c r="I133" s="2"/>
      <c r="J133" s="7">
        <f t="shared" si="64"/>
        <v>0</v>
      </c>
      <c r="K133" s="2"/>
      <c r="L133" s="6">
        <f t="shared" si="65"/>
        <v>0</v>
      </c>
      <c r="M133" s="2"/>
      <c r="N133" s="7">
        <f t="shared" si="66"/>
        <v>0</v>
      </c>
      <c r="O133" s="10"/>
      <c r="P133" s="6">
        <v>-0.52</v>
      </c>
      <c r="Q133" s="2"/>
      <c r="R133" s="7">
        <f t="shared" si="67"/>
        <v>-2.7557063657082027E-7</v>
      </c>
      <c r="S133" s="2"/>
      <c r="T133" s="6"/>
      <c r="U133" s="2"/>
      <c r="V133" s="7">
        <f t="shared" si="68"/>
        <v>0</v>
      </c>
      <c r="W133" s="2"/>
      <c r="X133" s="6">
        <f t="shared" si="69"/>
        <v>-0.52</v>
      </c>
      <c r="Y133" s="2"/>
      <c r="Z133" s="7">
        <f t="shared" si="70"/>
        <v>0</v>
      </c>
    </row>
    <row r="134" spans="1:26" s="23" customFormat="1" hidden="1" outlineLevel="2" x14ac:dyDescent="0.25">
      <c r="A134" s="27"/>
      <c r="B134" s="10" t="str">
        <f>CONCATENATE("          ", "6373", " - ", "MAINTENANCE CONTRACTS")</f>
        <v xml:space="preserve">          6373 - MAINTENANCE CONTRACTS</v>
      </c>
      <c r="C134" s="10"/>
      <c r="D134" s="6"/>
      <c r="E134" s="2"/>
      <c r="F134" s="7">
        <f t="shared" si="63"/>
        <v>0</v>
      </c>
      <c r="G134" s="2"/>
      <c r="H134" s="6"/>
      <c r="I134" s="2"/>
      <c r="J134" s="7">
        <f t="shared" si="64"/>
        <v>0</v>
      </c>
      <c r="K134" s="2"/>
      <c r="L134" s="6">
        <f t="shared" si="65"/>
        <v>0</v>
      </c>
      <c r="M134" s="2"/>
      <c r="N134" s="7">
        <f t="shared" si="66"/>
        <v>0</v>
      </c>
      <c r="O134" s="10"/>
      <c r="P134" s="6">
        <v>144.66999999999999</v>
      </c>
      <c r="Q134" s="2"/>
      <c r="R134" s="7">
        <f t="shared" si="67"/>
        <v>7.6666930755193391E-5</v>
      </c>
      <c r="S134" s="2"/>
      <c r="T134" s="6">
        <v>451.23</v>
      </c>
      <c r="U134" s="2"/>
      <c r="V134" s="7">
        <f t="shared" si="68"/>
        <v>1.7435618679530264E-4</v>
      </c>
      <c r="W134" s="2"/>
      <c r="X134" s="6">
        <f t="shared" si="69"/>
        <v>-306.56000000000006</v>
      </c>
      <c r="Y134" s="2"/>
      <c r="Z134" s="7">
        <f t="shared" si="70"/>
        <v>-0.67938745207543838</v>
      </c>
    </row>
    <row r="135" spans="1:26" s="23" customFormat="1" hidden="1" outlineLevel="2" x14ac:dyDescent="0.25">
      <c r="A135" s="27"/>
      <c r="B135" s="10" t="str">
        <f>CONCATENATE("          ", "6375", " - ", "OUTSIDE REPAIRS &amp; MAINTENANCE")</f>
        <v xml:space="preserve">          6375 - OUTSIDE REPAIRS &amp; MAINTENANCE</v>
      </c>
      <c r="C135" s="10"/>
      <c r="D135" s="6"/>
      <c r="E135" s="2"/>
      <c r="F135" s="7">
        <f t="shared" si="63"/>
        <v>0</v>
      </c>
      <c r="G135" s="2"/>
      <c r="H135" s="6"/>
      <c r="I135" s="2"/>
      <c r="J135" s="7">
        <f t="shared" si="64"/>
        <v>0</v>
      </c>
      <c r="K135" s="2"/>
      <c r="L135" s="6">
        <f t="shared" si="65"/>
        <v>0</v>
      </c>
      <c r="M135" s="2"/>
      <c r="N135" s="7">
        <f t="shared" si="66"/>
        <v>0</v>
      </c>
      <c r="O135" s="10"/>
      <c r="P135" s="6">
        <v>165.56</v>
      </c>
      <c r="Q135" s="2"/>
      <c r="R135" s="7">
        <f t="shared" si="67"/>
        <v>8.7737451135894243E-5</v>
      </c>
      <c r="S135" s="2"/>
      <c r="T135" s="6">
        <v>182.53</v>
      </c>
      <c r="U135" s="2"/>
      <c r="V135" s="7">
        <f t="shared" si="68"/>
        <v>7.0529962049833991E-5</v>
      </c>
      <c r="W135" s="2"/>
      <c r="X135" s="6">
        <f t="shared" si="69"/>
        <v>-16.97</v>
      </c>
      <c r="Y135" s="2"/>
      <c r="Z135" s="7">
        <f t="shared" si="70"/>
        <v>-9.2971018462718449E-2</v>
      </c>
    </row>
    <row r="136" spans="1:26" s="26" customFormat="1" outlineLevel="1" collapsed="1" x14ac:dyDescent="0.25">
      <c r="A136" s="25"/>
      <c r="B136" s="12" t="str">
        <f>CONCATENATE("     ","Royalty &amp; Commissions                             ")</f>
        <v xml:space="preserve">     Royalty &amp; Commissions                             </v>
      </c>
      <c r="C136" s="12"/>
      <c r="D136" s="1">
        <f>SUM(OSRRefD22_14x_0)</f>
        <v>8961.48</v>
      </c>
      <c r="E136" s="1"/>
      <c r="F136" s="5">
        <f t="shared" ref="F136:F138" si="71">IF(D$12=0,0,D136/D$12)</f>
        <v>2.1904676959007593E-2</v>
      </c>
      <c r="G136" s="1"/>
      <c r="H136" s="1">
        <f>SUM(OSRRefH22_14x_0)</f>
        <v>14555.51</v>
      </c>
      <c r="I136" s="1"/>
      <c r="J136" s="5">
        <f t="shared" ref="J136:J138" si="72">IF(H$12=0,0,H136/H$12)</f>
        <v>0.11677062672221616</v>
      </c>
      <c r="K136" s="1"/>
      <c r="L136" s="1">
        <f t="shared" ref="L136:L138" si="73">+D136-H136</f>
        <v>-5594.0300000000007</v>
      </c>
      <c r="M136" s="1"/>
      <c r="N136" s="5">
        <f t="shared" ref="N136:N138" si="74">IF(H136=0,0,L136/H136)</f>
        <v>-0.38432387460143963</v>
      </c>
      <c r="O136" s="12"/>
      <c r="P136" s="1">
        <f>SUM(OSRRefP22_14x_0)</f>
        <v>35159.06</v>
      </c>
      <c r="Q136" s="1"/>
      <c r="R136" s="5">
        <f t="shared" ref="R136:R138" si="75">IF(P$12=0,0,P136/P$12)</f>
        <v>1.8632316433522429E-2</v>
      </c>
      <c r="S136" s="1"/>
      <c r="T136" s="1">
        <f>SUM(OSRRefT22_14x_0)</f>
        <v>40841.660000000003</v>
      </c>
      <c r="U136" s="1"/>
      <c r="V136" s="5">
        <f t="shared" ref="V136:V138" si="76">IF(T$12=0,0,T136/T$12)</f>
        <v>1.5781300223811006E-2</v>
      </c>
      <c r="W136" s="1"/>
      <c r="X136" s="1">
        <f t="shared" ref="X136:X138" si="77">+P136-T136</f>
        <v>-5682.6000000000058</v>
      </c>
      <c r="Y136" s="1"/>
      <c r="Z136" s="5">
        <f t="shared" ref="Z136:Z138" si="78">IF(T136=0,0,X136/T136)</f>
        <v>-0.139137341626173</v>
      </c>
    </row>
    <row r="137" spans="1:26" s="23" customFormat="1" hidden="1" outlineLevel="2" x14ac:dyDescent="0.25">
      <c r="A137" s="27"/>
      <c r="B137" s="10" t="str">
        <f>CONCATENATE("          ", "6253", " - ", "ROYALTY DUE ATHLETICS-LRG")</f>
        <v xml:space="preserve">          6253 - ROYALTY DUE ATHLETICS-LRG</v>
      </c>
      <c r="C137" s="10"/>
      <c r="D137" s="6">
        <v>8961.48</v>
      </c>
      <c r="E137" s="2"/>
      <c r="F137" s="7">
        <f t="shared" si="71"/>
        <v>2.1904676959007593E-2</v>
      </c>
      <c r="G137" s="2"/>
      <c r="H137" s="6">
        <v>14555.51</v>
      </c>
      <c r="I137" s="2"/>
      <c r="J137" s="7">
        <f t="shared" si="72"/>
        <v>0.11677062672221616</v>
      </c>
      <c r="K137" s="2"/>
      <c r="L137" s="6">
        <f t="shared" si="73"/>
        <v>-5594.0300000000007</v>
      </c>
      <c r="M137" s="2"/>
      <c r="N137" s="7">
        <f t="shared" si="74"/>
        <v>-0.38432387460143963</v>
      </c>
      <c r="O137" s="10"/>
      <c r="P137" s="6">
        <v>35159.06</v>
      </c>
      <c r="Q137" s="2"/>
      <c r="R137" s="7">
        <f t="shared" si="75"/>
        <v>1.8632316433522429E-2</v>
      </c>
      <c r="S137" s="2"/>
      <c r="T137" s="6">
        <v>32870.44</v>
      </c>
      <c r="U137" s="2"/>
      <c r="V137" s="7">
        <f t="shared" si="76"/>
        <v>1.2701204655461269E-2</v>
      </c>
      <c r="W137" s="2"/>
      <c r="X137" s="6">
        <f t="shared" si="77"/>
        <v>2288.6199999999953</v>
      </c>
      <c r="Y137" s="2"/>
      <c r="Z137" s="7">
        <f t="shared" si="78"/>
        <v>6.962547504688088E-2</v>
      </c>
    </row>
    <row r="138" spans="1:26" s="23" customFormat="1" hidden="1" outlineLevel="2" x14ac:dyDescent="0.25">
      <c r="A138" s="27"/>
      <c r="B138" s="10" t="str">
        <f>CONCATENATE("          ", "6254", " - ", "ROYALTY &amp; COMMISSIONS")</f>
        <v xml:space="preserve">          6254 - ROYALTY &amp; COMMISSIONS</v>
      </c>
      <c r="C138" s="10"/>
      <c r="D138" s="6"/>
      <c r="E138" s="2"/>
      <c r="F138" s="7">
        <f t="shared" si="71"/>
        <v>0</v>
      </c>
      <c r="G138" s="2"/>
      <c r="H138" s="6"/>
      <c r="I138" s="2"/>
      <c r="J138" s="7">
        <f t="shared" si="72"/>
        <v>0</v>
      </c>
      <c r="K138" s="2"/>
      <c r="L138" s="6">
        <f t="shared" si="73"/>
        <v>0</v>
      </c>
      <c r="M138" s="2"/>
      <c r="N138" s="7">
        <f t="shared" si="74"/>
        <v>0</v>
      </c>
      <c r="O138" s="10"/>
      <c r="P138" s="6"/>
      <c r="Q138" s="2"/>
      <c r="R138" s="7">
        <f t="shared" si="75"/>
        <v>0</v>
      </c>
      <c r="S138" s="2"/>
      <c r="T138" s="6">
        <v>7971.22</v>
      </c>
      <c r="U138" s="2"/>
      <c r="V138" s="7">
        <f t="shared" si="76"/>
        <v>3.0800955683497381E-3</v>
      </c>
      <c r="W138" s="2"/>
      <c r="X138" s="6">
        <f t="shared" si="77"/>
        <v>-7971.22</v>
      </c>
      <c r="Y138" s="2"/>
      <c r="Z138" s="7">
        <f t="shared" si="78"/>
        <v>-1</v>
      </c>
    </row>
    <row r="139" spans="1:26" s="26" customFormat="1" outlineLevel="1" collapsed="1" x14ac:dyDescent="0.25">
      <c r="A139" s="25"/>
      <c r="B139" s="12" t="str">
        <f>CONCATENATE("     ","Services                                          ")</f>
        <v xml:space="preserve">     Services                                          </v>
      </c>
      <c r="C139" s="12"/>
      <c r="D139" s="1">
        <f>SUM(OSRRefD22_15x_0)</f>
        <v>155.59</v>
      </c>
      <c r="E139" s="1"/>
      <c r="F139" s="5">
        <f t="shared" ref="F139:F142" si="79">IF(D$12=0,0,D139/D$12)</f>
        <v>3.8031091829162056E-4</v>
      </c>
      <c r="G139" s="1"/>
      <c r="H139" s="1">
        <f>SUM(OSRRefH22_15x_0)</f>
        <v>128.72</v>
      </c>
      <c r="I139" s="1"/>
      <c r="J139" s="5">
        <f t="shared" ref="J139:J142" si="80">IF(H$12=0,0,H139/H$12)</f>
        <v>1.0326477788606284E-3</v>
      </c>
      <c r="K139" s="1"/>
      <c r="L139" s="1">
        <f t="shared" ref="L139:L142" si="81">+D139-H139</f>
        <v>26.870000000000005</v>
      </c>
      <c r="M139" s="1"/>
      <c r="N139" s="5">
        <f t="shared" ref="N139:N142" si="82">IF(H139=0,0,L139/H139)</f>
        <v>0.20874766935985087</v>
      </c>
      <c r="O139" s="12"/>
      <c r="P139" s="1">
        <f>SUM(OSRRefP22_15x_0)</f>
        <v>762.93</v>
      </c>
      <c r="Q139" s="1"/>
      <c r="R139" s="5">
        <f t="shared" ref="R139:R142" si="83">IF(P$12=0,0,P139/P$12)</f>
        <v>4.0430981876726134E-4</v>
      </c>
      <c r="S139" s="1"/>
      <c r="T139" s="1">
        <f>SUM(OSRRefT22_15x_0)</f>
        <v>2760.08</v>
      </c>
      <c r="U139" s="1"/>
      <c r="V139" s="5">
        <f t="shared" ref="V139:V142" si="84">IF(T$12=0,0,T139/T$12)</f>
        <v>1.0665005076124789E-3</v>
      </c>
      <c r="W139" s="1"/>
      <c r="X139" s="1">
        <f t="shared" ref="X139:X142" si="85">+P139-T139</f>
        <v>-1997.15</v>
      </c>
      <c r="Y139" s="1"/>
      <c r="Z139" s="5">
        <f t="shared" ref="Z139:Z142" si="86">IF(T139=0,0,X139/T139)</f>
        <v>-0.72358409901162291</v>
      </c>
    </row>
    <row r="140" spans="1:26" s="23" customFormat="1" hidden="1" outlineLevel="2" x14ac:dyDescent="0.25">
      <c r="A140" s="27"/>
      <c r="B140" s="10" t="str">
        <f>CONCATENATE("          ", "6283", " - ", "PLANT SERVICE")</f>
        <v xml:space="preserve">          6283 - PLANT SERVICE</v>
      </c>
      <c r="C140" s="10"/>
      <c r="D140" s="6"/>
      <c r="E140" s="2"/>
      <c r="F140" s="7">
        <f t="shared" si="79"/>
        <v>0</v>
      </c>
      <c r="G140" s="2"/>
      <c r="H140" s="6"/>
      <c r="I140" s="2"/>
      <c r="J140" s="7">
        <f t="shared" si="80"/>
        <v>0</v>
      </c>
      <c r="K140" s="2"/>
      <c r="L140" s="6">
        <f t="shared" si="81"/>
        <v>0</v>
      </c>
      <c r="M140" s="2"/>
      <c r="N140" s="7">
        <f t="shared" si="82"/>
        <v>0</v>
      </c>
      <c r="O140" s="10"/>
      <c r="P140" s="6">
        <v>41.31</v>
      </c>
      <c r="Q140" s="2"/>
      <c r="R140" s="7">
        <f t="shared" si="83"/>
        <v>2.1891967301424202E-5</v>
      </c>
      <c r="S140" s="2"/>
      <c r="T140" s="6">
        <v>178.65</v>
      </c>
      <c r="U140" s="2"/>
      <c r="V140" s="7">
        <f t="shared" si="84"/>
        <v>6.9030722183766193E-5</v>
      </c>
      <c r="W140" s="2"/>
      <c r="X140" s="6">
        <f t="shared" si="85"/>
        <v>-137.34</v>
      </c>
      <c r="Y140" s="2"/>
      <c r="Z140" s="7">
        <f t="shared" si="86"/>
        <v>-0.7687657430730479</v>
      </c>
    </row>
    <row r="141" spans="1:26" s="23" customFormat="1" hidden="1" outlineLevel="2" x14ac:dyDescent="0.25">
      <c r="A141" s="27"/>
      <c r="B141" s="10" t="str">
        <f>CONCATENATE("          ", "6284", " - ", "TRASH REMOVAL EXPENSE")</f>
        <v xml:space="preserve">          6284 - TRASH REMOVAL EXPENSE</v>
      </c>
      <c r="C141" s="10"/>
      <c r="D141" s="6">
        <v>142.57</v>
      </c>
      <c r="E141" s="2"/>
      <c r="F141" s="7">
        <f t="shared" si="79"/>
        <v>3.4848594138978302E-4</v>
      </c>
      <c r="G141" s="2"/>
      <c r="H141" s="6">
        <v>134.82</v>
      </c>
      <c r="I141" s="2"/>
      <c r="J141" s="7">
        <f t="shared" si="80"/>
        <v>1.0815846297855028E-3</v>
      </c>
      <c r="K141" s="2"/>
      <c r="L141" s="6">
        <f t="shared" si="81"/>
        <v>7.75</v>
      </c>
      <c r="M141" s="2"/>
      <c r="N141" s="7">
        <f t="shared" si="82"/>
        <v>5.7484052811155616E-2</v>
      </c>
      <c r="O141" s="10"/>
      <c r="P141" s="6">
        <v>1440.72</v>
      </c>
      <c r="Q141" s="2"/>
      <c r="R141" s="7">
        <f t="shared" si="83"/>
        <v>7.6350024523136957E-4</v>
      </c>
      <c r="S141" s="2"/>
      <c r="T141" s="6">
        <v>1348.2</v>
      </c>
      <c r="U141" s="2"/>
      <c r="V141" s="7">
        <f t="shared" si="84"/>
        <v>5.2094721325582751E-4</v>
      </c>
      <c r="W141" s="2"/>
      <c r="X141" s="6">
        <f t="shared" si="85"/>
        <v>92.519999999999982</v>
      </c>
      <c r="Y141" s="2"/>
      <c r="Z141" s="7">
        <f t="shared" si="86"/>
        <v>6.8624833110814409E-2</v>
      </c>
    </row>
    <row r="142" spans="1:26" s="23" customFormat="1" hidden="1" outlineLevel="2" x14ac:dyDescent="0.25">
      <c r="A142" s="27"/>
      <c r="B142" s="10" t="str">
        <f>CONCATENATE("          ", "6285", " - ", "JANITORIAL SERVICES")</f>
        <v xml:space="preserve">          6285 - JANITORIAL SERVICES</v>
      </c>
      <c r="C142" s="10"/>
      <c r="D142" s="6">
        <v>13.02</v>
      </c>
      <c r="E142" s="2"/>
      <c r="F142" s="7">
        <f t="shared" si="79"/>
        <v>3.1824976901837519E-5</v>
      </c>
      <c r="G142" s="2"/>
      <c r="H142" s="6">
        <v>-6.1</v>
      </c>
      <c r="I142" s="2"/>
      <c r="J142" s="7">
        <f t="shared" si="80"/>
        <v>-4.89368509248744E-5</v>
      </c>
      <c r="K142" s="2"/>
      <c r="L142" s="6">
        <f t="shared" si="81"/>
        <v>19.119999999999997</v>
      </c>
      <c r="M142" s="2"/>
      <c r="N142" s="7">
        <f t="shared" si="82"/>
        <v>-3.1344262295081964</v>
      </c>
      <c r="O142" s="10"/>
      <c r="P142" s="6">
        <v>-719.1</v>
      </c>
      <c r="Q142" s="2"/>
      <c r="R142" s="7">
        <f t="shared" si="83"/>
        <v>-3.8108239376553242E-4</v>
      </c>
      <c r="S142" s="2"/>
      <c r="T142" s="6">
        <v>1233.23</v>
      </c>
      <c r="U142" s="2"/>
      <c r="V142" s="7">
        <f t="shared" si="84"/>
        <v>4.7652257217288541E-4</v>
      </c>
      <c r="W142" s="2"/>
      <c r="X142" s="6">
        <f t="shared" si="85"/>
        <v>-1952.33</v>
      </c>
      <c r="Y142" s="2"/>
      <c r="Z142" s="7">
        <f t="shared" si="86"/>
        <v>-1.5831029086220736</v>
      </c>
    </row>
    <row r="143" spans="1:26" s="26" customFormat="1" outlineLevel="1" collapsed="1" x14ac:dyDescent="0.25">
      <c r="A143" s="25"/>
      <c r="B143" s="12" t="str">
        <f>CONCATENATE("     ","Subscriptions &amp; Dues                              ")</f>
        <v xml:space="preserve">     Subscriptions &amp; Dues                              </v>
      </c>
      <c r="C143" s="12"/>
      <c r="D143" s="1">
        <f>SUM(OSRRefD22_16x_0)</f>
        <v>2014.87</v>
      </c>
      <c r="E143" s="1"/>
      <c r="F143" s="5">
        <f t="shared" ref="F143:F145" si="87">IF(D$12=0,0,D143/D$12)</f>
        <v>4.9249762834259114E-3</v>
      </c>
      <c r="G143" s="1"/>
      <c r="H143" s="1">
        <f>SUM(OSRRefH22_16x_0)</f>
        <v>75</v>
      </c>
      <c r="I143" s="1"/>
      <c r="J143" s="5">
        <f t="shared" ref="J143:J145" si="88">IF(H$12=0,0,H143/H$12)</f>
        <v>6.0168259333861975E-4</v>
      </c>
      <c r="K143" s="1"/>
      <c r="L143" s="1">
        <f t="shared" ref="L143:L145" si="89">+D143-H143</f>
        <v>1939.87</v>
      </c>
      <c r="M143" s="1"/>
      <c r="N143" s="5">
        <f t="shared" ref="N143:N145" si="90">IF(H143=0,0,L143/H143)</f>
        <v>25.864933333333333</v>
      </c>
      <c r="O143" s="12"/>
      <c r="P143" s="1">
        <f>SUM(OSRRefP22_16x_0)</f>
        <v>2022.57</v>
      </c>
      <c r="Q143" s="1"/>
      <c r="R143" s="5">
        <f t="shared" ref="R143:R145" si="91">IF(P$12=0,0,P143/P$12)</f>
        <v>1.0718478892481613E-3</v>
      </c>
      <c r="S143" s="1"/>
      <c r="T143" s="1">
        <f>SUM(OSRRefT22_16x_0)</f>
        <v>647.99</v>
      </c>
      <c r="U143" s="1"/>
      <c r="V143" s="5">
        <f t="shared" ref="V143:V145" si="92">IF(T$12=0,0,T143/T$12)</f>
        <v>2.5038464969414303E-4</v>
      </c>
      <c r="W143" s="1"/>
      <c r="X143" s="1">
        <f t="shared" ref="X143:X145" si="93">+P143-T143</f>
        <v>1374.58</v>
      </c>
      <c r="Y143" s="1"/>
      <c r="Z143" s="5">
        <f t="shared" ref="Z143:Z145" si="94">IF(T143=0,0,X143/T143)</f>
        <v>2.1212981681816077</v>
      </c>
    </row>
    <row r="144" spans="1:26" s="23" customFormat="1" hidden="1" outlineLevel="2" x14ac:dyDescent="0.25">
      <c r="A144" s="27"/>
      <c r="B144" s="10" t="str">
        <f>CONCATENATE("          ", "6258", " - ", "MEMBERSHIP DUES")</f>
        <v xml:space="preserve">          6258 - MEMBERSHIP DUES</v>
      </c>
      <c r="C144" s="10"/>
      <c r="D144" s="6"/>
      <c r="E144" s="2"/>
      <c r="F144" s="7">
        <f t="shared" si="87"/>
        <v>0</v>
      </c>
      <c r="G144" s="2"/>
      <c r="H144" s="6"/>
      <c r="I144" s="2"/>
      <c r="J144" s="7">
        <f t="shared" si="88"/>
        <v>0</v>
      </c>
      <c r="K144" s="2"/>
      <c r="L144" s="6">
        <f t="shared" si="89"/>
        <v>0</v>
      </c>
      <c r="M144" s="2"/>
      <c r="N144" s="7">
        <f t="shared" si="90"/>
        <v>0</v>
      </c>
      <c r="O144" s="10"/>
      <c r="P144" s="6">
        <v>-368.03</v>
      </c>
      <c r="Q144" s="2"/>
      <c r="R144" s="7">
        <f t="shared" si="91"/>
        <v>-1.9503511803299804E-4</v>
      </c>
      <c r="S144" s="2"/>
      <c r="T144" s="6">
        <v>112.93</v>
      </c>
      <c r="U144" s="2"/>
      <c r="V144" s="7">
        <f t="shared" si="92"/>
        <v>4.3636380947174454E-5</v>
      </c>
      <c r="W144" s="2"/>
      <c r="X144" s="6">
        <f t="shared" si="93"/>
        <v>-480.96</v>
      </c>
      <c r="Y144" s="2"/>
      <c r="Z144" s="7">
        <f t="shared" si="94"/>
        <v>-4.2589214557690598</v>
      </c>
    </row>
    <row r="145" spans="1:26" s="23" customFormat="1" hidden="1" outlineLevel="2" x14ac:dyDescent="0.25">
      <c r="A145" s="27"/>
      <c r="B145" s="10" t="str">
        <f>CONCATENATE("          ", "6275", " - ", "SUBSCRIPTIONS")</f>
        <v xml:space="preserve">          6275 - SUBSCRIPTIONS</v>
      </c>
      <c r="C145" s="10"/>
      <c r="D145" s="6">
        <v>2014.87</v>
      </c>
      <c r="E145" s="2"/>
      <c r="F145" s="7">
        <f t="shared" si="87"/>
        <v>4.9249762834259114E-3</v>
      </c>
      <c r="G145" s="2"/>
      <c r="H145" s="6">
        <v>75</v>
      </c>
      <c r="I145" s="2"/>
      <c r="J145" s="7">
        <f t="shared" si="88"/>
        <v>6.0168259333861975E-4</v>
      </c>
      <c r="K145" s="2"/>
      <c r="L145" s="6">
        <f t="shared" si="89"/>
        <v>1939.87</v>
      </c>
      <c r="M145" s="2"/>
      <c r="N145" s="7">
        <f t="shared" si="90"/>
        <v>25.864933333333333</v>
      </c>
      <c r="O145" s="10"/>
      <c r="P145" s="6">
        <v>2390.6</v>
      </c>
      <c r="Q145" s="2"/>
      <c r="R145" s="7">
        <f t="shared" si="91"/>
        <v>1.2668830072811595E-3</v>
      </c>
      <c r="S145" s="2"/>
      <c r="T145" s="6">
        <v>535.05999999999995</v>
      </c>
      <c r="U145" s="2"/>
      <c r="V145" s="7">
        <f t="shared" si="92"/>
        <v>2.0674826874696856E-4</v>
      </c>
      <c r="W145" s="2"/>
      <c r="X145" s="6">
        <f t="shared" si="93"/>
        <v>1855.54</v>
      </c>
      <c r="Y145" s="2"/>
      <c r="Z145" s="7">
        <f t="shared" si="94"/>
        <v>3.4679101409187756</v>
      </c>
    </row>
    <row r="146" spans="1:26" s="26" customFormat="1" outlineLevel="1" collapsed="1" x14ac:dyDescent="0.25">
      <c r="A146" s="25"/>
      <c r="B146" s="12" t="str">
        <f>CONCATENATE("     ","Supplies                                          ")</f>
        <v xml:space="preserve">     Supplies                                          </v>
      </c>
      <c r="C146" s="12"/>
      <c r="D146" s="1">
        <f>SUM(OSRRefD22_17x_0)</f>
        <v>399.95</v>
      </c>
      <c r="E146" s="1"/>
      <c r="F146" s="5">
        <f t="shared" ref="F146:F152" si="95">IF(D$12=0,0,D146/D$12)</f>
        <v>9.7760364914669089E-4</v>
      </c>
      <c r="G146" s="1"/>
      <c r="H146" s="1">
        <f>SUM(OSRRefH22_17x_0)</f>
        <v>349.47</v>
      </c>
      <c r="I146" s="1"/>
      <c r="J146" s="5">
        <f t="shared" ref="J146:J152" si="96">IF(H$12=0,0,H146/H$12)</f>
        <v>2.8036002119206328E-3</v>
      </c>
      <c r="K146" s="1"/>
      <c r="L146" s="1">
        <f t="shared" ref="L146:L152" si="97">+D146-H146</f>
        <v>50.479999999999961</v>
      </c>
      <c r="M146" s="1"/>
      <c r="N146" s="5">
        <f t="shared" ref="N146:N152" si="98">IF(H146=0,0,L146/H146)</f>
        <v>0.14444730592039362</v>
      </c>
      <c r="O146" s="12"/>
      <c r="P146" s="1">
        <f>SUM(OSRRefP22_17x_0)</f>
        <v>4589.07</v>
      </c>
      <c r="Q146" s="1"/>
      <c r="R146" s="5">
        <f t="shared" ref="R146:R152" si="99">IF(P$12=0,0,P146/P$12)</f>
        <v>2.4319479637847194E-3</v>
      </c>
      <c r="S146" s="1"/>
      <c r="T146" s="1">
        <f>SUM(OSRRefT22_17x_0)</f>
        <v>7366.9999999999991</v>
      </c>
      <c r="U146" s="1"/>
      <c r="V146" s="5">
        <f t="shared" ref="V146:V152" si="100">IF(T$12=0,0,T146/T$12)</f>
        <v>2.8466237353921378E-3</v>
      </c>
      <c r="W146" s="1"/>
      <c r="X146" s="1">
        <f t="shared" ref="X146:X152" si="101">+P146-T146</f>
        <v>-2777.9299999999994</v>
      </c>
      <c r="Y146" s="1"/>
      <c r="Z146" s="5">
        <f t="shared" ref="Z146:Z152" si="102">IF(T146=0,0,X146/T146)</f>
        <v>-0.37707750780507665</v>
      </c>
    </row>
    <row r="147" spans="1:26" s="23" customFormat="1" hidden="1" outlineLevel="2" x14ac:dyDescent="0.25">
      <c r="A147" s="27"/>
      <c r="B147" s="10" t="str">
        <f>CONCATENATE("          ", "6234", " - ", "EXPENDABLE SUPPLIES &amp; EQUIPMEN")</f>
        <v xml:space="preserve">          6234 - EXPENDABLE SUPPLIES &amp; EQUIPMEN</v>
      </c>
      <c r="C147" s="10"/>
      <c r="D147" s="6">
        <v>53</v>
      </c>
      <c r="E147" s="2"/>
      <c r="F147" s="7">
        <f t="shared" si="95"/>
        <v>1.2954867709657363E-4</v>
      </c>
      <c r="G147" s="2"/>
      <c r="H147" s="6">
        <v>140.1</v>
      </c>
      <c r="I147" s="2"/>
      <c r="J147" s="7">
        <f t="shared" si="96"/>
        <v>1.1239430843565416E-3</v>
      </c>
      <c r="K147" s="2"/>
      <c r="L147" s="6">
        <f t="shared" si="97"/>
        <v>-87.1</v>
      </c>
      <c r="M147" s="2"/>
      <c r="N147" s="7">
        <f t="shared" si="98"/>
        <v>-0.62169878658101352</v>
      </c>
      <c r="O147" s="10"/>
      <c r="P147" s="6">
        <v>449.5</v>
      </c>
      <c r="Q147" s="2"/>
      <c r="R147" s="7">
        <f t="shared" si="99"/>
        <v>2.3820961757419943E-4</v>
      </c>
      <c r="S147" s="2"/>
      <c r="T147" s="6">
        <v>976.24</v>
      </c>
      <c r="U147" s="2"/>
      <c r="V147" s="7">
        <f t="shared" si="100"/>
        <v>3.7722111516753373E-4</v>
      </c>
      <c r="W147" s="2"/>
      <c r="X147" s="6">
        <f t="shared" si="101"/>
        <v>-526.74</v>
      </c>
      <c r="Y147" s="2"/>
      <c r="Z147" s="7">
        <f t="shared" si="102"/>
        <v>-0.53955994427599774</v>
      </c>
    </row>
    <row r="148" spans="1:26" s="23" customFormat="1" hidden="1" outlineLevel="2" x14ac:dyDescent="0.25">
      <c r="A148" s="27"/>
      <c r="B148" s="10" t="str">
        <f>CONCATENATE("          ", "6235", " - ", "COVID-19 EXPENSES")</f>
        <v xml:space="preserve">          6235 - COVID-19 EXPENSES</v>
      </c>
      <c r="C148" s="10"/>
      <c r="D148" s="6"/>
      <c r="E148" s="2"/>
      <c r="F148" s="7">
        <f t="shared" si="95"/>
        <v>0</v>
      </c>
      <c r="G148" s="2"/>
      <c r="H148" s="6"/>
      <c r="I148" s="2"/>
      <c r="J148" s="7">
        <f t="shared" si="96"/>
        <v>0</v>
      </c>
      <c r="K148" s="2"/>
      <c r="L148" s="6">
        <f t="shared" si="97"/>
        <v>0</v>
      </c>
      <c r="M148" s="2"/>
      <c r="N148" s="7">
        <f t="shared" si="98"/>
        <v>0</v>
      </c>
      <c r="O148" s="10"/>
      <c r="P148" s="6">
        <v>1292.1300000000001</v>
      </c>
      <c r="Q148" s="2"/>
      <c r="R148" s="7">
        <f t="shared" si="99"/>
        <v>6.8475593583125775E-4</v>
      </c>
      <c r="S148" s="2"/>
      <c r="T148" s="6"/>
      <c r="U148" s="2"/>
      <c r="V148" s="7">
        <f t="shared" si="100"/>
        <v>0</v>
      </c>
      <c r="W148" s="2"/>
      <c r="X148" s="6">
        <f t="shared" si="101"/>
        <v>1292.1300000000001</v>
      </c>
      <c r="Y148" s="2"/>
      <c r="Z148" s="7">
        <f t="shared" si="102"/>
        <v>0</v>
      </c>
    </row>
    <row r="149" spans="1:26" s="23" customFormat="1" hidden="1" outlineLevel="2" x14ac:dyDescent="0.25">
      <c r="A149" s="27"/>
      <c r="B149" s="10" t="str">
        <f>CONCATENATE("          ", "6237", " - ", "JANITORIAL SUPPLIES")</f>
        <v xml:space="preserve">          6237 - JANITORIAL SUPPLIES</v>
      </c>
      <c r="C149" s="10"/>
      <c r="D149" s="6"/>
      <c r="E149" s="2"/>
      <c r="F149" s="7">
        <f t="shared" si="95"/>
        <v>0</v>
      </c>
      <c r="G149" s="2"/>
      <c r="H149" s="6"/>
      <c r="I149" s="2"/>
      <c r="J149" s="7">
        <f t="shared" si="96"/>
        <v>0</v>
      </c>
      <c r="K149" s="2"/>
      <c r="L149" s="6">
        <f t="shared" si="97"/>
        <v>0</v>
      </c>
      <c r="M149" s="2"/>
      <c r="N149" s="7">
        <f t="shared" si="98"/>
        <v>0</v>
      </c>
      <c r="O149" s="10"/>
      <c r="P149" s="6">
        <v>191.74</v>
      </c>
      <c r="Q149" s="2"/>
      <c r="R149" s="7">
        <f t="shared" si="99"/>
        <v>1.0161137280017131E-4</v>
      </c>
      <c r="S149" s="2"/>
      <c r="T149" s="6">
        <v>670.42</v>
      </c>
      <c r="U149" s="2"/>
      <c r="V149" s="7">
        <f t="shared" si="100"/>
        <v>2.5905164716731333E-4</v>
      </c>
      <c r="W149" s="2"/>
      <c r="X149" s="6">
        <f t="shared" si="101"/>
        <v>-478.67999999999995</v>
      </c>
      <c r="Y149" s="2"/>
      <c r="Z149" s="7">
        <f t="shared" si="102"/>
        <v>-0.71400017899227342</v>
      </c>
    </row>
    <row r="150" spans="1:26" s="23" customFormat="1" hidden="1" outlineLevel="2" x14ac:dyDescent="0.25">
      <c r="A150" s="27"/>
      <c r="B150" s="10" t="str">
        <f>CONCATENATE("          ", "6241", " - ", "OFFICE EXPENSE")</f>
        <v xml:space="preserve">          6241 - OFFICE EXPENSE</v>
      </c>
      <c r="C150" s="10"/>
      <c r="D150" s="6">
        <v>346.95</v>
      </c>
      <c r="E150" s="2"/>
      <c r="F150" s="7">
        <f t="shared" si="95"/>
        <v>8.4805497205011726E-4</v>
      </c>
      <c r="G150" s="2"/>
      <c r="H150" s="6">
        <v>209.37</v>
      </c>
      <c r="I150" s="2"/>
      <c r="J150" s="7">
        <f t="shared" si="96"/>
        <v>1.6796571275640908E-3</v>
      </c>
      <c r="K150" s="2"/>
      <c r="L150" s="6">
        <f t="shared" si="97"/>
        <v>137.57999999999998</v>
      </c>
      <c r="M150" s="2"/>
      <c r="N150" s="7">
        <f t="shared" si="98"/>
        <v>0.65711419974208329</v>
      </c>
      <c r="O150" s="10"/>
      <c r="P150" s="6">
        <v>1545.47</v>
      </c>
      <c r="Q150" s="2"/>
      <c r="R150" s="7">
        <f t="shared" si="99"/>
        <v>8.1901183019443384E-4</v>
      </c>
      <c r="S150" s="2"/>
      <c r="T150" s="6">
        <v>4987.91</v>
      </c>
      <c r="U150" s="2"/>
      <c r="V150" s="7">
        <f t="shared" si="100"/>
        <v>1.9273385361748066E-3</v>
      </c>
      <c r="W150" s="2"/>
      <c r="X150" s="6">
        <f t="shared" si="101"/>
        <v>-3442.4399999999996</v>
      </c>
      <c r="Y150" s="2"/>
      <c r="Z150" s="7">
        <f t="shared" si="102"/>
        <v>-0.69015679914032124</v>
      </c>
    </row>
    <row r="151" spans="1:26" s="23" customFormat="1" hidden="1" outlineLevel="2" x14ac:dyDescent="0.25">
      <c r="A151" s="27"/>
      <c r="B151" s="10" t="str">
        <f>CONCATENATE("          ", "6245", " - ", "PRINTING")</f>
        <v xml:space="preserve">          6245 - PRINTING</v>
      </c>
      <c r="C151" s="10"/>
      <c r="D151" s="6"/>
      <c r="E151" s="2"/>
      <c r="F151" s="7">
        <f t="shared" si="95"/>
        <v>0</v>
      </c>
      <c r="G151" s="2"/>
      <c r="H151" s="6"/>
      <c r="I151" s="2"/>
      <c r="J151" s="7">
        <f t="shared" si="96"/>
        <v>0</v>
      </c>
      <c r="K151" s="2"/>
      <c r="L151" s="6">
        <f t="shared" si="97"/>
        <v>0</v>
      </c>
      <c r="M151" s="2"/>
      <c r="N151" s="7">
        <f t="shared" si="98"/>
        <v>0</v>
      </c>
      <c r="O151" s="10"/>
      <c r="P151" s="6"/>
      <c r="Q151" s="2"/>
      <c r="R151" s="7">
        <f t="shared" si="99"/>
        <v>0</v>
      </c>
      <c r="S151" s="2"/>
      <c r="T151" s="6">
        <v>-506.93</v>
      </c>
      <c r="U151" s="2"/>
      <c r="V151" s="7">
        <f t="shared" si="100"/>
        <v>-1.9587877971797703E-4</v>
      </c>
      <c r="W151" s="2"/>
      <c r="X151" s="6">
        <f t="shared" si="101"/>
        <v>506.93</v>
      </c>
      <c r="Y151" s="2"/>
      <c r="Z151" s="7">
        <f t="shared" si="102"/>
        <v>-1</v>
      </c>
    </row>
    <row r="152" spans="1:26" s="23" customFormat="1" hidden="1" outlineLevel="2" x14ac:dyDescent="0.25">
      <c r="A152" s="27"/>
      <c r="B152" s="10" t="str">
        <f>CONCATENATE("          ", "6247", " - ", "STORE SUPPLIES")</f>
        <v xml:space="preserve">          6247 - STORE SUPPLIES</v>
      </c>
      <c r="C152" s="10"/>
      <c r="D152" s="6"/>
      <c r="E152" s="2"/>
      <c r="F152" s="7">
        <f t="shared" si="95"/>
        <v>0</v>
      </c>
      <c r="G152" s="2"/>
      <c r="H152" s="6"/>
      <c r="I152" s="2"/>
      <c r="J152" s="7">
        <f t="shared" si="96"/>
        <v>0</v>
      </c>
      <c r="K152" s="2"/>
      <c r="L152" s="6">
        <f t="shared" si="97"/>
        <v>0</v>
      </c>
      <c r="M152" s="2"/>
      <c r="N152" s="7">
        <f t="shared" si="98"/>
        <v>0</v>
      </c>
      <c r="O152" s="10"/>
      <c r="P152" s="6">
        <v>1110.23</v>
      </c>
      <c r="Q152" s="2"/>
      <c r="R152" s="7">
        <f t="shared" si="99"/>
        <v>5.8835920738465729E-4</v>
      </c>
      <c r="S152" s="2"/>
      <c r="T152" s="6">
        <v>1239.3599999999999</v>
      </c>
      <c r="U152" s="2"/>
      <c r="V152" s="7">
        <f t="shared" si="100"/>
        <v>4.7889121660046153E-4</v>
      </c>
      <c r="W152" s="2"/>
      <c r="X152" s="6">
        <f t="shared" si="101"/>
        <v>-129.12999999999988</v>
      </c>
      <c r="Y152" s="2"/>
      <c r="Z152" s="7">
        <f t="shared" si="102"/>
        <v>-0.10419087270849461</v>
      </c>
    </row>
    <row r="153" spans="1:26" s="26" customFormat="1" outlineLevel="1" collapsed="1" x14ac:dyDescent="0.25">
      <c r="A153" s="25"/>
      <c r="B153" s="12" t="str">
        <f>CONCATENATE("     ","Telephone/Data Lines                              ")</f>
        <v xml:space="preserve">     Telephone/Data Lines                              </v>
      </c>
      <c r="C153" s="12"/>
      <c r="D153" s="1">
        <f>SUM(OSRRefD22_18x_0)</f>
        <v>330</v>
      </c>
      <c r="E153" s="1"/>
      <c r="F153" s="5">
        <f t="shared" ref="F153:F159" si="103">IF(D$12=0,0,D153/D$12)</f>
        <v>8.0662383852583581E-4</v>
      </c>
      <c r="G153" s="1"/>
      <c r="H153" s="1">
        <f>SUM(OSRRefH22_18x_0)</f>
        <v>1015.71</v>
      </c>
      <c r="I153" s="1"/>
      <c r="J153" s="5">
        <f t="shared" ref="J153:J159" si="104">IF(H$12=0,0,H153/H$12)</f>
        <v>8.1484670250662593E-3</v>
      </c>
      <c r="K153" s="1"/>
      <c r="L153" s="1">
        <f t="shared" ref="L153:L159" si="105">+D153-H153</f>
        <v>-685.71</v>
      </c>
      <c r="M153" s="1"/>
      <c r="N153" s="5">
        <f t="shared" ref="N153:N159" si="106">IF(H153=0,0,L153/H153)</f>
        <v>-0.67510411436335171</v>
      </c>
      <c r="O153" s="12"/>
      <c r="P153" s="1">
        <f>SUM(OSRRefP22_18x_0)</f>
        <v>5758.73</v>
      </c>
      <c r="Q153" s="1"/>
      <c r="R153" s="5">
        <f t="shared" ref="R153:R159" si="107">IF(P$12=0,0,P153/P$12)</f>
        <v>3.0518017152682303E-3</v>
      </c>
      <c r="S153" s="1"/>
      <c r="T153" s="1">
        <f>SUM(OSRRefT22_18x_0)</f>
        <v>8027.51</v>
      </c>
      <c r="U153" s="1"/>
      <c r="V153" s="5">
        <f t="shared" ref="V153:V159" si="108">IF(T$12=0,0,T153/T$12)</f>
        <v>3.1018461384685414E-3</v>
      </c>
      <c r="W153" s="1"/>
      <c r="X153" s="1">
        <f t="shared" ref="X153:X159" si="109">+P153-T153</f>
        <v>-2268.7800000000007</v>
      </c>
      <c r="Y153" s="1"/>
      <c r="Z153" s="5">
        <f t="shared" ref="Z153:Z159" si="110">IF(T153=0,0,X153/T153)</f>
        <v>-0.28262562114528672</v>
      </c>
    </row>
    <row r="154" spans="1:26" s="23" customFormat="1" hidden="1" outlineLevel="2" x14ac:dyDescent="0.25">
      <c r="A154" s="27"/>
      <c r="B154" s="10" t="str">
        <f>CONCATENATE("          ", "6309", " - ", "TELEPHONE")</f>
        <v xml:space="preserve">          6309 - TELEPHONE</v>
      </c>
      <c r="C154" s="10"/>
      <c r="D154" s="6">
        <v>330</v>
      </c>
      <c r="E154" s="2"/>
      <c r="F154" s="7">
        <f t="shared" si="103"/>
        <v>8.0662383852583581E-4</v>
      </c>
      <c r="G154" s="2"/>
      <c r="H154" s="6">
        <v>1015.71</v>
      </c>
      <c r="I154" s="2"/>
      <c r="J154" s="7">
        <f t="shared" si="104"/>
        <v>8.1484670250662593E-3</v>
      </c>
      <c r="K154" s="2"/>
      <c r="L154" s="6">
        <f t="shared" si="105"/>
        <v>-685.71</v>
      </c>
      <c r="M154" s="2"/>
      <c r="N154" s="7">
        <f t="shared" si="106"/>
        <v>-0.67510411436335171</v>
      </c>
      <c r="O154" s="10"/>
      <c r="P154" s="6">
        <v>5758.73</v>
      </c>
      <c r="Q154" s="2"/>
      <c r="R154" s="7">
        <f t="shared" si="107"/>
        <v>3.0518017152682303E-3</v>
      </c>
      <c r="S154" s="2"/>
      <c r="T154" s="6">
        <v>8027.51</v>
      </c>
      <c r="U154" s="2"/>
      <c r="V154" s="7">
        <f t="shared" si="108"/>
        <v>3.1018461384685414E-3</v>
      </c>
      <c r="W154" s="2"/>
      <c r="X154" s="6">
        <f t="shared" si="109"/>
        <v>-2268.7800000000007</v>
      </c>
      <c r="Y154" s="2"/>
      <c r="Z154" s="7">
        <f t="shared" si="110"/>
        <v>-0.28262562114528672</v>
      </c>
    </row>
    <row r="155" spans="1:26" s="26" customFormat="1" outlineLevel="1" collapsed="1" x14ac:dyDescent="0.25">
      <c r="A155" s="25"/>
      <c r="B155" s="12" t="str">
        <f>CONCATENATE("     ","Training                                          ")</f>
        <v xml:space="preserve">     Training                                          </v>
      </c>
      <c r="C155" s="12"/>
      <c r="D155" s="1">
        <f>SUM(OSRRefD22_19x_0)</f>
        <v>0</v>
      </c>
      <c r="E155" s="1"/>
      <c r="F155" s="5">
        <f t="shared" si="103"/>
        <v>0</v>
      </c>
      <c r="G155" s="1"/>
      <c r="H155" s="1">
        <f>SUM(OSRRefH22_19x_0)</f>
        <v>0</v>
      </c>
      <c r="I155" s="1"/>
      <c r="J155" s="5">
        <f t="shared" si="104"/>
        <v>0</v>
      </c>
      <c r="K155" s="1"/>
      <c r="L155" s="1">
        <f t="shared" si="105"/>
        <v>0</v>
      </c>
      <c r="M155" s="1"/>
      <c r="N155" s="5">
        <f t="shared" si="106"/>
        <v>0</v>
      </c>
      <c r="O155" s="12"/>
      <c r="P155" s="1">
        <f>SUM(OSRRefP22_19x_0)</f>
        <v>0</v>
      </c>
      <c r="Q155" s="1"/>
      <c r="R155" s="5">
        <f t="shared" si="107"/>
        <v>0</v>
      </c>
      <c r="S155" s="1"/>
      <c r="T155" s="1">
        <f>SUM(OSRRefT22_19x_0)</f>
        <v>5264.54</v>
      </c>
      <c r="U155" s="1"/>
      <c r="V155" s="5">
        <f t="shared" si="108"/>
        <v>2.034228928997058E-3</v>
      </c>
      <c r="W155" s="1"/>
      <c r="X155" s="1">
        <f t="shared" si="109"/>
        <v>-5264.54</v>
      </c>
      <c r="Y155" s="1"/>
      <c r="Z155" s="5">
        <f t="shared" si="110"/>
        <v>-1</v>
      </c>
    </row>
    <row r="156" spans="1:26" s="23" customFormat="1" hidden="1" outlineLevel="2" x14ac:dyDescent="0.25">
      <c r="A156" s="27"/>
      <c r="B156" s="10" t="str">
        <f>CONCATENATE("          ", "6376", " - ", "TRAINING")</f>
        <v xml:space="preserve">          6376 - TRAINING</v>
      </c>
      <c r="C156" s="10"/>
      <c r="D156" s="6"/>
      <c r="E156" s="2"/>
      <c r="F156" s="7">
        <f t="shared" si="103"/>
        <v>0</v>
      </c>
      <c r="G156" s="2"/>
      <c r="H156" s="6"/>
      <c r="I156" s="2"/>
      <c r="J156" s="7">
        <f t="shared" si="104"/>
        <v>0</v>
      </c>
      <c r="K156" s="2"/>
      <c r="L156" s="6">
        <f t="shared" si="105"/>
        <v>0</v>
      </c>
      <c r="M156" s="2"/>
      <c r="N156" s="7">
        <f t="shared" si="106"/>
        <v>0</v>
      </c>
      <c r="O156" s="10"/>
      <c r="P156" s="6"/>
      <c r="Q156" s="2"/>
      <c r="R156" s="7">
        <f t="shared" si="107"/>
        <v>0</v>
      </c>
      <c r="S156" s="2"/>
      <c r="T156" s="6">
        <v>5264.54</v>
      </c>
      <c r="U156" s="2"/>
      <c r="V156" s="7">
        <f t="shared" si="108"/>
        <v>2.034228928997058E-3</v>
      </c>
      <c r="W156" s="2"/>
      <c r="X156" s="6">
        <f t="shared" si="109"/>
        <v>-5264.54</v>
      </c>
      <c r="Y156" s="2"/>
      <c r="Z156" s="7">
        <f t="shared" si="110"/>
        <v>-1</v>
      </c>
    </row>
    <row r="157" spans="1:26" s="26" customFormat="1" outlineLevel="1" collapsed="1" x14ac:dyDescent="0.25">
      <c r="A157" s="25"/>
      <c r="B157" s="12" t="str">
        <f>CONCATENATE("     ","Travel                                            ")</f>
        <v xml:space="preserve">     Travel                                            </v>
      </c>
      <c r="C157" s="12"/>
      <c r="D157" s="1">
        <f>SUM(OSRRefD22_20x_0)</f>
        <v>69.069999999999993</v>
      </c>
      <c r="E157" s="1"/>
      <c r="F157" s="5">
        <f t="shared" si="103"/>
        <v>1.6882881371811962E-4</v>
      </c>
      <c r="G157" s="1"/>
      <c r="H157" s="1">
        <f>SUM(OSRRefH22_20x_0)</f>
        <v>0</v>
      </c>
      <c r="I157" s="1"/>
      <c r="J157" s="5">
        <f t="shared" si="104"/>
        <v>0</v>
      </c>
      <c r="K157" s="1"/>
      <c r="L157" s="1">
        <f t="shared" si="105"/>
        <v>69.069999999999993</v>
      </c>
      <c r="M157" s="1"/>
      <c r="N157" s="5">
        <f t="shared" si="106"/>
        <v>0</v>
      </c>
      <c r="O157" s="12"/>
      <c r="P157" s="1">
        <f>SUM(OSRRefP22_20x_0)</f>
        <v>613.35</v>
      </c>
      <c r="Q157" s="1"/>
      <c r="R157" s="5">
        <f t="shared" si="107"/>
        <v>3.2504086527060117E-4</v>
      </c>
      <c r="S157" s="1"/>
      <c r="T157" s="1">
        <f>SUM(OSRRefT22_20x_0)</f>
        <v>612.98</v>
      </c>
      <c r="U157" s="1"/>
      <c r="V157" s="5">
        <f t="shared" si="108"/>
        <v>2.368567147170725E-4</v>
      </c>
      <c r="W157" s="1"/>
      <c r="X157" s="1">
        <f t="shared" si="109"/>
        <v>0.37000000000000455</v>
      </c>
      <c r="Y157" s="1"/>
      <c r="Z157" s="5">
        <f t="shared" si="110"/>
        <v>6.0360860060687874E-4</v>
      </c>
    </row>
    <row r="158" spans="1:26" s="23" customFormat="1" hidden="1" outlineLevel="2" x14ac:dyDescent="0.25">
      <c r="A158" s="27"/>
      <c r="B158" s="10" t="str">
        <f>CONCATENATE("          ", "6292", " - ", "TRAVEL/CONFERENCE")</f>
        <v xml:space="preserve">          6292 - TRAVEL/CONFERENCE</v>
      </c>
      <c r="C158" s="10"/>
      <c r="D158" s="6"/>
      <c r="E158" s="2"/>
      <c r="F158" s="7">
        <f t="shared" si="103"/>
        <v>0</v>
      </c>
      <c r="G158" s="2"/>
      <c r="H158" s="6"/>
      <c r="I158" s="2"/>
      <c r="J158" s="7">
        <f t="shared" si="104"/>
        <v>0</v>
      </c>
      <c r="K158" s="2"/>
      <c r="L158" s="6">
        <f t="shared" si="105"/>
        <v>0</v>
      </c>
      <c r="M158" s="2"/>
      <c r="N158" s="7">
        <f t="shared" si="106"/>
        <v>0</v>
      </c>
      <c r="O158" s="10"/>
      <c r="P158" s="6"/>
      <c r="Q158" s="2"/>
      <c r="R158" s="7">
        <f t="shared" si="107"/>
        <v>0</v>
      </c>
      <c r="S158" s="2"/>
      <c r="T158" s="6">
        <v>107.04</v>
      </c>
      <c r="U158" s="2"/>
      <c r="V158" s="7">
        <f t="shared" si="108"/>
        <v>4.1360473006159154E-5</v>
      </c>
      <c r="W158" s="2"/>
      <c r="X158" s="6">
        <f t="shared" si="109"/>
        <v>-107.04</v>
      </c>
      <c r="Y158" s="2"/>
      <c r="Z158" s="7">
        <f t="shared" si="110"/>
        <v>-1</v>
      </c>
    </row>
    <row r="159" spans="1:26" s="23" customFormat="1" hidden="1" outlineLevel="2" x14ac:dyDescent="0.25">
      <c r="A159" s="27"/>
      <c r="B159" s="10" t="str">
        <f>CONCATENATE("          ", "6294", " - ", "TRAVEL OPERATIONAL")</f>
        <v xml:space="preserve">          6294 - TRAVEL OPERATIONAL</v>
      </c>
      <c r="C159" s="10"/>
      <c r="D159" s="6">
        <v>69.069999999999993</v>
      </c>
      <c r="E159" s="2"/>
      <c r="F159" s="7">
        <f t="shared" si="103"/>
        <v>1.6882881371811962E-4</v>
      </c>
      <c r="G159" s="2"/>
      <c r="H159" s="6"/>
      <c r="I159" s="2"/>
      <c r="J159" s="7">
        <f t="shared" si="104"/>
        <v>0</v>
      </c>
      <c r="K159" s="2"/>
      <c r="L159" s="6">
        <f t="shared" si="105"/>
        <v>69.069999999999993</v>
      </c>
      <c r="M159" s="2"/>
      <c r="N159" s="7">
        <f t="shared" si="106"/>
        <v>0</v>
      </c>
      <c r="O159" s="10"/>
      <c r="P159" s="6">
        <v>613.35</v>
      </c>
      <c r="Q159" s="2"/>
      <c r="R159" s="7">
        <f t="shared" si="107"/>
        <v>3.2504086527060117E-4</v>
      </c>
      <c r="S159" s="2"/>
      <c r="T159" s="6">
        <v>505.94</v>
      </c>
      <c r="U159" s="2"/>
      <c r="V159" s="7">
        <f t="shared" si="108"/>
        <v>1.9549624171091333E-4</v>
      </c>
      <c r="W159" s="2"/>
      <c r="X159" s="6">
        <f t="shared" si="109"/>
        <v>107.41000000000003</v>
      </c>
      <c r="Y159" s="2"/>
      <c r="Z159" s="7">
        <f t="shared" si="110"/>
        <v>0.21229790093687004</v>
      </c>
    </row>
    <row r="160" spans="1:26" s="26" customFormat="1" outlineLevel="1" collapsed="1" x14ac:dyDescent="0.25">
      <c r="A160" s="25"/>
      <c r="B160" s="12" t="str">
        <f>CONCATENATE("     ","Utilities                                         ")</f>
        <v xml:space="preserve">     Utilities                                         </v>
      </c>
      <c r="C160" s="12"/>
      <c r="D160" s="1">
        <f>SUM(OSRRefD22_21x_0)</f>
        <v>28.93</v>
      </c>
      <c r="E160" s="1"/>
      <c r="F160" s="5">
        <f t="shared" ref="F160:F161" si="111">IF(D$12=0,0,D160/D$12)</f>
        <v>7.07140231774316E-5</v>
      </c>
      <c r="G160" s="1"/>
      <c r="H160" s="1">
        <f>SUM(OSRRefH22_21x_0)</f>
        <v>67.05</v>
      </c>
      <c r="I160" s="1"/>
      <c r="J160" s="5">
        <f t="shared" ref="J160:J161" si="112">IF(H$12=0,0,H160/H$12)</f>
        <v>5.3790423844472595E-4</v>
      </c>
      <c r="K160" s="1"/>
      <c r="L160" s="1">
        <f t="shared" ref="L160:L161" si="113">+D160-H160</f>
        <v>-38.119999999999997</v>
      </c>
      <c r="M160" s="1"/>
      <c r="N160" s="5">
        <f t="shared" ref="N160:N161" si="114">IF(H160=0,0,L160/H160)</f>
        <v>-0.56853094705443696</v>
      </c>
      <c r="O160" s="12"/>
      <c r="P160" s="1">
        <f>SUM(OSRRefP22_21x_0)</f>
        <v>264.52999999999997</v>
      </c>
      <c r="Q160" s="1"/>
      <c r="R160" s="5">
        <f t="shared" ref="R160:R161" si="115">IF(P$12=0,0,P160/P$12)</f>
        <v>1.4018596248476745E-4</v>
      </c>
      <c r="S160" s="1"/>
      <c r="T160" s="1">
        <f>SUM(OSRRefT22_21x_0)</f>
        <v>2933.35</v>
      </c>
      <c r="U160" s="1"/>
      <c r="V160" s="5">
        <f t="shared" ref="V160:V161" si="116">IF(T$12=0,0,T160/T$12)</f>
        <v>1.1334523868891718E-3</v>
      </c>
      <c r="W160" s="1"/>
      <c r="X160" s="1">
        <f t="shared" ref="X160:X161" si="117">+P160-T160</f>
        <v>-2668.8199999999997</v>
      </c>
      <c r="Y160" s="1"/>
      <c r="Z160" s="5">
        <f t="shared" ref="Z160:Z161" si="118">IF(T160=0,0,X160/T160)</f>
        <v>-0.90981983056914439</v>
      </c>
    </row>
    <row r="161" spans="1:26" s="23" customFormat="1" hidden="1" outlineLevel="2" x14ac:dyDescent="0.25">
      <c r="A161" s="27"/>
      <c r="B161" s="10" t="str">
        <f>CONCATENATE("          ", "6274", " - ", "UTILITIES")</f>
        <v xml:space="preserve">          6274 - UTILITIES</v>
      </c>
      <c r="C161" s="10"/>
      <c r="D161" s="6">
        <v>28.93</v>
      </c>
      <c r="E161" s="2"/>
      <c r="F161" s="7">
        <f t="shared" si="111"/>
        <v>7.07140231774316E-5</v>
      </c>
      <c r="G161" s="2"/>
      <c r="H161" s="6">
        <v>67.05</v>
      </c>
      <c r="I161" s="2"/>
      <c r="J161" s="7">
        <f t="shared" si="112"/>
        <v>5.3790423844472595E-4</v>
      </c>
      <c r="K161" s="2"/>
      <c r="L161" s="6">
        <f t="shared" si="113"/>
        <v>-38.119999999999997</v>
      </c>
      <c r="M161" s="2"/>
      <c r="N161" s="7">
        <f t="shared" si="114"/>
        <v>-0.56853094705443696</v>
      </c>
      <c r="O161" s="10"/>
      <c r="P161" s="6">
        <v>264.52999999999997</v>
      </c>
      <c r="Q161" s="2"/>
      <c r="R161" s="7">
        <f t="shared" si="115"/>
        <v>1.4018596248476745E-4</v>
      </c>
      <c r="S161" s="2"/>
      <c r="T161" s="6">
        <v>2933.35</v>
      </c>
      <c r="U161" s="2"/>
      <c r="V161" s="7">
        <f t="shared" si="116"/>
        <v>1.1334523868891718E-3</v>
      </c>
      <c r="W161" s="2"/>
      <c r="X161" s="6">
        <f t="shared" si="117"/>
        <v>-2668.8199999999997</v>
      </c>
      <c r="Y161" s="2"/>
      <c r="Z161" s="7">
        <f t="shared" si="118"/>
        <v>-0.90981983056914439</v>
      </c>
    </row>
    <row r="162" spans="1:26" s="62" customFormat="1" x14ac:dyDescent="0.25">
      <c r="A162" s="37"/>
      <c r="B162" s="37"/>
      <c r="C162" s="37"/>
      <c r="D162" s="1"/>
      <c r="E162" s="1"/>
      <c r="F162" s="5"/>
      <c r="G162" s="1"/>
      <c r="H162" s="1"/>
      <c r="I162" s="1"/>
      <c r="J162" s="5"/>
      <c r="K162" s="1"/>
      <c r="L162" s="1"/>
      <c r="M162" s="1"/>
      <c r="N162" s="5"/>
      <c r="O162" s="37"/>
      <c r="P162" s="1"/>
      <c r="Q162" s="1"/>
      <c r="R162" s="5"/>
      <c r="S162" s="1"/>
      <c r="T162" s="1"/>
      <c r="U162" s="1"/>
      <c r="V162" s="5"/>
      <c r="W162" s="1"/>
      <c r="X162" s="1"/>
      <c r="Y162" s="1"/>
      <c r="Z162" s="5"/>
    </row>
    <row r="163" spans="1:26" s="24" customFormat="1" collapsed="1" x14ac:dyDescent="0.25">
      <c r="A163" s="11"/>
      <c r="B163" s="28" t="s">
        <v>292</v>
      </c>
      <c r="C163" s="11"/>
      <c r="D163" s="4">
        <f>SUM(OSRRefD25x_0)</f>
        <v>18017.009999999998</v>
      </c>
      <c r="E163" s="4"/>
      <c r="F163" s="13">
        <f t="shared" ref="F163:F166" si="119">IF(D$12=0,0,D163/D$12)</f>
        <v>4.4039241711995053E-2</v>
      </c>
      <c r="G163" s="4"/>
      <c r="H163" s="4">
        <f>SUM(OSRRefH25x_0)</f>
        <v>54111.02</v>
      </c>
      <c r="I163" s="4"/>
      <c r="J163" s="13">
        <f t="shared" ref="J163:J166" si="120">IF(H$12=0,0,H163/H$12)</f>
        <v>0.43410211789063891</v>
      </c>
      <c r="K163" s="4"/>
      <c r="L163" s="4">
        <f t="shared" ref="L163:L166" si="121">+D163-H163</f>
        <v>-36094.009999999995</v>
      </c>
      <c r="M163" s="4"/>
      <c r="N163" s="13">
        <f t="shared" ref="N163:N166" si="122">IF(H163=0,0,L163/H163)</f>
        <v>-0.6670362155435251</v>
      </c>
      <c r="O163" s="11"/>
      <c r="P163" s="4">
        <f>SUM(OSRRefP25x_0)</f>
        <v>410824.77999999997</v>
      </c>
      <c r="Q163" s="4"/>
      <c r="R163" s="13">
        <f t="shared" ref="R163:R166" si="123">IF(P$12=0,0,P163/P$12)</f>
        <v>0.21771393489166765</v>
      </c>
      <c r="S163" s="4"/>
      <c r="T163" s="4">
        <f>SUM(OSRRefT25x_0)</f>
        <v>96904.89</v>
      </c>
      <c r="U163" s="4"/>
      <c r="V163" s="13">
        <f t="shared" ref="V163:V166" si="124">IF(T$12=0,0,T163/T$12)</f>
        <v>3.744424595487502E-2</v>
      </c>
      <c r="W163" s="4"/>
      <c r="X163" s="4">
        <f t="shared" ref="X163:X166" si="125">+P163-T163</f>
        <v>313919.88999999996</v>
      </c>
      <c r="Y163" s="4"/>
      <c r="Z163" s="13">
        <f t="shared" ref="Z163:Z166" si="126">IF(T163=0,0,X163/T163)</f>
        <v>3.2394638701927216</v>
      </c>
    </row>
    <row r="164" spans="1:26" s="23" customFormat="1" hidden="1" outlineLevel="1" x14ac:dyDescent="0.25">
      <c r="A164" s="44"/>
      <c r="B164" s="10" t="str">
        <f>CONCATENATE("          ", "4098", " - ", "TAXABLE SALES-GRAD RENTALS")</f>
        <v xml:space="preserve">          4098 - TAXABLE SALES-GRAD RENTALS</v>
      </c>
      <c r="C164" s="10"/>
      <c r="D164" s="2">
        <f>--49.95</f>
        <v>49.95</v>
      </c>
      <c r="E164" s="2"/>
      <c r="F164" s="19">
        <f t="shared" si="119"/>
        <v>1.2209351737686516E-4</v>
      </c>
      <c r="G164" s="2"/>
      <c r="H164" s="2">
        <f>0</f>
        <v>0</v>
      </c>
      <c r="I164" s="2"/>
      <c r="J164" s="19">
        <f t="shared" si="120"/>
        <v>0</v>
      </c>
      <c r="K164" s="2"/>
      <c r="L164" s="2">
        <f t="shared" si="121"/>
        <v>49.95</v>
      </c>
      <c r="M164" s="2"/>
      <c r="N164" s="19">
        <f t="shared" si="122"/>
        <v>0</v>
      </c>
      <c r="O164" s="10"/>
      <c r="P164" s="2">
        <f>--49.95</f>
        <v>49.95</v>
      </c>
      <c r="Q164" s="2"/>
      <c r="R164" s="19">
        <f t="shared" si="123"/>
        <v>2.6470679416754755E-5</v>
      </c>
      <c r="S164" s="2"/>
      <c r="T164" s="2">
        <f>0</f>
        <v>0</v>
      </c>
      <c r="U164" s="2"/>
      <c r="V164" s="19">
        <f t="shared" si="124"/>
        <v>0</v>
      </c>
      <c r="W164" s="2"/>
      <c r="X164" s="2">
        <f t="shared" si="125"/>
        <v>49.95</v>
      </c>
      <c r="Y164" s="2"/>
      <c r="Z164" s="19">
        <f t="shared" si="126"/>
        <v>0</v>
      </c>
    </row>
    <row r="165" spans="1:26" s="23" customFormat="1" hidden="1" outlineLevel="1" x14ac:dyDescent="0.25">
      <c r="A165" s="44"/>
      <c r="B165" s="10" t="str">
        <f>CONCATENATE("          ", "9150", " - ", "MISC. INCOME")</f>
        <v xml:space="preserve">          9150 - MISC. INCOME</v>
      </c>
      <c r="C165" s="10"/>
      <c r="D165" s="2">
        <f>--17922.96</f>
        <v>17922.96</v>
      </c>
      <c r="E165" s="2"/>
      <c r="F165" s="19">
        <f t="shared" si="119"/>
        <v>4.3809353918015187E-2</v>
      </c>
      <c r="G165" s="2"/>
      <c r="H165" s="2">
        <f>--54111.02</f>
        <v>54111.02</v>
      </c>
      <c r="I165" s="2"/>
      <c r="J165" s="19">
        <f t="shared" si="120"/>
        <v>0.43410211789063891</v>
      </c>
      <c r="K165" s="2"/>
      <c r="L165" s="2">
        <f t="shared" si="121"/>
        <v>-36188.06</v>
      </c>
      <c r="M165" s="2"/>
      <c r="N165" s="19">
        <f t="shared" si="122"/>
        <v>-0.66877430881916478</v>
      </c>
      <c r="O165" s="10"/>
      <c r="P165" s="2">
        <f>--64296.27</f>
        <v>64296.27</v>
      </c>
      <c r="Q165" s="2"/>
      <c r="R165" s="19">
        <f t="shared" si="123"/>
        <v>3.4073392409671797E-2</v>
      </c>
      <c r="S165" s="2"/>
      <c r="T165" s="2">
        <f>--96904.89</f>
        <v>96904.89</v>
      </c>
      <c r="U165" s="2"/>
      <c r="V165" s="19">
        <f t="shared" si="124"/>
        <v>3.744424595487502E-2</v>
      </c>
      <c r="W165" s="2"/>
      <c r="X165" s="2">
        <f t="shared" si="125"/>
        <v>-32608.620000000003</v>
      </c>
      <c r="Y165" s="2"/>
      <c r="Z165" s="19">
        <f t="shared" si="126"/>
        <v>-0.33650128491967746</v>
      </c>
    </row>
    <row r="166" spans="1:26" s="23" customFormat="1" hidden="1" outlineLevel="1" x14ac:dyDescent="0.25">
      <c r="A166" s="44"/>
      <c r="B166" s="10" t="str">
        <f>CONCATENATE("          ", "9163", " - ", "MISC. INCOME")</f>
        <v xml:space="preserve">          9163 - MISC. INCOME</v>
      </c>
      <c r="C166" s="10"/>
      <c r="D166" s="2">
        <f>--44.1</f>
        <v>44.1</v>
      </c>
      <c r="E166" s="2"/>
      <c r="F166" s="19">
        <f t="shared" si="119"/>
        <v>1.0779427660299805E-4</v>
      </c>
      <c r="G166" s="2"/>
      <c r="H166" s="2">
        <f>0</f>
        <v>0</v>
      </c>
      <c r="I166" s="2"/>
      <c r="J166" s="19">
        <f t="shared" si="120"/>
        <v>0</v>
      </c>
      <c r="K166" s="2"/>
      <c r="L166" s="2">
        <f t="shared" si="121"/>
        <v>44.1</v>
      </c>
      <c r="M166" s="2"/>
      <c r="N166" s="19">
        <f t="shared" si="122"/>
        <v>0</v>
      </c>
      <c r="O166" s="10"/>
      <c r="P166" s="2">
        <f>--346478.56</f>
        <v>346478.56</v>
      </c>
      <c r="Q166" s="2"/>
      <c r="R166" s="19">
        <f t="shared" si="123"/>
        <v>0.18361407180257913</v>
      </c>
      <c r="S166" s="2"/>
      <c r="T166" s="2">
        <f>0</f>
        <v>0</v>
      </c>
      <c r="U166" s="2"/>
      <c r="V166" s="19">
        <f t="shared" si="124"/>
        <v>0</v>
      </c>
      <c r="W166" s="2"/>
      <c r="X166" s="2">
        <f t="shared" si="125"/>
        <v>346478.56</v>
      </c>
      <c r="Y166" s="2"/>
      <c r="Z166" s="19">
        <f t="shared" si="126"/>
        <v>0</v>
      </c>
    </row>
    <row r="167" spans="1:26" x14ac:dyDescent="0.25">
      <c r="A167" s="9"/>
      <c r="B167" s="11"/>
      <c r="C167" s="11"/>
      <c r="D167" s="3"/>
      <c r="E167" s="3"/>
      <c r="F167" s="8"/>
      <c r="G167" s="3"/>
      <c r="H167" s="3"/>
      <c r="I167" s="3"/>
      <c r="J167" s="8"/>
      <c r="K167" s="3"/>
      <c r="L167" s="3"/>
      <c r="M167" s="3"/>
      <c r="N167" s="8"/>
      <c r="O167" s="11"/>
      <c r="P167" s="3"/>
      <c r="Q167" s="3"/>
      <c r="R167" s="8"/>
      <c r="S167" s="3"/>
      <c r="T167" s="3"/>
      <c r="U167" s="3"/>
      <c r="V167" s="8"/>
      <c r="W167" s="3"/>
      <c r="X167" s="3"/>
      <c r="Y167" s="3"/>
      <c r="Z167" s="8"/>
    </row>
    <row r="168" spans="1:26" s="24" customFormat="1" x14ac:dyDescent="0.25">
      <c r="A168" s="11"/>
      <c r="B168" s="29" t="s">
        <v>276</v>
      </c>
      <c r="C168" s="29"/>
      <c r="D168" s="20">
        <f>+D88-D90+D163</f>
        <v>153803.97000000003</v>
      </c>
      <c r="E168" s="14"/>
      <c r="F168" s="22">
        <f>IF(D$12=0,0,D168/D$12)</f>
        <v>0.37594529897549245</v>
      </c>
      <c r="G168" s="14"/>
      <c r="H168" s="20">
        <f>+H88-H90+H163</f>
        <v>34456.109999999964</v>
      </c>
      <c r="I168" s="14"/>
      <c r="J168" s="22">
        <f>IF(H$12=0,0,H168/H$12)</f>
        <v>0.27642188828214304</v>
      </c>
      <c r="K168" s="16"/>
      <c r="L168" s="20">
        <f>+D168-H168</f>
        <v>119347.86000000007</v>
      </c>
      <c r="M168" s="16"/>
      <c r="N168" s="22">
        <f>IF(H168=0,0,L168/H168)</f>
        <v>3.4637647720534965</v>
      </c>
      <c r="O168" s="28"/>
      <c r="P168" s="20">
        <f>+P88-P90+P163</f>
        <v>582385.27999999956</v>
      </c>
      <c r="Q168" s="14"/>
      <c r="R168" s="22">
        <f>IF(P$12=0,0,P168/P$12)</f>
        <v>0.30863131219052936</v>
      </c>
      <c r="S168" s="14"/>
      <c r="T168" s="20">
        <f>+T88-T90+T163</f>
        <v>572793.10000000102</v>
      </c>
      <c r="U168" s="14"/>
      <c r="V168" s="22">
        <f>IF(T$12=0,0,T168/T$12)</f>
        <v>0.2213284150846811</v>
      </c>
      <c r="W168" s="16"/>
      <c r="X168" s="20">
        <f>+P168-T168</f>
        <v>9592.1799999985378</v>
      </c>
      <c r="Y168" s="16"/>
      <c r="Z168" s="22">
        <f>IF(T168=0,0,X168/T168)</f>
        <v>1.6746326029413623E-2</v>
      </c>
    </row>
    <row r="169" spans="1:26" x14ac:dyDescent="0.25">
      <c r="A169" s="9"/>
      <c r="B169" s="11"/>
      <c r="C169" s="9"/>
      <c r="D169" s="3"/>
      <c r="E169" s="3"/>
      <c r="F169" s="8"/>
      <c r="G169" s="3"/>
      <c r="H169" s="3"/>
      <c r="I169" s="3"/>
      <c r="J169" s="8"/>
      <c r="K169" s="3"/>
      <c r="L169" s="3"/>
      <c r="M169" s="3"/>
      <c r="N169" s="8"/>
      <c r="P169" s="3"/>
      <c r="Q169" s="3"/>
      <c r="R169" s="8"/>
      <c r="S169" s="3"/>
      <c r="T169" s="3"/>
      <c r="U169" s="3"/>
      <c r="V169" s="8"/>
      <c r="W169" s="3"/>
      <c r="X169" s="3"/>
      <c r="Y169" s="3"/>
      <c r="Z169" s="8"/>
    </row>
    <row r="170" spans="1:26" s="24" customFormat="1" x14ac:dyDescent="0.25">
      <c r="A170" s="51"/>
      <c r="B170" s="11" t="s">
        <v>127</v>
      </c>
      <c r="C170" s="11"/>
      <c r="D170" s="4">
        <v>90188</v>
      </c>
      <c r="E170" s="4"/>
      <c r="F170" s="13">
        <f>IF(D$12=0,0,D170/D$12)</f>
        <v>0.22044785075444873</v>
      </c>
      <c r="G170" s="4"/>
      <c r="H170" s="4">
        <v>29894.86</v>
      </c>
      <c r="I170" s="4"/>
      <c r="J170" s="13">
        <f>IF(H$12=0,0,H170/H$12)</f>
        <v>0.23982955856393293</v>
      </c>
      <c r="K170" s="4"/>
      <c r="L170" s="4">
        <f>+D170-H170</f>
        <v>60293.14</v>
      </c>
      <c r="M170" s="4"/>
      <c r="N170" s="13">
        <f>IF(H170=0,0,L170/H170)</f>
        <v>2.0168396841463716</v>
      </c>
      <c r="O170" s="11"/>
      <c r="P170" s="4">
        <v>394766.7</v>
      </c>
      <c r="Q170" s="4"/>
      <c r="R170" s="13">
        <f>IF(P$12=0,0,P170/P$12)</f>
        <v>0.20920405926146546</v>
      </c>
      <c r="S170" s="4"/>
      <c r="T170" s="4">
        <v>293846.39</v>
      </c>
      <c r="U170" s="4"/>
      <c r="V170" s="13">
        <f>IF(T$12=0,0,T170/T$12)</f>
        <v>0.11354284082167709</v>
      </c>
      <c r="W170" s="4"/>
      <c r="X170" s="4">
        <f>+P170-T170</f>
        <v>100920.31</v>
      </c>
      <c r="Y170" s="4"/>
      <c r="Z170" s="13">
        <f>IF(T170=0,0,X170/T170)</f>
        <v>0.34344580513648643</v>
      </c>
    </row>
    <row r="171" spans="1:26" x14ac:dyDescent="0.25">
      <c r="A171" s="9"/>
      <c r="B171" s="11"/>
      <c r="C171" s="11"/>
      <c r="D171" s="3"/>
      <c r="E171" s="3"/>
      <c r="F171" s="8"/>
      <c r="G171" s="3"/>
      <c r="H171" s="3"/>
      <c r="I171" s="3"/>
      <c r="J171" s="8"/>
      <c r="K171" s="3"/>
      <c r="L171" s="3"/>
      <c r="M171" s="3"/>
      <c r="N171" s="8"/>
      <c r="O171" s="11"/>
      <c r="P171" s="3"/>
      <c r="Q171" s="3"/>
      <c r="R171" s="8"/>
      <c r="S171" s="3"/>
      <c r="T171" s="3"/>
      <c r="U171" s="3"/>
      <c r="V171" s="8"/>
      <c r="W171" s="3"/>
      <c r="X171" s="3"/>
      <c r="Y171" s="3"/>
      <c r="Z171" s="8"/>
    </row>
    <row r="172" spans="1:26" s="24" customFormat="1" ht="15.75" thickBot="1" x14ac:dyDescent="0.3">
      <c r="A172" s="11"/>
      <c r="B172" s="29" t="s">
        <v>125</v>
      </c>
      <c r="C172" s="29"/>
      <c r="D172" s="30">
        <f>+D168-D170</f>
        <v>63615.97000000003</v>
      </c>
      <c r="E172" s="14"/>
      <c r="F172" s="34">
        <f>IF(D$12=0,0,D172/D$12)</f>
        <v>0.15549744822104375</v>
      </c>
      <c r="G172" s="14"/>
      <c r="H172" s="30">
        <f>+H168-H170</f>
        <v>4561.2499999999636</v>
      </c>
      <c r="I172" s="14"/>
      <c r="J172" s="34">
        <f>IF(H$12=0,0,H172/H$12)</f>
        <v>3.6592329718210095E-2</v>
      </c>
      <c r="K172" s="16"/>
      <c r="L172" s="30">
        <f>D172-H172</f>
        <v>59054.720000000067</v>
      </c>
      <c r="M172" s="16"/>
      <c r="N172" s="34">
        <f>IF(H172=0,0,L172/H172)</f>
        <v>12.947047410249501</v>
      </c>
      <c r="O172" s="28"/>
      <c r="P172" s="30">
        <f>+P168-P170</f>
        <v>187618.57999999955</v>
      </c>
      <c r="Q172" s="14"/>
      <c r="R172" s="34">
        <f>IF(P$12=0,0,P172/P$12)</f>
        <v>9.9427252929063931E-2</v>
      </c>
      <c r="S172" s="14"/>
      <c r="T172" s="30">
        <f>+T168-T170</f>
        <v>278946.71000000101</v>
      </c>
      <c r="U172" s="14"/>
      <c r="V172" s="34">
        <f>IF(T$12=0,0,T172/T$12)</f>
        <v>0.10778557426300399</v>
      </c>
      <c r="W172" s="16"/>
      <c r="X172" s="30">
        <f>P172-T172</f>
        <v>-91328.13000000146</v>
      </c>
      <c r="Y172" s="16"/>
      <c r="Z172" s="34">
        <f>IF(T172=0,0,X172/T172)</f>
        <v>-0.32740350298449883</v>
      </c>
    </row>
    <row r="173" spans="1:26" ht="15.75" thickTop="1" x14ac:dyDescent="0.25">
      <c r="A173" s="9"/>
      <c r="B173" s="9"/>
      <c r="C173" s="9"/>
      <c r="D173" s="3"/>
      <c r="E173" s="3"/>
      <c r="F173" s="8"/>
      <c r="G173" s="3"/>
      <c r="H173" s="3"/>
      <c r="I173" s="3"/>
      <c r="J173" s="8"/>
      <c r="K173" s="3"/>
      <c r="L173" s="3"/>
      <c r="M173" s="3"/>
      <c r="N173" s="8"/>
      <c r="P173" s="3"/>
      <c r="Q173" s="3"/>
      <c r="R173" s="8"/>
      <c r="S173" s="3"/>
      <c r="T173" s="3"/>
      <c r="U173" s="3"/>
      <c r="V173" s="8"/>
      <c r="W173" s="3"/>
      <c r="X173" s="3"/>
      <c r="Y173" s="3"/>
      <c r="Z173" s="8"/>
    </row>
    <row r="174" spans="1:26" x14ac:dyDescent="0.25">
      <c r="A174" s="9"/>
      <c r="B174" s="9"/>
      <c r="C174" s="9"/>
      <c r="D174" s="3"/>
      <c r="E174" s="3"/>
      <c r="F174" s="8"/>
      <c r="G174" s="3"/>
      <c r="H174" s="3"/>
      <c r="I174" s="3"/>
      <c r="J174" s="8"/>
      <c r="K174" s="3"/>
      <c r="L174" s="3"/>
      <c r="M174" s="3"/>
      <c r="N174" s="8"/>
      <c r="P174" s="3"/>
      <c r="Q174" s="3"/>
      <c r="R174" s="8"/>
      <c r="S174" s="3"/>
      <c r="T174" s="3"/>
      <c r="U174" s="3"/>
      <c r="V174" s="8"/>
      <c r="W174" s="3"/>
      <c r="X174" s="3"/>
      <c r="Y174" s="3"/>
      <c r="Z174" s="8"/>
    </row>
    <row r="175" spans="1:26" s="24" customFormat="1" ht="15.75" thickBot="1" x14ac:dyDescent="0.3">
      <c r="A175" s="11"/>
      <c r="B175" s="29" t="s">
        <v>293</v>
      </c>
      <c r="C175" s="29"/>
      <c r="D175" s="32">
        <f>SUM(D172:D174)</f>
        <v>63615.97000000003</v>
      </c>
      <c r="E175" s="14"/>
      <c r="F175" s="35">
        <f>IF(D$12=0,0,D175/D$12)</f>
        <v>0.15549744822104375</v>
      </c>
      <c r="G175" s="14"/>
      <c r="H175" s="32">
        <f>SUM(H172:H174)</f>
        <v>4561.2499999999636</v>
      </c>
      <c r="I175" s="14"/>
      <c r="J175" s="35">
        <f>IF(H$12=0,0,H175/H$12)</f>
        <v>3.6592329718210095E-2</v>
      </c>
      <c r="K175" s="16"/>
      <c r="L175" s="32">
        <f>+D175-H175</f>
        <v>59054.720000000067</v>
      </c>
      <c r="M175" s="16"/>
      <c r="N175" s="35">
        <f>IF(H175=0,0,L175/H175)</f>
        <v>12.947047410249501</v>
      </c>
      <c r="O175" s="28"/>
      <c r="P175" s="32">
        <f>SUM(P172:P174)</f>
        <v>187618.57999999955</v>
      </c>
      <c r="Q175" s="14"/>
      <c r="R175" s="35">
        <f>IF(P$12=0,0,P175/P$12)</f>
        <v>9.9427252929063931E-2</v>
      </c>
      <c r="S175" s="14"/>
      <c r="T175" s="32">
        <f>SUM(T172:T174)</f>
        <v>278946.71000000101</v>
      </c>
      <c r="U175" s="14"/>
      <c r="V175" s="35">
        <f>IF(T$12=0,0,T175/T$12)</f>
        <v>0.10778557426300399</v>
      </c>
      <c r="W175" s="16"/>
      <c r="X175" s="32">
        <f>+P175-T175</f>
        <v>-91328.13000000146</v>
      </c>
      <c r="Y175" s="16"/>
      <c r="Z175" s="35">
        <f>IF(T175=0,0,X175/T175)</f>
        <v>-0.32740350298449883</v>
      </c>
    </row>
    <row r="176" spans="1:26" ht="15.75" thickTop="1" x14ac:dyDescent="0.25">
      <c r="A176" s="9"/>
      <c r="C176" s="9"/>
      <c r="D176" s="17"/>
      <c r="E176" s="17"/>
      <c r="G176" s="17"/>
      <c r="H176" s="17"/>
      <c r="I176" s="17"/>
      <c r="J176" s="42"/>
      <c r="K176" s="17"/>
      <c r="L176" s="17"/>
      <c r="M176" s="17"/>
      <c r="P176" s="17"/>
      <c r="Q176" s="17"/>
      <c r="R176" s="42"/>
      <c r="S176" s="17"/>
      <c r="T176" s="17"/>
      <c r="U176" s="17"/>
      <c r="V176" s="42"/>
      <c r="W176" s="17"/>
      <c r="X176" s="17"/>
    </row>
    <row r="177" spans="1:24" x14ac:dyDescent="0.25">
      <c r="A177" s="9"/>
      <c r="B177" s="59">
        <v>44330.008824340279</v>
      </c>
      <c r="D177" s="17"/>
      <c r="E177" s="17"/>
      <c r="G177" s="17"/>
      <c r="H177" s="17"/>
      <c r="I177" s="17"/>
      <c r="J177" s="42"/>
      <c r="K177" s="17"/>
      <c r="L177" s="17"/>
      <c r="M177" s="17"/>
      <c r="P177" s="17"/>
      <c r="Q177" s="17"/>
      <c r="R177" s="42"/>
      <c r="S177" s="17"/>
      <c r="T177" s="17"/>
      <c r="U177" s="17"/>
      <c r="V177" s="42"/>
      <c r="W177" s="17"/>
      <c r="X177" s="17"/>
    </row>
    <row r="178" spans="1:24" x14ac:dyDescent="0.25">
      <c r="A178" s="9"/>
      <c r="B178" s="52" t="s">
        <v>56</v>
      </c>
      <c r="D178" s="17"/>
      <c r="E178" s="17"/>
      <c r="G178" s="17"/>
      <c r="H178" s="17"/>
      <c r="I178" s="17"/>
      <c r="J178" s="42"/>
      <c r="K178" s="17"/>
      <c r="L178" s="17"/>
      <c r="M178" s="17"/>
      <c r="P178" s="17"/>
      <c r="Q178" s="17"/>
      <c r="R178" s="42"/>
      <c r="S178" s="17"/>
      <c r="T178" s="17"/>
      <c r="U178" s="17"/>
      <c r="V178" s="42"/>
      <c r="W178" s="17"/>
      <c r="X178" s="17"/>
    </row>
    <row r="179" spans="1:24" x14ac:dyDescent="0.25">
      <c r="A179" s="9"/>
      <c r="B179" s="55"/>
      <c r="D179" s="17"/>
      <c r="E179" s="17"/>
      <c r="G179" s="17"/>
      <c r="H179" s="17"/>
      <c r="I179" s="17"/>
      <c r="J179" s="42"/>
      <c r="K179" s="17"/>
      <c r="L179" s="17"/>
      <c r="M179" s="17"/>
      <c r="P179" s="17"/>
      <c r="Q179" s="17"/>
      <c r="R179" s="42"/>
      <c r="S179" s="17"/>
      <c r="T179" s="17"/>
      <c r="U179" s="17"/>
      <c r="V179" s="42"/>
      <c r="W179" s="17"/>
      <c r="X179" s="17"/>
    </row>
    <row r="180" spans="1:24" x14ac:dyDescent="0.25">
      <c r="D180" s="17"/>
      <c r="E180" s="17"/>
      <c r="G180" s="17"/>
      <c r="H180" s="17"/>
      <c r="I180" s="17"/>
      <c r="J180" s="42"/>
      <c r="K180" s="17"/>
      <c r="L180" s="17"/>
      <c r="M180" s="17"/>
      <c r="P180" s="17"/>
      <c r="Q180" s="17"/>
      <c r="R180" s="42"/>
      <c r="S180" s="17"/>
      <c r="T180" s="17"/>
      <c r="U180" s="17"/>
      <c r="V180" s="42"/>
      <c r="W180" s="17"/>
      <c r="X180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217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5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","315", " - ", "Beach Shop")</f>
        <v>Department 315 - Beach Shop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366093.7199999998</v>
      </c>
      <c r="E12" s="4"/>
      <c r="F12" s="13"/>
      <c r="G12" s="4"/>
      <c r="H12" s="4">
        <f>SUM(OSRRefH13x_0)</f>
        <v>124650.43999999997</v>
      </c>
      <c r="I12" s="4"/>
      <c r="J12" s="13"/>
      <c r="K12" s="4"/>
      <c r="L12" s="4">
        <f t="shared" ref="L12:L50" si="0">+D12-H12</f>
        <v>241443.27999999982</v>
      </c>
      <c r="M12" s="4"/>
      <c r="N12" s="13">
        <f t="shared" ref="N12:N50" si="1">IF(H12=0,0,L12/H12)</f>
        <v>1.9369629180610985</v>
      </c>
      <c r="O12" s="11"/>
      <c r="P12" s="4">
        <f>SUM(OSRRefP13x_0)</f>
        <v>1635688.6699999995</v>
      </c>
      <c r="Q12" s="4"/>
      <c r="R12" s="13"/>
      <c r="S12" s="4"/>
      <c r="T12" s="4">
        <f>SUM(OSRRefT13x_0)</f>
        <v>2158137.2700000005</v>
      </c>
      <c r="U12" s="4"/>
      <c r="V12" s="13"/>
      <c r="W12" s="4"/>
      <c r="X12" s="4">
        <f t="shared" ref="X12:X50" si="2">+P12-T12</f>
        <v>-522448.60000000102</v>
      </c>
      <c r="Y12" s="4"/>
      <c r="Z12" s="13">
        <f t="shared" ref="Z12:Z50" si="3">IF(T12=0,0,X12/T12)</f>
        <v>-0.24208311828097984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-12462.04</f>
        <v>-12462.04</v>
      </c>
      <c r="E13" s="2"/>
      <c r="F13" s="19"/>
      <c r="G13" s="2"/>
      <c r="H13" s="2">
        <f t="shared" ref="H13:H18" si="4">0</f>
        <v>0</v>
      </c>
      <c r="I13" s="2"/>
      <c r="J13" s="19"/>
      <c r="K13" s="2"/>
      <c r="L13" s="2">
        <f t="shared" si="0"/>
        <v>-12462.04</v>
      </c>
      <c r="M13" s="2"/>
      <c r="N13" s="19">
        <f t="shared" si="1"/>
        <v>0</v>
      </c>
      <c r="O13" s="10"/>
      <c r="P13" s="2">
        <f>-117418.26</f>
        <v>-117418.26</v>
      </c>
      <c r="Q13" s="2"/>
      <c r="R13" s="19"/>
      <c r="S13" s="2"/>
      <c r="T13" s="2">
        <f t="shared" ref="T13:T18" si="5">0</f>
        <v>0</v>
      </c>
      <c r="U13" s="2"/>
      <c r="V13" s="19"/>
      <c r="W13" s="2"/>
      <c r="X13" s="2">
        <f t="shared" si="2"/>
        <v>-117418.26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"4026", " - ", "TAXABLE SALES-WRITING INSTRUME")</f>
        <v xml:space="preserve">          4026 - TAXABLE SALES-WRITING INSTRUME</v>
      </c>
      <c r="C14" s="10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--221.99</f>
        <v>221.99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221.99</v>
      </c>
      <c r="Y14" s="2"/>
      <c r="Z14" s="19">
        <f t="shared" si="3"/>
        <v>0</v>
      </c>
    </row>
    <row r="15" spans="1:26" s="23" customFormat="1" hidden="1" outlineLevel="1" x14ac:dyDescent="0.25">
      <c r="A15" s="44"/>
      <c r="B15" s="10" t="str">
        <f>CONCATENATE("          ", "4027", " - ", "TAXABLE SALES-SCHOOL SUPPLIES")</f>
        <v xml:space="preserve">          4027 - TAXABLE SALES-SCHOOL SUPPLIES</v>
      </c>
      <c r="C15" s="10"/>
      <c r="D15" s="2">
        <f>--6537.78</f>
        <v>6537.78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6537.78</v>
      </c>
      <c r="M15" s="2"/>
      <c r="N15" s="19">
        <f t="shared" si="1"/>
        <v>0</v>
      </c>
      <c r="O15" s="10"/>
      <c r="P15" s="2">
        <f>--55666.73</f>
        <v>55666.73</v>
      </c>
      <c r="Q15" s="2"/>
      <c r="R15" s="19"/>
      <c r="S15" s="2"/>
      <c r="T15" s="2">
        <f t="shared" si="5"/>
        <v>0</v>
      </c>
      <c r="U15" s="2"/>
      <c r="V15" s="19"/>
      <c r="W15" s="2"/>
      <c r="X15" s="2">
        <f t="shared" si="2"/>
        <v>55666.73</v>
      </c>
      <c r="Y15" s="2"/>
      <c r="Z15" s="19">
        <f t="shared" si="3"/>
        <v>0</v>
      </c>
    </row>
    <row r="16" spans="1:26" s="23" customFormat="1" hidden="1" outlineLevel="1" x14ac:dyDescent="0.25">
      <c r="A16" s="44"/>
      <c r="B16" s="10" t="str">
        <f>CONCATENATE("          ", "4028", " - ", "TAXABLE SALES-ART/TECH")</f>
        <v xml:space="preserve">          4028 - TAXABLE SALES-ART/TECH</v>
      </c>
      <c r="C16" s="10"/>
      <c r="D16" s="2">
        <f>--2650.79</f>
        <v>2650.79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2650.79</v>
      </c>
      <c r="M16" s="2"/>
      <c r="N16" s="19">
        <f t="shared" si="1"/>
        <v>0</v>
      </c>
      <c r="O16" s="10"/>
      <c r="P16" s="2">
        <f>--34391.88</f>
        <v>34391.879999999997</v>
      </c>
      <c r="Q16" s="2"/>
      <c r="R16" s="19"/>
      <c r="S16" s="2"/>
      <c r="T16" s="2">
        <f t="shared" si="5"/>
        <v>0</v>
      </c>
      <c r="U16" s="2"/>
      <c r="V16" s="19"/>
      <c r="W16" s="2"/>
      <c r="X16" s="2">
        <f t="shared" si="2"/>
        <v>34391.879999999997</v>
      </c>
      <c r="Y16" s="2"/>
      <c r="Z16" s="19">
        <f t="shared" si="3"/>
        <v>0</v>
      </c>
    </row>
    <row r="17" spans="1:26" s="23" customFormat="1" hidden="1" outlineLevel="1" x14ac:dyDescent="0.25">
      <c r="A17" s="44"/>
      <c r="B17" s="10" t="str">
        <f>CONCATENATE("          ", "4031", " - ", "TAXABLE SALES-FOOD")</f>
        <v xml:space="preserve">          4031 - TAXABLE SALES-FOOD</v>
      </c>
      <c r="C17" s="10"/>
      <c r="D17" s="2">
        <f>--595.72</f>
        <v>595.72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595.72</v>
      </c>
      <c r="M17" s="2"/>
      <c r="N17" s="19">
        <f t="shared" si="1"/>
        <v>0</v>
      </c>
      <c r="O17" s="10"/>
      <c r="P17" s="2">
        <f>--3836.04</f>
        <v>3836.04</v>
      </c>
      <c r="Q17" s="2"/>
      <c r="R17" s="19"/>
      <c r="S17" s="2"/>
      <c r="T17" s="2">
        <f t="shared" si="5"/>
        <v>0</v>
      </c>
      <c r="U17" s="2"/>
      <c r="V17" s="19"/>
      <c r="W17" s="2"/>
      <c r="X17" s="2">
        <f t="shared" si="2"/>
        <v>3836.04</v>
      </c>
      <c r="Y17" s="2"/>
      <c r="Z17" s="19">
        <f t="shared" si="3"/>
        <v>0</v>
      </c>
    </row>
    <row r="18" spans="1:26" s="23" customFormat="1" hidden="1" outlineLevel="1" x14ac:dyDescent="0.25">
      <c r="A18" s="44"/>
      <c r="B18" s="10" t="str">
        <f>CONCATENATE("          ", "4034", " - ", "TAXABLE SALES-SODA")</f>
        <v xml:space="preserve">          4034 - TAXABLE SALES-SODA</v>
      </c>
      <c r="C18" s="10"/>
      <c r="D18" s="2">
        <f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>--6.78</f>
        <v>6.78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3" customFormat="1" hidden="1" outlineLevel="1" x14ac:dyDescent="0.25">
      <c r="A19" s="44"/>
      <c r="B19" s="10" t="str">
        <f>CONCATENATE("          ", "4040", " - ", "TAXABLE SALES-LOGO CLOTHING")</f>
        <v xml:space="preserve">          4040 - TAXABLE SALES-LOGO CLOTHING</v>
      </c>
      <c r="C19" s="10"/>
      <c r="D19" s="2">
        <f>--120917.64</f>
        <v>120917.64</v>
      </c>
      <c r="E19" s="2"/>
      <c r="F19" s="19"/>
      <c r="G19" s="2"/>
      <c r="H19" s="2">
        <f>--67974.91</f>
        <v>67974.91</v>
      </c>
      <c r="I19" s="2"/>
      <c r="J19" s="19"/>
      <c r="K19" s="2"/>
      <c r="L19" s="2">
        <f t="shared" si="0"/>
        <v>52942.729999999996</v>
      </c>
      <c r="M19" s="2"/>
      <c r="N19" s="19">
        <f t="shared" si="1"/>
        <v>0.77885693412466439</v>
      </c>
      <c r="O19" s="10"/>
      <c r="P19" s="2">
        <f>--701461.15</f>
        <v>701461.15</v>
      </c>
      <c r="Q19" s="2"/>
      <c r="R19" s="19"/>
      <c r="S19" s="2"/>
      <c r="T19" s="2">
        <f>--1482229.73</f>
        <v>1482229.73</v>
      </c>
      <c r="U19" s="2"/>
      <c r="V19" s="19"/>
      <c r="W19" s="2"/>
      <c r="X19" s="2">
        <f t="shared" si="2"/>
        <v>-780768.58</v>
      </c>
      <c r="Y19" s="2"/>
      <c r="Z19" s="19">
        <f t="shared" si="3"/>
        <v>-0.52675274567593511</v>
      </c>
    </row>
    <row r="20" spans="1:26" s="23" customFormat="1" hidden="1" outlineLevel="1" x14ac:dyDescent="0.25">
      <c r="A20" s="44"/>
      <c r="B20" s="10" t="str">
        <f>CONCATENATE("          ", "4041", " - ", "TAXABLE SALES-LOGO GIFTS")</f>
        <v xml:space="preserve">          4041 - TAXABLE SALES-LOGO GIFTS</v>
      </c>
      <c r="C20" s="10"/>
      <c r="D20" s="2">
        <f>--111502.01</f>
        <v>111502.01</v>
      </c>
      <c r="E20" s="2"/>
      <c r="F20" s="19"/>
      <c r="G20" s="2"/>
      <c r="H20" s="2">
        <f>--14090.87</f>
        <v>14090.87</v>
      </c>
      <c r="I20" s="2"/>
      <c r="J20" s="19"/>
      <c r="K20" s="2"/>
      <c r="L20" s="2">
        <f t="shared" si="0"/>
        <v>97411.14</v>
      </c>
      <c r="M20" s="2"/>
      <c r="N20" s="19">
        <f t="shared" si="1"/>
        <v>6.9130678233494454</v>
      </c>
      <c r="O20" s="10"/>
      <c r="P20" s="2">
        <f>--316023.48</f>
        <v>316023.48</v>
      </c>
      <c r="Q20" s="2"/>
      <c r="R20" s="19"/>
      <c r="S20" s="2"/>
      <c r="T20" s="2">
        <f>--257881.5</f>
        <v>257881.5</v>
      </c>
      <c r="U20" s="2"/>
      <c r="V20" s="19"/>
      <c r="W20" s="2"/>
      <c r="X20" s="2">
        <f t="shared" si="2"/>
        <v>58141.979999999981</v>
      </c>
      <c r="Y20" s="2"/>
      <c r="Z20" s="19">
        <f t="shared" si="3"/>
        <v>0.22546006596052831</v>
      </c>
    </row>
    <row r="21" spans="1:26" s="23" customFormat="1" hidden="1" outlineLevel="1" x14ac:dyDescent="0.25">
      <c r="A21" s="44"/>
      <c r="B21" s="10" t="str">
        <f>CONCATENATE("          ", "4042", " - ", "TAXABLE SALES-EVERYDAY GIFTS")</f>
        <v xml:space="preserve">          4042 - TAXABLE SALES-EVERYDAY GIFTS</v>
      </c>
      <c r="C21" s="10"/>
      <c r="D21" s="2">
        <f>--8378.21</f>
        <v>8378.2099999999991</v>
      </c>
      <c r="E21" s="2"/>
      <c r="F21" s="19"/>
      <c r="G21" s="2"/>
      <c r="H21" s="2">
        <f>--1459.57</f>
        <v>1459.57</v>
      </c>
      <c r="I21" s="2"/>
      <c r="J21" s="19"/>
      <c r="K21" s="2"/>
      <c r="L21" s="2">
        <f t="shared" si="0"/>
        <v>6918.6399999999994</v>
      </c>
      <c r="M21" s="2"/>
      <c r="N21" s="19">
        <f t="shared" si="1"/>
        <v>4.7401906040820236</v>
      </c>
      <c r="O21" s="10"/>
      <c r="P21" s="2">
        <f>--74387.43</f>
        <v>74387.429999999993</v>
      </c>
      <c r="Q21" s="2"/>
      <c r="R21" s="19"/>
      <c r="S21" s="2"/>
      <c r="T21" s="2">
        <f>--173570.3</f>
        <v>173570.3</v>
      </c>
      <c r="U21" s="2"/>
      <c r="V21" s="19"/>
      <c r="W21" s="2"/>
      <c r="X21" s="2">
        <f t="shared" si="2"/>
        <v>-99182.87</v>
      </c>
      <c r="Y21" s="2"/>
      <c r="Z21" s="19">
        <f t="shared" si="3"/>
        <v>-0.57142765784238436</v>
      </c>
    </row>
    <row r="22" spans="1:26" s="23" customFormat="1" hidden="1" outlineLevel="1" x14ac:dyDescent="0.25">
      <c r="A22" s="44"/>
      <c r="B22" s="10" t="str">
        <f>CONCATENATE("          ", "4043", " - ", "TAXABLE SALES-CARDS")</f>
        <v xml:space="preserve">          4043 - TAXABLE SALES-CARDS</v>
      </c>
      <c r="C22" s="10"/>
      <c r="D22" s="2">
        <f>--4165.86</f>
        <v>4165.8599999999997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4165.8599999999997</v>
      </c>
      <c r="M22" s="2"/>
      <c r="N22" s="19">
        <f t="shared" si="1"/>
        <v>0</v>
      </c>
      <c r="O22" s="10"/>
      <c r="P22" s="2">
        <f>--125859.45</f>
        <v>125859.45</v>
      </c>
      <c r="Q22" s="2"/>
      <c r="R22" s="19"/>
      <c r="S22" s="2"/>
      <c r="T22" s="2">
        <f>--74753.49</f>
        <v>74753.490000000005</v>
      </c>
      <c r="U22" s="2"/>
      <c r="V22" s="19"/>
      <c r="W22" s="2"/>
      <c r="X22" s="2">
        <f t="shared" si="2"/>
        <v>51105.959999999992</v>
      </c>
      <c r="Y22" s="2"/>
      <c r="Z22" s="19">
        <f t="shared" si="3"/>
        <v>0.6836598532055157</v>
      </c>
    </row>
    <row r="23" spans="1:26" s="23" customFormat="1" hidden="1" outlineLevel="1" x14ac:dyDescent="0.25">
      <c r="A23" s="44"/>
      <c r="B23" s="10" t="str">
        <f>CONCATENATE("          ", "4044", " - ", "TAXABLE SALES-ACCESSORIES")</f>
        <v xml:space="preserve">          4044 - TAXABLE SALES-ACCESSORIES</v>
      </c>
      <c r="C23" s="10"/>
      <c r="D23" s="2">
        <f>--4255.52</f>
        <v>4255.5200000000004</v>
      </c>
      <c r="E23" s="2"/>
      <c r="F23" s="19"/>
      <c r="G23" s="2"/>
      <c r="H23" s="2">
        <f>--673.79</f>
        <v>673.79</v>
      </c>
      <c r="I23" s="2"/>
      <c r="J23" s="19"/>
      <c r="K23" s="2"/>
      <c r="L23" s="2">
        <f t="shared" si="0"/>
        <v>3581.7300000000005</v>
      </c>
      <c r="M23" s="2"/>
      <c r="N23" s="19">
        <f t="shared" si="1"/>
        <v>5.3157957227029202</v>
      </c>
      <c r="O23" s="10"/>
      <c r="P23" s="2">
        <f>--33290.98</f>
        <v>33290.980000000003</v>
      </c>
      <c r="Q23" s="2"/>
      <c r="R23" s="19"/>
      <c r="S23" s="2"/>
      <c r="T23" s="2">
        <f>--62824.29</f>
        <v>62824.29</v>
      </c>
      <c r="U23" s="2"/>
      <c r="V23" s="19"/>
      <c r="W23" s="2"/>
      <c r="X23" s="2">
        <f t="shared" si="2"/>
        <v>-29533.309999999998</v>
      </c>
      <c r="Y23" s="2"/>
      <c r="Z23" s="19">
        <f t="shared" si="3"/>
        <v>-0.470093812441016</v>
      </c>
    </row>
    <row r="24" spans="1:26" s="23" customFormat="1" hidden="1" outlineLevel="1" x14ac:dyDescent="0.25">
      <c r="A24" s="44"/>
      <c r="B24" s="10" t="str">
        <f>CONCATENATE("          ", "4045", " - ", "TAXABLE SALES-SPECIAL ORDERS")</f>
        <v xml:space="preserve">          4045 - TAXABLE SALES-SPECIAL ORDERS</v>
      </c>
      <c r="C24" s="10"/>
      <c r="D24" s="2">
        <f>--63044.9</f>
        <v>63044.9</v>
      </c>
      <c r="E24" s="2"/>
      <c r="F24" s="19"/>
      <c r="G24" s="2"/>
      <c r="H24" s="2">
        <f>--8913.15</f>
        <v>8913.15</v>
      </c>
      <c r="I24" s="2"/>
      <c r="J24" s="19"/>
      <c r="K24" s="2"/>
      <c r="L24" s="2">
        <f t="shared" si="0"/>
        <v>54131.75</v>
      </c>
      <c r="M24" s="2"/>
      <c r="N24" s="19">
        <f t="shared" si="1"/>
        <v>6.0732457099902959</v>
      </c>
      <c r="O24" s="10"/>
      <c r="P24" s="2">
        <f>--206915.97</f>
        <v>206915.97</v>
      </c>
      <c r="Q24" s="2"/>
      <c r="R24" s="19"/>
      <c r="S24" s="2"/>
      <c r="T24" s="2">
        <f>--82846.37</f>
        <v>82846.37</v>
      </c>
      <c r="U24" s="2"/>
      <c r="V24" s="19"/>
      <c r="W24" s="2"/>
      <c r="X24" s="2">
        <f t="shared" si="2"/>
        <v>124069.6</v>
      </c>
      <c r="Y24" s="2"/>
      <c r="Z24" s="19">
        <f t="shared" si="3"/>
        <v>1.4975864361950924</v>
      </c>
    </row>
    <row r="25" spans="1:26" s="23" customFormat="1" hidden="1" outlineLevel="1" x14ac:dyDescent="0.25">
      <c r="A25" s="44"/>
      <c r="B25" s="10" t="str">
        <f>CONCATENATE("          ", "4126", " - ", "NON-TAXABLE SALES-WRITING INST")</f>
        <v xml:space="preserve">          4126 - NON-TAXABLE SALES-WRITING INST</v>
      </c>
      <c r="C25" s="10"/>
      <c r="D25" s="2">
        <f>0</f>
        <v>0</v>
      </c>
      <c r="E25" s="2"/>
      <c r="F25" s="19"/>
      <c r="G25" s="2"/>
      <c r="H25" s="2">
        <f t="shared" ref="H25:H32" si="6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>--52.68</f>
        <v>52.68</v>
      </c>
      <c r="Q25" s="2"/>
      <c r="R25" s="19"/>
      <c r="S25" s="2"/>
      <c r="T25" s="2">
        <f t="shared" ref="T25:T32" si="7">0</f>
        <v>0</v>
      </c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3" customFormat="1" hidden="1" outlineLevel="1" x14ac:dyDescent="0.25">
      <c r="A26" s="44"/>
      <c r="B26" s="10" t="str">
        <f>CONCATENATE("          ", "4127", " - ", "NON-TAXABLE SALES-SCHOOL SUPPL")</f>
        <v xml:space="preserve">          4127 - NON-TAXABLE SALES-SCHOOL SUPPL</v>
      </c>
      <c r="C26" s="10"/>
      <c r="D26" s="2">
        <f>--493.37</f>
        <v>493.37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493.37</v>
      </c>
      <c r="M26" s="2"/>
      <c r="N26" s="19">
        <f t="shared" si="1"/>
        <v>0</v>
      </c>
      <c r="O26" s="10"/>
      <c r="P26" s="2">
        <f>--7100.68</f>
        <v>7100.68</v>
      </c>
      <c r="Q26" s="2"/>
      <c r="R26" s="19"/>
      <c r="S26" s="2"/>
      <c r="T26" s="2">
        <f t="shared" si="7"/>
        <v>0</v>
      </c>
      <c r="U26" s="2"/>
      <c r="V26" s="19"/>
      <c r="W26" s="2"/>
      <c r="X26" s="2">
        <f t="shared" si="2"/>
        <v>7100.68</v>
      </c>
      <c r="Y26" s="2"/>
      <c r="Z26" s="19">
        <f t="shared" si="3"/>
        <v>0</v>
      </c>
    </row>
    <row r="27" spans="1:26" s="23" customFormat="1" hidden="1" outlineLevel="1" x14ac:dyDescent="0.25">
      <c r="A27" s="44"/>
      <c r="B27" s="10" t="str">
        <f>CONCATENATE("          ", "4128", " - ", "NON-TAXABLE SALES-ART/TECH")</f>
        <v xml:space="preserve">          4128 - NON-TAXABLE SALES-ART/TECH</v>
      </c>
      <c r="C27" s="10"/>
      <c r="D27" s="2">
        <f>--31.37</f>
        <v>31.37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31.37</v>
      </c>
      <c r="M27" s="2"/>
      <c r="N27" s="19">
        <f t="shared" si="1"/>
        <v>0</v>
      </c>
      <c r="O27" s="10"/>
      <c r="P27" s="2">
        <f>--69.95</f>
        <v>69.95</v>
      </c>
      <c r="Q27" s="2"/>
      <c r="R27" s="19"/>
      <c r="S27" s="2"/>
      <c r="T27" s="2">
        <f t="shared" si="7"/>
        <v>0</v>
      </c>
      <c r="U27" s="2"/>
      <c r="V27" s="19"/>
      <c r="W27" s="2"/>
      <c r="X27" s="2">
        <f t="shared" si="2"/>
        <v>69.95</v>
      </c>
      <c r="Y27" s="2"/>
      <c r="Z27" s="19">
        <f t="shared" si="3"/>
        <v>0</v>
      </c>
    </row>
    <row r="28" spans="1:26" s="23" customFormat="1" hidden="1" outlineLevel="1" x14ac:dyDescent="0.25">
      <c r="A28" s="44"/>
      <c r="B28" s="10" t="str">
        <f>CONCATENATE("          ", "4131", " - ", "NON-TAXABLE SALES-FOOD")</f>
        <v xml:space="preserve">          4131 - NON-TAXABLE SALES-FOOD</v>
      </c>
      <c r="C28" s="10"/>
      <c r="D28" s="2">
        <f>--960.93</f>
        <v>960.93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960.93</v>
      </c>
      <c r="M28" s="2"/>
      <c r="N28" s="19">
        <f t="shared" si="1"/>
        <v>0</v>
      </c>
      <c r="O28" s="10"/>
      <c r="P28" s="2">
        <f>--9473.2</f>
        <v>9473.2000000000007</v>
      </c>
      <c r="Q28" s="2"/>
      <c r="R28" s="19"/>
      <c r="S28" s="2"/>
      <c r="T28" s="2">
        <f t="shared" si="7"/>
        <v>0</v>
      </c>
      <c r="U28" s="2"/>
      <c r="V28" s="19"/>
      <c r="W28" s="2"/>
      <c r="X28" s="2">
        <f t="shared" si="2"/>
        <v>9473.2000000000007</v>
      </c>
      <c r="Y28" s="2"/>
      <c r="Z28" s="19">
        <f t="shared" si="3"/>
        <v>0</v>
      </c>
    </row>
    <row r="29" spans="1:26" s="23" customFormat="1" hidden="1" outlineLevel="1" x14ac:dyDescent="0.25">
      <c r="A29" s="44"/>
      <c r="B29" s="10" t="str">
        <f>CONCATENATE("          ", "4132", " - ", "NON-TAXABLE SALES-JUICE")</f>
        <v xml:space="preserve">          4132 - NON-TAXABLE SALES-JUICE</v>
      </c>
      <c r="C29" s="10"/>
      <c r="D29" s="2">
        <f t="shared" ref="D29:D32" si="8">0</f>
        <v>0</v>
      </c>
      <c r="E29" s="2"/>
      <c r="F29" s="19"/>
      <c r="G29" s="2"/>
      <c r="H29" s="2">
        <f t="shared" si="6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--22.49</f>
        <v>22.49</v>
      </c>
      <c r="Q29" s="2"/>
      <c r="R29" s="19"/>
      <c r="S29" s="2"/>
      <c r="T29" s="2">
        <f t="shared" si="7"/>
        <v>0</v>
      </c>
      <c r="U29" s="2"/>
      <c r="V29" s="19"/>
      <c r="W29" s="2"/>
      <c r="X29" s="2">
        <f t="shared" si="2"/>
        <v>22.49</v>
      </c>
      <c r="Y29" s="2"/>
      <c r="Z29" s="19">
        <f t="shared" si="3"/>
        <v>0</v>
      </c>
    </row>
    <row r="30" spans="1:26" s="23" customFormat="1" hidden="1" outlineLevel="1" x14ac:dyDescent="0.25">
      <c r="A30" s="44"/>
      <c r="B30" s="10" t="str">
        <f>CONCATENATE("          ", "4133", " - ", "NON-TAXABLE SALES-CANDY")</f>
        <v xml:space="preserve">          4133 - NON-TAXABLE SALES-CANDY</v>
      </c>
      <c r="C30" s="10"/>
      <c r="D30" s="2">
        <f t="shared" si="8"/>
        <v>0</v>
      </c>
      <c r="E30" s="2"/>
      <c r="F30" s="19"/>
      <c r="G30" s="2"/>
      <c r="H30" s="2">
        <f t="shared" si="6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--80.71</f>
        <v>80.709999999999994</v>
      </c>
      <c r="Q30" s="2"/>
      <c r="R30" s="19"/>
      <c r="S30" s="2"/>
      <c r="T30" s="2">
        <f t="shared" si="7"/>
        <v>0</v>
      </c>
      <c r="U30" s="2"/>
      <c r="V30" s="19"/>
      <c r="W30" s="2"/>
      <c r="X30" s="2">
        <f t="shared" si="2"/>
        <v>80.709999999999994</v>
      </c>
      <c r="Y30" s="2"/>
      <c r="Z30" s="19">
        <f t="shared" si="3"/>
        <v>0</v>
      </c>
    </row>
    <row r="31" spans="1:26" s="23" customFormat="1" hidden="1" outlineLevel="1" x14ac:dyDescent="0.25">
      <c r="A31" s="44"/>
      <c r="B31" s="10" t="str">
        <f>CONCATENATE("          ", "4134", " - ", "NON-TAXABLE SALES-SODA")</f>
        <v xml:space="preserve">          4134 - NON-TAXABLE SALES-SODA</v>
      </c>
      <c r="C31" s="10"/>
      <c r="D31" s="2">
        <f t="shared" si="8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--45.53</f>
        <v>45.53</v>
      </c>
      <c r="Q31" s="2"/>
      <c r="R31" s="19"/>
      <c r="S31" s="2"/>
      <c r="T31" s="2">
        <f t="shared" si="7"/>
        <v>0</v>
      </c>
      <c r="U31" s="2"/>
      <c r="V31" s="19"/>
      <c r="W31" s="2"/>
      <c r="X31" s="2">
        <f t="shared" si="2"/>
        <v>45.53</v>
      </c>
      <c r="Y31" s="2"/>
      <c r="Z31" s="19">
        <f t="shared" si="3"/>
        <v>0</v>
      </c>
    </row>
    <row r="32" spans="1:26" s="23" customFormat="1" hidden="1" outlineLevel="1" x14ac:dyDescent="0.25">
      <c r="A32" s="44"/>
      <c r="B32" s="10" t="str">
        <f>CONCATENATE("          ", "4137", " - ", "NON-TAXABLE SALES-WATER")</f>
        <v xml:space="preserve">          4137 - NON-TAXABLE SALES-WATER</v>
      </c>
      <c r="C32" s="10"/>
      <c r="D32" s="2">
        <f t="shared" si="8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--59.25</f>
        <v>59.25</v>
      </c>
      <c r="Q32" s="2"/>
      <c r="R32" s="19"/>
      <c r="S32" s="2"/>
      <c r="T32" s="2">
        <f t="shared" si="7"/>
        <v>0</v>
      </c>
      <c r="U32" s="2"/>
      <c r="V32" s="19"/>
      <c r="W32" s="2"/>
      <c r="X32" s="2">
        <f t="shared" si="2"/>
        <v>59.25</v>
      </c>
      <c r="Y32" s="2"/>
      <c r="Z32" s="19">
        <f t="shared" si="3"/>
        <v>0</v>
      </c>
    </row>
    <row r="33" spans="1:26" s="23" customFormat="1" hidden="1" outlineLevel="1" x14ac:dyDescent="0.25">
      <c r="A33" s="44"/>
      <c r="B33" s="10" t="str">
        <f>CONCATENATE("          ", "4140", " - ", "NON-TAXABLE SALES-LOGO CLOTHIN")</f>
        <v xml:space="preserve">          4140 - NON-TAXABLE SALES-LOGO CLOTHIN</v>
      </c>
      <c r="C33" s="10"/>
      <c r="D33" s="2">
        <f>--22915.85</f>
        <v>22915.85</v>
      </c>
      <c r="E33" s="2"/>
      <c r="F33" s="19"/>
      <c r="G33" s="2"/>
      <c r="H33" s="2">
        <f>--30875.73</f>
        <v>30875.73</v>
      </c>
      <c r="I33" s="2"/>
      <c r="J33" s="19"/>
      <c r="K33" s="2"/>
      <c r="L33" s="2">
        <f t="shared" si="0"/>
        <v>-7959.880000000001</v>
      </c>
      <c r="M33" s="2"/>
      <c r="N33" s="19">
        <f t="shared" si="1"/>
        <v>-0.25780378310083685</v>
      </c>
      <c r="O33" s="10"/>
      <c r="P33" s="2">
        <f>--154468.05</f>
        <v>154468.04999999999</v>
      </c>
      <c r="Q33" s="2"/>
      <c r="R33" s="19"/>
      <c r="S33" s="2"/>
      <c r="T33" s="2">
        <f>--78924.71</f>
        <v>78924.710000000006</v>
      </c>
      <c r="U33" s="2"/>
      <c r="V33" s="19"/>
      <c r="W33" s="2"/>
      <c r="X33" s="2">
        <f t="shared" si="2"/>
        <v>75543.339999999982</v>
      </c>
      <c r="Y33" s="2"/>
      <c r="Z33" s="19">
        <f t="shared" si="3"/>
        <v>0.95715701711162415</v>
      </c>
    </row>
    <row r="34" spans="1:26" s="23" customFormat="1" hidden="1" outlineLevel="1" x14ac:dyDescent="0.25">
      <c r="A34" s="44"/>
      <c r="B34" s="10" t="str">
        <f>CONCATENATE("          ", "4141", " - ", "NON-TAXABLE SALES-LOGO GIFTS")</f>
        <v xml:space="preserve">          4141 - NON-TAXABLE SALES-LOGO GIFTS</v>
      </c>
      <c r="C34" s="10"/>
      <c r="D34" s="2">
        <f>--27227.97</f>
        <v>27227.97</v>
      </c>
      <c r="E34" s="2"/>
      <c r="F34" s="19"/>
      <c r="G34" s="2"/>
      <c r="H34" s="2">
        <f>--1860.77</f>
        <v>1860.77</v>
      </c>
      <c r="I34" s="2"/>
      <c r="J34" s="19"/>
      <c r="K34" s="2"/>
      <c r="L34" s="2">
        <f t="shared" si="0"/>
        <v>25367.200000000001</v>
      </c>
      <c r="M34" s="2"/>
      <c r="N34" s="19">
        <f t="shared" si="1"/>
        <v>13.632635951783403</v>
      </c>
      <c r="O34" s="10"/>
      <c r="P34" s="2">
        <f>--35517.57</f>
        <v>35517.57</v>
      </c>
      <c r="Q34" s="2"/>
      <c r="R34" s="19"/>
      <c r="S34" s="2"/>
      <c r="T34" s="2">
        <f>--11910.73</f>
        <v>11910.73</v>
      </c>
      <c r="U34" s="2"/>
      <c r="V34" s="19"/>
      <c r="W34" s="2"/>
      <c r="X34" s="2">
        <f t="shared" si="2"/>
        <v>23606.84</v>
      </c>
      <c r="Y34" s="2"/>
      <c r="Z34" s="19">
        <f t="shared" si="3"/>
        <v>1.9819809533084876</v>
      </c>
    </row>
    <row r="35" spans="1:26" s="23" customFormat="1" hidden="1" outlineLevel="1" x14ac:dyDescent="0.25">
      <c r="A35" s="44"/>
      <c r="B35" s="10" t="str">
        <f>CONCATENATE("          ", "4142", " - ", "NON-TAXABLE SALES-EVERYDAY GIF")</f>
        <v xml:space="preserve">          4142 - NON-TAXABLE SALES-EVERYDAY GIF</v>
      </c>
      <c r="C35" s="10"/>
      <c r="D35" s="2">
        <f>--284.63</f>
        <v>284.63</v>
      </c>
      <c r="E35" s="2"/>
      <c r="F35" s="19"/>
      <c r="G35" s="2"/>
      <c r="H35" s="2">
        <f>--386.65</f>
        <v>386.65</v>
      </c>
      <c r="I35" s="2"/>
      <c r="J35" s="19"/>
      <c r="K35" s="2"/>
      <c r="L35" s="2">
        <f t="shared" si="0"/>
        <v>-102.01999999999998</v>
      </c>
      <c r="M35" s="2"/>
      <c r="N35" s="19">
        <f t="shared" si="1"/>
        <v>-0.26385620069830595</v>
      </c>
      <c r="O35" s="10"/>
      <c r="P35" s="2">
        <f>--1455.41</f>
        <v>1455.41</v>
      </c>
      <c r="Q35" s="2"/>
      <c r="R35" s="19"/>
      <c r="S35" s="2"/>
      <c r="T35" s="2">
        <f>--4612.2</f>
        <v>4612.2</v>
      </c>
      <c r="U35" s="2"/>
      <c r="V35" s="19"/>
      <c r="W35" s="2"/>
      <c r="X35" s="2">
        <f t="shared" si="2"/>
        <v>-3156.79</v>
      </c>
      <c r="Y35" s="2"/>
      <c r="Z35" s="19">
        <f t="shared" si="3"/>
        <v>-0.68444343263518492</v>
      </c>
    </row>
    <row r="36" spans="1:26" s="23" customFormat="1" hidden="1" outlineLevel="1" x14ac:dyDescent="0.25">
      <c r="A36" s="44"/>
      <c r="B36" s="10" t="str">
        <f>CONCATENATE("          ", "4143", " - ", "NON-TAXABLE SALES-CARDS")</f>
        <v xml:space="preserve">          4143 - NON-TAXABLE SALES-CARDS</v>
      </c>
      <c r="C36" s="10"/>
      <c r="D36" s="2">
        <f>--49.97</f>
        <v>49.97</v>
      </c>
      <c r="E36" s="2"/>
      <c r="F36" s="19"/>
      <c r="G36" s="2"/>
      <c r="H36" s="2">
        <f>-9.99</f>
        <v>-9.99</v>
      </c>
      <c r="I36" s="2"/>
      <c r="J36" s="19"/>
      <c r="K36" s="2"/>
      <c r="L36" s="2">
        <f t="shared" si="0"/>
        <v>59.96</v>
      </c>
      <c r="M36" s="2"/>
      <c r="N36" s="19">
        <f t="shared" si="1"/>
        <v>-6.0020020020020022</v>
      </c>
      <c r="O36" s="10"/>
      <c r="P36" s="2">
        <f>--2431.45</f>
        <v>2431.4499999999998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2431.4499999999998</v>
      </c>
      <c r="Y36" s="2"/>
      <c r="Z36" s="19">
        <f t="shared" si="3"/>
        <v>0</v>
      </c>
    </row>
    <row r="37" spans="1:26" s="23" customFormat="1" hidden="1" outlineLevel="1" x14ac:dyDescent="0.25">
      <c r="A37" s="44"/>
      <c r="B37" s="10" t="str">
        <f>CONCATENATE("          ", "4144", " - ", "NON-TAXABLE SALES-ACCESSORIES")</f>
        <v xml:space="preserve">          4144 - NON-TAXABLE SALES-ACCESSORIES</v>
      </c>
      <c r="C37" s="10"/>
      <c r="D37" s="2">
        <f>--29.85</f>
        <v>29.85</v>
      </c>
      <c r="E37" s="2"/>
      <c r="F37" s="19"/>
      <c r="G37" s="2"/>
      <c r="H37" s="2">
        <f>--299.4</f>
        <v>299.39999999999998</v>
      </c>
      <c r="I37" s="2"/>
      <c r="J37" s="19"/>
      <c r="K37" s="2"/>
      <c r="L37" s="2">
        <f t="shared" si="0"/>
        <v>-269.54999999999995</v>
      </c>
      <c r="M37" s="2"/>
      <c r="N37" s="19">
        <f t="shared" si="1"/>
        <v>-0.90030060120240474</v>
      </c>
      <c r="O37" s="10"/>
      <c r="P37" s="2">
        <f>--709.1</f>
        <v>709.1</v>
      </c>
      <c r="Q37" s="2"/>
      <c r="R37" s="19"/>
      <c r="S37" s="2"/>
      <c r="T37" s="2">
        <f>--2339.67</f>
        <v>2339.67</v>
      </c>
      <c r="U37" s="2"/>
      <c r="V37" s="19"/>
      <c r="W37" s="2"/>
      <c r="X37" s="2">
        <f t="shared" si="2"/>
        <v>-1630.5700000000002</v>
      </c>
      <c r="Y37" s="2"/>
      <c r="Z37" s="19">
        <f t="shared" si="3"/>
        <v>-0.69692307034752765</v>
      </c>
    </row>
    <row r="38" spans="1:26" s="23" customFormat="1" hidden="1" outlineLevel="1" x14ac:dyDescent="0.25">
      <c r="A38" s="44"/>
      <c r="B38" s="10" t="str">
        <f>CONCATENATE("          ", "4145", " - ", "NON-TAXABLE SALES-SPECIAL ORDE")</f>
        <v xml:space="preserve">          4145 - NON-TAXABLE SALES-SPECIAL ORDE</v>
      </c>
      <c r="C38" s="10"/>
      <c r="D38" s="2">
        <f>--20350.8</f>
        <v>20350.8</v>
      </c>
      <c r="E38" s="2"/>
      <c r="F38" s="19"/>
      <c r="G38" s="2"/>
      <c r="H38" s="2">
        <f t="shared" ref="H38:H41" si="9">0</f>
        <v>0</v>
      </c>
      <c r="I38" s="2"/>
      <c r="J38" s="19"/>
      <c r="K38" s="2"/>
      <c r="L38" s="2">
        <f t="shared" si="0"/>
        <v>20350.8</v>
      </c>
      <c r="M38" s="2"/>
      <c r="N38" s="19">
        <f t="shared" si="1"/>
        <v>0</v>
      </c>
      <c r="O38" s="10"/>
      <c r="P38" s="2">
        <f>--74059.89</f>
        <v>74059.89</v>
      </c>
      <c r="Q38" s="2"/>
      <c r="R38" s="19"/>
      <c r="S38" s="2"/>
      <c r="T38" s="2">
        <f>--140</f>
        <v>140</v>
      </c>
      <c r="U38" s="2"/>
      <c r="V38" s="19"/>
      <c r="W38" s="2"/>
      <c r="X38" s="2">
        <f t="shared" si="2"/>
        <v>73919.89</v>
      </c>
      <c r="Y38" s="2"/>
      <c r="Z38" s="19">
        <f t="shared" si="3"/>
        <v>527.99921428571429</v>
      </c>
    </row>
    <row r="39" spans="1:26" s="23" customFormat="1" hidden="1" outlineLevel="1" x14ac:dyDescent="0.25">
      <c r="A39" s="44"/>
      <c r="B39" s="10" t="str">
        <f>CONCATENATE("          ", "4226", " - ", "SALES RETURN TAXABLE-WRITING I")</f>
        <v xml:space="preserve">          4226 - SALES RETURN TAXABLE-WRITING I</v>
      </c>
      <c r="C39" s="10"/>
      <c r="D39" s="2">
        <f>0</f>
        <v>0</v>
      </c>
      <c r="E39" s="2"/>
      <c r="F39" s="19"/>
      <c r="G39" s="2"/>
      <c r="H39" s="2">
        <f t="shared" si="9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0"/>
      <c r="P39" s="2">
        <f>-6.38</f>
        <v>-6.38</v>
      </c>
      <c r="Q39" s="2"/>
      <c r="R39" s="19"/>
      <c r="S39" s="2"/>
      <c r="T39" s="2">
        <f t="shared" ref="T39:T41" si="10">0</f>
        <v>0</v>
      </c>
      <c r="U39" s="2"/>
      <c r="V39" s="19"/>
      <c r="W39" s="2"/>
      <c r="X39" s="2">
        <f t="shared" si="2"/>
        <v>-6.38</v>
      </c>
      <c r="Y39" s="2"/>
      <c r="Z39" s="19">
        <f t="shared" si="3"/>
        <v>0</v>
      </c>
    </row>
    <row r="40" spans="1:26" s="23" customFormat="1" hidden="1" outlineLevel="1" x14ac:dyDescent="0.25">
      <c r="A40" s="44"/>
      <c r="B40" s="10" t="str">
        <f>CONCATENATE("          ", "4227", " - ", "SALES RETURN TAXABLE-SCHOOL SU")</f>
        <v xml:space="preserve">          4227 - SALES RETURN TAXABLE-SCHOOL SU</v>
      </c>
      <c r="C40" s="10"/>
      <c r="D40" s="2">
        <f>-500.54</f>
        <v>-500.54</v>
      </c>
      <c r="E40" s="2"/>
      <c r="F40" s="19"/>
      <c r="G40" s="2"/>
      <c r="H40" s="2">
        <f t="shared" si="9"/>
        <v>0</v>
      </c>
      <c r="I40" s="2"/>
      <c r="J40" s="19"/>
      <c r="K40" s="2"/>
      <c r="L40" s="2">
        <f t="shared" si="0"/>
        <v>-500.54</v>
      </c>
      <c r="M40" s="2"/>
      <c r="N40" s="19">
        <f t="shared" si="1"/>
        <v>0</v>
      </c>
      <c r="O40" s="10"/>
      <c r="P40" s="2">
        <f>-1143.48</f>
        <v>-1143.48</v>
      </c>
      <c r="Q40" s="2"/>
      <c r="R40" s="19"/>
      <c r="S40" s="2"/>
      <c r="T40" s="2">
        <f t="shared" si="10"/>
        <v>0</v>
      </c>
      <c r="U40" s="2"/>
      <c r="V40" s="19"/>
      <c r="W40" s="2"/>
      <c r="X40" s="2">
        <f t="shared" si="2"/>
        <v>-1143.48</v>
      </c>
      <c r="Y40" s="2"/>
      <c r="Z40" s="19">
        <f t="shared" si="3"/>
        <v>0</v>
      </c>
    </row>
    <row r="41" spans="1:26" s="23" customFormat="1" hidden="1" outlineLevel="1" x14ac:dyDescent="0.25">
      <c r="A41" s="44"/>
      <c r="B41" s="10" t="str">
        <f>CONCATENATE("          ", "4228", " - ", "SALES RETURN TAXABLE-ART/TECH")</f>
        <v xml:space="preserve">          4228 - SALES RETURN TAXABLE-ART/TECH</v>
      </c>
      <c r="C41" s="10"/>
      <c r="D41" s="2">
        <f>-136.11</f>
        <v>-136.11000000000001</v>
      </c>
      <c r="E41" s="2"/>
      <c r="F41" s="19"/>
      <c r="G41" s="2"/>
      <c r="H41" s="2">
        <f t="shared" si="9"/>
        <v>0</v>
      </c>
      <c r="I41" s="2"/>
      <c r="J41" s="19"/>
      <c r="K41" s="2"/>
      <c r="L41" s="2">
        <f t="shared" si="0"/>
        <v>-136.11000000000001</v>
      </c>
      <c r="M41" s="2"/>
      <c r="N41" s="19">
        <f t="shared" si="1"/>
        <v>0</v>
      </c>
      <c r="O41" s="10"/>
      <c r="P41" s="2">
        <f>-12751.53</f>
        <v>-12751.53</v>
      </c>
      <c r="Q41" s="2"/>
      <c r="R41" s="19"/>
      <c r="S41" s="2"/>
      <c r="T41" s="2">
        <f t="shared" si="10"/>
        <v>0</v>
      </c>
      <c r="U41" s="2"/>
      <c r="V41" s="19"/>
      <c r="W41" s="2"/>
      <c r="X41" s="2">
        <f t="shared" si="2"/>
        <v>-12751.53</v>
      </c>
      <c r="Y41" s="2"/>
      <c r="Z41" s="19">
        <f t="shared" si="3"/>
        <v>0</v>
      </c>
    </row>
    <row r="42" spans="1:26" s="23" customFormat="1" hidden="1" outlineLevel="1" x14ac:dyDescent="0.25">
      <c r="A42" s="44"/>
      <c r="B42" s="10" t="str">
        <f>CONCATENATE("          ", "4240", " - ", "SALES RETURN TAXABLE-LOGO CLOT")</f>
        <v xml:space="preserve">          4240 - SALES RETURN TAXABLE-LOGO CLOT</v>
      </c>
      <c r="C42" s="10"/>
      <c r="D42" s="2">
        <f>-4367.01</f>
        <v>-4367.01</v>
      </c>
      <c r="E42" s="2"/>
      <c r="F42" s="19"/>
      <c r="G42" s="2"/>
      <c r="H42" s="2">
        <f>-1642.96</f>
        <v>-1642.96</v>
      </c>
      <c r="I42" s="2"/>
      <c r="J42" s="19"/>
      <c r="K42" s="2"/>
      <c r="L42" s="2">
        <f t="shared" si="0"/>
        <v>-2724.05</v>
      </c>
      <c r="M42" s="2"/>
      <c r="N42" s="19">
        <f t="shared" si="1"/>
        <v>1.6580135852364026</v>
      </c>
      <c r="O42" s="10"/>
      <c r="P42" s="2">
        <f>-31470.04</f>
        <v>-31470.04</v>
      </c>
      <c r="Q42" s="2"/>
      <c r="R42" s="19"/>
      <c r="S42" s="2"/>
      <c r="T42" s="2">
        <f>-58333</f>
        <v>-58333</v>
      </c>
      <c r="U42" s="2"/>
      <c r="V42" s="19"/>
      <c r="W42" s="2"/>
      <c r="X42" s="2">
        <f t="shared" si="2"/>
        <v>26862.959999999999</v>
      </c>
      <c r="Y42" s="2"/>
      <c r="Z42" s="19">
        <f t="shared" si="3"/>
        <v>-0.46051051720295544</v>
      </c>
    </row>
    <row r="43" spans="1:26" s="23" customFormat="1" hidden="1" outlineLevel="1" x14ac:dyDescent="0.25">
      <c r="A43" s="44"/>
      <c r="B43" s="10" t="str">
        <f>CONCATENATE("          ", "4241", " - ", "SALES RETURN TAXABLE-LOGO GIFT")</f>
        <v xml:space="preserve">          4241 - SALES RETURN TAXABLE-LOGO GIFT</v>
      </c>
      <c r="C43" s="10"/>
      <c r="D43" s="2">
        <f>-5548.21</f>
        <v>-5548.21</v>
      </c>
      <c r="E43" s="2"/>
      <c r="F43" s="19"/>
      <c r="G43" s="2"/>
      <c r="H43" s="2">
        <f>-190.5</f>
        <v>-190.5</v>
      </c>
      <c r="I43" s="2"/>
      <c r="J43" s="19"/>
      <c r="K43" s="2"/>
      <c r="L43" s="2">
        <f t="shared" si="0"/>
        <v>-5357.71</v>
      </c>
      <c r="M43" s="2"/>
      <c r="N43" s="19">
        <f t="shared" si="1"/>
        <v>28.124461942257216</v>
      </c>
      <c r="O43" s="10"/>
      <c r="P43" s="2">
        <f>-10241.55</f>
        <v>-10241.549999999999</v>
      </c>
      <c r="Q43" s="2"/>
      <c r="R43" s="19"/>
      <c r="S43" s="2"/>
      <c r="T43" s="2">
        <f>-4012.37</f>
        <v>-4012.37</v>
      </c>
      <c r="U43" s="2"/>
      <c r="V43" s="19"/>
      <c r="W43" s="2"/>
      <c r="X43" s="2">
        <f t="shared" si="2"/>
        <v>-6229.1799999999994</v>
      </c>
      <c r="Y43" s="2"/>
      <c r="Z43" s="19">
        <f t="shared" si="3"/>
        <v>1.5524939125753605</v>
      </c>
    </row>
    <row r="44" spans="1:26" s="23" customFormat="1" hidden="1" outlineLevel="1" x14ac:dyDescent="0.25">
      <c r="A44" s="44"/>
      <c r="B44" s="10" t="str">
        <f>CONCATENATE("          ", "4242", " - ", "SALES RETURN TAXABLE-EVERYDAY")</f>
        <v xml:space="preserve">          4242 - SALES RETURN TAXABLE-EVERYDAY</v>
      </c>
      <c r="C44" s="10"/>
      <c r="D44" s="2">
        <f>-332.27</f>
        <v>-332.27</v>
      </c>
      <c r="E44" s="2"/>
      <c r="F44" s="19"/>
      <c r="G44" s="2"/>
      <c r="H44" s="2">
        <f>-3</f>
        <v>-3</v>
      </c>
      <c r="I44" s="2"/>
      <c r="J44" s="19"/>
      <c r="K44" s="2"/>
      <c r="L44" s="2">
        <f t="shared" si="0"/>
        <v>-329.27</v>
      </c>
      <c r="M44" s="2"/>
      <c r="N44" s="19">
        <f t="shared" si="1"/>
        <v>109.75666666666666</v>
      </c>
      <c r="O44" s="10"/>
      <c r="P44" s="2">
        <f>-2310.03</f>
        <v>-2310.0300000000002</v>
      </c>
      <c r="Q44" s="2"/>
      <c r="R44" s="19"/>
      <c r="S44" s="2"/>
      <c r="T44" s="2">
        <f>-3103.4</f>
        <v>-3103.4</v>
      </c>
      <c r="U44" s="2"/>
      <c r="V44" s="19"/>
      <c r="W44" s="2"/>
      <c r="X44" s="2">
        <f t="shared" si="2"/>
        <v>793.36999999999989</v>
      </c>
      <c r="Y44" s="2"/>
      <c r="Z44" s="19">
        <f t="shared" si="3"/>
        <v>-0.25564542115099564</v>
      </c>
    </row>
    <row r="45" spans="1:26" s="23" customFormat="1" hidden="1" outlineLevel="1" x14ac:dyDescent="0.25">
      <c r="A45" s="44"/>
      <c r="B45" s="10" t="str">
        <f>CONCATENATE("          ", "4243", " - ", "SALES RETURN TAXABLE-CARDS")</f>
        <v xml:space="preserve">          4243 - SALES RETURN TAXABLE-CARDS</v>
      </c>
      <c r="C45" s="10"/>
      <c r="D45" s="2">
        <f>-199.86</f>
        <v>-199.86</v>
      </c>
      <c r="E45" s="2"/>
      <c r="F45" s="19"/>
      <c r="G45" s="2"/>
      <c r="H45" s="2">
        <f>-13</f>
        <v>-13</v>
      </c>
      <c r="I45" s="2"/>
      <c r="J45" s="19"/>
      <c r="K45" s="2"/>
      <c r="L45" s="2">
        <f t="shared" si="0"/>
        <v>-186.86</v>
      </c>
      <c r="M45" s="2"/>
      <c r="N45" s="19">
        <f t="shared" si="1"/>
        <v>14.373846153846156</v>
      </c>
      <c r="O45" s="10"/>
      <c r="P45" s="2">
        <f>-6142.09</f>
        <v>-6142.09</v>
      </c>
      <c r="Q45" s="2"/>
      <c r="R45" s="19"/>
      <c r="S45" s="2"/>
      <c r="T45" s="2">
        <f>-3006.31</f>
        <v>-3006.31</v>
      </c>
      <c r="U45" s="2"/>
      <c r="V45" s="19"/>
      <c r="W45" s="2"/>
      <c r="X45" s="2">
        <f t="shared" si="2"/>
        <v>-3135.78</v>
      </c>
      <c r="Y45" s="2"/>
      <c r="Z45" s="19">
        <f t="shared" si="3"/>
        <v>1.0430660843359467</v>
      </c>
    </row>
    <row r="46" spans="1:26" s="23" customFormat="1" hidden="1" outlineLevel="1" x14ac:dyDescent="0.25">
      <c r="A46" s="44"/>
      <c r="B46" s="10" t="str">
        <f>CONCATENATE("          ", "4244", " - ", "SALES RETURN TAXABLE-ACCESSORI")</f>
        <v xml:space="preserve">          4244 - SALES RETURN TAXABLE-ACCESSORI</v>
      </c>
      <c r="C46" s="10"/>
      <c r="D46" s="2">
        <f>-8.24</f>
        <v>-8.24</v>
      </c>
      <c r="E46" s="2"/>
      <c r="F46" s="19"/>
      <c r="G46" s="2"/>
      <c r="H46" s="2">
        <f t="shared" ref="H46:H47" si="11">0</f>
        <v>0</v>
      </c>
      <c r="I46" s="2"/>
      <c r="J46" s="19"/>
      <c r="K46" s="2"/>
      <c r="L46" s="2">
        <f t="shared" si="0"/>
        <v>-8.24</v>
      </c>
      <c r="M46" s="2"/>
      <c r="N46" s="19">
        <f t="shared" si="1"/>
        <v>0</v>
      </c>
      <c r="O46" s="10"/>
      <c r="P46" s="2">
        <f>-1200.62</f>
        <v>-1200.6199999999999</v>
      </c>
      <c r="Q46" s="2"/>
      <c r="R46" s="19"/>
      <c r="S46" s="2"/>
      <c r="T46" s="2">
        <f>-2339.9</f>
        <v>-2339.9</v>
      </c>
      <c r="U46" s="2"/>
      <c r="V46" s="19"/>
      <c r="W46" s="2"/>
      <c r="X46" s="2">
        <f t="shared" si="2"/>
        <v>1139.2800000000002</v>
      </c>
      <c r="Y46" s="2"/>
      <c r="Z46" s="19">
        <f t="shared" si="3"/>
        <v>-0.48689260224795938</v>
      </c>
    </row>
    <row r="47" spans="1:26" s="23" customFormat="1" hidden="1" outlineLevel="1" x14ac:dyDescent="0.25">
      <c r="A47" s="44"/>
      <c r="B47" s="10" t="str">
        <f>CONCATENATE("          ", "4245", " - ", "SALES RETURN TAXABLE-SPECIAL O")</f>
        <v xml:space="preserve">          4245 - SALES RETURN TAXABLE-SPECIAL O</v>
      </c>
      <c r="C47" s="10"/>
      <c r="D47" s="2">
        <f>-4071.14</f>
        <v>-4071.14</v>
      </c>
      <c r="E47" s="2"/>
      <c r="F47" s="19"/>
      <c r="G47" s="2"/>
      <c r="H47" s="2">
        <f t="shared" si="11"/>
        <v>0</v>
      </c>
      <c r="I47" s="2"/>
      <c r="J47" s="19"/>
      <c r="K47" s="2"/>
      <c r="L47" s="2">
        <f t="shared" si="0"/>
        <v>-4071.14</v>
      </c>
      <c r="M47" s="2"/>
      <c r="N47" s="19">
        <f t="shared" si="1"/>
        <v>0</v>
      </c>
      <c r="O47" s="10"/>
      <c r="P47" s="2">
        <f>-15417.73</f>
        <v>-15417.73</v>
      </c>
      <c r="Q47" s="2"/>
      <c r="R47" s="19"/>
      <c r="S47" s="2"/>
      <c r="T47" s="2">
        <f>-1725.04</f>
        <v>-1725.04</v>
      </c>
      <c r="U47" s="2"/>
      <c r="V47" s="19"/>
      <c r="W47" s="2"/>
      <c r="X47" s="2">
        <f t="shared" si="2"/>
        <v>-13692.689999999999</v>
      </c>
      <c r="Y47" s="2"/>
      <c r="Z47" s="19">
        <f t="shared" si="3"/>
        <v>7.9376072438899961</v>
      </c>
    </row>
    <row r="48" spans="1:26" s="23" customFormat="1" hidden="1" outlineLevel="1" x14ac:dyDescent="0.25">
      <c r="A48" s="44"/>
      <c r="B48" s="10" t="str">
        <f>CONCATENATE("          ", "4340", " - ", "SALES RETURN NON TAXABLE-LOGO")</f>
        <v xml:space="preserve">          4340 - SALES RETURN NON TAXABLE-LOGO</v>
      </c>
      <c r="C48" s="10"/>
      <c r="D48" s="2">
        <f>-664.13</f>
        <v>-664.13</v>
      </c>
      <c r="E48" s="2"/>
      <c r="F48" s="19"/>
      <c r="G48" s="2"/>
      <c r="H48" s="2">
        <f>-24.95</f>
        <v>-24.95</v>
      </c>
      <c r="I48" s="2"/>
      <c r="J48" s="19"/>
      <c r="K48" s="2"/>
      <c r="L48" s="2">
        <f t="shared" si="0"/>
        <v>-639.17999999999995</v>
      </c>
      <c r="M48" s="2"/>
      <c r="N48" s="19">
        <f t="shared" si="1"/>
        <v>25.618436873747495</v>
      </c>
      <c r="O48" s="10"/>
      <c r="P48" s="2">
        <f>-3307.52</f>
        <v>-3307.52</v>
      </c>
      <c r="Q48" s="2"/>
      <c r="R48" s="19"/>
      <c r="S48" s="2"/>
      <c r="T48" s="2">
        <f>-1020.4</f>
        <v>-1020.4</v>
      </c>
      <c r="U48" s="2"/>
      <c r="V48" s="19"/>
      <c r="W48" s="2"/>
      <c r="X48" s="2">
        <f t="shared" si="2"/>
        <v>-2287.12</v>
      </c>
      <c r="Y48" s="2"/>
      <c r="Z48" s="19">
        <f t="shared" si="3"/>
        <v>2.2413955311642493</v>
      </c>
    </row>
    <row r="49" spans="1:26" s="23" customFormat="1" hidden="1" outlineLevel="1" x14ac:dyDescent="0.25">
      <c r="A49" s="44"/>
      <c r="B49" s="10" t="str">
        <f>CONCATENATE("          ", "4341", " - ", "SALES RETURN NON TAXABLE-LOGO")</f>
        <v xml:space="preserve">          4341 - SALES RETURN NON TAXABLE-LOGO</v>
      </c>
      <c r="C49" s="10"/>
      <c r="D49" s="2">
        <f>-9.9</f>
        <v>-9.9</v>
      </c>
      <c r="E49" s="2"/>
      <c r="F49" s="19"/>
      <c r="G49" s="2"/>
      <c r="H49" s="2">
        <f t="shared" ref="H49:H50" si="12">0</f>
        <v>0</v>
      </c>
      <c r="I49" s="2"/>
      <c r="J49" s="19"/>
      <c r="K49" s="2"/>
      <c r="L49" s="2">
        <f t="shared" si="0"/>
        <v>-9.9</v>
      </c>
      <c r="M49" s="2"/>
      <c r="N49" s="19">
        <f t="shared" si="1"/>
        <v>0</v>
      </c>
      <c r="O49" s="10"/>
      <c r="P49" s="2">
        <f>-391.24</f>
        <v>-391.24</v>
      </c>
      <c r="Q49" s="2"/>
      <c r="R49" s="19"/>
      <c r="S49" s="2"/>
      <c r="T49" s="2">
        <f>-245.5</f>
        <v>-245.5</v>
      </c>
      <c r="U49" s="2"/>
      <c r="V49" s="19"/>
      <c r="W49" s="2"/>
      <c r="X49" s="2">
        <f t="shared" si="2"/>
        <v>-145.74</v>
      </c>
      <c r="Y49" s="2"/>
      <c r="Z49" s="19">
        <f t="shared" si="3"/>
        <v>0.59364562118126274</v>
      </c>
    </row>
    <row r="50" spans="1:26" s="23" customFormat="1" hidden="1" outlineLevel="1" x14ac:dyDescent="0.25">
      <c r="A50" s="44"/>
      <c r="B50" s="10" t="str">
        <f>CONCATENATE("          ", "4342", " - ", "SALES RETURN NON TAXABLE-EVERY")</f>
        <v xml:space="preserve">          4342 - SALES RETURN NON TAXABLE-EVERY</v>
      </c>
      <c r="C50" s="10"/>
      <c r="D50" s="2">
        <f>0</f>
        <v>0</v>
      </c>
      <c r="E50" s="2"/>
      <c r="F50" s="19"/>
      <c r="G50" s="2"/>
      <c r="H50" s="2">
        <f t="shared" si="12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0"/>
      <c r="P50" s="2">
        <f>-118.7</f>
        <v>-118.7</v>
      </c>
      <c r="Q50" s="2"/>
      <c r="R50" s="19"/>
      <c r="S50" s="2"/>
      <c r="T50" s="2">
        <f>-109.8</f>
        <v>-109.8</v>
      </c>
      <c r="U50" s="2"/>
      <c r="V50" s="19"/>
      <c r="W50" s="2"/>
      <c r="X50" s="2">
        <f t="shared" si="2"/>
        <v>-8.9000000000000057</v>
      </c>
      <c r="Y50" s="2"/>
      <c r="Z50" s="19">
        <f t="shared" si="3"/>
        <v>8.1056466302367999E-2</v>
      </c>
    </row>
    <row r="51" spans="1:26" x14ac:dyDescent="0.25">
      <c r="A51" s="9"/>
      <c r="B51" s="11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4" customFormat="1" collapsed="1" x14ac:dyDescent="0.25">
      <c r="A52" s="11"/>
      <c r="B52" s="28" t="s">
        <v>256</v>
      </c>
      <c r="C52" s="11"/>
      <c r="D52" s="4">
        <f>SUM(OSRRefD16x_0)</f>
        <v>174459</v>
      </c>
      <c r="E52" s="4"/>
      <c r="F52" s="13">
        <f t="shared" ref="F52:F77" si="13">IF(D$12=0,0,D52/D$12)</f>
        <v>0.47654190844901712</v>
      </c>
      <c r="G52" s="4"/>
      <c r="H52" s="4">
        <f>SUM(OSRRefH16x_0)</f>
        <v>58393.18</v>
      </c>
      <c r="I52" s="4"/>
      <c r="J52" s="13">
        <f t="shared" ref="J52:J77" si="14">IF(H$12=0,0,H52/H$12)</f>
        <v>0.46845546634251761</v>
      </c>
      <c r="K52" s="4"/>
      <c r="L52" s="4">
        <f t="shared" ref="L52:L77" si="15">+D52-H52</f>
        <v>116065.82</v>
      </c>
      <c r="M52" s="4"/>
      <c r="N52" s="13">
        <f t="shared" ref="N52:N77" si="16">IF(H52=0,0,L52/H52)</f>
        <v>1.9876605452897069</v>
      </c>
      <c r="O52" s="11"/>
      <c r="P52" s="4">
        <f>SUM(OSRRefP16x_0)</f>
        <v>915315.54000000015</v>
      </c>
      <c r="Q52" s="4"/>
      <c r="R52" s="13">
        <f t="shared" ref="R52:R77" si="17">IF(P$12=0,0,P52/P$12)</f>
        <v>0.55959031616939703</v>
      </c>
      <c r="S52" s="4"/>
      <c r="T52" s="4">
        <f>SUM(OSRRefT16x_0)</f>
        <v>1007506.22</v>
      </c>
      <c r="U52" s="4"/>
      <c r="V52" s="13">
        <f t="shared" ref="V52:V77" si="18">IF(T$12=0,0,T52/T$12)</f>
        <v>0.46684065652598628</v>
      </c>
      <c r="W52" s="4"/>
      <c r="X52" s="4">
        <f t="shared" ref="X52:X77" si="19">+P52-T52</f>
        <v>-92190.679999999818</v>
      </c>
      <c r="Y52" s="4"/>
      <c r="Z52" s="13">
        <f t="shared" ref="Z52:Z77" si="20">IF(T52=0,0,X52/T52)</f>
        <v>-9.1503832105373828E-2</v>
      </c>
    </row>
    <row r="53" spans="1:26" s="23" customFormat="1" hidden="1" outlineLevel="1" x14ac:dyDescent="0.25">
      <c r="A53" s="44"/>
      <c r="B53" s="10" t="str">
        <f>CONCATENATE("          ", "5000", " - ", "PURCHASES @ COST")</f>
        <v xml:space="preserve">          5000 - PURCHASES @ COST</v>
      </c>
      <c r="C53" s="10"/>
      <c r="D53" s="2"/>
      <c r="E53" s="2"/>
      <c r="F53" s="19">
        <f t="shared" si="13"/>
        <v>0</v>
      </c>
      <c r="G53" s="2"/>
      <c r="H53" s="2">
        <v>0</v>
      </c>
      <c r="I53" s="2"/>
      <c r="J53" s="19">
        <f t="shared" si="14"/>
        <v>0</v>
      </c>
      <c r="K53" s="2"/>
      <c r="L53" s="2">
        <f t="shared" si="15"/>
        <v>0</v>
      </c>
      <c r="M53" s="2"/>
      <c r="N53" s="19">
        <f t="shared" si="16"/>
        <v>0</v>
      </c>
      <c r="O53" s="10"/>
      <c r="P53" s="2"/>
      <c r="Q53" s="2"/>
      <c r="R53" s="19">
        <f t="shared" si="17"/>
        <v>0</v>
      </c>
      <c r="S53" s="2"/>
      <c r="T53" s="2">
        <v>0</v>
      </c>
      <c r="U53" s="2"/>
      <c r="V53" s="19">
        <f t="shared" si="18"/>
        <v>0</v>
      </c>
      <c r="W53" s="2"/>
      <c r="X53" s="2">
        <f t="shared" si="19"/>
        <v>0</v>
      </c>
      <c r="Y53" s="2"/>
      <c r="Z53" s="19">
        <f t="shared" si="20"/>
        <v>0</v>
      </c>
    </row>
    <row r="54" spans="1:26" s="23" customFormat="1" hidden="1" outlineLevel="1" x14ac:dyDescent="0.25">
      <c r="A54" s="44"/>
      <c r="B54" s="10" t="str">
        <f>CONCATENATE("          ", "5025", " - ", "PURCHASES @ COST-TEST FORMS")</f>
        <v xml:space="preserve">          5025 - PURCHASES @ COST-TEST FORMS</v>
      </c>
      <c r="C54" s="10"/>
      <c r="D54" s="2"/>
      <c r="E54" s="2"/>
      <c r="F54" s="19">
        <f t="shared" si="13"/>
        <v>0</v>
      </c>
      <c r="G54" s="2"/>
      <c r="H54" s="2"/>
      <c r="I54" s="2"/>
      <c r="J54" s="19">
        <f t="shared" si="14"/>
        <v>0</v>
      </c>
      <c r="K54" s="2"/>
      <c r="L54" s="2">
        <f t="shared" si="15"/>
        <v>0</v>
      </c>
      <c r="M54" s="2"/>
      <c r="N54" s="19">
        <f t="shared" si="16"/>
        <v>0</v>
      </c>
      <c r="O54" s="10"/>
      <c r="P54" s="2">
        <v>599.29</v>
      </c>
      <c r="Q54" s="2"/>
      <c r="R54" s="19">
        <f t="shared" si="17"/>
        <v>3.6638390360679097E-4</v>
      </c>
      <c r="S54" s="2"/>
      <c r="T54" s="2"/>
      <c r="U54" s="2"/>
      <c r="V54" s="19">
        <f t="shared" si="18"/>
        <v>0</v>
      </c>
      <c r="W54" s="2"/>
      <c r="X54" s="2">
        <f t="shared" si="19"/>
        <v>599.29</v>
      </c>
      <c r="Y54" s="2"/>
      <c r="Z54" s="19">
        <f t="shared" si="20"/>
        <v>0</v>
      </c>
    </row>
    <row r="55" spans="1:26" s="23" customFormat="1" hidden="1" outlineLevel="1" x14ac:dyDescent="0.25">
      <c r="A55" s="44"/>
      <c r="B55" s="10" t="str">
        <f>CONCATENATE("          ", "5026", " - ", "PURCHASES @ COST-WRITING INSTR")</f>
        <v xml:space="preserve">          5026 - PURCHASES @ COST-WRITING INSTR</v>
      </c>
      <c r="C55" s="10"/>
      <c r="D55" s="2"/>
      <c r="E55" s="2"/>
      <c r="F55" s="19">
        <f t="shared" si="13"/>
        <v>0</v>
      </c>
      <c r="G55" s="2"/>
      <c r="H55" s="2"/>
      <c r="I55" s="2"/>
      <c r="J55" s="19">
        <f t="shared" si="14"/>
        <v>0</v>
      </c>
      <c r="K55" s="2"/>
      <c r="L55" s="2">
        <f t="shared" si="15"/>
        <v>0</v>
      </c>
      <c r="M55" s="2"/>
      <c r="N55" s="19">
        <f t="shared" si="16"/>
        <v>0</v>
      </c>
      <c r="O55" s="10"/>
      <c r="P55" s="2">
        <v>219.64</v>
      </c>
      <c r="Q55" s="2"/>
      <c r="R55" s="19">
        <f t="shared" si="17"/>
        <v>1.3427983211499538E-4</v>
      </c>
      <c r="S55" s="2"/>
      <c r="T55" s="2"/>
      <c r="U55" s="2"/>
      <c r="V55" s="19">
        <f t="shared" si="18"/>
        <v>0</v>
      </c>
      <c r="W55" s="2"/>
      <c r="X55" s="2">
        <f t="shared" si="19"/>
        <v>219.64</v>
      </c>
      <c r="Y55" s="2"/>
      <c r="Z55" s="19">
        <f t="shared" si="20"/>
        <v>0</v>
      </c>
    </row>
    <row r="56" spans="1:26" s="23" customFormat="1" hidden="1" outlineLevel="1" x14ac:dyDescent="0.25">
      <c r="A56" s="44"/>
      <c r="B56" s="10" t="str">
        <f>CONCATENATE("          ", "5027", " - ", "PURCHASES @ COST-SCHOOL SUPPLI")</f>
        <v xml:space="preserve">          5027 - PURCHASES @ COST-SCHOOL SUPPLI</v>
      </c>
      <c r="C56" s="10"/>
      <c r="D56" s="2">
        <v>1838.72</v>
      </c>
      <c r="E56" s="2"/>
      <c r="F56" s="19">
        <f t="shared" si="13"/>
        <v>5.0225390372716609E-3</v>
      </c>
      <c r="G56" s="2"/>
      <c r="H56" s="2"/>
      <c r="I56" s="2"/>
      <c r="J56" s="19">
        <f t="shared" si="14"/>
        <v>0</v>
      </c>
      <c r="K56" s="2"/>
      <c r="L56" s="2">
        <f t="shared" si="15"/>
        <v>1838.72</v>
      </c>
      <c r="M56" s="2"/>
      <c r="N56" s="19">
        <f t="shared" si="16"/>
        <v>0</v>
      </c>
      <c r="O56" s="10"/>
      <c r="P56" s="2">
        <v>22839.13</v>
      </c>
      <c r="Q56" s="2"/>
      <c r="R56" s="19">
        <f t="shared" si="17"/>
        <v>1.3963005563888884E-2</v>
      </c>
      <c r="S56" s="2"/>
      <c r="T56" s="2"/>
      <c r="U56" s="2"/>
      <c r="V56" s="19">
        <f t="shared" si="18"/>
        <v>0</v>
      </c>
      <c r="W56" s="2"/>
      <c r="X56" s="2">
        <f t="shared" si="19"/>
        <v>22839.13</v>
      </c>
      <c r="Y56" s="2"/>
      <c r="Z56" s="19">
        <f t="shared" si="20"/>
        <v>0</v>
      </c>
    </row>
    <row r="57" spans="1:26" s="23" customFormat="1" hidden="1" outlineLevel="1" x14ac:dyDescent="0.25">
      <c r="A57" s="44"/>
      <c r="B57" s="10" t="str">
        <f>CONCATENATE("          ", "5028", " - ", "PURCHASES @ COST-ART/TECH")</f>
        <v xml:space="preserve">          5028 - PURCHASES @ COST-ART/TECH</v>
      </c>
      <c r="C57" s="10"/>
      <c r="D57" s="2">
        <v>1371.26</v>
      </c>
      <c r="E57" s="2"/>
      <c r="F57" s="19">
        <f t="shared" si="13"/>
        <v>3.7456528891017327E-3</v>
      </c>
      <c r="G57" s="2"/>
      <c r="H57" s="2"/>
      <c r="I57" s="2"/>
      <c r="J57" s="19">
        <f t="shared" si="14"/>
        <v>0</v>
      </c>
      <c r="K57" s="2"/>
      <c r="L57" s="2">
        <f t="shared" si="15"/>
        <v>1371.26</v>
      </c>
      <c r="M57" s="2"/>
      <c r="N57" s="19">
        <f t="shared" si="16"/>
        <v>0</v>
      </c>
      <c r="O57" s="10"/>
      <c r="P57" s="2">
        <v>5564.77</v>
      </c>
      <c r="Q57" s="2"/>
      <c r="R57" s="19">
        <f t="shared" si="17"/>
        <v>3.4020960724757006E-3</v>
      </c>
      <c r="S57" s="2"/>
      <c r="T57" s="2"/>
      <c r="U57" s="2"/>
      <c r="V57" s="19">
        <f t="shared" si="18"/>
        <v>0</v>
      </c>
      <c r="W57" s="2"/>
      <c r="X57" s="2">
        <f t="shared" si="19"/>
        <v>5564.77</v>
      </c>
      <c r="Y57" s="2"/>
      <c r="Z57" s="19">
        <f t="shared" si="20"/>
        <v>0</v>
      </c>
    </row>
    <row r="58" spans="1:26" s="23" customFormat="1" hidden="1" outlineLevel="1" x14ac:dyDescent="0.25">
      <c r="A58" s="44"/>
      <c r="B58" s="10" t="str">
        <f>CONCATENATE("          ", "5031", " - ", "PURCHASES @ COST-FOOD")</f>
        <v xml:space="preserve">          5031 - PURCHASES @ COST-FOOD</v>
      </c>
      <c r="C58" s="10"/>
      <c r="D58" s="2"/>
      <c r="E58" s="2"/>
      <c r="F58" s="19">
        <f t="shared" si="13"/>
        <v>0</v>
      </c>
      <c r="G58" s="2"/>
      <c r="H58" s="2"/>
      <c r="I58" s="2"/>
      <c r="J58" s="19">
        <f t="shared" si="14"/>
        <v>0</v>
      </c>
      <c r="K58" s="2"/>
      <c r="L58" s="2">
        <f t="shared" si="15"/>
        <v>0</v>
      </c>
      <c r="M58" s="2"/>
      <c r="N58" s="19">
        <f t="shared" si="16"/>
        <v>0</v>
      </c>
      <c r="O58" s="10"/>
      <c r="P58" s="2">
        <v>5344.15</v>
      </c>
      <c r="Q58" s="2"/>
      <c r="R58" s="19">
        <f t="shared" si="17"/>
        <v>3.267217104340523E-3</v>
      </c>
      <c r="S58" s="2"/>
      <c r="T58" s="2"/>
      <c r="U58" s="2"/>
      <c r="V58" s="19">
        <f t="shared" si="18"/>
        <v>0</v>
      </c>
      <c r="W58" s="2"/>
      <c r="X58" s="2">
        <f t="shared" si="19"/>
        <v>5344.15</v>
      </c>
      <c r="Y58" s="2"/>
      <c r="Z58" s="19">
        <f t="shared" si="20"/>
        <v>0</v>
      </c>
    </row>
    <row r="59" spans="1:26" s="23" customFormat="1" hidden="1" outlineLevel="1" x14ac:dyDescent="0.25">
      <c r="A59" s="44"/>
      <c r="B59" s="10" t="str">
        <f>CONCATENATE("          ", "5040", " - ", "PURCHASES @ COST-LOGO CLOTHING")</f>
        <v xml:space="preserve">          5040 - PURCHASES @ COST-LOGO CLOTHING</v>
      </c>
      <c r="C59" s="10"/>
      <c r="D59" s="2">
        <v>39218.65</v>
      </c>
      <c r="E59" s="2"/>
      <c r="F59" s="19">
        <f t="shared" si="13"/>
        <v>0.10712734979447346</v>
      </c>
      <c r="G59" s="2"/>
      <c r="H59" s="2">
        <v>7748.9</v>
      </c>
      <c r="I59" s="2"/>
      <c r="J59" s="19">
        <f t="shared" si="14"/>
        <v>6.2165043300288401E-2</v>
      </c>
      <c r="K59" s="2"/>
      <c r="L59" s="2">
        <f t="shared" si="15"/>
        <v>31469.75</v>
      </c>
      <c r="M59" s="2"/>
      <c r="N59" s="19">
        <f t="shared" si="16"/>
        <v>4.0611893300984656</v>
      </c>
      <c r="O59" s="10"/>
      <c r="P59" s="2">
        <v>279090.25</v>
      </c>
      <c r="Q59" s="2"/>
      <c r="R59" s="19">
        <f t="shared" si="17"/>
        <v>0.17062553230255004</v>
      </c>
      <c r="S59" s="2"/>
      <c r="T59" s="2">
        <v>778922.62</v>
      </c>
      <c r="U59" s="2"/>
      <c r="V59" s="19">
        <f t="shared" si="18"/>
        <v>0.36092357554253246</v>
      </c>
      <c r="W59" s="2"/>
      <c r="X59" s="2">
        <f t="shared" si="19"/>
        <v>-499832.37</v>
      </c>
      <c r="Y59" s="2"/>
      <c r="Z59" s="19">
        <f t="shared" si="20"/>
        <v>-0.6416970789730051</v>
      </c>
    </row>
    <row r="60" spans="1:26" s="23" customFormat="1" hidden="1" outlineLevel="1" x14ac:dyDescent="0.25">
      <c r="A60" s="44"/>
      <c r="B60" s="10" t="str">
        <f>CONCATENATE("          ", "5041", " - ", "PURCHASES @ COST-LOGO GIFTS")</f>
        <v xml:space="preserve">          5041 - PURCHASES @ COST-LOGO GIFTS</v>
      </c>
      <c r="C60" s="10"/>
      <c r="D60" s="2">
        <v>15798.51</v>
      </c>
      <c r="E60" s="2"/>
      <c r="F60" s="19">
        <f t="shared" si="13"/>
        <v>4.3154277544012527E-2</v>
      </c>
      <c r="G60" s="2"/>
      <c r="H60" s="2">
        <v>-5104.3599999999997</v>
      </c>
      <c r="I60" s="2"/>
      <c r="J60" s="19">
        <f t="shared" si="14"/>
        <v>-4.0949394161785557E-2</v>
      </c>
      <c r="K60" s="2"/>
      <c r="L60" s="2">
        <f t="shared" si="15"/>
        <v>20902.87</v>
      </c>
      <c r="M60" s="2"/>
      <c r="N60" s="19">
        <f t="shared" si="16"/>
        <v>-4.0951010508663179</v>
      </c>
      <c r="O60" s="10"/>
      <c r="P60" s="2">
        <v>84054.35</v>
      </c>
      <c r="Q60" s="2"/>
      <c r="R60" s="19">
        <f t="shared" si="17"/>
        <v>5.1387743610157813E-2</v>
      </c>
      <c r="S60" s="2"/>
      <c r="T60" s="2">
        <v>118479.11</v>
      </c>
      <c r="U60" s="2"/>
      <c r="V60" s="19">
        <f t="shared" si="18"/>
        <v>5.4898783152936316E-2</v>
      </c>
      <c r="W60" s="2"/>
      <c r="X60" s="2">
        <f t="shared" si="19"/>
        <v>-34424.759999999995</v>
      </c>
      <c r="Y60" s="2"/>
      <c r="Z60" s="19">
        <f t="shared" si="20"/>
        <v>-0.29055552493599923</v>
      </c>
    </row>
    <row r="61" spans="1:26" s="23" customFormat="1" hidden="1" outlineLevel="1" x14ac:dyDescent="0.25">
      <c r="A61" s="44"/>
      <c r="B61" s="10" t="str">
        <f>CONCATENATE("          ", "5042", " - ", "PURCHASES @ COST-EVERYDAY GIFT")</f>
        <v xml:space="preserve">          5042 - PURCHASES @ COST-EVERYDAY GIFT</v>
      </c>
      <c r="C61" s="10"/>
      <c r="D61" s="2"/>
      <c r="E61" s="2"/>
      <c r="F61" s="19">
        <f t="shared" si="13"/>
        <v>0</v>
      </c>
      <c r="G61" s="2"/>
      <c r="H61" s="2">
        <v>521.79999999999995</v>
      </c>
      <c r="I61" s="2"/>
      <c r="J61" s="19">
        <f t="shared" si="14"/>
        <v>4.1861063627212231E-3</v>
      </c>
      <c r="K61" s="2"/>
      <c r="L61" s="2">
        <f t="shared" si="15"/>
        <v>-521.79999999999995</v>
      </c>
      <c r="M61" s="2"/>
      <c r="N61" s="19">
        <f t="shared" si="16"/>
        <v>-1</v>
      </c>
      <c r="O61" s="10"/>
      <c r="P61" s="2">
        <v>10802.14</v>
      </c>
      <c r="Q61" s="2"/>
      <c r="R61" s="19">
        <f t="shared" si="17"/>
        <v>6.6040318051478605E-3</v>
      </c>
      <c r="S61" s="2"/>
      <c r="T61" s="2">
        <v>95367.41</v>
      </c>
      <c r="U61" s="2"/>
      <c r="V61" s="19">
        <f t="shared" si="18"/>
        <v>4.4189686784844778E-2</v>
      </c>
      <c r="W61" s="2"/>
      <c r="X61" s="2">
        <f t="shared" si="19"/>
        <v>-84565.27</v>
      </c>
      <c r="Y61" s="2"/>
      <c r="Z61" s="19">
        <f t="shared" si="20"/>
        <v>-0.88673132677085387</v>
      </c>
    </row>
    <row r="62" spans="1:26" s="23" customFormat="1" hidden="1" outlineLevel="1" x14ac:dyDescent="0.25">
      <c r="A62" s="44"/>
      <c r="B62" s="10" t="str">
        <f>CONCATENATE("          ", "5043", " - ", "PURCHASES @ COST-CARDS")</f>
        <v xml:space="preserve">          5043 - PURCHASES @ COST-CARDS</v>
      </c>
      <c r="C62" s="10"/>
      <c r="D62" s="2">
        <v>41</v>
      </c>
      <c r="E62" s="2"/>
      <c r="F62" s="19">
        <f t="shared" si="13"/>
        <v>1.1199318032551889E-4</v>
      </c>
      <c r="G62" s="2"/>
      <c r="H62" s="2">
        <v>6137.75</v>
      </c>
      <c r="I62" s="2"/>
      <c r="J62" s="19">
        <f t="shared" si="14"/>
        <v>4.9239697830188174E-2</v>
      </c>
      <c r="K62" s="2"/>
      <c r="L62" s="2">
        <f t="shared" si="15"/>
        <v>-6096.75</v>
      </c>
      <c r="M62" s="2"/>
      <c r="N62" s="19">
        <f t="shared" si="16"/>
        <v>-0.9933200276974461</v>
      </c>
      <c r="O62" s="10"/>
      <c r="P62" s="2">
        <v>55405.33</v>
      </c>
      <c r="Q62" s="2"/>
      <c r="R62" s="19">
        <f t="shared" si="17"/>
        <v>3.3872784605153507E-2</v>
      </c>
      <c r="S62" s="2"/>
      <c r="T62" s="2">
        <v>30760.19</v>
      </c>
      <c r="U62" s="2"/>
      <c r="V62" s="19">
        <f t="shared" si="18"/>
        <v>1.4253120238269178E-2</v>
      </c>
      <c r="W62" s="2"/>
      <c r="X62" s="2">
        <f t="shared" si="19"/>
        <v>24645.140000000003</v>
      </c>
      <c r="Y62" s="2"/>
      <c r="Z62" s="19">
        <f t="shared" si="20"/>
        <v>0.80120246331378331</v>
      </c>
    </row>
    <row r="63" spans="1:26" s="23" customFormat="1" hidden="1" outlineLevel="1" x14ac:dyDescent="0.25">
      <c r="A63" s="44"/>
      <c r="B63" s="10" t="str">
        <f>CONCATENATE("          ", "5044", " - ", "PURCHASES @ COST-ACCESSORIES")</f>
        <v xml:space="preserve">          5044 - PURCHASES @ COST-ACCESSORIES</v>
      </c>
      <c r="C63" s="10"/>
      <c r="D63" s="2">
        <v>1490.88</v>
      </c>
      <c r="E63" s="2"/>
      <c r="F63" s="19">
        <f t="shared" si="13"/>
        <v>4.0723998215538935E-3</v>
      </c>
      <c r="G63" s="2"/>
      <c r="H63" s="2">
        <v>4380</v>
      </c>
      <c r="I63" s="2"/>
      <c r="J63" s="19">
        <f t="shared" si="14"/>
        <v>3.5138263450975392E-2</v>
      </c>
      <c r="K63" s="2"/>
      <c r="L63" s="2">
        <f t="shared" si="15"/>
        <v>-2889.12</v>
      </c>
      <c r="M63" s="2"/>
      <c r="N63" s="19">
        <f t="shared" si="16"/>
        <v>-0.65961643835616435</v>
      </c>
      <c r="O63" s="10"/>
      <c r="P63" s="2">
        <v>2555.71</v>
      </c>
      <c r="Q63" s="2"/>
      <c r="R63" s="19">
        <f t="shared" si="17"/>
        <v>1.5624672634065508E-3</v>
      </c>
      <c r="S63" s="2"/>
      <c r="T63" s="2">
        <v>40855.08</v>
      </c>
      <c r="U63" s="2"/>
      <c r="V63" s="19">
        <f t="shared" si="18"/>
        <v>1.8930714263601957E-2</v>
      </c>
      <c r="W63" s="2"/>
      <c r="X63" s="2">
        <f t="shared" si="19"/>
        <v>-38299.370000000003</v>
      </c>
      <c r="Y63" s="2"/>
      <c r="Z63" s="19">
        <f t="shared" si="20"/>
        <v>-0.93744449894603077</v>
      </c>
    </row>
    <row r="64" spans="1:26" s="23" customFormat="1" hidden="1" outlineLevel="1" x14ac:dyDescent="0.25">
      <c r="A64" s="44"/>
      <c r="B64" s="10" t="str">
        <f>CONCATENATE("          ", "5045", " - ", "PURCHASES @ COST-SPECIAL ORDER")</f>
        <v xml:space="preserve">          5045 - PURCHASES @ COST-SPECIAL ORDER</v>
      </c>
      <c r="C64" s="10"/>
      <c r="D64" s="2">
        <v>5771.38</v>
      </c>
      <c r="E64" s="2"/>
      <c r="F64" s="19">
        <f t="shared" si="13"/>
        <v>1.5764761001636422E-2</v>
      </c>
      <c r="G64" s="2"/>
      <c r="H64" s="2">
        <v>4221.8999999999996</v>
      </c>
      <c r="I64" s="2"/>
      <c r="J64" s="19">
        <f t="shared" si="14"/>
        <v>3.3869916544217581E-2</v>
      </c>
      <c r="K64" s="2"/>
      <c r="L64" s="2">
        <f t="shared" si="15"/>
        <v>1549.4800000000005</v>
      </c>
      <c r="M64" s="2"/>
      <c r="N64" s="19">
        <f t="shared" si="16"/>
        <v>0.36701011392974742</v>
      </c>
      <c r="O64" s="10"/>
      <c r="P64" s="2">
        <v>114998.07</v>
      </c>
      <c r="Q64" s="2"/>
      <c r="R64" s="19">
        <f t="shared" si="17"/>
        <v>7.0305597947316001E-2</v>
      </c>
      <c r="S64" s="2"/>
      <c r="T64" s="2">
        <v>62921.35</v>
      </c>
      <c r="U64" s="2"/>
      <c r="V64" s="19">
        <f t="shared" si="18"/>
        <v>2.9155397515562106E-2</v>
      </c>
      <c r="W64" s="2"/>
      <c r="X64" s="2">
        <f t="shared" si="19"/>
        <v>52076.720000000008</v>
      </c>
      <c r="Y64" s="2"/>
      <c r="Z64" s="19">
        <f t="shared" si="20"/>
        <v>0.8276478492594328</v>
      </c>
    </row>
    <row r="65" spans="1:26" s="23" customFormat="1" hidden="1" outlineLevel="1" x14ac:dyDescent="0.25">
      <c r="A65" s="44"/>
      <c r="B65" s="10" t="str">
        <f>CONCATENATE("          ", "5200", " - ", "PURCHASES OFFSET")</f>
        <v xml:space="preserve">          5200 - PURCHASES OFFSET</v>
      </c>
      <c r="C65" s="10"/>
      <c r="D65" s="2">
        <v>-70754.37</v>
      </c>
      <c r="E65" s="2"/>
      <c r="F65" s="19">
        <f t="shared" si="13"/>
        <v>-0.19326846142020693</v>
      </c>
      <c r="G65" s="2"/>
      <c r="H65" s="2">
        <v>-19199</v>
      </c>
      <c r="I65" s="2"/>
      <c r="J65" s="19">
        <f t="shared" si="14"/>
        <v>-0.15402272146010879</v>
      </c>
      <c r="K65" s="2"/>
      <c r="L65" s="2">
        <f t="shared" si="15"/>
        <v>-51555.369999999995</v>
      </c>
      <c r="M65" s="2"/>
      <c r="N65" s="19">
        <f t="shared" si="16"/>
        <v>2.6853153810094272</v>
      </c>
      <c r="O65" s="10"/>
      <c r="P65" s="2">
        <v>-606458.98</v>
      </c>
      <c r="Q65" s="2"/>
      <c r="R65" s="19">
        <f t="shared" si="17"/>
        <v>-0.37076675477613974</v>
      </c>
      <c r="S65" s="2"/>
      <c r="T65" s="2">
        <v>-1170012</v>
      </c>
      <c r="U65" s="2"/>
      <c r="V65" s="19">
        <f t="shared" si="18"/>
        <v>-0.54213974998911896</v>
      </c>
      <c r="W65" s="2"/>
      <c r="X65" s="2">
        <f t="shared" si="19"/>
        <v>563553.02</v>
      </c>
      <c r="Y65" s="2"/>
      <c r="Z65" s="19">
        <f t="shared" si="20"/>
        <v>-0.48166430771650209</v>
      </c>
    </row>
    <row r="66" spans="1:26" s="23" customFormat="1" hidden="1" outlineLevel="1" x14ac:dyDescent="0.25">
      <c r="A66" s="44"/>
      <c r="B66" s="10" t="str">
        <f>CONCATENATE("          ", "5300", " - ", "COG$ OFFSET")</f>
        <v xml:space="preserve">          5300 - COG$ OFFSET</v>
      </c>
      <c r="C66" s="10"/>
      <c r="D66" s="2">
        <v>174459</v>
      </c>
      <c r="E66" s="2"/>
      <c r="F66" s="19">
        <f t="shared" si="13"/>
        <v>0.47654190844901712</v>
      </c>
      <c r="G66" s="2"/>
      <c r="H66" s="2">
        <v>58392</v>
      </c>
      <c r="I66" s="2"/>
      <c r="J66" s="19">
        <f t="shared" si="14"/>
        <v>0.46844599986971575</v>
      </c>
      <c r="K66" s="2"/>
      <c r="L66" s="2">
        <f t="shared" si="15"/>
        <v>116067</v>
      </c>
      <c r="M66" s="2"/>
      <c r="N66" s="19">
        <f t="shared" si="16"/>
        <v>1.9877209206740649</v>
      </c>
      <c r="O66" s="10"/>
      <c r="P66" s="2">
        <v>914399</v>
      </c>
      <c r="Q66" s="2"/>
      <c r="R66" s="19">
        <f t="shared" si="17"/>
        <v>0.55902997726333847</v>
      </c>
      <c r="S66" s="2"/>
      <c r="T66" s="2">
        <v>1007478</v>
      </c>
      <c r="U66" s="2"/>
      <c r="V66" s="19">
        <f t="shared" si="18"/>
        <v>0.46682758043467726</v>
      </c>
      <c r="W66" s="2"/>
      <c r="X66" s="2">
        <f t="shared" si="19"/>
        <v>-93079</v>
      </c>
      <c r="Y66" s="2"/>
      <c r="Z66" s="19">
        <f t="shared" si="20"/>
        <v>-9.2388121626477207E-2</v>
      </c>
    </row>
    <row r="67" spans="1:26" s="23" customFormat="1" hidden="1" outlineLevel="1" x14ac:dyDescent="0.25">
      <c r="A67" s="44"/>
      <c r="B67" s="10" t="str">
        <f>CONCATENATE("          ", "5500", " - ", "FREIGHT-IN")</f>
        <v xml:space="preserve">          5500 - FREIGHT-IN</v>
      </c>
      <c r="C67" s="10"/>
      <c r="D67" s="2"/>
      <c r="E67" s="2"/>
      <c r="F67" s="19">
        <f t="shared" si="13"/>
        <v>0</v>
      </c>
      <c r="G67" s="2"/>
      <c r="H67" s="2"/>
      <c r="I67" s="2"/>
      <c r="J67" s="19">
        <f t="shared" si="14"/>
        <v>0</v>
      </c>
      <c r="K67" s="2"/>
      <c r="L67" s="2">
        <f t="shared" si="15"/>
        <v>0</v>
      </c>
      <c r="M67" s="2"/>
      <c r="N67" s="19">
        <f t="shared" si="16"/>
        <v>0</v>
      </c>
      <c r="O67" s="10"/>
      <c r="P67" s="2"/>
      <c r="Q67" s="2"/>
      <c r="R67" s="19">
        <f t="shared" si="17"/>
        <v>0</v>
      </c>
      <c r="S67" s="2"/>
      <c r="T67" s="2">
        <v>29.23</v>
      </c>
      <c r="U67" s="2"/>
      <c r="V67" s="19">
        <f t="shared" si="18"/>
        <v>1.3544087489856469E-5</v>
      </c>
      <c r="W67" s="2"/>
      <c r="X67" s="2">
        <f t="shared" si="19"/>
        <v>-29.23</v>
      </c>
      <c r="Y67" s="2"/>
      <c r="Z67" s="19">
        <f t="shared" si="20"/>
        <v>-1</v>
      </c>
    </row>
    <row r="68" spans="1:26" s="23" customFormat="1" hidden="1" outlineLevel="1" x14ac:dyDescent="0.25">
      <c r="A68" s="44"/>
      <c r="B68" s="10" t="str">
        <f>CONCATENATE("          ", "5525", " - ", "FREIGHT-IN-TEST FORMS")</f>
        <v xml:space="preserve">          5525 - FREIGHT-IN-TEST FORMS</v>
      </c>
      <c r="C68" s="10"/>
      <c r="D68" s="2"/>
      <c r="E68" s="2"/>
      <c r="F68" s="19">
        <f t="shared" si="13"/>
        <v>0</v>
      </c>
      <c r="G68" s="2"/>
      <c r="H68" s="2"/>
      <c r="I68" s="2"/>
      <c r="J68" s="19">
        <f t="shared" si="14"/>
        <v>0</v>
      </c>
      <c r="K68" s="2"/>
      <c r="L68" s="2">
        <f t="shared" si="15"/>
        <v>0</v>
      </c>
      <c r="M68" s="2"/>
      <c r="N68" s="19">
        <f t="shared" si="16"/>
        <v>0</v>
      </c>
      <c r="O68" s="10"/>
      <c r="P68" s="2">
        <v>48.14</v>
      </c>
      <c r="Q68" s="2"/>
      <c r="R68" s="19">
        <f t="shared" si="17"/>
        <v>2.943102858320833E-5</v>
      </c>
      <c r="S68" s="2"/>
      <c r="T68" s="2"/>
      <c r="U68" s="2"/>
      <c r="V68" s="19">
        <f t="shared" si="18"/>
        <v>0</v>
      </c>
      <c r="W68" s="2"/>
      <c r="X68" s="2">
        <f t="shared" si="19"/>
        <v>48.14</v>
      </c>
      <c r="Y68" s="2"/>
      <c r="Z68" s="19">
        <f t="shared" si="20"/>
        <v>0</v>
      </c>
    </row>
    <row r="69" spans="1:26" s="23" customFormat="1" hidden="1" outlineLevel="1" x14ac:dyDescent="0.25">
      <c r="A69" s="44"/>
      <c r="B69" s="10" t="str">
        <f>CONCATENATE("          ", "5526", " - ", "FREIGHT-IN-WRITING INSTRUMENTS")</f>
        <v xml:space="preserve">          5526 - FREIGHT-IN-WRITING INSTRUMENTS</v>
      </c>
      <c r="C69" s="10"/>
      <c r="D69" s="2"/>
      <c r="E69" s="2"/>
      <c r="F69" s="19">
        <f t="shared" si="13"/>
        <v>0</v>
      </c>
      <c r="G69" s="2"/>
      <c r="H69" s="2"/>
      <c r="I69" s="2"/>
      <c r="J69" s="19">
        <f t="shared" si="14"/>
        <v>0</v>
      </c>
      <c r="K69" s="2"/>
      <c r="L69" s="2">
        <f t="shared" si="15"/>
        <v>0</v>
      </c>
      <c r="M69" s="2"/>
      <c r="N69" s="19">
        <f t="shared" si="16"/>
        <v>0</v>
      </c>
      <c r="O69" s="10"/>
      <c r="P69" s="2">
        <v>0</v>
      </c>
      <c r="Q69" s="2"/>
      <c r="R69" s="19">
        <f t="shared" si="17"/>
        <v>0</v>
      </c>
      <c r="S69" s="2"/>
      <c r="T69" s="2"/>
      <c r="U69" s="2"/>
      <c r="V69" s="19">
        <f t="shared" si="18"/>
        <v>0</v>
      </c>
      <c r="W69" s="2"/>
      <c r="X69" s="2">
        <f t="shared" si="19"/>
        <v>0</v>
      </c>
      <c r="Y69" s="2"/>
      <c r="Z69" s="19">
        <f t="shared" si="20"/>
        <v>0</v>
      </c>
    </row>
    <row r="70" spans="1:26" s="23" customFormat="1" hidden="1" outlineLevel="1" x14ac:dyDescent="0.25">
      <c r="A70" s="44"/>
      <c r="B70" s="10" t="str">
        <f>CONCATENATE("          ", "5527", " - ", "FREIGHT-IN-SCHOOL SUPPLIES")</f>
        <v xml:space="preserve">          5527 - FREIGHT-IN-SCHOOL SUPPLIES</v>
      </c>
      <c r="C70" s="10"/>
      <c r="D70" s="2"/>
      <c r="E70" s="2"/>
      <c r="F70" s="19">
        <f t="shared" si="13"/>
        <v>0</v>
      </c>
      <c r="G70" s="2"/>
      <c r="H70" s="2"/>
      <c r="I70" s="2"/>
      <c r="J70" s="19">
        <f t="shared" si="14"/>
        <v>0</v>
      </c>
      <c r="K70" s="2"/>
      <c r="L70" s="2">
        <f t="shared" si="15"/>
        <v>0</v>
      </c>
      <c r="M70" s="2"/>
      <c r="N70" s="19">
        <f t="shared" si="16"/>
        <v>0</v>
      </c>
      <c r="O70" s="10"/>
      <c r="P70" s="2">
        <v>218.62</v>
      </c>
      <c r="Q70" s="2"/>
      <c r="R70" s="19">
        <f t="shared" si="17"/>
        <v>1.3365624156337776E-4</v>
      </c>
      <c r="S70" s="2"/>
      <c r="T70" s="2"/>
      <c r="U70" s="2"/>
      <c r="V70" s="19">
        <f t="shared" si="18"/>
        <v>0</v>
      </c>
      <c r="W70" s="2"/>
      <c r="X70" s="2">
        <f t="shared" si="19"/>
        <v>218.62</v>
      </c>
      <c r="Y70" s="2"/>
      <c r="Z70" s="19">
        <f t="shared" si="20"/>
        <v>0</v>
      </c>
    </row>
    <row r="71" spans="1:26" s="23" customFormat="1" hidden="1" outlineLevel="1" x14ac:dyDescent="0.25">
      <c r="A71" s="44"/>
      <c r="B71" s="10" t="str">
        <f>CONCATENATE("          ", "5528", " - ", "FREIGHT-IN-ART/TECH")</f>
        <v xml:space="preserve">          5528 - FREIGHT-IN-ART/TECH</v>
      </c>
      <c r="C71" s="10"/>
      <c r="D71" s="2">
        <v>69.73</v>
      </c>
      <c r="E71" s="2"/>
      <c r="F71" s="19">
        <f t="shared" si="13"/>
        <v>1.9047035278288861E-4</v>
      </c>
      <c r="G71" s="2"/>
      <c r="H71" s="2"/>
      <c r="I71" s="2"/>
      <c r="J71" s="19">
        <f t="shared" si="14"/>
        <v>0</v>
      </c>
      <c r="K71" s="2"/>
      <c r="L71" s="2">
        <f t="shared" si="15"/>
        <v>69.73</v>
      </c>
      <c r="M71" s="2"/>
      <c r="N71" s="19">
        <f t="shared" si="16"/>
        <v>0</v>
      </c>
      <c r="O71" s="10"/>
      <c r="P71" s="2">
        <v>176.91</v>
      </c>
      <c r="Q71" s="2"/>
      <c r="R71" s="19">
        <f t="shared" si="17"/>
        <v>1.0815627890850405E-4</v>
      </c>
      <c r="S71" s="2"/>
      <c r="T71" s="2"/>
      <c r="U71" s="2"/>
      <c r="V71" s="19">
        <f t="shared" si="18"/>
        <v>0</v>
      </c>
      <c r="W71" s="2"/>
      <c r="X71" s="2">
        <f t="shared" si="19"/>
        <v>176.91</v>
      </c>
      <c r="Y71" s="2"/>
      <c r="Z71" s="19">
        <f t="shared" si="20"/>
        <v>0</v>
      </c>
    </row>
    <row r="72" spans="1:26" s="23" customFormat="1" hidden="1" outlineLevel="1" x14ac:dyDescent="0.25">
      <c r="A72" s="44"/>
      <c r="B72" s="10" t="str">
        <f>CONCATENATE("          ", "5540", " - ", "FREIGHT-IN-LOGO CLOTHING")</f>
        <v xml:space="preserve">          5540 - FREIGHT-IN-LOGO CLOTHING</v>
      </c>
      <c r="C72" s="10"/>
      <c r="D72" s="2">
        <v>2107.65</v>
      </c>
      <c r="E72" s="2"/>
      <c r="F72" s="19">
        <f t="shared" si="13"/>
        <v>5.7571323539775589E-3</v>
      </c>
      <c r="G72" s="2"/>
      <c r="H72" s="2">
        <v>1044.9100000000001</v>
      </c>
      <c r="I72" s="2"/>
      <c r="J72" s="19">
        <f t="shared" si="14"/>
        <v>8.3827221147394285E-3</v>
      </c>
      <c r="K72" s="2"/>
      <c r="L72" s="2">
        <f t="shared" si="15"/>
        <v>1062.74</v>
      </c>
      <c r="M72" s="2"/>
      <c r="N72" s="19">
        <f t="shared" si="16"/>
        <v>1.0170636705553588</v>
      </c>
      <c r="O72" s="10"/>
      <c r="P72" s="2">
        <v>9216.02</v>
      </c>
      <c r="Q72" s="2"/>
      <c r="R72" s="19">
        <f t="shared" si="17"/>
        <v>5.6343362701167356E-3</v>
      </c>
      <c r="S72" s="2"/>
      <c r="T72" s="2">
        <v>31680.79</v>
      </c>
      <c r="U72" s="2"/>
      <c r="V72" s="19">
        <f t="shared" si="18"/>
        <v>1.4679691806629147E-2</v>
      </c>
      <c r="W72" s="2"/>
      <c r="X72" s="2">
        <f t="shared" si="19"/>
        <v>-22464.77</v>
      </c>
      <c r="Y72" s="2"/>
      <c r="Z72" s="19">
        <f t="shared" si="20"/>
        <v>-0.7090975319744236</v>
      </c>
    </row>
    <row r="73" spans="1:26" s="23" customFormat="1" hidden="1" outlineLevel="1" x14ac:dyDescent="0.25">
      <c r="A73" s="44"/>
      <c r="B73" s="10" t="str">
        <f>CONCATENATE("          ", "5541", " - ", "FREIGHT-IN-LOGO GIFTS")</f>
        <v xml:space="preserve">          5541 - FREIGHT-IN-LOGO GIFTS</v>
      </c>
      <c r="C73" s="10"/>
      <c r="D73" s="2">
        <v>2877.99</v>
      </c>
      <c r="E73" s="2"/>
      <c r="F73" s="19">
        <f t="shared" si="13"/>
        <v>7.8613476352448804E-3</v>
      </c>
      <c r="G73" s="2"/>
      <c r="H73" s="2">
        <v>186.99</v>
      </c>
      <c r="I73" s="2"/>
      <c r="J73" s="19">
        <f t="shared" si="14"/>
        <v>1.5001150417118466E-3</v>
      </c>
      <c r="K73" s="2"/>
      <c r="L73" s="2">
        <f t="shared" si="15"/>
        <v>2691</v>
      </c>
      <c r="M73" s="2"/>
      <c r="N73" s="19">
        <f t="shared" si="16"/>
        <v>14.391143911439114</v>
      </c>
      <c r="O73" s="10"/>
      <c r="P73" s="2">
        <v>5015.99</v>
      </c>
      <c r="Q73" s="2"/>
      <c r="R73" s="19">
        <f t="shared" si="17"/>
        <v>3.0665921284396998E-3</v>
      </c>
      <c r="S73" s="2"/>
      <c r="T73" s="2">
        <v>4882.9399999999996</v>
      </c>
      <c r="U73" s="2"/>
      <c r="V73" s="19">
        <f t="shared" si="18"/>
        <v>2.2625715555155573E-3</v>
      </c>
      <c r="W73" s="2"/>
      <c r="X73" s="2">
        <f t="shared" si="19"/>
        <v>133.05000000000018</v>
      </c>
      <c r="Y73" s="2"/>
      <c r="Z73" s="19">
        <f t="shared" si="20"/>
        <v>2.7247928502090991E-2</v>
      </c>
    </row>
    <row r="74" spans="1:26" s="23" customFormat="1" hidden="1" outlineLevel="1" x14ac:dyDescent="0.25">
      <c r="A74" s="44"/>
      <c r="B74" s="10" t="str">
        <f>CONCATENATE("          ", "5542", " - ", "FREIGHT-IN-EVERYDAY GIFTS")</f>
        <v xml:space="preserve">          5542 - FREIGHT-IN-EVERYDAY GIFTS</v>
      </c>
      <c r="C74" s="10"/>
      <c r="D74" s="2"/>
      <c r="E74" s="2"/>
      <c r="F74" s="19">
        <f t="shared" si="13"/>
        <v>0</v>
      </c>
      <c r="G74" s="2"/>
      <c r="H74" s="2">
        <v>45.1</v>
      </c>
      <c r="I74" s="2"/>
      <c r="J74" s="19">
        <f t="shared" si="14"/>
        <v>3.6181179946095666E-4</v>
      </c>
      <c r="K74" s="2"/>
      <c r="L74" s="2">
        <f t="shared" si="15"/>
        <v>-45.1</v>
      </c>
      <c r="M74" s="2"/>
      <c r="N74" s="19">
        <f t="shared" si="16"/>
        <v>-1</v>
      </c>
      <c r="O74" s="10"/>
      <c r="P74" s="2">
        <v>681.72</v>
      </c>
      <c r="Q74" s="2"/>
      <c r="R74" s="19">
        <f t="shared" si="17"/>
        <v>4.1677857926349776E-4</v>
      </c>
      <c r="S74" s="2"/>
      <c r="T74" s="2">
        <v>1839.04</v>
      </c>
      <c r="U74" s="2"/>
      <c r="V74" s="19">
        <f t="shared" si="18"/>
        <v>8.521422736006035E-4</v>
      </c>
      <c r="W74" s="2"/>
      <c r="X74" s="2">
        <f t="shared" si="19"/>
        <v>-1157.32</v>
      </c>
      <c r="Y74" s="2"/>
      <c r="Z74" s="19">
        <f t="shared" si="20"/>
        <v>-0.62930659474508432</v>
      </c>
    </row>
    <row r="75" spans="1:26" s="23" customFormat="1" hidden="1" outlineLevel="1" x14ac:dyDescent="0.25">
      <c r="A75" s="44"/>
      <c r="B75" s="10" t="str">
        <f>CONCATENATE("          ", "5543", " - ", "FREIGHT-IN-CARDS")</f>
        <v xml:space="preserve">          5543 - FREIGHT-IN-CARDS</v>
      </c>
      <c r="C75" s="10"/>
      <c r="D75" s="2"/>
      <c r="E75" s="2"/>
      <c r="F75" s="19">
        <f t="shared" si="13"/>
        <v>0</v>
      </c>
      <c r="G75" s="2"/>
      <c r="H75" s="2"/>
      <c r="I75" s="2"/>
      <c r="J75" s="19">
        <f t="shared" si="14"/>
        <v>0</v>
      </c>
      <c r="K75" s="2"/>
      <c r="L75" s="2">
        <f t="shared" si="15"/>
        <v>0</v>
      </c>
      <c r="M75" s="2"/>
      <c r="N75" s="19">
        <f t="shared" si="16"/>
        <v>0</v>
      </c>
      <c r="O75" s="10"/>
      <c r="P75" s="2">
        <v>9110.5300000000007</v>
      </c>
      <c r="Q75" s="2"/>
      <c r="R75" s="19">
        <f t="shared" si="17"/>
        <v>5.5698435570871833E-3</v>
      </c>
      <c r="S75" s="2"/>
      <c r="T75" s="2">
        <v>2926.76</v>
      </c>
      <c r="U75" s="2"/>
      <c r="V75" s="19">
        <f t="shared" si="18"/>
        <v>1.3561509921933741E-3</v>
      </c>
      <c r="W75" s="2"/>
      <c r="X75" s="2">
        <f t="shared" si="19"/>
        <v>6183.77</v>
      </c>
      <c r="Y75" s="2"/>
      <c r="Z75" s="19">
        <f t="shared" si="20"/>
        <v>2.112838087168063</v>
      </c>
    </row>
    <row r="76" spans="1:26" s="23" customFormat="1" hidden="1" outlineLevel="1" x14ac:dyDescent="0.25">
      <c r="A76" s="44"/>
      <c r="B76" s="10" t="str">
        <f>CONCATENATE("          ", "5544", " - ", "FREIGHT-IN-ACCESSORIES")</f>
        <v xml:space="preserve">          5544 - FREIGHT-IN-ACCESSORIES</v>
      </c>
      <c r="C76" s="10"/>
      <c r="D76" s="2"/>
      <c r="E76" s="2"/>
      <c r="F76" s="19">
        <f t="shared" si="13"/>
        <v>0</v>
      </c>
      <c r="G76" s="2"/>
      <c r="H76" s="2"/>
      <c r="I76" s="2"/>
      <c r="J76" s="19">
        <f t="shared" si="14"/>
        <v>0</v>
      </c>
      <c r="K76" s="2"/>
      <c r="L76" s="2">
        <f t="shared" si="15"/>
        <v>0</v>
      </c>
      <c r="M76" s="2"/>
      <c r="N76" s="19">
        <f t="shared" si="16"/>
        <v>0</v>
      </c>
      <c r="O76" s="10"/>
      <c r="P76" s="2"/>
      <c r="Q76" s="2"/>
      <c r="R76" s="19">
        <f t="shared" si="17"/>
        <v>0</v>
      </c>
      <c r="S76" s="2"/>
      <c r="T76" s="2">
        <v>483.44</v>
      </c>
      <c r="U76" s="2"/>
      <c r="V76" s="19">
        <f t="shared" si="18"/>
        <v>2.2400799370838904E-4</v>
      </c>
      <c r="W76" s="2"/>
      <c r="X76" s="2">
        <f t="shared" si="19"/>
        <v>-483.44</v>
      </c>
      <c r="Y76" s="2"/>
      <c r="Z76" s="19">
        <f t="shared" si="20"/>
        <v>-1</v>
      </c>
    </row>
    <row r="77" spans="1:26" s="23" customFormat="1" hidden="1" outlineLevel="1" x14ac:dyDescent="0.25">
      <c r="A77" s="44"/>
      <c r="B77" s="10" t="str">
        <f>CONCATENATE("          ", "5545", " - ", "FREIGHT-IN-SPECIAL ORDERS")</f>
        <v xml:space="preserve">          5545 - FREIGHT-IN-SPECIAL ORDERS</v>
      </c>
      <c r="C77" s="10"/>
      <c r="D77" s="2">
        <v>168.6</v>
      </c>
      <c r="E77" s="2"/>
      <c r="F77" s="19">
        <f t="shared" si="13"/>
        <v>4.6053780982640208E-4</v>
      </c>
      <c r="G77" s="2"/>
      <c r="H77" s="2">
        <v>17.190000000000001</v>
      </c>
      <c r="I77" s="2"/>
      <c r="J77" s="19">
        <f t="shared" si="14"/>
        <v>1.3790565039321166E-4</v>
      </c>
      <c r="K77" s="2"/>
      <c r="L77" s="2">
        <f t="shared" si="15"/>
        <v>151.41</v>
      </c>
      <c r="M77" s="2"/>
      <c r="N77" s="19">
        <f t="shared" si="16"/>
        <v>8.8080279232111689</v>
      </c>
      <c r="O77" s="10"/>
      <c r="P77" s="2">
        <v>1434.76</v>
      </c>
      <c r="Q77" s="2"/>
      <c r="R77" s="19">
        <f t="shared" si="17"/>
        <v>8.7715958807735729E-4</v>
      </c>
      <c r="S77" s="2"/>
      <c r="T77" s="2">
        <v>892.26</v>
      </c>
      <c r="U77" s="2"/>
      <c r="V77" s="19">
        <f t="shared" si="18"/>
        <v>4.13439873544281E-4</v>
      </c>
      <c r="W77" s="2"/>
      <c r="X77" s="2">
        <f t="shared" si="19"/>
        <v>542.5</v>
      </c>
      <c r="Y77" s="2"/>
      <c r="Z77" s="19">
        <f t="shared" si="20"/>
        <v>0.60800663483737927</v>
      </c>
    </row>
    <row r="78" spans="1:26" x14ac:dyDescent="0.25">
      <c r="A78" s="9"/>
      <c r="B78" s="11"/>
      <c r="C78" s="11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1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4" customFormat="1" x14ac:dyDescent="0.25">
      <c r="A79" s="11"/>
      <c r="B79" s="29" t="s">
        <v>107</v>
      </c>
      <c r="C79" s="29"/>
      <c r="D79" s="20">
        <f>D12-D52</f>
        <v>191634.7199999998</v>
      </c>
      <c r="E79" s="14"/>
      <c r="F79" s="22">
        <f>IF(D$12=0,0,D79/D$12)</f>
        <v>0.52345809155098288</v>
      </c>
      <c r="G79" s="14"/>
      <c r="H79" s="20">
        <f>H12-H52</f>
        <v>66257.25999999998</v>
      </c>
      <c r="I79" s="14"/>
      <c r="J79" s="22">
        <f>IF(H$12=0,0,H79/H$12)</f>
        <v>0.53154453365748244</v>
      </c>
      <c r="K79" s="16"/>
      <c r="L79" s="20">
        <f>+D79-H79</f>
        <v>125377.45999999982</v>
      </c>
      <c r="M79" s="16"/>
      <c r="N79" s="22">
        <f>IF(H79=0,0,L79/H79)</f>
        <v>1.8922825966543115</v>
      </c>
      <c r="O79" s="28"/>
      <c r="P79" s="20">
        <f>P12-P52</f>
        <v>720373.12999999931</v>
      </c>
      <c r="Q79" s="14"/>
      <c r="R79" s="22">
        <f>IF(P$12=0,0,P79/P$12)</f>
        <v>0.44040968383060303</v>
      </c>
      <c r="S79" s="14"/>
      <c r="T79" s="20">
        <f>T12-T52</f>
        <v>1150631.0500000005</v>
      </c>
      <c r="U79" s="14"/>
      <c r="V79" s="22">
        <f>IF(T$12=0,0,T79/T$12)</f>
        <v>0.53315934347401372</v>
      </c>
      <c r="W79" s="16"/>
      <c r="X79" s="20">
        <f>+P79-T79</f>
        <v>-430257.92000000121</v>
      </c>
      <c r="Y79" s="16"/>
      <c r="Z79" s="22">
        <f>IF(T79=0,0,X79/T79)</f>
        <v>-0.37393213054697333</v>
      </c>
    </row>
    <row r="80" spans="1:26" x14ac:dyDescent="0.25">
      <c r="A80" s="9"/>
      <c r="B80" s="11"/>
      <c r="C80" s="9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4" customFormat="1" x14ac:dyDescent="0.25">
      <c r="A81" s="11"/>
      <c r="B81" s="28" t="s">
        <v>294</v>
      </c>
      <c r="C81" s="11"/>
      <c r="D81" s="21">
        <f>SUM(OSRRefD22x_0)</f>
        <v>57069</v>
      </c>
      <c r="E81" s="21"/>
      <c r="F81" s="31">
        <f t="shared" ref="F81:F90" si="21">IF(D$12=0,0,D81/D$12)</f>
        <v>0.15588631239017164</v>
      </c>
      <c r="G81" s="21"/>
      <c r="H81" s="21">
        <f>SUM(OSRRefH22x_0)</f>
        <v>68744.080000000016</v>
      </c>
      <c r="I81" s="21"/>
      <c r="J81" s="31">
        <f t="shared" ref="J81:J90" si="22">IF(H$12=0,0,H81/H$12)</f>
        <v>0.55149488441436734</v>
      </c>
      <c r="K81" s="4"/>
      <c r="L81" s="21">
        <f t="shared" ref="L81:L90" si="23">+D81-H81</f>
        <v>-11675.080000000016</v>
      </c>
      <c r="M81" s="4"/>
      <c r="N81" s="31">
        <f t="shared" ref="N81:N90" si="24">IF(H81=0,0,L81/H81)</f>
        <v>-0.16983396970328229</v>
      </c>
      <c r="O81" s="11"/>
      <c r="P81" s="21">
        <f>SUM(OSRRefP22x_0)</f>
        <v>472436.9499999999</v>
      </c>
      <c r="Q81" s="21"/>
      <c r="R81" s="31">
        <f t="shared" ref="R81:R90" si="25">IF(P$12=0,0,P81/P$12)</f>
        <v>0.28883060613240052</v>
      </c>
      <c r="S81" s="21"/>
      <c r="T81" s="21">
        <f>SUM(OSRRefT22x_0)</f>
        <v>620544.02</v>
      </c>
      <c r="U81" s="21"/>
      <c r="V81" s="31">
        <f t="shared" ref="V81:V90" si="26">IF(T$12=0,0,T81/T$12)</f>
        <v>0.28753686275016227</v>
      </c>
      <c r="W81" s="4"/>
      <c r="X81" s="21">
        <f t="shared" ref="X81:X90" si="27">+P81-T81</f>
        <v>-148107.07000000012</v>
      </c>
      <c r="Y81" s="4"/>
      <c r="Z81" s="31">
        <f t="shared" ref="Z81:Z90" si="28">IF(T81=0,0,X81/T81)</f>
        <v>-0.23867294700543584</v>
      </c>
    </row>
    <row r="82" spans="1:26" s="26" customFormat="1" outlineLevel="1" collapsed="1" x14ac:dyDescent="0.25">
      <c r="A82" s="25"/>
      <c r="B82" s="12" t="str">
        <f>CONCATENATE("     ","*Benefits                                         ")</f>
        <v xml:space="preserve">     *Benefits                                         </v>
      </c>
      <c r="C82" s="12"/>
      <c r="D82" s="1">
        <f>SUM(OSRRefD22_0x_0)</f>
        <v>11502.99</v>
      </c>
      <c r="E82" s="1"/>
      <c r="F82" s="5">
        <f t="shared" si="21"/>
        <v>3.1420888618357089E-2</v>
      </c>
      <c r="G82" s="1"/>
      <c r="H82" s="1">
        <f>SUM(OSRRefH22_0x_0)</f>
        <v>5747.9800000000005</v>
      </c>
      <c r="I82" s="1"/>
      <c r="J82" s="5">
        <f t="shared" si="22"/>
        <v>4.6112793504780258E-2</v>
      </c>
      <c r="K82" s="1"/>
      <c r="L82" s="1">
        <f t="shared" si="23"/>
        <v>5755.0099999999993</v>
      </c>
      <c r="M82" s="1"/>
      <c r="N82" s="5">
        <f t="shared" si="24"/>
        <v>1.0012230383543435</v>
      </c>
      <c r="O82" s="12"/>
      <c r="P82" s="1">
        <f>SUM(OSRRefP22_0x_0)</f>
        <v>102199.01</v>
      </c>
      <c r="Q82" s="1"/>
      <c r="R82" s="5">
        <f t="shared" si="25"/>
        <v>6.2480722569289444E-2</v>
      </c>
      <c r="S82" s="1"/>
      <c r="T82" s="1">
        <f>SUM(OSRRefT22_0x_0)</f>
        <v>69024.039999999994</v>
      </c>
      <c r="U82" s="1"/>
      <c r="V82" s="5">
        <f t="shared" si="26"/>
        <v>3.1983155547839634E-2</v>
      </c>
      <c r="W82" s="1"/>
      <c r="X82" s="1">
        <f t="shared" si="27"/>
        <v>33174.97</v>
      </c>
      <c r="Y82" s="1"/>
      <c r="Z82" s="5">
        <f t="shared" si="28"/>
        <v>0.48062921266271874</v>
      </c>
    </row>
    <row r="83" spans="1:26" s="23" customFormat="1" hidden="1" outlineLevel="2" x14ac:dyDescent="0.25">
      <c r="A83" s="27"/>
      <c r="B83" s="10" t="str">
        <f>CONCATENATE("          ", "6111", " - ", "F.I.C.A.")</f>
        <v xml:space="preserve">          6111 - F.I.C.A.</v>
      </c>
      <c r="C83" s="10"/>
      <c r="D83" s="6">
        <v>2781.47</v>
      </c>
      <c r="E83" s="2"/>
      <c r="F83" s="7">
        <f t="shared" si="21"/>
        <v>7.5976992995127075E-3</v>
      </c>
      <c r="G83" s="2"/>
      <c r="H83" s="6">
        <v>1439.91</v>
      </c>
      <c r="I83" s="2"/>
      <c r="J83" s="7">
        <f t="shared" si="22"/>
        <v>1.1551583772989493E-2</v>
      </c>
      <c r="K83" s="2"/>
      <c r="L83" s="6">
        <f t="shared" si="23"/>
        <v>1341.5599999999997</v>
      </c>
      <c r="M83" s="2"/>
      <c r="N83" s="7">
        <f t="shared" si="24"/>
        <v>0.93169711995888604</v>
      </c>
      <c r="O83" s="10"/>
      <c r="P83" s="6">
        <v>23006.51</v>
      </c>
      <c r="Q83" s="2"/>
      <c r="R83" s="7">
        <f t="shared" si="25"/>
        <v>1.4065335550682763E-2</v>
      </c>
      <c r="S83" s="2"/>
      <c r="T83" s="6">
        <v>12812.46</v>
      </c>
      <c r="U83" s="2"/>
      <c r="V83" s="7">
        <f t="shared" si="26"/>
        <v>5.9368142045941293E-3</v>
      </c>
      <c r="W83" s="2"/>
      <c r="X83" s="6">
        <f t="shared" si="27"/>
        <v>10194.049999999999</v>
      </c>
      <c r="Y83" s="2"/>
      <c r="Z83" s="7">
        <f t="shared" si="28"/>
        <v>0.79563565466740971</v>
      </c>
    </row>
    <row r="84" spans="1:26" s="23" customFormat="1" hidden="1" outlineLevel="2" x14ac:dyDescent="0.25">
      <c r="A84" s="27"/>
      <c r="B84" s="10" t="str">
        <f>CONCATENATE("          ", "6112", " - ", "COMPENSATION INSURANCE")</f>
        <v xml:space="preserve">          6112 - COMPENSATION INSURANCE</v>
      </c>
      <c r="C84" s="10"/>
      <c r="D84" s="6">
        <v>576.36</v>
      </c>
      <c r="E84" s="2"/>
      <c r="F84" s="7">
        <f t="shared" si="21"/>
        <v>1.5743509612784407E-3</v>
      </c>
      <c r="G84" s="2"/>
      <c r="H84" s="6">
        <v>202.37</v>
      </c>
      <c r="I84" s="2"/>
      <c r="J84" s="7">
        <f t="shared" si="22"/>
        <v>1.6235000855191529E-3</v>
      </c>
      <c r="K84" s="2"/>
      <c r="L84" s="6">
        <f t="shared" si="23"/>
        <v>373.99</v>
      </c>
      <c r="M84" s="2"/>
      <c r="N84" s="7">
        <f t="shared" si="24"/>
        <v>1.8480506003854327</v>
      </c>
      <c r="O84" s="10"/>
      <c r="P84" s="6">
        <v>7733.38</v>
      </c>
      <c r="Q84" s="2"/>
      <c r="R84" s="7">
        <f t="shared" si="25"/>
        <v>4.727904607910503E-3</v>
      </c>
      <c r="S84" s="2"/>
      <c r="T84" s="6">
        <v>4033.28</v>
      </c>
      <c r="U84" s="2"/>
      <c r="V84" s="7">
        <f t="shared" si="26"/>
        <v>1.8688709268247794E-3</v>
      </c>
      <c r="W84" s="2"/>
      <c r="X84" s="6">
        <f t="shared" si="27"/>
        <v>3700.1</v>
      </c>
      <c r="Y84" s="2"/>
      <c r="Z84" s="7">
        <f t="shared" si="28"/>
        <v>0.91739229609647721</v>
      </c>
    </row>
    <row r="85" spans="1:26" s="23" customFormat="1" hidden="1" outlineLevel="2" x14ac:dyDescent="0.25">
      <c r="A85" s="27"/>
      <c r="B85" s="10" t="str">
        <f>CONCATENATE("          ", "6113", " - ", "GROUP INSURANCE")</f>
        <v xml:space="preserve">          6113 - GROUP INSURANCE</v>
      </c>
      <c r="C85" s="10"/>
      <c r="D85" s="6">
        <v>2823.95</v>
      </c>
      <c r="E85" s="2"/>
      <c r="F85" s="7">
        <f t="shared" si="21"/>
        <v>7.7137351604938797E-3</v>
      </c>
      <c r="G85" s="2"/>
      <c r="H85" s="6">
        <v>1463.9</v>
      </c>
      <c r="I85" s="2"/>
      <c r="J85" s="7">
        <f t="shared" si="22"/>
        <v>1.1744041978512072E-2</v>
      </c>
      <c r="K85" s="2"/>
      <c r="L85" s="6">
        <f t="shared" si="23"/>
        <v>1360.0499999999997</v>
      </c>
      <c r="M85" s="2"/>
      <c r="N85" s="7">
        <f t="shared" si="24"/>
        <v>0.92905936197827699</v>
      </c>
      <c r="O85" s="10"/>
      <c r="P85" s="6">
        <v>29124.85</v>
      </c>
      <c r="Q85" s="2"/>
      <c r="R85" s="7">
        <f t="shared" si="25"/>
        <v>1.7805863997333922E-2</v>
      </c>
      <c r="S85" s="2"/>
      <c r="T85" s="6">
        <v>19589.12</v>
      </c>
      <c r="U85" s="2"/>
      <c r="V85" s="7">
        <f t="shared" si="26"/>
        <v>9.0768646982311713E-3</v>
      </c>
      <c r="W85" s="2"/>
      <c r="X85" s="6">
        <f t="shared" si="27"/>
        <v>9535.73</v>
      </c>
      <c r="Y85" s="2"/>
      <c r="Z85" s="7">
        <f t="shared" si="28"/>
        <v>0.48678705322138005</v>
      </c>
    </row>
    <row r="86" spans="1:26" s="23" customFormat="1" hidden="1" outlineLevel="2" x14ac:dyDescent="0.25">
      <c r="A86" s="27"/>
      <c r="B86" s="10" t="str">
        <f>CONCATENATE("          ", "6114", " - ", "STATE UNEMPLOYMENT INSURANCE")</f>
        <v xml:space="preserve">          6114 - STATE UNEMPLOYMENT INSURANCE</v>
      </c>
      <c r="C86" s="10"/>
      <c r="D86" s="6">
        <v>81</v>
      </c>
      <c r="E86" s="2"/>
      <c r="F86" s="7">
        <f t="shared" si="21"/>
        <v>2.2125481966748855E-4</v>
      </c>
      <c r="G86" s="2"/>
      <c r="H86" s="6">
        <v>27.69</v>
      </c>
      <c r="I86" s="2"/>
      <c r="J86" s="7">
        <f t="shared" si="22"/>
        <v>2.221412134606184E-4</v>
      </c>
      <c r="K86" s="2"/>
      <c r="L86" s="6">
        <f t="shared" si="23"/>
        <v>53.31</v>
      </c>
      <c r="M86" s="2"/>
      <c r="N86" s="7">
        <f t="shared" si="24"/>
        <v>1.9252437703141929</v>
      </c>
      <c r="O86" s="10"/>
      <c r="P86" s="6">
        <v>913.08</v>
      </c>
      <c r="Q86" s="2"/>
      <c r="R86" s="7">
        <f t="shared" si="25"/>
        <v>5.5822358908923686E-4</v>
      </c>
      <c r="S86" s="2"/>
      <c r="T86" s="6">
        <v>628.71</v>
      </c>
      <c r="U86" s="2"/>
      <c r="V86" s="7">
        <f t="shared" si="26"/>
        <v>2.9132067210905442E-4</v>
      </c>
      <c r="W86" s="2"/>
      <c r="X86" s="6">
        <f t="shared" si="27"/>
        <v>284.37</v>
      </c>
      <c r="Y86" s="2"/>
      <c r="Z86" s="7">
        <f t="shared" si="28"/>
        <v>0.45230710502457411</v>
      </c>
    </row>
    <row r="87" spans="1:26" s="23" customFormat="1" hidden="1" outlineLevel="2" x14ac:dyDescent="0.25">
      <c r="A87" s="27"/>
      <c r="B87" s="10" t="str">
        <f>CONCATENATE("          ", "6115", " - ", "P.E.R.S.")</f>
        <v xml:space="preserve">          6115 - P.E.R.S.</v>
      </c>
      <c r="C87" s="10"/>
      <c r="D87" s="6">
        <v>1479.39</v>
      </c>
      <c r="E87" s="2"/>
      <c r="F87" s="7">
        <f t="shared" si="21"/>
        <v>4.0410144156529122E-3</v>
      </c>
      <c r="G87" s="2"/>
      <c r="H87" s="6">
        <v>691.88</v>
      </c>
      <c r="I87" s="2"/>
      <c r="J87" s="7">
        <f t="shared" si="22"/>
        <v>5.5505620357216559E-3</v>
      </c>
      <c r="K87" s="2"/>
      <c r="L87" s="6">
        <f t="shared" si="23"/>
        <v>787.5100000000001</v>
      </c>
      <c r="M87" s="2"/>
      <c r="N87" s="7">
        <f t="shared" si="24"/>
        <v>1.138217609990172</v>
      </c>
      <c r="O87" s="10"/>
      <c r="P87" s="6">
        <v>16149.79</v>
      </c>
      <c r="Q87" s="2"/>
      <c r="R87" s="7">
        <f t="shared" si="25"/>
        <v>9.8733886809890328E-3</v>
      </c>
      <c r="S87" s="2"/>
      <c r="T87" s="6">
        <v>8124.52</v>
      </c>
      <c r="U87" s="2"/>
      <c r="V87" s="7">
        <f t="shared" si="26"/>
        <v>3.7645983473516484E-3</v>
      </c>
      <c r="W87" s="2"/>
      <c r="X87" s="6">
        <f t="shared" si="27"/>
        <v>8025.27</v>
      </c>
      <c r="Y87" s="2"/>
      <c r="Z87" s="7">
        <f t="shared" si="28"/>
        <v>0.98778389369464292</v>
      </c>
    </row>
    <row r="88" spans="1:26" s="23" customFormat="1" hidden="1" outlineLevel="2" x14ac:dyDescent="0.25">
      <c r="A88" s="27"/>
      <c r="B88" s="10" t="str">
        <f>CONCATENATE("          ", "6118", " - ", "VACATION")</f>
        <v xml:space="preserve">          6118 - VACATION</v>
      </c>
      <c r="C88" s="10"/>
      <c r="D88" s="6">
        <v>1935.93</v>
      </c>
      <c r="E88" s="2"/>
      <c r="F88" s="7">
        <f t="shared" si="21"/>
        <v>5.2880721362824831E-3</v>
      </c>
      <c r="G88" s="2"/>
      <c r="H88" s="6">
        <v>1041.69</v>
      </c>
      <c r="I88" s="2"/>
      <c r="J88" s="7">
        <f t="shared" si="22"/>
        <v>8.356889875398758E-3</v>
      </c>
      <c r="K88" s="2"/>
      <c r="L88" s="6">
        <f t="shared" si="23"/>
        <v>894.24</v>
      </c>
      <c r="M88" s="2"/>
      <c r="N88" s="7">
        <f t="shared" si="24"/>
        <v>0.85845117069377641</v>
      </c>
      <c r="O88" s="10"/>
      <c r="P88" s="6">
        <v>12928.9</v>
      </c>
      <c r="Q88" s="2"/>
      <c r="R88" s="7">
        <f t="shared" si="25"/>
        <v>7.9042547870677646E-3</v>
      </c>
      <c r="S88" s="2"/>
      <c r="T88" s="6">
        <v>9080.02</v>
      </c>
      <c r="U88" s="2"/>
      <c r="V88" s="7">
        <f t="shared" si="26"/>
        <v>4.2073412688897211E-3</v>
      </c>
      <c r="W88" s="2"/>
      <c r="X88" s="6">
        <f t="shared" si="27"/>
        <v>3848.8799999999992</v>
      </c>
      <c r="Y88" s="2"/>
      <c r="Z88" s="7">
        <f t="shared" si="28"/>
        <v>0.42388452888870276</v>
      </c>
    </row>
    <row r="89" spans="1:26" s="23" customFormat="1" hidden="1" outlineLevel="2" x14ac:dyDescent="0.25">
      <c r="A89" s="27"/>
      <c r="B89" s="10" t="str">
        <f>CONCATENATE("          ", "6119", " - ", "SICK LEAVE")</f>
        <v xml:space="preserve">          6119 - SICK LEAVE</v>
      </c>
      <c r="C89" s="10"/>
      <c r="D89" s="6">
        <v>1334.31</v>
      </c>
      <c r="E89" s="2"/>
      <c r="F89" s="7">
        <f t="shared" si="21"/>
        <v>3.6447224497595881E-3</v>
      </c>
      <c r="G89" s="2"/>
      <c r="H89" s="6">
        <v>734.04</v>
      </c>
      <c r="I89" s="2"/>
      <c r="J89" s="7">
        <f t="shared" si="22"/>
        <v>5.8887878775237389E-3</v>
      </c>
      <c r="K89" s="2"/>
      <c r="L89" s="6">
        <f t="shared" si="23"/>
        <v>600.27</v>
      </c>
      <c r="M89" s="2"/>
      <c r="N89" s="7">
        <f t="shared" si="24"/>
        <v>0.81776197482426027</v>
      </c>
      <c r="O89" s="10"/>
      <c r="P89" s="6">
        <v>9127.2000000000007</v>
      </c>
      <c r="Q89" s="2"/>
      <c r="R89" s="7">
        <f t="shared" si="25"/>
        <v>5.5800349830631302E-3</v>
      </c>
      <c r="S89" s="2"/>
      <c r="T89" s="6">
        <v>12796.65</v>
      </c>
      <c r="U89" s="2"/>
      <c r="V89" s="7">
        <f t="shared" si="26"/>
        <v>5.9294884425956816E-3</v>
      </c>
      <c r="W89" s="2"/>
      <c r="X89" s="6">
        <f t="shared" si="27"/>
        <v>-3669.4499999999989</v>
      </c>
      <c r="Y89" s="2"/>
      <c r="Z89" s="7">
        <f t="shared" si="28"/>
        <v>-0.28675082931861068</v>
      </c>
    </row>
    <row r="90" spans="1:26" s="23" customFormat="1" hidden="1" outlineLevel="2" x14ac:dyDescent="0.25">
      <c r="A90" s="27"/>
      <c r="B90" s="10" t="str">
        <f>CONCATENATE("          ", "6156", " - ", "EMPLOYEE MEALS")</f>
        <v xml:space="preserve">          6156 - EMPLOYEE MEALS</v>
      </c>
      <c r="C90" s="10"/>
      <c r="D90" s="6">
        <v>490.58</v>
      </c>
      <c r="E90" s="2"/>
      <c r="F90" s="7">
        <f t="shared" si="21"/>
        <v>1.3400393757095868E-3</v>
      </c>
      <c r="G90" s="2"/>
      <c r="H90" s="6">
        <v>146.5</v>
      </c>
      <c r="I90" s="2"/>
      <c r="J90" s="7">
        <f t="shared" si="22"/>
        <v>1.1752866656547704E-3</v>
      </c>
      <c r="K90" s="2"/>
      <c r="L90" s="6">
        <f t="shared" si="23"/>
        <v>344.08</v>
      </c>
      <c r="M90" s="2"/>
      <c r="N90" s="7">
        <f t="shared" si="24"/>
        <v>2.3486689419795219</v>
      </c>
      <c r="O90" s="10"/>
      <c r="P90" s="6">
        <v>3215.3</v>
      </c>
      <c r="Q90" s="2"/>
      <c r="R90" s="7">
        <f t="shared" si="25"/>
        <v>1.9657163731530898E-3</v>
      </c>
      <c r="S90" s="2"/>
      <c r="T90" s="6">
        <v>1959.28</v>
      </c>
      <c r="U90" s="2"/>
      <c r="V90" s="7">
        <f t="shared" si="26"/>
        <v>9.0785698724344798E-4</v>
      </c>
      <c r="W90" s="2"/>
      <c r="X90" s="6">
        <f t="shared" si="27"/>
        <v>1256.0200000000002</v>
      </c>
      <c r="Y90" s="2"/>
      <c r="Z90" s="7">
        <f t="shared" si="28"/>
        <v>0.64106202278387991</v>
      </c>
    </row>
    <row r="91" spans="1:26" s="26" customFormat="1" outlineLevel="1" collapsed="1" x14ac:dyDescent="0.25">
      <c r="A91" s="25"/>
      <c r="B91" s="12" t="str">
        <f>CONCATENATE("     ","*Payroll                                          ")</f>
        <v xml:space="preserve">     *Payroll                                          </v>
      </c>
      <c r="C91" s="12"/>
      <c r="D91" s="1">
        <f>SUM(OSRRefD22_1x_0)</f>
        <v>35217.1</v>
      </c>
      <c r="E91" s="1"/>
      <c r="F91" s="5">
        <f t="shared" ref="F91:F97" si="29">IF(D$12=0,0,D91/D$12)</f>
        <v>9.6196951971751987E-2</v>
      </c>
      <c r="G91" s="1"/>
      <c r="H91" s="1">
        <f>SUM(OSRRefH22_1x_0)</f>
        <v>11078.05</v>
      </c>
      <c r="I91" s="1"/>
      <c r="J91" s="5">
        <f t="shared" ref="J91:J97" si="30">IF(H$12=0,0,H91/H$12)</f>
        <v>8.8872931375131942E-2</v>
      </c>
      <c r="K91" s="1"/>
      <c r="L91" s="1">
        <f t="shared" ref="L91:L97" si="31">+D91-H91</f>
        <v>24139.05</v>
      </c>
      <c r="M91" s="1"/>
      <c r="N91" s="5">
        <f t="shared" ref="N91:N97" si="32">IF(H91=0,0,L91/H91)</f>
        <v>2.1789981088729515</v>
      </c>
      <c r="O91" s="12"/>
      <c r="P91" s="1">
        <f>SUM(OSRRefP22_1x_0)</f>
        <v>305751.37</v>
      </c>
      <c r="Q91" s="1"/>
      <c r="R91" s="5">
        <f t="shared" ref="R91:R97" si="33">IF(P$12=0,0,P91/P$12)</f>
        <v>0.18692516223151445</v>
      </c>
      <c r="S91" s="1"/>
      <c r="T91" s="1">
        <f>SUM(OSRRefT22_1x_0)</f>
        <v>230205.65</v>
      </c>
      <c r="U91" s="1"/>
      <c r="V91" s="5">
        <f t="shared" ref="V91:V97" si="34">IF(T$12=0,0,T91/T$12)</f>
        <v>0.10666867821619147</v>
      </c>
      <c r="W91" s="1"/>
      <c r="X91" s="1">
        <f t="shared" ref="X91:X97" si="35">+P91-T91</f>
        <v>75545.72</v>
      </c>
      <c r="Y91" s="1"/>
      <c r="Z91" s="5">
        <f t="shared" ref="Z91:Z97" si="36">IF(T91=0,0,X91/T91)</f>
        <v>0.3281662287611099</v>
      </c>
    </row>
    <row r="92" spans="1:26" s="23" customFormat="1" hidden="1" outlineLevel="2" x14ac:dyDescent="0.25">
      <c r="A92" s="27"/>
      <c r="B92" s="10" t="str">
        <f>CONCATENATE("          ", "6002", " - ", "STAFF SALARIES")</f>
        <v xml:space="preserve">          6002 - STAFF SALARIES</v>
      </c>
      <c r="C92" s="10"/>
      <c r="D92" s="6">
        <v>16953.36</v>
      </c>
      <c r="E92" s="2"/>
      <c r="F92" s="7">
        <f t="shared" si="29"/>
        <v>4.6308797648864364E-2</v>
      </c>
      <c r="G92" s="2"/>
      <c r="H92" s="6">
        <v>4738.78</v>
      </c>
      <c r="I92" s="2"/>
      <c r="J92" s="7">
        <f t="shared" si="30"/>
        <v>3.8016552528815792E-2</v>
      </c>
      <c r="K92" s="2"/>
      <c r="L92" s="6">
        <f t="shared" si="31"/>
        <v>12214.580000000002</v>
      </c>
      <c r="M92" s="2"/>
      <c r="N92" s="7">
        <f t="shared" si="32"/>
        <v>2.5775790393307987</v>
      </c>
      <c r="O92" s="10"/>
      <c r="P92" s="6">
        <v>139122.49</v>
      </c>
      <c r="Q92" s="2"/>
      <c r="R92" s="7">
        <f t="shared" si="33"/>
        <v>8.5054382628938816E-2</v>
      </c>
      <c r="S92" s="2"/>
      <c r="T92" s="6">
        <v>73348.02</v>
      </c>
      <c r="U92" s="2"/>
      <c r="V92" s="7">
        <f t="shared" si="34"/>
        <v>3.3986725969474586E-2</v>
      </c>
      <c r="W92" s="2"/>
      <c r="X92" s="6">
        <f t="shared" si="35"/>
        <v>65774.469999999987</v>
      </c>
      <c r="Y92" s="2"/>
      <c r="Z92" s="7">
        <f t="shared" si="36"/>
        <v>0.89674499734280466</v>
      </c>
    </row>
    <row r="93" spans="1:26" s="23" customFormat="1" hidden="1" outlineLevel="2" x14ac:dyDescent="0.25">
      <c r="A93" s="27"/>
      <c r="B93" s="10" t="str">
        <f>CONCATENATE("          ", "6004", " - ", "STAFF HOURLY")</f>
        <v xml:space="preserve">          6004 - STAFF HOURLY</v>
      </c>
      <c r="C93" s="10"/>
      <c r="D93" s="6">
        <v>5641.76</v>
      </c>
      <c r="E93" s="2"/>
      <c r="F93" s="7">
        <f t="shared" si="29"/>
        <v>1.5410698659348769E-2</v>
      </c>
      <c r="G93" s="2"/>
      <c r="H93" s="6">
        <v>4882.32</v>
      </c>
      <c r="I93" s="2"/>
      <c r="J93" s="7">
        <f t="shared" si="30"/>
        <v>3.9168092788120126E-2</v>
      </c>
      <c r="K93" s="2"/>
      <c r="L93" s="6">
        <f t="shared" si="31"/>
        <v>759.44000000000051</v>
      </c>
      <c r="M93" s="2"/>
      <c r="N93" s="7">
        <f t="shared" si="32"/>
        <v>0.15554900129446667</v>
      </c>
      <c r="O93" s="10"/>
      <c r="P93" s="6">
        <v>54591.54</v>
      </c>
      <c r="Q93" s="2"/>
      <c r="R93" s="7">
        <f t="shared" si="33"/>
        <v>3.3375263276721245E-2</v>
      </c>
      <c r="S93" s="2"/>
      <c r="T93" s="6">
        <v>12748.51</v>
      </c>
      <c r="U93" s="2"/>
      <c r="V93" s="7">
        <f t="shared" si="34"/>
        <v>5.9071821691861134E-3</v>
      </c>
      <c r="W93" s="2"/>
      <c r="X93" s="6">
        <f t="shared" si="35"/>
        <v>41843.03</v>
      </c>
      <c r="Y93" s="2"/>
      <c r="Z93" s="7">
        <f t="shared" si="36"/>
        <v>3.2821898402244654</v>
      </c>
    </row>
    <row r="94" spans="1:26" s="23" customFormat="1" hidden="1" outlineLevel="2" x14ac:dyDescent="0.25">
      <c r="A94" s="27"/>
      <c r="B94" s="10" t="str">
        <f>CONCATENATE("          ", "6005", " - ", "TEMPORARY WAGES-HOURLY")</f>
        <v xml:space="preserve">          6005 - TEMPORARY WAGES-HOURLY</v>
      </c>
      <c r="C94" s="10"/>
      <c r="D94" s="6">
        <v>4923.55</v>
      </c>
      <c r="E94" s="2"/>
      <c r="F94" s="7">
        <f t="shared" si="29"/>
        <v>1.3448878609553868E-2</v>
      </c>
      <c r="G94" s="2"/>
      <c r="H94" s="6"/>
      <c r="I94" s="2"/>
      <c r="J94" s="7">
        <f t="shared" si="30"/>
        <v>0</v>
      </c>
      <c r="K94" s="2"/>
      <c r="L94" s="6">
        <f t="shared" si="31"/>
        <v>4923.55</v>
      </c>
      <c r="M94" s="2"/>
      <c r="N94" s="7">
        <f t="shared" si="32"/>
        <v>0</v>
      </c>
      <c r="O94" s="10"/>
      <c r="P94" s="6">
        <v>42798.96</v>
      </c>
      <c r="Q94" s="2"/>
      <c r="R94" s="7">
        <f t="shared" si="33"/>
        <v>2.6165712818686952E-2</v>
      </c>
      <c r="S94" s="2"/>
      <c r="T94" s="6">
        <v>29609.279999999999</v>
      </c>
      <c r="U94" s="2"/>
      <c r="V94" s="7">
        <f t="shared" si="34"/>
        <v>1.3719831639810378E-2</v>
      </c>
      <c r="W94" s="2"/>
      <c r="X94" s="6">
        <f t="shared" si="35"/>
        <v>13189.68</v>
      </c>
      <c r="Y94" s="2"/>
      <c r="Z94" s="7">
        <f t="shared" si="36"/>
        <v>0.44545764030736312</v>
      </c>
    </row>
    <row r="95" spans="1:26" s="23" customFormat="1" hidden="1" outlineLevel="2" x14ac:dyDescent="0.25">
      <c r="A95" s="27"/>
      <c r="B95" s="10" t="str">
        <f>CONCATENATE("          ", "6006", " - ", "TEMPORARY PART TIME")</f>
        <v xml:space="preserve">          6006 - TEMPORARY PART TIME</v>
      </c>
      <c r="C95" s="10"/>
      <c r="D95" s="6">
        <v>2003.66</v>
      </c>
      <c r="E95" s="2"/>
      <c r="F95" s="7">
        <f t="shared" si="29"/>
        <v>5.4730794070982731E-3</v>
      </c>
      <c r="G95" s="2"/>
      <c r="H95" s="6"/>
      <c r="I95" s="2"/>
      <c r="J95" s="7">
        <f t="shared" si="30"/>
        <v>0</v>
      </c>
      <c r="K95" s="2"/>
      <c r="L95" s="6">
        <f t="shared" si="31"/>
        <v>2003.66</v>
      </c>
      <c r="M95" s="2"/>
      <c r="N95" s="7">
        <f t="shared" si="32"/>
        <v>0</v>
      </c>
      <c r="O95" s="10"/>
      <c r="P95" s="6">
        <v>4267.12</v>
      </c>
      <c r="Q95" s="2"/>
      <c r="R95" s="7">
        <f t="shared" si="33"/>
        <v>2.6087605045280416E-3</v>
      </c>
      <c r="S95" s="2"/>
      <c r="T95" s="6">
        <v>911.29</v>
      </c>
      <c r="U95" s="2"/>
      <c r="V95" s="7">
        <f t="shared" si="34"/>
        <v>4.2225766297062267E-4</v>
      </c>
      <c r="W95" s="2"/>
      <c r="X95" s="6">
        <f t="shared" si="35"/>
        <v>3355.83</v>
      </c>
      <c r="Y95" s="2"/>
      <c r="Z95" s="7">
        <f t="shared" si="36"/>
        <v>3.6825050203557597</v>
      </c>
    </row>
    <row r="96" spans="1:26" s="23" customFormat="1" hidden="1" outlineLevel="2" x14ac:dyDescent="0.25">
      <c r="A96" s="27"/>
      <c r="B96" s="10" t="str">
        <f>CONCATENATE("          ", "6007", " - ", "STUDENT HOURLY")</f>
        <v xml:space="preserve">          6007 - STUDENT HOURLY</v>
      </c>
      <c r="C96" s="10"/>
      <c r="D96" s="6">
        <v>4185.92</v>
      </c>
      <c r="E96" s="2"/>
      <c r="F96" s="7">
        <f t="shared" si="29"/>
        <v>1.1434012033858441E-2</v>
      </c>
      <c r="G96" s="2"/>
      <c r="H96" s="6">
        <v>1456.95</v>
      </c>
      <c r="I96" s="2"/>
      <c r="J96" s="7">
        <f t="shared" si="30"/>
        <v>1.1688286058196027E-2</v>
      </c>
      <c r="K96" s="2"/>
      <c r="L96" s="6">
        <f t="shared" si="31"/>
        <v>2728.9700000000003</v>
      </c>
      <c r="M96" s="2"/>
      <c r="N96" s="7">
        <f t="shared" si="32"/>
        <v>1.8730704554034114</v>
      </c>
      <c r="O96" s="10"/>
      <c r="P96" s="6">
        <v>57937.08</v>
      </c>
      <c r="Q96" s="2"/>
      <c r="R96" s="7">
        <f t="shared" si="33"/>
        <v>3.5420603604229904E-2</v>
      </c>
      <c r="S96" s="2"/>
      <c r="T96" s="6">
        <v>113393.55</v>
      </c>
      <c r="U96" s="2"/>
      <c r="V96" s="7">
        <f t="shared" si="34"/>
        <v>5.2542325076476708E-2</v>
      </c>
      <c r="W96" s="2"/>
      <c r="X96" s="6">
        <f t="shared" si="35"/>
        <v>-55456.47</v>
      </c>
      <c r="Y96" s="2"/>
      <c r="Z96" s="7">
        <f t="shared" si="36"/>
        <v>-0.48906194399946029</v>
      </c>
    </row>
    <row r="97" spans="1:26" s="23" customFormat="1" hidden="1" outlineLevel="2" x14ac:dyDescent="0.25">
      <c r="A97" s="27"/>
      <c r="B97" s="10" t="str">
        <f>CONCATENATE("          ", "6008", " - ", "STUDENT HOURLY-FICA EXEMPT")</f>
        <v xml:space="preserve">          6008 - STUDENT HOURLY-FICA EXEMPT</v>
      </c>
      <c r="C97" s="10"/>
      <c r="D97" s="6">
        <v>1508.85</v>
      </c>
      <c r="E97" s="2"/>
      <c r="F97" s="7">
        <f t="shared" si="29"/>
        <v>4.1214856130282725E-3</v>
      </c>
      <c r="G97" s="2"/>
      <c r="H97" s="6"/>
      <c r="I97" s="2"/>
      <c r="J97" s="7">
        <f t="shared" si="30"/>
        <v>0</v>
      </c>
      <c r="K97" s="2"/>
      <c r="L97" s="6">
        <f t="shared" si="31"/>
        <v>1508.85</v>
      </c>
      <c r="M97" s="2"/>
      <c r="N97" s="7">
        <f t="shared" si="32"/>
        <v>0</v>
      </c>
      <c r="O97" s="10"/>
      <c r="P97" s="6">
        <v>7034.18</v>
      </c>
      <c r="Q97" s="2"/>
      <c r="R97" s="7">
        <f t="shared" si="33"/>
        <v>4.3004393984094804E-3</v>
      </c>
      <c r="S97" s="2"/>
      <c r="T97" s="6">
        <v>195</v>
      </c>
      <c r="U97" s="2"/>
      <c r="V97" s="7">
        <f t="shared" si="34"/>
        <v>9.0355698273075996E-5</v>
      </c>
      <c r="W97" s="2"/>
      <c r="X97" s="6">
        <f t="shared" si="35"/>
        <v>6839.18</v>
      </c>
      <c r="Y97" s="2"/>
      <c r="Z97" s="7">
        <f t="shared" si="36"/>
        <v>35.072717948717951</v>
      </c>
    </row>
    <row r="98" spans="1:26" s="26" customFormat="1" outlineLevel="1" collapsed="1" x14ac:dyDescent="0.25">
      <c r="A98" s="25"/>
      <c r="B98" s="12" t="str">
        <f>CONCATENATE("     ","Advertising/Promo                                 ")</f>
        <v xml:space="preserve">     Advertising/Promo                                 </v>
      </c>
      <c r="C98" s="12"/>
      <c r="D98" s="1">
        <f>SUM(OSRRefD22_2x_0)</f>
        <v>75.62</v>
      </c>
      <c r="E98" s="1"/>
      <c r="F98" s="5">
        <f t="shared" ref="F98:F102" si="37">IF(D$12=0,0,D98/D$12)</f>
        <v>2.0655912917599364E-4</v>
      </c>
      <c r="G98" s="1"/>
      <c r="H98" s="1">
        <f>SUM(OSRRefH22_2x_0)</f>
        <v>0</v>
      </c>
      <c r="I98" s="1"/>
      <c r="J98" s="5">
        <f t="shared" ref="J98:J102" si="38">IF(H$12=0,0,H98/H$12)</f>
        <v>0</v>
      </c>
      <c r="K98" s="1"/>
      <c r="L98" s="1">
        <f t="shared" ref="L98:L102" si="39">+D98-H98</f>
        <v>75.62</v>
      </c>
      <c r="M98" s="1"/>
      <c r="N98" s="5">
        <f t="shared" ref="N98:N102" si="40">IF(H98=0,0,L98/H98)</f>
        <v>0</v>
      </c>
      <c r="O98" s="12"/>
      <c r="P98" s="1">
        <f>SUM(OSRRefP22_2x_0)</f>
        <v>12893.54</v>
      </c>
      <c r="Q98" s="1"/>
      <c r="R98" s="5">
        <f t="shared" ref="R98:R102" si="41">IF(P$12=0,0,P98/P$12)</f>
        <v>7.8826369812783539E-3</v>
      </c>
      <c r="S98" s="1"/>
      <c r="T98" s="1">
        <f>SUM(OSRRefT22_2x_0)</f>
        <v>18186.2</v>
      </c>
      <c r="U98" s="1"/>
      <c r="V98" s="5">
        <f t="shared" ref="V98:V102" si="42">IF(T$12=0,0,T98/T$12)</f>
        <v>8.4268041022246918E-3</v>
      </c>
      <c r="W98" s="1"/>
      <c r="X98" s="1">
        <f t="shared" ref="X98:X102" si="43">+P98-T98</f>
        <v>-5292.66</v>
      </c>
      <c r="Y98" s="1"/>
      <c r="Z98" s="5">
        <f t="shared" ref="Z98:Z102" si="44">IF(T98=0,0,X98/T98)</f>
        <v>-0.29102616269479054</v>
      </c>
    </row>
    <row r="99" spans="1:26" s="23" customFormat="1" hidden="1" outlineLevel="2" x14ac:dyDescent="0.25">
      <c r="A99" s="27"/>
      <c r="B99" s="10" t="str">
        <f>CONCATENATE("          ", "6362", " - ", "ADVERTISING EXPENSE")</f>
        <v xml:space="preserve">          6362 - ADVERTISING EXPENSE</v>
      </c>
      <c r="C99" s="10"/>
      <c r="D99" s="6">
        <v>75.62</v>
      </c>
      <c r="E99" s="2"/>
      <c r="F99" s="7">
        <f t="shared" si="37"/>
        <v>2.0655912917599364E-4</v>
      </c>
      <c r="G99" s="2"/>
      <c r="H99" s="6"/>
      <c r="I99" s="2"/>
      <c r="J99" s="7">
        <f t="shared" si="38"/>
        <v>0</v>
      </c>
      <c r="K99" s="2"/>
      <c r="L99" s="6">
        <f t="shared" si="39"/>
        <v>75.62</v>
      </c>
      <c r="M99" s="2"/>
      <c r="N99" s="7">
        <f t="shared" si="40"/>
        <v>0</v>
      </c>
      <c r="O99" s="10"/>
      <c r="P99" s="6">
        <v>12893.54</v>
      </c>
      <c r="Q99" s="2"/>
      <c r="R99" s="7">
        <f t="shared" si="41"/>
        <v>7.8826369812783539E-3</v>
      </c>
      <c r="S99" s="2"/>
      <c r="T99" s="6">
        <v>18186.2</v>
      </c>
      <c r="U99" s="2"/>
      <c r="V99" s="7">
        <f t="shared" si="42"/>
        <v>8.4268041022246918E-3</v>
      </c>
      <c r="W99" s="2"/>
      <c r="X99" s="6">
        <f t="shared" si="43"/>
        <v>-5292.66</v>
      </c>
      <c r="Y99" s="2"/>
      <c r="Z99" s="7">
        <f t="shared" si="44"/>
        <v>-0.29102616269479054</v>
      </c>
    </row>
    <row r="100" spans="1:26" s="26" customFormat="1" outlineLevel="1" collapsed="1" x14ac:dyDescent="0.25">
      <c r="A100" s="25"/>
      <c r="B100" s="12" t="str">
        <f>CONCATENATE("     ","Discounts and Markdowns                           ")</f>
        <v xml:space="preserve">     Discounts and Markdowns                           </v>
      </c>
      <c r="C100" s="12"/>
      <c r="D100" s="1">
        <f>SUM(OSRRefD22_3x_0)</f>
        <v>0</v>
      </c>
      <c r="E100" s="1"/>
      <c r="F100" s="5">
        <f t="shared" si="37"/>
        <v>0</v>
      </c>
      <c r="G100" s="1"/>
      <c r="H100" s="1">
        <f>SUM(OSRRefH22_3x_0)</f>
        <v>30989.040000000001</v>
      </c>
      <c r="I100" s="1"/>
      <c r="J100" s="5">
        <f t="shared" si="38"/>
        <v>0.24860754603032295</v>
      </c>
      <c r="K100" s="1"/>
      <c r="L100" s="1">
        <f t="shared" si="39"/>
        <v>-30989.040000000001</v>
      </c>
      <c r="M100" s="1"/>
      <c r="N100" s="5">
        <f t="shared" si="40"/>
        <v>-1</v>
      </c>
      <c r="O100" s="12"/>
      <c r="P100" s="1">
        <f>SUM(OSRRefP22_3x_0)</f>
        <v>0</v>
      </c>
      <c r="Q100" s="1"/>
      <c r="R100" s="5">
        <f t="shared" si="41"/>
        <v>0</v>
      </c>
      <c r="S100" s="1"/>
      <c r="T100" s="1">
        <f>SUM(OSRRefT22_3x_0)</f>
        <v>217280.53999999998</v>
      </c>
      <c r="U100" s="1"/>
      <c r="V100" s="5">
        <f t="shared" si="42"/>
        <v>0.10067966621974882</v>
      </c>
      <c r="W100" s="1"/>
      <c r="X100" s="1">
        <f t="shared" si="43"/>
        <v>-217280.53999999998</v>
      </c>
      <c r="Y100" s="1"/>
      <c r="Z100" s="5">
        <f t="shared" si="44"/>
        <v>-1</v>
      </c>
    </row>
    <row r="101" spans="1:26" s="23" customFormat="1" hidden="1" outlineLevel="2" x14ac:dyDescent="0.25">
      <c r="A101" s="27"/>
      <c r="B101" s="10" t="str">
        <f>CONCATENATE("          ", "6382", " - ", "DISCOUNTS/MARK DOWNS")</f>
        <v xml:space="preserve">          6382 - DISCOUNTS/MARK DOWNS</v>
      </c>
      <c r="C101" s="10"/>
      <c r="D101" s="6">
        <v>0</v>
      </c>
      <c r="E101" s="2"/>
      <c r="F101" s="7">
        <f t="shared" si="37"/>
        <v>0</v>
      </c>
      <c r="G101" s="2"/>
      <c r="H101" s="6">
        <v>30989.040000000001</v>
      </c>
      <c r="I101" s="2"/>
      <c r="J101" s="7">
        <f t="shared" si="38"/>
        <v>0.24860754603032295</v>
      </c>
      <c r="K101" s="2"/>
      <c r="L101" s="6">
        <f t="shared" si="39"/>
        <v>-30989.040000000001</v>
      </c>
      <c r="M101" s="2"/>
      <c r="N101" s="7">
        <f t="shared" si="40"/>
        <v>-1</v>
      </c>
      <c r="O101" s="10"/>
      <c r="P101" s="6">
        <v>0</v>
      </c>
      <c r="Q101" s="2"/>
      <c r="R101" s="7">
        <f t="shared" si="41"/>
        <v>0</v>
      </c>
      <c r="S101" s="2"/>
      <c r="T101" s="6">
        <v>217299.93</v>
      </c>
      <c r="U101" s="2"/>
      <c r="V101" s="7">
        <f t="shared" si="42"/>
        <v>0.10068865081969505</v>
      </c>
      <c r="W101" s="2"/>
      <c r="X101" s="6">
        <f t="shared" si="43"/>
        <v>-217299.93</v>
      </c>
      <c r="Y101" s="2"/>
      <c r="Z101" s="7">
        <f t="shared" si="44"/>
        <v>-1</v>
      </c>
    </row>
    <row r="102" spans="1:26" s="23" customFormat="1" hidden="1" outlineLevel="2" x14ac:dyDescent="0.25">
      <c r="A102" s="27"/>
      <c r="B102" s="10" t="str">
        <f>CONCATENATE("          ", "9175", " - ", "EARNED DISCOUNTS")</f>
        <v xml:space="preserve">          9175 - EARNED DISCOUNTS</v>
      </c>
      <c r="C102" s="10"/>
      <c r="D102" s="6">
        <v>0</v>
      </c>
      <c r="E102" s="2"/>
      <c r="F102" s="7">
        <f t="shared" si="37"/>
        <v>0</v>
      </c>
      <c r="G102" s="2"/>
      <c r="H102" s="6"/>
      <c r="I102" s="2"/>
      <c r="J102" s="7">
        <f t="shared" si="38"/>
        <v>0</v>
      </c>
      <c r="K102" s="2"/>
      <c r="L102" s="6">
        <f t="shared" si="39"/>
        <v>0</v>
      </c>
      <c r="M102" s="2"/>
      <c r="N102" s="7">
        <f t="shared" si="40"/>
        <v>0</v>
      </c>
      <c r="O102" s="10"/>
      <c r="P102" s="6">
        <v>0</v>
      </c>
      <c r="Q102" s="2"/>
      <c r="R102" s="7">
        <f t="shared" si="41"/>
        <v>0</v>
      </c>
      <c r="S102" s="2"/>
      <c r="T102" s="6">
        <v>-19.39</v>
      </c>
      <c r="U102" s="2"/>
      <c r="V102" s="7">
        <f t="shared" si="42"/>
        <v>-8.984599946230481E-6</v>
      </c>
      <c r="W102" s="2"/>
      <c r="X102" s="6">
        <f t="shared" si="43"/>
        <v>19.39</v>
      </c>
      <c r="Y102" s="2"/>
      <c r="Z102" s="7">
        <f t="shared" si="44"/>
        <v>-1</v>
      </c>
    </row>
    <row r="103" spans="1:26" s="26" customFormat="1" outlineLevel="1" collapsed="1" x14ac:dyDescent="0.25">
      <c r="A103" s="25"/>
      <c r="B103" s="12" t="str">
        <f>CONCATENATE("     ","Employees' Appreciation                           ")</f>
        <v xml:space="preserve">     Employees' Appreciation                           </v>
      </c>
      <c r="C103" s="12"/>
      <c r="D103" s="1">
        <f>SUM(OSRRefD22_4x_0)</f>
        <v>0</v>
      </c>
      <c r="E103" s="1"/>
      <c r="F103" s="5">
        <f t="shared" ref="F103:F107" si="45">IF(D$12=0,0,D103/D$12)</f>
        <v>0</v>
      </c>
      <c r="G103" s="1"/>
      <c r="H103" s="1">
        <f>SUM(OSRRefH22_4x_0)</f>
        <v>0</v>
      </c>
      <c r="I103" s="1"/>
      <c r="J103" s="5">
        <f t="shared" ref="J103:J107" si="46">IF(H$12=0,0,H103/H$12)</f>
        <v>0</v>
      </c>
      <c r="K103" s="1"/>
      <c r="L103" s="1">
        <f t="shared" ref="L103:L107" si="47">+D103-H103</f>
        <v>0</v>
      </c>
      <c r="M103" s="1"/>
      <c r="N103" s="5">
        <f t="shared" ref="N103:N107" si="48">IF(H103=0,0,L103/H103)</f>
        <v>0</v>
      </c>
      <c r="O103" s="12"/>
      <c r="P103" s="1">
        <f>SUM(OSRRefP22_4x_0)</f>
        <v>0</v>
      </c>
      <c r="Q103" s="1"/>
      <c r="R103" s="5">
        <f t="shared" ref="R103:R107" si="49">IF(P$12=0,0,P103/P$12)</f>
        <v>0</v>
      </c>
      <c r="S103" s="1"/>
      <c r="T103" s="1">
        <f>SUM(OSRRefT22_4x_0)</f>
        <v>255.44</v>
      </c>
      <c r="U103" s="1"/>
      <c r="V103" s="5">
        <f t="shared" ref="V103:V107" si="50">IF(T$12=0,0,T103/T$12)</f>
        <v>1.1836133111217709E-4</v>
      </c>
      <c r="W103" s="1"/>
      <c r="X103" s="1">
        <f t="shared" ref="X103:X107" si="51">+P103-T103</f>
        <v>-255.44</v>
      </c>
      <c r="Y103" s="1"/>
      <c r="Z103" s="5">
        <f t="shared" ref="Z103:Z107" si="52">IF(T103=0,0,X103/T103)</f>
        <v>-1</v>
      </c>
    </row>
    <row r="104" spans="1:26" s="23" customFormat="1" hidden="1" outlineLevel="2" x14ac:dyDescent="0.25">
      <c r="A104" s="27"/>
      <c r="B104" s="10" t="str">
        <f>CONCATENATE("          ", "6277", " - ", "EMPLOYEE APPRECIATION")</f>
        <v xml:space="preserve">          6277 - EMPLOYEE APPRECIATION</v>
      </c>
      <c r="C104" s="10"/>
      <c r="D104" s="6"/>
      <c r="E104" s="2"/>
      <c r="F104" s="7">
        <f t="shared" si="45"/>
        <v>0</v>
      </c>
      <c r="G104" s="2"/>
      <c r="H104" s="6"/>
      <c r="I104" s="2"/>
      <c r="J104" s="7">
        <f t="shared" si="46"/>
        <v>0</v>
      </c>
      <c r="K104" s="2"/>
      <c r="L104" s="6">
        <f t="shared" si="47"/>
        <v>0</v>
      </c>
      <c r="M104" s="2"/>
      <c r="N104" s="7">
        <f t="shared" si="48"/>
        <v>0</v>
      </c>
      <c r="O104" s="10"/>
      <c r="P104" s="6"/>
      <c r="Q104" s="2"/>
      <c r="R104" s="7">
        <f t="shared" si="49"/>
        <v>0</v>
      </c>
      <c r="S104" s="2"/>
      <c r="T104" s="6">
        <v>255.44</v>
      </c>
      <c r="U104" s="2"/>
      <c r="V104" s="7">
        <f t="shared" si="50"/>
        <v>1.1836133111217709E-4</v>
      </c>
      <c r="W104" s="2"/>
      <c r="X104" s="6">
        <f t="shared" si="51"/>
        <v>-255.44</v>
      </c>
      <c r="Y104" s="2"/>
      <c r="Z104" s="7">
        <f t="shared" si="52"/>
        <v>-1</v>
      </c>
    </row>
    <row r="105" spans="1:26" s="26" customFormat="1" outlineLevel="1" collapsed="1" x14ac:dyDescent="0.25">
      <c r="A105" s="25"/>
      <c r="B105" s="12" t="str">
        <f>CONCATENATE("     ","Freight out/Postage                               ")</f>
        <v xml:space="preserve">     Freight out/Postage                               </v>
      </c>
      <c r="C105" s="12"/>
      <c r="D105" s="1">
        <f>SUM(OSRRefD22_5x_0)</f>
        <v>40.200000000000003</v>
      </c>
      <c r="E105" s="1"/>
      <c r="F105" s="5">
        <f t="shared" si="45"/>
        <v>1.098079475386795E-4</v>
      </c>
      <c r="G105" s="1"/>
      <c r="H105" s="1">
        <f>SUM(OSRRefH22_5x_0)</f>
        <v>37.69</v>
      </c>
      <c r="I105" s="1"/>
      <c r="J105" s="5">
        <f t="shared" si="46"/>
        <v>3.0236555923910101E-4</v>
      </c>
      <c r="K105" s="1"/>
      <c r="L105" s="1">
        <f t="shared" si="47"/>
        <v>2.5100000000000051</v>
      </c>
      <c r="M105" s="1"/>
      <c r="N105" s="5">
        <f t="shared" si="48"/>
        <v>6.659591403555333E-2</v>
      </c>
      <c r="O105" s="12"/>
      <c r="P105" s="1">
        <f>SUM(OSRRefP22_5x_0)</f>
        <v>-175.89999999999998</v>
      </c>
      <c r="Q105" s="1"/>
      <c r="R105" s="5">
        <f t="shared" si="49"/>
        <v>-1.0753880198974542E-4</v>
      </c>
      <c r="S105" s="1"/>
      <c r="T105" s="1">
        <f>SUM(OSRRefT22_5x_0)</f>
        <v>118.87</v>
      </c>
      <c r="U105" s="1"/>
      <c r="V105" s="5">
        <f t="shared" si="50"/>
        <v>5.5079906942156642E-5</v>
      </c>
      <c r="W105" s="1"/>
      <c r="X105" s="1">
        <f t="shared" si="51"/>
        <v>-294.77</v>
      </c>
      <c r="Y105" s="1"/>
      <c r="Z105" s="5">
        <f t="shared" si="52"/>
        <v>-2.4797678135778578</v>
      </c>
    </row>
    <row r="106" spans="1:26" s="23" customFormat="1" hidden="1" outlineLevel="2" x14ac:dyDescent="0.25">
      <c r="A106" s="27"/>
      <c r="B106" s="10" t="str">
        <f>CONCATENATE("          ", "6305", " - ", "FREIGHT OUT")</f>
        <v xml:space="preserve">          6305 - FREIGHT OUT</v>
      </c>
      <c r="C106" s="10"/>
      <c r="D106" s="6">
        <v>40.200000000000003</v>
      </c>
      <c r="E106" s="2"/>
      <c r="F106" s="7">
        <f t="shared" si="45"/>
        <v>1.098079475386795E-4</v>
      </c>
      <c r="G106" s="2"/>
      <c r="H106" s="6">
        <v>37.69</v>
      </c>
      <c r="I106" s="2"/>
      <c r="J106" s="7">
        <f t="shared" si="46"/>
        <v>3.0236555923910101E-4</v>
      </c>
      <c r="K106" s="2"/>
      <c r="L106" s="6">
        <f t="shared" si="47"/>
        <v>2.5100000000000051</v>
      </c>
      <c r="M106" s="2"/>
      <c r="N106" s="7">
        <f t="shared" si="48"/>
        <v>6.659591403555333E-2</v>
      </c>
      <c r="O106" s="10"/>
      <c r="P106" s="6">
        <v>113.44</v>
      </c>
      <c r="Q106" s="2"/>
      <c r="R106" s="7">
        <f t="shared" si="49"/>
        <v>6.9353051152454354E-5</v>
      </c>
      <c r="S106" s="2"/>
      <c r="T106" s="6">
        <v>118.37</v>
      </c>
      <c r="U106" s="2"/>
      <c r="V106" s="7">
        <f t="shared" si="50"/>
        <v>5.4848225664533366E-5</v>
      </c>
      <c r="W106" s="2"/>
      <c r="X106" s="6">
        <f t="shared" si="51"/>
        <v>-4.9300000000000068</v>
      </c>
      <c r="Y106" s="2"/>
      <c r="Z106" s="7">
        <f t="shared" si="52"/>
        <v>-4.1649066486440879E-2</v>
      </c>
    </row>
    <row r="107" spans="1:26" s="23" customFormat="1" hidden="1" outlineLevel="2" x14ac:dyDescent="0.25">
      <c r="A107" s="27"/>
      <c r="B107" s="10" t="str">
        <f>CONCATENATE("          ", "6307", " - ", "POSTAGE")</f>
        <v xml:space="preserve">          6307 - POSTAGE</v>
      </c>
      <c r="C107" s="10"/>
      <c r="D107" s="6"/>
      <c r="E107" s="2"/>
      <c r="F107" s="7">
        <f t="shared" si="45"/>
        <v>0</v>
      </c>
      <c r="G107" s="2"/>
      <c r="H107" s="6"/>
      <c r="I107" s="2"/>
      <c r="J107" s="7">
        <f t="shared" si="46"/>
        <v>0</v>
      </c>
      <c r="K107" s="2"/>
      <c r="L107" s="6">
        <f t="shared" si="47"/>
        <v>0</v>
      </c>
      <c r="M107" s="2"/>
      <c r="N107" s="7">
        <f t="shared" si="48"/>
        <v>0</v>
      </c>
      <c r="O107" s="10"/>
      <c r="P107" s="6">
        <v>-289.33999999999997</v>
      </c>
      <c r="Q107" s="2"/>
      <c r="R107" s="7">
        <f t="shared" si="49"/>
        <v>-1.7689185314219977E-4</v>
      </c>
      <c r="S107" s="2"/>
      <c r="T107" s="6">
        <v>0.5</v>
      </c>
      <c r="U107" s="2"/>
      <c r="V107" s="7">
        <f t="shared" si="50"/>
        <v>2.316812776232718E-7</v>
      </c>
      <c r="W107" s="2"/>
      <c r="X107" s="6">
        <f t="shared" si="51"/>
        <v>-289.83999999999997</v>
      </c>
      <c r="Y107" s="2"/>
      <c r="Z107" s="7">
        <f t="shared" si="52"/>
        <v>-579.67999999999995</v>
      </c>
    </row>
    <row r="108" spans="1:26" s="26" customFormat="1" outlineLevel="1" collapsed="1" x14ac:dyDescent="0.25">
      <c r="A108" s="25"/>
      <c r="B108" s="12" t="str">
        <f>CONCATENATE("     ","Inventory Adjustment                              ")</f>
        <v xml:space="preserve">     Inventory Adjustment                              </v>
      </c>
      <c r="C108" s="12"/>
      <c r="D108" s="1">
        <f>SUM(OSRRefD22_6x_0)</f>
        <v>1000</v>
      </c>
      <c r="E108" s="1"/>
      <c r="F108" s="5">
        <f t="shared" ref="F108:F110" si="53">IF(D$12=0,0,D108/D$12)</f>
        <v>2.7315409835492414E-3</v>
      </c>
      <c r="G108" s="1"/>
      <c r="H108" s="1">
        <f>SUM(OSRRefH22_6x_0)</f>
        <v>2850</v>
      </c>
      <c r="I108" s="1"/>
      <c r="J108" s="5">
        <f t="shared" ref="J108:J110" si="54">IF(H$12=0,0,H108/H$12)</f>
        <v>2.2863938546867548E-2</v>
      </c>
      <c r="K108" s="1"/>
      <c r="L108" s="1">
        <f t="shared" ref="L108:L110" si="55">+D108-H108</f>
        <v>-1850</v>
      </c>
      <c r="M108" s="1"/>
      <c r="N108" s="5">
        <f t="shared" ref="N108:N110" si="56">IF(H108=0,0,L108/H108)</f>
        <v>-0.64912280701754388</v>
      </c>
      <c r="O108" s="12"/>
      <c r="P108" s="1">
        <f>SUM(OSRRefP22_6x_0)</f>
        <v>10000</v>
      </c>
      <c r="Q108" s="1"/>
      <c r="R108" s="5">
        <f t="shared" ref="R108:R110" si="57">IF(P$12=0,0,P108/P$12)</f>
        <v>6.1136328589963288E-3</v>
      </c>
      <c r="S108" s="1"/>
      <c r="T108" s="1">
        <f>SUM(OSRRefT22_6x_0)</f>
        <v>28500</v>
      </c>
      <c r="U108" s="1"/>
      <c r="V108" s="5">
        <f t="shared" ref="V108:V110" si="58">IF(T$12=0,0,T108/T$12)</f>
        <v>1.3205832824526493E-2</v>
      </c>
      <c r="W108" s="1"/>
      <c r="X108" s="1">
        <f t="shared" ref="X108:X110" si="59">+P108-T108</f>
        <v>-18500</v>
      </c>
      <c r="Y108" s="1"/>
      <c r="Z108" s="5">
        <f t="shared" ref="Z108:Z110" si="60">IF(T108=0,0,X108/T108)</f>
        <v>-0.64912280701754388</v>
      </c>
    </row>
    <row r="109" spans="1:26" s="23" customFormat="1" hidden="1" outlineLevel="2" x14ac:dyDescent="0.25">
      <c r="A109" s="27"/>
      <c r="B109" s="10" t="str">
        <f>CONCATENATE("          ", "6408", " - ", "INVENTORY ADJUSTMENT")</f>
        <v xml:space="preserve">          6408 - INVENTORY ADJUSTMENT</v>
      </c>
      <c r="C109" s="10"/>
      <c r="D109" s="6">
        <v>1000</v>
      </c>
      <c r="E109" s="2"/>
      <c r="F109" s="7">
        <f t="shared" si="53"/>
        <v>2.7315409835492414E-3</v>
      </c>
      <c r="G109" s="2"/>
      <c r="H109" s="6">
        <v>2850</v>
      </c>
      <c r="I109" s="2"/>
      <c r="J109" s="7">
        <f t="shared" si="54"/>
        <v>2.2863938546867548E-2</v>
      </c>
      <c r="K109" s="2"/>
      <c r="L109" s="6">
        <f t="shared" si="55"/>
        <v>-1850</v>
      </c>
      <c r="M109" s="2"/>
      <c r="N109" s="7">
        <f t="shared" si="56"/>
        <v>-0.64912280701754388</v>
      </c>
      <c r="O109" s="10"/>
      <c r="P109" s="6">
        <v>10000</v>
      </c>
      <c r="Q109" s="2"/>
      <c r="R109" s="7">
        <f t="shared" si="57"/>
        <v>6.1136328589963288E-3</v>
      </c>
      <c r="S109" s="2"/>
      <c r="T109" s="6">
        <v>28500</v>
      </c>
      <c r="U109" s="2"/>
      <c r="V109" s="7">
        <f t="shared" si="58"/>
        <v>1.3205832824526493E-2</v>
      </c>
      <c r="W109" s="2"/>
      <c r="X109" s="6">
        <f t="shared" si="59"/>
        <v>-18500</v>
      </c>
      <c r="Y109" s="2"/>
      <c r="Z109" s="7">
        <f t="shared" si="60"/>
        <v>-0.64912280701754388</v>
      </c>
    </row>
    <row r="110" spans="1:26" s="23" customFormat="1" hidden="1" outlineLevel="2" x14ac:dyDescent="0.25">
      <c r="A110" s="27"/>
      <c r="B110" s="10" t="str">
        <f>CONCATENATE("          ", "7741", " - ", "INV. SHRINKAGE-LOGO GIFTS")</f>
        <v xml:space="preserve">          7741 - INV. SHRINKAGE-LOGO GIFTS</v>
      </c>
      <c r="C110" s="10"/>
      <c r="D110" s="6"/>
      <c r="E110" s="2"/>
      <c r="F110" s="7">
        <f t="shared" si="53"/>
        <v>0</v>
      </c>
      <c r="G110" s="2"/>
      <c r="H110" s="6"/>
      <c r="I110" s="2"/>
      <c r="J110" s="7">
        <f t="shared" si="54"/>
        <v>0</v>
      </c>
      <c r="K110" s="2"/>
      <c r="L110" s="6">
        <f t="shared" si="55"/>
        <v>0</v>
      </c>
      <c r="M110" s="2"/>
      <c r="N110" s="7">
        <f t="shared" si="56"/>
        <v>0</v>
      </c>
      <c r="O110" s="10"/>
      <c r="P110" s="6">
        <v>0</v>
      </c>
      <c r="Q110" s="2"/>
      <c r="R110" s="7">
        <f t="shared" si="57"/>
        <v>0</v>
      </c>
      <c r="S110" s="2"/>
      <c r="T110" s="6"/>
      <c r="U110" s="2"/>
      <c r="V110" s="7">
        <f t="shared" si="58"/>
        <v>0</v>
      </c>
      <c r="W110" s="2"/>
      <c r="X110" s="6">
        <f t="shared" si="59"/>
        <v>0</v>
      </c>
      <c r="Y110" s="2"/>
      <c r="Z110" s="7">
        <f t="shared" si="60"/>
        <v>0</v>
      </c>
    </row>
    <row r="111" spans="1:26" s="26" customFormat="1" outlineLevel="1" collapsed="1" x14ac:dyDescent="0.25">
      <c r="A111" s="25"/>
      <c r="B111" s="12" t="str">
        <f>CONCATENATE("     ","Professional Services                             ")</f>
        <v xml:space="preserve">     Professional Services                             </v>
      </c>
      <c r="C111" s="12"/>
      <c r="D111" s="1">
        <f>SUM(OSRRefD22_7x_0)</f>
        <v>0</v>
      </c>
      <c r="E111" s="1"/>
      <c r="F111" s="5">
        <f t="shared" ref="F111:F117" si="61">IF(D$12=0,0,D111/D$12)</f>
        <v>0</v>
      </c>
      <c r="G111" s="1"/>
      <c r="H111" s="1">
        <f>SUM(OSRRefH22_7x_0)</f>
        <v>2930</v>
      </c>
      <c r="I111" s="1"/>
      <c r="J111" s="5">
        <f t="shared" ref="J111:J117" si="62">IF(H$12=0,0,H111/H$12)</f>
        <v>2.3505733313095412E-2</v>
      </c>
      <c r="K111" s="1"/>
      <c r="L111" s="1">
        <f t="shared" ref="L111:L117" si="63">+D111-H111</f>
        <v>-2930</v>
      </c>
      <c r="M111" s="1"/>
      <c r="N111" s="5">
        <f t="shared" ref="N111:N117" si="64">IF(H111=0,0,L111/H111)</f>
        <v>-1</v>
      </c>
      <c r="O111" s="12"/>
      <c r="P111" s="1">
        <f>SUM(OSRRefP22_7x_0)</f>
        <v>0</v>
      </c>
      <c r="Q111" s="1"/>
      <c r="R111" s="5">
        <f t="shared" ref="R111:R117" si="65">IF(P$12=0,0,P111/P$12)</f>
        <v>0</v>
      </c>
      <c r="S111" s="1"/>
      <c r="T111" s="1">
        <f>SUM(OSRRefT22_7x_0)</f>
        <v>2930</v>
      </c>
      <c r="U111" s="1"/>
      <c r="V111" s="5">
        <f t="shared" ref="V111:V117" si="66">IF(T$12=0,0,T111/T$12)</f>
        <v>1.3576522868723726E-3</v>
      </c>
      <c r="W111" s="1"/>
      <c r="X111" s="1">
        <f t="shared" ref="X111:X117" si="67">+P111-T111</f>
        <v>-2930</v>
      </c>
      <c r="Y111" s="1"/>
      <c r="Z111" s="5">
        <f t="shared" ref="Z111:Z117" si="68">IF(T111=0,0,X111/T111)</f>
        <v>-1</v>
      </c>
    </row>
    <row r="112" spans="1:26" s="23" customFormat="1" hidden="1" outlineLevel="2" x14ac:dyDescent="0.25">
      <c r="A112" s="27"/>
      <c r="B112" s="10" t="str">
        <f>CONCATENATE("          ", "6336", " - ", "PROFESSIONAL SERVICES")</f>
        <v xml:space="preserve">          6336 - PROFESSIONAL SERVICES</v>
      </c>
      <c r="C112" s="10"/>
      <c r="D112" s="6"/>
      <c r="E112" s="2"/>
      <c r="F112" s="7">
        <f t="shared" si="61"/>
        <v>0</v>
      </c>
      <c r="G112" s="2"/>
      <c r="H112" s="6">
        <v>2930</v>
      </c>
      <c r="I112" s="2"/>
      <c r="J112" s="7">
        <f t="shared" si="62"/>
        <v>2.3505733313095412E-2</v>
      </c>
      <c r="K112" s="2"/>
      <c r="L112" s="6">
        <f t="shared" si="63"/>
        <v>-2930</v>
      </c>
      <c r="M112" s="2"/>
      <c r="N112" s="7">
        <f t="shared" si="64"/>
        <v>-1</v>
      </c>
      <c r="O112" s="10"/>
      <c r="P112" s="6"/>
      <c r="Q112" s="2"/>
      <c r="R112" s="7">
        <f t="shared" si="65"/>
        <v>0</v>
      </c>
      <c r="S112" s="2"/>
      <c r="T112" s="6">
        <v>2930</v>
      </c>
      <c r="U112" s="2"/>
      <c r="V112" s="7">
        <f t="shared" si="66"/>
        <v>1.3576522868723726E-3</v>
      </c>
      <c r="W112" s="2"/>
      <c r="X112" s="6">
        <f t="shared" si="67"/>
        <v>-2930</v>
      </c>
      <c r="Y112" s="2"/>
      <c r="Z112" s="7">
        <f t="shared" si="68"/>
        <v>-1</v>
      </c>
    </row>
    <row r="113" spans="1:26" s="26" customFormat="1" outlineLevel="1" collapsed="1" x14ac:dyDescent="0.25">
      <c r="A113" s="25"/>
      <c r="B113" s="12" t="str">
        <f>CONCATENATE("     ","Repair and Maintenance                            ")</f>
        <v xml:space="preserve">     Repair and Maintenance                            </v>
      </c>
      <c r="C113" s="12"/>
      <c r="D113" s="1">
        <f>SUM(OSRRefD22_8x_0)</f>
        <v>0</v>
      </c>
      <c r="E113" s="1"/>
      <c r="F113" s="5">
        <f t="shared" si="61"/>
        <v>0</v>
      </c>
      <c r="G113" s="1"/>
      <c r="H113" s="1">
        <f>SUM(OSRRefH22_8x_0)</f>
        <v>0</v>
      </c>
      <c r="I113" s="1"/>
      <c r="J113" s="5">
        <f t="shared" si="62"/>
        <v>0</v>
      </c>
      <c r="K113" s="1"/>
      <c r="L113" s="1">
        <f t="shared" si="63"/>
        <v>0</v>
      </c>
      <c r="M113" s="1"/>
      <c r="N113" s="5">
        <f t="shared" si="64"/>
        <v>0</v>
      </c>
      <c r="O113" s="12"/>
      <c r="P113" s="1">
        <f>SUM(OSRRefP22_8x_0)</f>
        <v>0</v>
      </c>
      <c r="Q113" s="1"/>
      <c r="R113" s="5">
        <f t="shared" si="65"/>
        <v>0</v>
      </c>
      <c r="S113" s="1"/>
      <c r="T113" s="1">
        <f>SUM(OSRRefT22_8x_0)</f>
        <v>309.77999999999997</v>
      </c>
      <c r="U113" s="1"/>
      <c r="V113" s="5">
        <f t="shared" si="66"/>
        <v>1.4354045236427427E-4</v>
      </c>
      <c r="W113" s="1"/>
      <c r="X113" s="1">
        <f t="shared" si="67"/>
        <v>-309.77999999999997</v>
      </c>
      <c r="Y113" s="1"/>
      <c r="Z113" s="5">
        <f t="shared" si="68"/>
        <v>-1</v>
      </c>
    </row>
    <row r="114" spans="1:26" s="23" customFormat="1" hidden="1" outlineLevel="2" x14ac:dyDescent="0.25">
      <c r="A114" s="27"/>
      <c r="B114" s="10" t="str">
        <f>CONCATENATE("          ", "6373", " - ", "MAINTENANCE CONTRACTS")</f>
        <v xml:space="preserve">          6373 - MAINTENANCE CONTRACTS</v>
      </c>
      <c r="C114" s="10"/>
      <c r="D114" s="6"/>
      <c r="E114" s="2"/>
      <c r="F114" s="7">
        <f t="shared" si="61"/>
        <v>0</v>
      </c>
      <c r="G114" s="2"/>
      <c r="H114" s="6"/>
      <c r="I114" s="2"/>
      <c r="J114" s="7">
        <f t="shared" si="62"/>
        <v>0</v>
      </c>
      <c r="K114" s="2"/>
      <c r="L114" s="6">
        <f t="shared" si="63"/>
        <v>0</v>
      </c>
      <c r="M114" s="2"/>
      <c r="N114" s="7">
        <f t="shared" si="64"/>
        <v>0</v>
      </c>
      <c r="O114" s="10"/>
      <c r="P114" s="6"/>
      <c r="Q114" s="2"/>
      <c r="R114" s="7">
        <f t="shared" si="65"/>
        <v>0</v>
      </c>
      <c r="S114" s="2"/>
      <c r="T114" s="6">
        <v>309.77999999999997</v>
      </c>
      <c r="U114" s="2"/>
      <c r="V114" s="7">
        <f t="shared" si="66"/>
        <v>1.4354045236427427E-4</v>
      </c>
      <c r="W114" s="2"/>
      <c r="X114" s="6">
        <f t="shared" si="67"/>
        <v>-309.77999999999997</v>
      </c>
      <c r="Y114" s="2"/>
      <c r="Z114" s="7">
        <f t="shared" si="68"/>
        <v>-1</v>
      </c>
    </row>
    <row r="115" spans="1:26" s="26" customFormat="1" outlineLevel="1" collapsed="1" x14ac:dyDescent="0.25">
      <c r="A115" s="25"/>
      <c r="B115" s="12" t="str">
        <f>CONCATENATE("     ","Royalty &amp; Commissions                             ")</f>
        <v xml:space="preserve">     Royalty &amp; Commissions                             </v>
      </c>
      <c r="C115" s="12"/>
      <c r="D115" s="1">
        <f>SUM(OSRRefD22_9x_0)</f>
        <v>8961.48</v>
      </c>
      <c r="E115" s="1"/>
      <c r="F115" s="5">
        <f t="shared" si="61"/>
        <v>2.4478649893256856E-2</v>
      </c>
      <c r="G115" s="1"/>
      <c r="H115" s="1">
        <f>SUM(OSRRefH22_9x_0)</f>
        <v>14555.51</v>
      </c>
      <c r="I115" s="1"/>
      <c r="J115" s="5">
        <f t="shared" si="62"/>
        <v>0.11677062672221616</v>
      </c>
      <c r="K115" s="1"/>
      <c r="L115" s="1">
        <f t="shared" si="63"/>
        <v>-5594.0300000000007</v>
      </c>
      <c r="M115" s="1"/>
      <c r="N115" s="5">
        <f t="shared" si="64"/>
        <v>-0.38432387460143963</v>
      </c>
      <c r="O115" s="12"/>
      <c r="P115" s="1">
        <f>SUM(OSRRefP22_9x_0)</f>
        <v>35159.06</v>
      </c>
      <c r="Q115" s="1"/>
      <c r="R115" s="5">
        <f t="shared" si="65"/>
        <v>2.1494958450742348E-2</v>
      </c>
      <c r="S115" s="1"/>
      <c r="T115" s="1">
        <f>SUM(OSRRefT22_9x_0)</f>
        <v>40841.660000000003</v>
      </c>
      <c r="U115" s="1"/>
      <c r="V115" s="5">
        <f t="shared" si="66"/>
        <v>1.8924495938110551E-2</v>
      </c>
      <c r="W115" s="1"/>
      <c r="X115" s="1">
        <f t="shared" si="67"/>
        <v>-5682.6000000000058</v>
      </c>
      <c r="Y115" s="1"/>
      <c r="Z115" s="5">
        <f t="shared" si="68"/>
        <v>-0.139137341626173</v>
      </c>
    </row>
    <row r="116" spans="1:26" s="23" customFormat="1" hidden="1" outlineLevel="2" x14ac:dyDescent="0.25">
      <c r="A116" s="27"/>
      <c r="B116" s="10" t="str">
        <f>CONCATENATE("          ", "6253", " - ", "ROYALTY DUE ATHLETICS-LRG")</f>
        <v xml:space="preserve">          6253 - ROYALTY DUE ATHLETICS-LRG</v>
      </c>
      <c r="C116" s="10"/>
      <c r="D116" s="6">
        <v>8961.48</v>
      </c>
      <c r="E116" s="2"/>
      <c r="F116" s="7">
        <f t="shared" si="61"/>
        <v>2.4478649893256856E-2</v>
      </c>
      <c r="G116" s="2"/>
      <c r="H116" s="6">
        <v>14555.51</v>
      </c>
      <c r="I116" s="2"/>
      <c r="J116" s="7">
        <f t="shared" si="62"/>
        <v>0.11677062672221616</v>
      </c>
      <c r="K116" s="2"/>
      <c r="L116" s="6">
        <f t="shared" si="63"/>
        <v>-5594.0300000000007</v>
      </c>
      <c r="M116" s="2"/>
      <c r="N116" s="7">
        <f t="shared" si="64"/>
        <v>-0.38432387460143963</v>
      </c>
      <c r="O116" s="10"/>
      <c r="P116" s="6">
        <v>35159.06</v>
      </c>
      <c r="Q116" s="2"/>
      <c r="R116" s="7">
        <f t="shared" si="65"/>
        <v>2.1494958450742348E-2</v>
      </c>
      <c r="S116" s="2"/>
      <c r="T116" s="6">
        <v>32870.44</v>
      </c>
      <c r="U116" s="2"/>
      <c r="V116" s="7">
        <f t="shared" si="66"/>
        <v>1.5230931070478198E-2</v>
      </c>
      <c r="W116" s="2"/>
      <c r="X116" s="6">
        <f t="shared" si="67"/>
        <v>2288.6199999999953</v>
      </c>
      <c r="Y116" s="2"/>
      <c r="Z116" s="7">
        <f t="shared" si="68"/>
        <v>6.962547504688088E-2</v>
      </c>
    </row>
    <row r="117" spans="1:26" s="23" customFormat="1" hidden="1" outlineLevel="2" x14ac:dyDescent="0.25">
      <c r="A117" s="27"/>
      <c r="B117" s="10" t="str">
        <f>CONCATENATE("          ", "6254", " - ", "ROYALTY &amp; COMMISSIONS")</f>
        <v xml:space="preserve">          6254 - ROYALTY &amp; COMMISSIONS</v>
      </c>
      <c r="C117" s="10"/>
      <c r="D117" s="6"/>
      <c r="E117" s="2"/>
      <c r="F117" s="7">
        <f t="shared" si="61"/>
        <v>0</v>
      </c>
      <c r="G117" s="2"/>
      <c r="H117" s="6"/>
      <c r="I117" s="2"/>
      <c r="J117" s="7">
        <f t="shared" si="62"/>
        <v>0</v>
      </c>
      <c r="K117" s="2"/>
      <c r="L117" s="6">
        <f t="shared" si="63"/>
        <v>0</v>
      </c>
      <c r="M117" s="2"/>
      <c r="N117" s="7">
        <f t="shared" si="64"/>
        <v>0</v>
      </c>
      <c r="O117" s="10"/>
      <c r="P117" s="6"/>
      <c r="Q117" s="2"/>
      <c r="R117" s="7">
        <f t="shared" si="65"/>
        <v>0</v>
      </c>
      <c r="S117" s="2"/>
      <c r="T117" s="6">
        <v>7971.22</v>
      </c>
      <c r="U117" s="2"/>
      <c r="V117" s="7">
        <f t="shared" si="66"/>
        <v>3.6935648676323534E-3</v>
      </c>
      <c r="W117" s="2"/>
      <c r="X117" s="6">
        <f t="shared" si="67"/>
        <v>-7971.22</v>
      </c>
      <c r="Y117" s="2"/>
      <c r="Z117" s="7">
        <f t="shared" si="68"/>
        <v>-1</v>
      </c>
    </row>
    <row r="118" spans="1:26" s="26" customFormat="1" outlineLevel="1" collapsed="1" x14ac:dyDescent="0.25">
      <c r="A118" s="25"/>
      <c r="B118" s="12" t="str">
        <f>CONCATENATE("     ","Subscriptions &amp; Dues                              ")</f>
        <v xml:space="preserve">     Subscriptions &amp; Dues                              </v>
      </c>
      <c r="C118" s="12"/>
      <c r="D118" s="1">
        <f>SUM(OSRRefD22_10x_0)</f>
        <v>0</v>
      </c>
      <c r="E118" s="1"/>
      <c r="F118" s="5">
        <f t="shared" ref="F118:F120" si="69">IF(D$12=0,0,D118/D$12)</f>
        <v>0</v>
      </c>
      <c r="G118" s="1"/>
      <c r="H118" s="1">
        <f>SUM(OSRRefH22_10x_0)</f>
        <v>0</v>
      </c>
      <c r="I118" s="1"/>
      <c r="J118" s="5">
        <f t="shared" ref="J118:J120" si="70">IF(H$12=0,0,H118/H$12)</f>
        <v>0</v>
      </c>
      <c r="K118" s="1"/>
      <c r="L118" s="1">
        <f t="shared" ref="L118:L120" si="71">+D118-H118</f>
        <v>0</v>
      </c>
      <c r="M118" s="1"/>
      <c r="N118" s="5">
        <f t="shared" ref="N118:N120" si="72">IF(H118=0,0,L118/H118)</f>
        <v>0</v>
      </c>
      <c r="O118" s="12"/>
      <c r="P118" s="1">
        <f>SUM(OSRRefP22_10x_0)</f>
        <v>-231.57</v>
      </c>
      <c r="Q118" s="1"/>
      <c r="R118" s="5">
        <f t="shared" ref="R118:R120" si="73">IF(P$12=0,0,P118/P$12)</f>
        <v>-1.4157339611577799E-4</v>
      </c>
      <c r="S118" s="1"/>
      <c r="T118" s="1">
        <f>SUM(OSRRefT22_10x_0)</f>
        <v>379.58</v>
      </c>
      <c r="U118" s="1"/>
      <c r="V118" s="5">
        <f t="shared" ref="V118:V120" si="74">IF(T$12=0,0,T118/T$12)</f>
        <v>1.7588315872048301E-4</v>
      </c>
      <c r="W118" s="1"/>
      <c r="X118" s="1">
        <f t="shared" ref="X118:X120" si="75">+P118-T118</f>
        <v>-611.15</v>
      </c>
      <c r="Y118" s="1"/>
      <c r="Z118" s="5">
        <f t="shared" ref="Z118:Z120" si="76">IF(T118=0,0,X118/T118)</f>
        <v>-1.6100690236577269</v>
      </c>
    </row>
    <row r="119" spans="1:26" s="23" customFormat="1" hidden="1" outlineLevel="2" x14ac:dyDescent="0.25">
      <c r="A119" s="27"/>
      <c r="B119" s="10" t="str">
        <f>CONCATENATE("          ", "6258", " - ", "MEMBERSHIP DUES")</f>
        <v xml:space="preserve">          6258 - MEMBERSHIP DUES</v>
      </c>
      <c r="C119" s="10"/>
      <c r="D119" s="6"/>
      <c r="E119" s="2"/>
      <c r="F119" s="7">
        <f t="shared" si="69"/>
        <v>0</v>
      </c>
      <c r="G119" s="2"/>
      <c r="H119" s="6"/>
      <c r="I119" s="2"/>
      <c r="J119" s="7">
        <f t="shared" si="70"/>
        <v>0</v>
      </c>
      <c r="K119" s="2"/>
      <c r="L119" s="6">
        <f t="shared" si="71"/>
        <v>0</v>
      </c>
      <c r="M119" s="2"/>
      <c r="N119" s="7">
        <f t="shared" si="72"/>
        <v>0</v>
      </c>
      <c r="O119" s="10"/>
      <c r="P119" s="6">
        <v>-307.3</v>
      </c>
      <c r="Q119" s="2"/>
      <c r="R119" s="7">
        <f t="shared" si="73"/>
        <v>-1.878719377569572E-4</v>
      </c>
      <c r="S119" s="2"/>
      <c r="T119" s="6">
        <v>82.94</v>
      </c>
      <c r="U119" s="2"/>
      <c r="V119" s="7">
        <f t="shared" si="74"/>
        <v>3.8431290332148322E-5</v>
      </c>
      <c r="W119" s="2"/>
      <c r="X119" s="6">
        <f t="shared" si="75"/>
        <v>-390.24</v>
      </c>
      <c r="Y119" s="2"/>
      <c r="Z119" s="7">
        <f t="shared" si="76"/>
        <v>-4.7050880154328434</v>
      </c>
    </row>
    <row r="120" spans="1:26" s="23" customFormat="1" hidden="1" outlineLevel="2" x14ac:dyDescent="0.25">
      <c r="A120" s="27"/>
      <c r="B120" s="10" t="str">
        <f>CONCATENATE("          ", "6275", " - ", "SUBSCRIPTIONS")</f>
        <v xml:space="preserve">          6275 - SUBSCRIPTIONS</v>
      </c>
      <c r="C120" s="10"/>
      <c r="D120" s="6"/>
      <c r="E120" s="2"/>
      <c r="F120" s="7">
        <f t="shared" si="69"/>
        <v>0</v>
      </c>
      <c r="G120" s="2"/>
      <c r="H120" s="6"/>
      <c r="I120" s="2"/>
      <c r="J120" s="7">
        <f t="shared" si="70"/>
        <v>0</v>
      </c>
      <c r="K120" s="2"/>
      <c r="L120" s="6">
        <f t="shared" si="71"/>
        <v>0</v>
      </c>
      <c r="M120" s="2"/>
      <c r="N120" s="7">
        <f t="shared" si="72"/>
        <v>0</v>
      </c>
      <c r="O120" s="10"/>
      <c r="P120" s="6">
        <v>75.73</v>
      </c>
      <c r="Q120" s="2"/>
      <c r="R120" s="7">
        <f t="shared" si="73"/>
        <v>4.6298541641179204E-5</v>
      </c>
      <c r="S120" s="2"/>
      <c r="T120" s="6">
        <v>296.64</v>
      </c>
      <c r="U120" s="2"/>
      <c r="V120" s="7">
        <f t="shared" si="74"/>
        <v>1.3745186838833468E-4</v>
      </c>
      <c r="W120" s="2"/>
      <c r="X120" s="6">
        <f t="shared" si="75"/>
        <v>-220.90999999999997</v>
      </c>
      <c r="Y120" s="2"/>
      <c r="Z120" s="7">
        <f t="shared" si="76"/>
        <v>-0.74470738942826309</v>
      </c>
    </row>
    <row r="121" spans="1:26" s="26" customFormat="1" outlineLevel="1" collapsed="1" x14ac:dyDescent="0.25">
      <c r="A121" s="25"/>
      <c r="B121" s="12" t="str">
        <f>CONCATENATE("     ","Supplies                                          ")</f>
        <v xml:space="preserve">     Supplies                                          </v>
      </c>
      <c r="C121" s="12"/>
      <c r="D121" s="1">
        <f>SUM(OSRRefD22_11x_0)</f>
        <v>129.86000000000001</v>
      </c>
      <c r="E121" s="1"/>
      <c r="F121" s="5">
        <f t="shared" ref="F121:F126" si="77">IF(D$12=0,0,D121/D$12)</f>
        <v>3.5471791212370453E-4</v>
      </c>
      <c r="G121" s="1"/>
      <c r="H121" s="1">
        <f>SUM(OSRRefH22_11x_0)</f>
        <v>140.1</v>
      </c>
      <c r="I121" s="1"/>
      <c r="J121" s="5">
        <f t="shared" ref="J121:J126" si="78">IF(H$12=0,0,H121/H$12)</f>
        <v>1.1239430843565416E-3</v>
      </c>
      <c r="K121" s="1"/>
      <c r="L121" s="1">
        <f t="shared" ref="L121:L126" si="79">+D121-H121</f>
        <v>-10.239999999999981</v>
      </c>
      <c r="M121" s="1"/>
      <c r="N121" s="5">
        <f t="shared" ref="N121:N126" si="80">IF(H121=0,0,L121/H121)</f>
        <v>-7.3090649536045549E-2</v>
      </c>
      <c r="O121" s="12"/>
      <c r="P121" s="1">
        <f>SUM(OSRRefP22_11x_0)</f>
        <v>3759.8300000000004</v>
      </c>
      <c r="Q121" s="1"/>
      <c r="R121" s="5">
        <f t="shared" ref="R121:R126" si="81">IF(P$12=0,0,P121/P$12)</f>
        <v>2.2986220232240171E-3</v>
      </c>
      <c r="S121" s="1"/>
      <c r="T121" s="1">
        <f>SUM(OSRRefT22_11x_0)</f>
        <v>3555.94</v>
      </c>
      <c r="U121" s="1"/>
      <c r="V121" s="5">
        <f t="shared" ref="V121:V126" si="82">IF(T$12=0,0,T121/T$12)</f>
        <v>1.6476894447033943E-3</v>
      </c>
      <c r="W121" s="1"/>
      <c r="X121" s="1">
        <f t="shared" ref="X121:X126" si="83">+P121-T121</f>
        <v>203.89000000000033</v>
      </c>
      <c r="Y121" s="1"/>
      <c r="Z121" s="5">
        <f t="shared" ref="Z121:Z126" si="84">IF(T121=0,0,X121/T121)</f>
        <v>5.7337862843580126E-2</v>
      </c>
    </row>
    <row r="122" spans="1:26" s="23" customFormat="1" hidden="1" outlineLevel="2" x14ac:dyDescent="0.25">
      <c r="A122" s="27"/>
      <c r="B122" s="10" t="str">
        <f>CONCATENATE("          ", "6234", " - ", "EXPENDABLE SUPPLIES &amp; EQUIPMEN")</f>
        <v xml:space="preserve">          6234 - EXPENDABLE SUPPLIES &amp; EQUIPMEN</v>
      </c>
      <c r="C122" s="10"/>
      <c r="D122" s="6">
        <v>53</v>
      </c>
      <c r="E122" s="2"/>
      <c r="F122" s="7">
        <f t="shared" si="77"/>
        <v>1.4477167212810979E-4</v>
      </c>
      <c r="G122" s="2"/>
      <c r="H122" s="6">
        <v>140.1</v>
      </c>
      <c r="I122" s="2"/>
      <c r="J122" s="7">
        <f t="shared" si="78"/>
        <v>1.1239430843565416E-3</v>
      </c>
      <c r="K122" s="2"/>
      <c r="L122" s="6">
        <f t="shared" si="79"/>
        <v>-87.1</v>
      </c>
      <c r="M122" s="2"/>
      <c r="N122" s="7">
        <f t="shared" si="80"/>
        <v>-0.62169878658101352</v>
      </c>
      <c r="O122" s="10"/>
      <c r="P122" s="6">
        <v>449.5</v>
      </c>
      <c r="Q122" s="2"/>
      <c r="R122" s="7">
        <f t="shared" si="81"/>
        <v>2.74807797011885E-4</v>
      </c>
      <c r="S122" s="2"/>
      <c r="T122" s="6">
        <v>672.38</v>
      </c>
      <c r="U122" s="2"/>
      <c r="V122" s="7">
        <f t="shared" si="82"/>
        <v>3.1155571489667098E-4</v>
      </c>
      <c r="W122" s="2"/>
      <c r="X122" s="6">
        <f t="shared" si="83"/>
        <v>-222.88</v>
      </c>
      <c r="Y122" s="2"/>
      <c r="Z122" s="7">
        <f t="shared" si="84"/>
        <v>-0.33147922305838962</v>
      </c>
    </row>
    <row r="123" spans="1:26" s="23" customFormat="1" hidden="1" outlineLevel="2" x14ac:dyDescent="0.25">
      <c r="A123" s="27"/>
      <c r="B123" s="10" t="str">
        <f>CONCATENATE("          ", "6235", " - ", "COVID-19 EXPENSES")</f>
        <v xml:space="preserve">          6235 - COVID-19 EXPENSES</v>
      </c>
      <c r="C123" s="10"/>
      <c r="D123" s="6"/>
      <c r="E123" s="2"/>
      <c r="F123" s="7">
        <f t="shared" si="77"/>
        <v>0</v>
      </c>
      <c r="G123" s="2"/>
      <c r="H123" s="6"/>
      <c r="I123" s="2"/>
      <c r="J123" s="7">
        <f t="shared" si="78"/>
        <v>0</v>
      </c>
      <c r="K123" s="2"/>
      <c r="L123" s="6">
        <f t="shared" si="79"/>
        <v>0</v>
      </c>
      <c r="M123" s="2"/>
      <c r="N123" s="7">
        <f t="shared" si="80"/>
        <v>0</v>
      </c>
      <c r="O123" s="10"/>
      <c r="P123" s="6">
        <v>1026.43</v>
      </c>
      <c r="Q123" s="2"/>
      <c r="R123" s="7">
        <f t="shared" si="81"/>
        <v>6.2752161754596025E-4</v>
      </c>
      <c r="S123" s="2"/>
      <c r="T123" s="6"/>
      <c r="U123" s="2"/>
      <c r="V123" s="7">
        <f t="shared" si="82"/>
        <v>0</v>
      </c>
      <c r="W123" s="2"/>
      <c r="X123" s="6">
        <f t="shared" si="83"/>
        <v>1026.43</v>
      </c>
      <c r="Y123" s="2"/>
      <c r="Z123" s="7">
        <f t="shared" si="84"/>
        <v>0</v>
      </c>
    </row>
    <row r="124" spans="1:26" s="23" customFormat="1" hidden="1" outlineLevel="2" x14ac:dyDescent="0.25">
      <c r="A124" s="27"/>
      <c r="B124" s="10" t="str">
        <f>CONCATENATE("          ", "6241", " - ", "OFFICE EXPENSE")</f>
        <v xml:space="preserve">          6241 - OFFICE EXPENSE</v>
      </c>
      <c r="C124" s="10"/>
      <c r="D124" s="6">
        <v>76.86</v>
      </c>
      <c r="E124" s="2"/>
      <c r="F124" s="7">
        <f t="shared" si="77"/>
        <v>2.0994623999559469E-4</v>
      </c>
      <c r="G124" s="2"/>
      <c r="H124" s="6"/>
      <c r="I124" s="2"/>
      <c r="J124" s="7">
        <f t="shared" si="78"/>
        <v>0</v>
      </c>
      <c r="K124" s="2"/>
      <c r="L124" s="6">
        <f t="shared" si="79"/>
        <v>76.86</v>
      </c>
      <c r="M124" s="2"/>
      <c r="N124" s="7">
        <f t="shared" si="80"/>
        <v>0</v>
      </c>
      <c r="O124" s="10"/>
      <c r="P124" s="6">
        <v>1173.67</v>
      </c>
      <c r="Q124" s="2"/>
      <c r="R124" s="7">
        <f t="shared" si="81"/>
        <v>7.1753874776182217E-4</v>
      </c>
      <c r="S124" s="2"/>
      <c r="T124" s="6">
        <v>2649.5</v>
      </c>
      <c r="U124" s="2"/>
      <c r="V124" s="7">
        <f t="shared" si="82"/>
        <v>1.2276790901257172E-3</v>
      </c>
      <c r="W124" s="2"/>
      <c r="X124" s="6">
        <f t="shared" si="83"/>
        <v>-1475.83</v>
      </c>
      <c r="Y124" s="2"/>
      <c r="Z124" s="7">
        <f t="shared" si="84"/>
        <v>-0.55702207963766748</v>
      </c>
    </row>
    <row r="125" spans="1:26" s="23" customFormat="1" hidden="1" outlineLevel="2" x14ac:dyDescent="0.25">
      <c r="A125" s="27"/>
      <c r="B125" s="10" t="str">
        <f>CONCATENATE("          ", "6245", " - ", "PRINTING")</f>
        <v xml:space="preserve">          6245 - PRINTING</v>
      </c>
      <c r="C125" s="10"/>
      <c r="D125" s="6"/>
      <c r="E125" s="2"/>
      <c r="F125" s="7">
        <f t="shared" si="77"/>
        <v>0</v>
      </c>
      <c r="G125" s="2"/>
      <c r="H125" s="6"/>
      <c r="I125" s="2"/>
      <c r="J125" s="7">
        <f t="shared" si="78"/>
        <v>0</v>
      </c>
      <c r="K125" s="2"/>
      <c r="L125" s="6">
        <f t="shared" si="79"/>
        <v>0</v>
      </c>
      <c r="M125" s="2"/>
      <c r="N125" s="7">
        <f t="shared" si="80"/>
        <v>0</v>
      </c>
      <c r="O125" s="10"/>
      <c r="P125" s="6"/>
      <c r="Q125" s="2"/>
      <c r="R125" s="7">
        <f t="shared" si="81"/>
        <v>0</v>
      </c>
      <c r="S125" s="2"/>
      <c r="T125" s="6">
        <v>-528.98</v>
      </c>
      <c r="U125" s="2"/>
      <c r="V125" s="7">
        <f t="shared" si="82"/>
        <v>-2.4510952447431665E-4</v>
      </c>
      <c r="W125" s="2"/>
      <c r="X125" s="6">
        <f t="shared" si="83"/>
        <v>528.98</v>
      </c>
      <c r="Y125" s="2"/>
      <c r="Z125" s="7">
        <f t="shared" si="84"/>
        <v>-1</v>
      </c>
    </row>
    <row r="126" spans="1:26" s="23" customFormat="1" hidden="1" outlineLevel="2" x14ac:dyDescent="0.25">
      <c r="A126" s="27"/>
      <c r="B126" s="10" t="str">
        <f>CONCATENATE("          ", "6247", " - ", "STORE SUPPLIES")</f>
        <v xml:space="preserve">          6247 - STORE SUPPLIES</v>
      </c>
      <c r="C126" s="10"/>
      <c r="D126" s="6"/>
      <c r="E126" s="2"/>
      <c r="F126" s="7">
        <f t="shared" si="77"/>
        <v>0</v>
      </c>
      <c r="G126" s="2"/>
      <c r="H126" s="6"/>
      <c r="I126" s="2"/>
      <c r="J126" s="7">
        <f t="shared" si="78"/>
        <v>0</v>
      </c>
      <c r="K126" s="2"/>
      <c r="L126" s="6">
        <f t="shared" si="79"/>
        <v>0</v>
      </c>
      <c r="M126" s="2"/>
      <c r="N126" s="7">
        <f t="shared" si="80"/>
        <v>0</v>
      </c>
      <c r="O126" s="10"/>
      <c r="P126" s="6">
        <v>1110.23</v>
      </c>
      <c r="Q126" s="2"/>
      <c r="R126" s="7">
        <f t="shared" si="81"/>
        <v>6.7875386090434948E-4</v>
      </c>
      <c r="S126" s="2"/>
      <c r="T126" s="6">
        <v>763.04</v>
      </c>
      <c r="U126" s="2"/>
      <c r="V126" s="7">
        <f t="shared" si="82"/>
        <v>3.5356416415532259E-4</v>
      </c>
      <c r="W126" s="2"/>
      <c r="X126" s="6">
        <f t="shared" si="83"/>
        <v>347.19000000000005</v>
      </c>
      <c r="Y126" s="2"/>
      <c r="Z126" s="7">
        <f t="shared" si="84"/>
        <v>0.45500891172153501</v>
      </c>
    </row>
    <row r="127" spans="1:26" s="26" customFormat="1" outlineLevel="1" collapsed="1" x14ac:dyDescent="0.25">
      <c r="A127" s="25"/>
      <c r="B127" s="12" t="str">
        <f>CONCATENATE("     ","Telephone/Data Lines                              ")</f>
        <v xml:space="preserve">     Telephone/Data Lines                              </v>
      </c>
      <c r="C127" s="12"/>
      <c r="D127" s="1">
        <f>SUM(OSRRefD22_12x_0)</f>
        <v>97.85</v>
      </c>
      <c r="E127" s="1"/>
      <c r="F127" s="5">
        <f t="shared" ref="F127:F133" si="85">IF(D$12=0,0,D127/D$12)</f>
        <v>2.6728128524029326E-4</v>
      </c>
      <c r="G127" s="1"/>
      <c r="H127" s="1">
        <f>SUM(OSRRefH22_12x_0)</f>
        <v>415.71</v>
      </c>
      <c r="I127" s="1"/>
      <c r="J127" s="5">
        <f t="shared" ref="J127:J133" si="86">IF(H$12=0,0,H127/H$12)</f>
        <v>3.3350062783573014E-3</v>
      </c>
      <c r="K127" s="1"/>
      <c r="L127" s="1">
        <f t="shared" ref="L127:L133" si="87">+D127-H127</f>
        <v>-317.86</v>
      </c>
      <c r="M127" s="1"/>
      <c r="N127" s="5">
        <f t="shared" ref="N127:N133" si="88">IF(H127=0,0,L127/H127)</f>
        <v>-0.76461956652474083</v>
      </c>
      <c r="O127" s="12"/>
      <c r="P127" s="1">
        <f>SUM(OSRRefP22_12x_0)</f>
        <v>2967.79</v>
      </c>
      <c r="Q127" s="1"/>
      <c r="R127" s="5">
        <f t="shared" ref="R127:R133" si="89">IF(P$12=0,0,P127/P$12)</f>
        <v>1.8143978462600715E-3</v>
      </c>
      <c r="S127" s="1"/>
      <c r="T127" s="1">
        <f>SUM(OSRRefT22_12x_0)</f>
        <v>5404.34</v>
      </c>
      <c r="U127" s="1"/>
      <c r="V127" s="5">
        <f t="shared" ref="V127:V133" si="90">IF(T$12=0,0,T127/T$12)</f>
        <v>2.5041687918211054E-3</v>
      </c>
      <c r="W127" s="1"/>
      <c r="X127" s="1">
        <f t="shared" ref="X127:X133" si="91">+P127-T127</f>
        <v>-2436.5500000000002</v>
      </c>
      <c r="Y127" s="1"/>
      <c r="Z127" s="5">
        <f t="shared" ref="Z127:Z133" si="92">IF(T127=0,0,X127/T127)</f>
        <v>-0.45085061265575449</v>
      </c>
    </row>
    <row r="128" spans="1:26" s="23" customFormat="1" hidden="1" outlineLevel="2" x14ac:dyDescent="0.25">
      <c r="A128" s="27"/>
      <c r="B128" s="10" t="str">
        <f>CONCATENATE("          ", "6309", " - ", "TELEPHONE")</f>
        <v xml:space="preserve">          6309 - TELEPHONE</v>
      </c>
      <c r="C128" s="10"/>
      <c r="D128" s="6">
        <v>97.85</v>
      </c>
      <c r="E128" s="2"/>
      <c r="F128" s="7">
        <f t="shared" si="85"/>
        <v>2.6728128524029326E-4</v>
      </c>
      <c r="G128" s="2"/>
      <c r="H128" s="6">
        <v>415.71</v>
      </c>
      <c r="I128" s="2"/>
      <c r="J128" s="7">
        <f t="shared" si="86"/>
        <v>3.3350062783573014E-3</v>
      </c>
      <c r="K128" s="2"/>
      <c r="L128" s="6">
        <f t="shared" si="87"/>
        <v>-317.86</v>
      </c>
      <c r="M128" s="2"/>
      <c r="N128" s="7">
        <f t="shared" si="88"/>
        <v>-0.76461956652474083</v>
      </c>
      <c r="O128" s="10"/>
      <c r="P128" s="6">
        <v>2967.79</v>
      </c>
      <c r="Q128" s="2"/>
      <c r="R128" s="7">
        <f t="shared" si="89"/>
        <v>1.8143978462600715E-3</v>
      </c>
      <c r="S128" s="2"/>
      <c r="T128" s="6">
        <v>5404.34</v>
      </c>
      <c r="U128" s="2"/>
      <c r="V128" s="7">
        <f t="shared" si="90"/>
        <v>2.5041687918211054E-3</v>
      </c>
      <c r="W128" s="2"/>
      <c r="X128" s="6">
        <f t="shared" si="91"/>
        <v>-2436.5500000000002</v>
      </c>
      <c r="Y128" s="2"/>
      <c r="Z128" s="7">
        <f t="shared" si="92"/>
        <v>-0.45085061265575449</v>
      </c>
    </row>
    <row r="129" spans="1:26" s="26" customFormat="1" outlineLevel="1" collapsed="1" x14ac:dyDescent="0.25">
      <c r="A129" s="25"/>
      <c r="B129" s="12" t="str">
        <f>CONCATENATE("     ","Training                                          ")</f>
        <v xml:space="preserve">     Training                                          </v>
      </c>
      <c r="C129" s="12"/>
      <c r="D129" s="1">
        <f>SUM(OSRRefD22_13x_0)</f>
        <v>0</v>
      </c>
      <c r="E129" s="1"/>
      <c r="F129" s="5">
        <f t="shared" si="85"/>
        <v>0</v>
      </c>
      <c r="G129" s="1"/>
      <c r="H129" s="1">
        <f>SUM(OSRRefH22_13x_0)</f>
        <v>0</v>
      </c>
      <c r="I129" s="1"/>
      <c r="J129" s="5">
        <f t="shared" si="86"/>
        <v>0</v>
      </c>
      <c r="K129" s="1"/>
      <c r="L129" s="1">
        <f t="shared" si="87"/>
        <v>0</v>
      </c>
      <c r="M129" s="1"/>
      <c r="N129" s="5">
        <f t="shared" si="88"/>
        <v>0</v>
      </c>
      <c r="O129" s="12"/>
      <c r="P129" s="1">
        <f>SUM(OSRRefP22_13x_0)</f>
        <v>0</v>
      </c>
      <c r="Q129" s="1"/>
      <c r="R129" s="5">
        <f t="shared" si="89"/>
        <v>0</v>
      </c>
      <c r="S129" s="1"/>
      <c r="T129" s="1">
        <f>SUM(OSRRefT22_13x_0)</f>
        <v>3651.14</v>
      </c>
      <c r="U129" s="1"/>
      <c r="V129" s="5">
        <f t="shared" si="90"/>
        <v>1.6918015599628651E-3</v>
      </c>
      <c r="W129" s="1"/>
      <c r="X129" s="1">
        <f t="shared" si="91"/>
        <v>-3651.14</v>
      </c>
      <c r="Y129" s="1"/>
      <c r="Z129" s="5">
        <f t="shared" si="92"/>
        <v>-1</v>
      </c>
    </row>
    <row r="130" spans="1:26" s="23" customFormat="1" hidden="1" outlineLevel="2" x14ac:dyDescent="0.25">
      <c r="A130" s="27"/>
      <c r="B130" s="10" t="str">
        <f>CONCATENATE("          ", "6376", " - ", "TRAINING")</f>
        <v xml:space="preserve">          6376 - TRAINING</v>
      </c>
      <c r="C130" s="10"/>
      <c r="D130" s="6"/>
      <c r="E130" s="2"/>
      <c r="F130" s="7">
        <f t="shared" si="85"/>
        <v>0</v>
      </c>
      <c r="G130" s="2"/>
      <c r="H130" s="6"/>
      <c r="I130" s="2"/>
      <c r="J130" s="7">
        <f t="shared" si="86"/>
        <v>0</v>
      </c>
      <c r="K130" s="2"/>
      <c r="L130" s="6">
        <f t="shared" si="87"/>
        <v>0</v>
      </c>
      <c r="M130" s="2"/>
      <c r="N130" s="7">
        <f t="shared" si="88"/>
        <v>0</v>
      </c>
      <c r="O130" s="10"/>
      <c r="P130" s="6"/>
      <c r="Q130" s="2"/>
      <c r="R130" s="7">
        <f t="shared" si="89"/>
        <v>0</v>
      </c>
      <c r="S130" s="2"/>
      <c r="T130" s="6">
        <v>3651.14</v>
      </c>
      <c r="U130" s="2"/>
      <c r="V130" s="7">
        <f t="shared" si="90"/>
        <v>1.6918015599628651E-3</v>
      </c>
      <c r="W130" s="2"/>
      <c r="X130" s="6">
        <f t="shared" si="91"/>
        <v>-3651.14</v>
      </c>
      <c r="Y130" s="2"/>
      <c r="Z130" s="7">
        <f t="shared" si="92"/>
        <v>-1</v>
      </c>
    </row>
    <row r="131" spans="1:26" s="26" customFormat="1" outlineLevel="1" collapsed="1" x14ac:dyDescent="0.25">
      <c r="A131" s="25"/>
      <c r="B131" s="12" t="str">
        <f>CONCATENATE("     ","Travel                                            ")</f>
        <v xml:space="preserve">     Travel                                            </v>
      </c>
      <c r="C131" s="12"/>
      <c r="D131" s="1">
        <f>SUM(OSRRefD22_14x_0)</f>
        <v>43.9</v>
      </c>
      <c r="E131" s="1"/>
      <c r="F131" s="5">
        <f t="shared" si="85"/>
        <v>1.1991464917781169E-4</v>
      </c>
      <c r="G131" s="1"/>
      <c r="H131" s="1">
        <f>SUM(OSRRefH22_14x_0)</f>
        <v>0</v>
      </c>
      <c r="I131" s="1"/>
      <c r="J131" s="5">
        <f t="shared" si="86"/>
        <v>0</v>
      </c>
      <c r="K131" s="1"/>
      <c r="L131" s="1">
        <f t="shared" si="87"/>
        <v>43.9</v>
      </c>
      <c r="M131" s="1"/>
      <c r="N131" s="5">
        <f t="shared" si="88"/>
        <v>0</v>
      </c>
      <c r="O131" s="12"/>
      <c r="P131" s="1">
        <f>SUM(OSRRefP22_14x_0)</f>
        <v>113.82</v>
      </c>
      <c r="Q131" s="1"/>
      <c r="R131" s="5">
        <f t="shared" si="89"/>
        <v>6.9585369201096214E-5</v>
      </c>
      <c r="S131" s="1"/>
      <c r="T131" s="1">
        <f>SUM(OSRRefT22_14x_0)</f>
        <v>-99.159999999999982</v>
      </c>
      <c r="U131" s="1"/>
      <c r="V131" s="5">
        <f t="shared" si="90"/>
        <v>-4.5947030978247256E-5</v>
      </c>
      <c r="W131" s="1"/>
      <c r="X131" s="1">
        <f t="shared" si="91"/>
        <v>212.97999999999996</v>
      </c>
      <c r="Y131" s="1"/>
      <c r="Z131" s="5">
        <f t="shared" si="92"/>
        <v>-2.1478418717224685</v>
      </c>
    </row>
    <row r="132" spans="1:26" s="23" customFormat="1" hidden="1" outlineLevel="2" x14ac:dyDescent="0.25">
      <c r="A132" s="27"/>
      <c r="B132" s="10" t="str">
        <f>CONCATENATE("          ", "6292", " - ", "TRAVEL/CONFERENCE")</f>
        <v xml:space="preserve">          6292 - TRAVEL/CONFERENCE</v>
      </c>
      <c r="C132" s="10"/>
      <c r="D132" s="6"/>
      <c r="E132" s="2"/>
      <c r="F132" s="7">
        <f t="shared" si="85"/>
        <v>0</v>
      </c>
      <c r="G132" s="2"/>
      <c r="H132" s="6"/>
      <c r="I132" s="2"/>
      <c r="J132" s="7">
        <f t="shared" si="86"/>
        <v>0</v>
      </c>
      <c r="K132" s="2"/>
      <c r="L132" s="6">
        <f t="shared" si="87"/>
        <v>0</v>
      </c>
      <c r="M132" s="2"/>
      <c r="N132" s="7">
        <f t="shared" si="88"/>
        <v>0</v>
      </c>
      <c r="O132" s="10"/>
      <c r="P132" s="6"/>
      <c r="Q132" s="2"/>
      <c r="R132" s="7">
        <f t="shared" si="89"/>
        <v>0</v>
      </c>
      <c r="S132" s="2"/>
      <c r="T132" s="6">
        <v>107.04</v>
      </c>
      <c r="U132" s="2"/>
      <c r="V132" s="7">
        <f t="shared" si="90"/>
        <v>4.9598327913590028E-5</v>
      </c>
      <c r="W132" s="2"/>
      <c r="X132" s="6">
        <f t="shared" si="91"/>
        <v>-107.04</v>
      </c>
      <c r="Y132" s="2"/>
      <c r="Z132" s="7">
        <f t="shared" si="92"/>
        <v>-1</v>
      </c>
    </row>
    <row r="133" spans="1:26" s="23" customFormat="1" hidden="1" outlineLevel="2" x14ac:dyDescent="0.25">
      <c r="A133" s="27"/>
      <c r="B133" s="10" t="str">
        <f>CONCATENATE("          ", "6294", " - ", "TRAVEL OPERATIONAL")</f>
        <v xml:space="preserve">          6294 - TRAVEL OPERATIONAL</v>
      </c>
      <c r="C133" s="10"/>
      <c r="D133" s="6">
        <v>43.9</v>
      </c>
      <c r="E133" s="2"/>
      <c r="F133" s="7">
        <f t="shared" si="85"/>
        <v>1.1991464917781169E-4</v>
      </c>
      <c r="G133" s="2"/>
      <c r="H133" s="6"/>
      <c r="I133" s="2"/>
      <c r="J133" s="7">
        <f t="shared" si="86"/>
        <v>0</v>
      </c>
      <c r="K133" s="2"/>
      <c r="L133" s="6">
        <f t="shared" si="87"/>
        <v>43.9</v>
      </c>
      <c r="M133" s="2"/>
      <c r="N133" s="7">
        <f t="shared" si="88"/>
        <v>0</v>
      </c>
      <c r="O133" s="10"/>
      <c r="P133" s="6">
        <v>113.82</v>
      </c>
      <c r="Q133" s="2"/>
      <c r="R133" s="7">
        <f t="shared" si="89"/>
        <v>6.9585369201096214E-5</v>
      </c>
      <c r="S133" s="2"/>
      <c r="T133" s="6">
        <v>-206.2</v>
      </c>
      <c r="U133" s="2"/>
      <c r="V133" s="7">
        <f t="shared" si="90"/>
        <v>-9.554535889183729E-5</v>
      </c>
      <c r="W133" s="2"/>
      <c r="X133" s="6">
        <f t="shared" si="91"/>
        <v>320.02</v>
      </c>
      <c r="Y133" s="2"/>
      <c r="Z133" s="7">
        <f t="shared" si="92"/>
        <v>-1.5519883608147429</v>
      </c>
    </row>
    <row r="134" spans="1:26" s="62" customFormat="1" x14ac:dyDescent="0.25">
      <c r="A134" s="37"/>
      <c r="B134" s="37"/>
      <c r="C134" s="37"/>
      <c r="D134" s="1"/>
      <c r="E134" s="1"/>
      <c r="F134" s="5"/>
      <c r="G134" s="1"/>
      <c r="H134" s="1"/>
      <c r="I134" s="1"/>
      <c r="J134" s="5"/>
      <c r="K134" s="1"/>
      <c r="L134" s="1"/>
      <c r="M134" s="1"/>
      <c r="N134" s="5"/>
      <c r="O134" s="37"/>
      <c r="P134" s="1"/>
      <c r="Q134" s="1"/>
      <c r="R134" s="5"/>
      <c r="S134" s="1"/>
      <c r="T134" s="1"/>
      <c r="U134" s="1"/>
      <c r="V134" s="5"/>
      <c r="W134" s="1"/>
      <c r="X134" s="1"/>
      <c r="Y134" s="1"/>
      <c r="Z134" s="5"/>
    </row>
    <row r="135" spans="1:26" s="24" customFormat="1" collapsed="1" x14ac:dyDescent="0.25">
      <c r="A135" s="11"/>
      <c r="B135" s="28" t="s">
        <v>292</v>
      </c>
      <c r="C135" s="11"/>
      <c r="D135" s="4">
        <f>SUM(OSRRefD25x_0)</f>
        <v>18017.009999999998</v>
      </c>
      <c r="E135" s="4"/>
      <c r="F135" s="13">
        <f t="shared" ref="F135:F138" si="93">IF(D$12=0,0,D135/D$12)</f>
        <v>4.9214201216016509E-2</v>
      </c>
      <c r="G135" s="4"/>
      <c r="H135" s="4">
        <f>SUM(OSRRefH25x_0)</f>
        <v>54111.02</v>
      </c>
      <c r="I135" s="4"/>
      <c r="J135" s="13">
        <f t="shared" ref="J135:J138" si="94">IF(H$12=0,0,H135/H$12)</f>
        <v>0.43410211789063891</v>
      </c>
      <c r="K135" s="4"/>
      <c r="L135" s="4">
        <f t="shared" ref="L135:L138" si="95">+D135-H135</f>
        <v>-36094.009999999995</v>
      </c>
      <c r="M135" s="4"/>
      <c r="N135" s="13">
        <f t="shared" ref="N135:N138" si="96">IF(H135=0,0,L135/H135)</f>
        <v>-0.6670362155435251</v>
      </c>
      <c r="O135" s="11"/>
      <c r="P135" s="4">
        <f>SUM(OSRRefP25x_0)</f>
        <v>410824.77999999997</v>
      </c>
      <c r="Q135" s="4"/>
      <c r="R135" s="13">
        <f t="shared" ref="R135:R138" si="97">IF(P$12=0,0,P135/P$12)</f>
        <v>0.25116318742979377</v>
      </c>
      <c r="S135" s="4"/>
      <c r="T135" s="4">
        <f>SUM(OSRRefT25x_0)</f>
        <v>96904.89</v>
      </c>
      <c r="U135" s="4"/>
      <c r="V135" s="13">
        <f t="shared" ref="V135:V138" si="98">IF(T$12=0,0,T135/T$12)</f>
        <v>4.4902097446285233E-2</v>
      </c>
      <c r="W135" s="4"/>
      <c r="X135" s="4">
        <f t="shared" ref="X135:X138" si="99">+P135-T135</f>
        <v>313919.88999999996</v>
      </c>
      <c r="Y135" s="4"/>
      <c r="Z135" s="13">
        <f t="shared" ref="Z135:Z138" si="100">IF(T135=0,0,X135/T135)</f>
        <v>3.2394638701927216</v>
      </c>
    </row>
    <row r="136" spans="1:26" s="23" customFormat="1" hidden="1" outlineLevel="1" x14ac:dyDescent="0.25">
      <c r="A136" s="44"/>
      <c r="B136" s="10" t="str">
        <f>CONCATENATE("          ", "4098", " - ", "TAXABLE SALES-GRAD RENTALS")</f>
        <v xml:space="preserve">          4098 - TAXABLE SALES-GRAD RENTALS</v>
      </c>
      <c r="C136" s="10"/>
      <c r="D136" s="2">
        <f>--49.95</f>
        <v>49.95</v>
      </c>
      <c r="E136" s="2"/>
      <c r="F136" s="19">
        <f t="shared" si="93"/>
        <v>1.3644047212828462E-4</v>
      </c>
      <c r="G136" s="2"/>
      <c r="H136" s="2">
        <f>0</f>
        <v>0</v>
      </c>
      <c r="I136" s="2"/>
      <c r="J136" s="19">
        <f t="shared" si="94"/>
        <v>0</v>
      </c>
      <c r="K136" s="2"/>
      <c r="L136" s="2">
        <f t="shared" si="95"/>
        <v>49.95</v>
      </c>
      <c r="M136" s="2"/>
      <c r="N136" s="19">
        <f t="shared" si="96"/>
        <v>0</v>
      </c>
      <c r="O136" s="10"/>
      <c r="P136" s="2">
        <f>--49.95</f>
        <v>49.95</v>
      </c>
      <c r="Q136" s="2"/>
      <c r="R136" s="19">
        <f t="shared" si="97"/>
        <v>3.0537596130686667E-5</v>
      </c>
      <c r="S136" s="2"/>
      <c r="T136" s="2">
        <f>0</f>
        <v>0</v>
      </c>
      <c r="U136" s="2"/>
      <c r="V136" s="19">
        <f t="shared" si="98"/>
        <v>0</v>
      </c>
      <c r="W136" s="2"/>
      <c r="X136" s="2">
        <f t="shared" si="99"/>
        <v>49.95</v>
      </c>
      <c r="Y136" s="2"/>
      <c r="Z136" s="19">
        <f t="shared" si="100"/>
        <v>0</v>
      </c>
    </row>
    <row r="137" spans="1:26" s="23" customFormat="1" hidden="1" outlineLevel="1" x14ac:dyDescent="0.25">
      <c r="A137" s="44"/>
      <c r="B137" s="10" t="str">
        <f>CONCATENATE("          ", "9150", " - ", "MISC. INCOME")</f>
        <v xml:space="preserve">          9150 - MISC. INCOME</v>
      </c>
      <c r="C137" s="10"/>
      <c r="D137" s="2">
        <f>--17922.96</f>
        <v>17922.96</v>
      </c>
      <c r="E137" s="2"/>
      <c r="F137" s="19">
        <f t="shared" si="93"/>
        <v>4.8957299786513711E-2</v>
      </c>
      <c r="G137" s="2"/>
      <c r="H137" s="2">
        <f>--54111.02</f>
        <v>54111.02</v>
      </c>
      <c r="I137" s="2"/>
      <c r="J137" s="19">
        <f t="shared" si="94"/>
        <v>0.43410211789063891</v>
      </c>
      <c r="K137" s="2"/>
      <c r="L137" s="2">
        <f t="shared" si="95"/>
        <v>-36188.06</v>
      </c>
      <c r="M137" s="2"/>
      <c r="N137" s="19">
        <f t="shared" si="96"/>
        <v>-0.66877430881916478</v>
      </c>
      <c r="O137" s="10"/>
      <c r="P137" s="2">
        <f>--64296.27</f>
        <v>64296.27</v>
      </c>
      <c r="Q137" s="2"/>
      <c r="R137" s="19">
        <f t="shared" si="97"/>
        <v>3.9308378898289989E-2</v>
      </c>
      <c r="S137" s="2"/>
      <c r="T137" s="2">
        <f>--96904.89</f>
        <v>96904.89</v>
      </c>
      <c r="U137" s="2"/>
      <c r="V137" s="19">
        <f t="shared" si="98"/>
        <v>4.4902097446285233E-2</v>
      </c>
      <c r="W137" s="2"/>
      <c r="X137" s="2">
        <f t="shared" si="99"/>
        <v>-32608.620000000003</v>
      </c>
      <c r="Y137" s="2"/>
      <c r="Z137" s="19">
        <f t="shared" si="100"/>
        <v>-0.33650128491967746</v>
      </c>
    </row>
    <row r="138" spans="1:26" s="23" customFormat="1" hidden="1" outlineLevel="1" x14ac:dyDescent="0.25">
      <c r="A138" s="44"/>
      <c r="B138" s="10" t="str">
        <f>CONCATENATE("          ", "9163", " - ", "MISC. INCOME")</f>
        <v xml:space="preserve">          9163 - MISC. INCOME</v>
      </c>
      <c r="C138" s="10"/>
      <c r="D138" s="2">
        <f>--44.1</f>
        <v>44.1</v>
      </c>
      <c r="E138" s="2"/>
      <c r="F138" s="19">
        <f t="shared" si="93"/>
        <v>1.2046095737452155E-4</v>
      </c>
      <c r="G138" s="2"/>
      <c r="H138" s="2">
        <f>0</f>
        <v>0</v>
      </c>
      <c r="I138" s="2"/>
      <c r="J138" s="19">
        <f t="shared" si="94"/>
        <v>0</v>
      </c>
      <c r="K138" s="2"/>
      <c r="L138" s="2">
        <f t="shared" si="95"/>
        <v>44.1</v>
      </c>
      <c r="M138" s="2"/>
      <c r="N138" s="19">
        <f t="shared" si="96"/>
        <v>0</v>
      </c>
      <c r="O138" s="10"/>
      <c r="P138" s="2">
        <f>--346478.56</f>
        <v>346478.56</v>
      </c>
      <c r="Q138" s="2"/>
      <c r="R138" s="19">
        <f t="shared" si="97"/>
        <v>0.21182427093537312</v>
      </c>
      <c r="S138" s="2"/>
      <c r="T138" s="2">
        <f>0</f>
        <v>0</v>
      </c>
      <c r="U138" s="2"/>
      <c r="V138" s="19">
        <f t="shared" si="98"/>
        <v>0</v>
      </c>
      <c r="W138" s="2"/>
      <c r="X138" s="2">
        <f t="shared" si="99"/>
        <v>346478.56</v>
      </c>
      <c r="Y138" s="2"/>
      <c r="Z138" s="19">
        <f t="shared" si="100"/>
        <v>0</v>
      </c>
    </row>
    <row r="139" spans="1:26" x14ac:dyDescent="0.25">
      <c r="A139" s="9"/>
      <c r="B139" s="11"/>
      <c r="C139" s="11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1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4" customFormat="1" x14ac:dyDescent="0.25">
      <c r="A140" s="11"/>
      <c r="B140" s="29" t="s">
        <v>276</v>
      </c>
      <c r="C140" s="29"/>
      <c r="D140" s="20">
        <f>+D79-D81+D135</f>
        <v>152582.72999999981</v>
      </c>
      <c r="E140" s="14"/>
      <c r="F140" s="22">
        <f>IF(D$12=0,0,D140/D$12)</f>
        <v>0.41678598037682779</v>
      </c>
      <c r="G140" s="14"/>
      <c r="H140" s="20">
        <f>+H79-H81+H135</f>
        <v>51624.199999999961</v>
      </c>
      <c r="I140" s="14"/>
      <c r="J140" s="22">
        <f>IF(H$12=0,0,H140/H$12)</f>
        <v>0.41415176713375396</v>
      </c>
      <c r="K140" s="16"/>
      <c r="L140" s="20">
        <f>+D140-H140</f>
        <v>100958.52999999985</v>
      </c>
      <c r="M140" s="16"/>
      <c r="N140" s="22">
        <f>IF(H140=0,0,L140/H140)</f>
        <v>1.9556434772839082</v>
      </c>
      <c r="O140" s="28"/>
      <c r="P140" s="20">
        <f>+P79-P81+P135</f>
        <v>658760.95999999938</v>
      </c>
      <c r="Q140" s="14"/>
      <c r="R140" s="22">
        <f>IF(P$12=0,0,P140/P$12)</f>
        <v>0.40274226512799627</v>
      </c>
      <c r="S140" s="14"/>
      <c r="T140" s="20">
        <f>+T79-T81+T135</f>
        <v>626991.92000000051</v>
      </c>
      <c r="U140" s="14"/>
      <c r="V140" s="22">
        <f>IF(T$12=0,0,T140/T$12)</f>
        <v>0.29052457817013666</v>
      </c>
      <c r="W140" s="16"/>
      <c r="X140" s="20">
        <f>+P140-T140</f>
        <v>31769.039999998873</v>
      </c>
      <c r="Y140" s="16"/>
      <c r="Z140" s="22">
        <f>IF(T140=0,0,X140/T140)</f>
        <v>5.0668978317932468E-2</v>
      </c>
    </row>
    <row r="141" spans="1:26" x14ac:dyDescent="0.25">
      <c r="A141" s="9"/>
      <c r="B141" s="11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4" customFormat="1" x14ac:dyDescent="0.25">
      <c r="A142" s="51"/>
      <c r="B142" s="11" t="s">
        <v>127</v>
      </c>
      <c r="C142" s="11"/>
      <c r="D142" s="4">
        <v>80539.97</v>
      </c>
      <c r="E142" s="4"/>
      <c r="F142" s="13">
        <f>IF(D$12=0,0,D142/D$12)</f>
        <v>0.21999822886882639</v>
      </c>
      <c r="G142" s="4"/>
      <c r="H142" s="4">
        <v>27148</v>
      </c>
      <c r="I142" s="4"/>
      <c r="J142" s="13">
        <f>IF(H$12=0,0,H142/H$12)</f>
        <v>0.21779305391942463</v>
      </c>
      <c r="K142" s="4"/>
      <c r="L142" s="4">
        <f>+D142-H142</f>
        <v>53391.97</v>
      </c>
      <c r="M142" s="4"/>
      <c r="N142" s="13">
        <f>IF(H142=0,0,L142/H142)</f>
        <v>1.9666999410637984</v>
      </c>
      <c r="O142" s="11"/>
      <c r="P142" s="4">
        <v>342192.71</v>
      </c>
      <c r="Q142" s="4"/>
      <c r="R142" s="13">
        <f>IF(P$12=0,0,P142/P$12)</f>
        <v>0.20920405959650018</v>
      </c>
      <c r="S142" s="4"/>
      <c r="T142" s="4">
        <v>245041.04</v>
      </c>
      <c r="U142" s="4"/>
      <c r="V142" s="13">
        <f>IF(T$12=0,0,T142/T$12)</f>
        <v>0.1135428424346705</v>
      </c>
      <c r="W142" s="4"/>
      <c r="X142" s="4">
        <f>+P142-T142</f>
        <v>97151.670000000013</v>
      </c>
      <c r="Y142" s="4"/>
      <c r="Z142" s="13">
        <f>IF(T142=0,0,X142/T142)</f>
        <v>0.39647101563068787</v>
      </c>
    </row>
    <row r="143" spans="1:26" x14ac:dyDescent="0.25">
      <c r="A143" s="9"/>
      <c r="B143" s="11"/>
      <c r="C143" s="11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O143" s="11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4" customFormat="1" ht="15.75" thickBot="1" x14ac:dyDescent="0.3">
      <c r="A144" s="11"/>
      <c r="B144" s="29" t="s">
        <v>125</v>
      </c>
      <c r="C144" s="29"/>
      <c r="D144" s="30">
        <f>+D140-D142</f>
        <v>72042.759999999806</v>
      </c>
      <c r="E144" s="14"/>
      <c r="F144" s="34">
        <f>IF(D$12=0,0,D144/D$12)</f>
        <v>0.1967877515080014</v>
      </c>
      <c r="G144" s="14"/>
      <c r="H144" s="30">
        <f>+H140-H142</f>
        <v>24476.199999999961</v>
      </c>
      <c r="I144" s="14"/>
      <c r="J144" s="34">
        <f>IF(H$12=0,0,H144/H$12)</f>
        <v>0.19635871321432932</v>
      </c>
      <c r="K144" s="16"/>
      <c r="L144" s="30">
        <f>D144-H144</f>
        <v>47566.559999999845</v>
      </c>
      <c r="M144" s="16"/>
      <c r="N144" s="34">
        <f>IF(H144=0,0,L144/H144)</f>
        <v>1.943380099852098</v>
      </c>
      <c r="O144" s="28"/>
      <c r="P144" s="30">
        <f>+P140-P142</f>
        <v>316568.24999999936</v>
      </c>
      <c r="Q144" s="14"/>
      <c r="R144" s="34">
        <f>IF(P$12=0,0,P144/P$12)</f>
        <v>0.19353820553149609</v>
      </c>
      <c r="S144" s="14"/>
      <c r="T144" s="30">
        <f>+T140-T142</f>
        <v>381950.88000000047</v>
      </c>
      <c r="U144" s="14"/>
      <c r="V144" s="34">
        <f>IF(T$12=0,0,T144/T$12)</f>
        <v>0.17698173573546616</v>
      </c>
      <c r="W144" s="16"/>
      <c r="X144" s="30">
        <f>P144-T144</f>
        <v>-65382.630000001111</v>
      </c>
      <c r="Y144" s="16"/>
      <c r="Z144" s="34">
        <f>IF(T144=0,0,X144/T144)</f>
        <v>-0.17118072878900301</v>
      </c>
    </row>
    <row r="145" spans="1:26" ht="15.75" thickTop="1" x14ac:dyDescent="0.25">
      <c r="A145" s="9"/>
      <c r="B145" s="9"/>
      <c r="C145" s="9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x14ac:dyDescent="0.25">
      <c r="A146" s="9"/>
      <c r="B146" s="9"/>
      <c r="C146" s="9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4" customFormat="1" ht="15.75" thickBot="1" x14ac:dyDescent="0.3">
      <c r="A147" s="11"/>
      <c r="B147" s="29" t="s">
        <v>293</v>
      </c>
      <c r="C147" s="29"/>
      <c r="D147" s="32">
        <f>SUM(D144:D146)</f>
        <v>72042.759999999806</v>
      </c>
      <c r="E147" s="14"/>
      <c r="F147" s="35">
        <f>IF(D$12=0,0,D147/D$12)</f>
        <v>0.1967877515080014</v>
      </c>
      <c r="G147" s="14"/>
      <c r="H147" s="32">
        <f>SUM(H144:H146)</f>
        <v>24476.199999999961</v>
      </c>
      <c r="I147" s="14"/>
      <c r="J147" s="35">
        <f>IF(H$12=0,0,H147/H$12)</f>
        <v>0.19635871321432932</v>
      </c>
      <c r="K147" s="16"/>
      <c r="L147" s="32">
        <f>+D147-H147</f>
        <v>47566.559999999845</v>
      </c>
      <c r="M147" s="16"/>
      <c r="N147" s="35">
        <f>IF(H147=0,0,L147/H147)</f>
        <v>1.943380099852098</v>
      </c>
      <c r="O147" s="28"/>
      <c r="P147" s="32">
        <f>SUM(P144:P146)</f>
        <v>316568.24999999936</v>
      </c>
      <c r="Q147" s="14"/>
      <c r="R147" s="35">
        <f>IF(P$12=0,0,P147/P$12)</f>
        <v>0.19353820553149609</v>
      </c>
      <c r="S147" s="14"/>
      <c r="T147" s="32">
        <f>SUM(T144:T146)</f>
        <v>381950.88000000047</v>
      </c>
      <c r="U147" s="14"/>
      <c r="V147" s="35">
        <f>IF(T$12=0,0,T147/T$12)</f>
        <v>0.17698173573546616</v>
      </c>
      <c r="W147" s="16"/>
      <c r="X147" s="32">
        <f>+P147-T147</f>
        <v>-65382.630000001111</v>
      </c>
      <c r="Y147" s="16"/>
      <c r="Z147" s="35">
        <f>IF(T147=0,0,X147/T147)</f>
        <v>-0.17118072878900301</v>
      </c>
    </row>
    <row r="148" spans="1:26" ht="15.75" thickTop="1" x14ac:dyDescent="0.25">
      <c r="A148" s="9"/>
      <c r="C148" s="9"/>
      <c r="D148" s="17"/>
      <c r="E148" s="17"/>
      <c r="G148" s="17"/>
      <c r="H148" s="17"/>
      <c r="I148" s="17"/>
      <c r="J148" s="42"/>
      <c r="K148" s="17"/>
      <c r="L148" s="17"/>
      <c r="M148" s="17"/>
      <c r="P148" s="17"/>
      <c r="Q148" s="17"/>
      <c r="R148" s="42"/>
      <c r="S148" s="17"/>
      <c r="T148" s="17"/>
      <c r="U148" s="17"/>
      <c r="V148" s="42"/>
      <c r="W148" s="17"/>
      <c r="X148" s="17"/>
    </row>
    <row r="149" spans="1:26" x14ac:dyDescent="0.25">
      <c r="A149" s="9"/>
      <c r="B149" s="59">
        <v>44330.00886898148</v>
      </c>
      <c r="D149" s="17"/>
      <c r="E149" s="17"/>
      <c r="G149" s="17"/>
      <c r="H149" s="17"/>
      <c r="I149" s="17"/>
      <c r="J149" s="42"/>
      <c r="K149" s="17"/>
      <c r="L149" s="17"/>
      <c r="M149" s="17"/>
      <c r="P149" s="17"/>
      <c r="Q149" s="17"/>
      <c r="R149" s="42"/>
      <c r="S149" s="17"/>
      <c r="T149" s="17"/>
      <c r="U149" s="17"/>
      <c r="V149" s="42"/>
      <c r="W149" s="17"/>
      <c r="X149" s="17"/>
    </row>
    <row r="150" spans="1:26" x14ac:dyDescent="0.25">
      <c r="A150" s="9"/>
      <c r="B150" s="52" t="s">
        <v>56</v>
      </c>
      <c r="D150" s="17"/>
      <c r="E150" s="17"/>
      <c r="G150" s="17"/>
      <c r="H150" s="17"/>
      <c r="I150" s="17"/>
      <c r="J150" s="42"/>
      <c r="K150" s="17"/>
      <c r="L150" s="17"/>
      <c r="M150" s="17"/>
      <c r="P150" s="17"/>
      <c r="Q150" s="17"/>
      <c r="R150" s="42"/>
      <c r="S150" s="17"/>
      <c r="T150" s="17"/>
      <c r="U150" s="17"/>
      <c r="V150" s="42"/>
      <c r="W150" s="17"/>
      <c r="X150" s="17"/>
    </row>
    <row r="151" spans="1:26" x14ac:dyDescent="0.25">
      <c r="A151" s="9"/>
      <c r="B151" s="55"/>
      <c r="D151" s="17"/>
      <c r="E151" s="17"/>
      <c r="G151" s="17"/>
      <c r="H151" s="17"/>
      <c r="I151" s="17"/>
      <c r="J151" s="42"/>
      <c r="K151" s="17"/>
      <c r="L151" s="17"/>
      <c r="M151" s="17"/>
      <c r="P151" s="17"/>
      <c r="Q151" s="17"/>
      <c r="R151" s="42"/>
      <c r="S151" s="17"/>
      <c r="T151" s="17"/>
      <c r="U151" s="17"/>
      <c r="V151" s="42"/>
      <c r="W151" s="17"/>
      <c r="X151" s="17"/>
    </row>
    <row r="152" spans="1:26" x14ac:dyDescent="0.25">
      <c r="D152" s="17"/>
      <c r="E152" s="17"/>
      <c r="G152" s="17"/>
      <c r="H152" s="17"/>
      <c r="I152" s="17"/>
      <c r="J152" s="42"/>
      <c r="K152" s="17"/>
      <c r="L152" s="17"/>
      <c r="M152" s="17"/>
      <c r="P152" s="17"/>
      <c r="Q152" s="17"/>
      <c r="R152" s="42"/>
      <c r="S152" s="17"/>
      <c r="T152" s="17"/>
      <c r="U152" s="17"/>
      <c r="V152" s="42"/>
      <c r="W152" s="17"/>
      <c r="X152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","326", " - ", "2nd Street Store")</f>
        <v>Department 326 - 2nd Street Store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43018.909999999996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38" si="0">+D12-H12</f>
        <v>43018.909999999996</v>
      </c>
      <c r="M12" s="4"/>
      <c r="N12" s="13">
        <f t="shared" ref="N12:N38" si="1">IF(H12=0,0,L12/H12)</f>
        <v>0</v>
      </c>
      <c r="O12" s="11"/>
      <c r="P12" s="4">
        <f>SUM(OSRRefP13x_0)</f>
        <v>251304.83</v>
      </c>
      <c r="Q12" s="4"/>
      <c r="R12" s="13"/>
      <c r="S12" s="4"/>
      <c r="T12" s="4">
        <f>SUM(OSRRefT13x_0)</f>
        <v>429840.87</v>
      </c>
      <c r="U12" s="4"/>
      <c r="V12" s="13"/>
      <c r="W12" s="4"/>
      <c r="X12" s="4">
        <f t="shared" ref="X12:X38" si="2">+P12-T12</f>
        <v>-178536.04</v>
      </c>
      <c r="Y12" s="4"/>
      <c r="Z12" s="13">
        <f t="shared" ref="Z12:Z38" si="3">IF(T12=0,0,X12/T12)</f>
        <v>-0.41535380290850427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-489.98</f>
        <v>-489.98</v>
      </c>
      <c r="E13" s="2"/>
      <c r="F13" s="19"/>
      <c r="G13" s="2"/>
      <c r="H13" s="2">
        <f t="shared" ref="H13:H38" si="4">0</f>
        <v>0</v>
      </c>
      <c r="I13" s="2"/>
      <c r="J13" s="19"/>
      <c r="K13" s="2"/>
      <c r="L13" s="2">
        <f t="shared" si="0"/>
        <v>-489.98</v>
      </c>
      <c r="M13" s="2"/>
      <c r="N13" s="19">
        <f t="shared" si="1"/>
        <v>0</v>
      </c>
      <c r="O13" s="10"/>
      <c r="P13" s="2">
        <f>-5992.49</f>
        <v>-5992.49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-5992.49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"4025", " - ", "TAXABLE SALES-TEST FORMS")</f>
        <v xml:space="preserve">          4025 - TAXABLE SALES-TEST FORMS</v>
      </c>
      <c r="C14" s="10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--13.62</f>
        <v>13.62</v>
      </c>
      <c r="U14" s="2"/>
      <c r="V14" s="19"/>
      <c r="W14" s="2"/>
      <c r="X14" s="2">
        <f t="shared" si="2"/>
        <v>-13.62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"4026", " - ", "TAXABLE SALES-WRITING INSTRUME")</f>
        <v xml:space="preserve">          4026 - TAXABLE SALES-WRITING INSTRUME</v>
      </c>
      <c r="C15" s="10"/>
      <c r="D15" s="2">
        <f>--21.42</f>
        <v>21.42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21.42</v>
      </c>
      <c r="M15" s="2"/>
      <c r="N15" s="19">
        <f t="shared" si="1"/>
        <v>0</v>
      </c>
      <c r="O15" s="10"/>
      <c r="P15" s="2">
        <f>--246.67</f>
        <v>246.67</v>
      </c>
      <c r="Q15" s="2"/>
      <c r="R15" s="19"/>
      <c r="S15" s="2"/>
      <c r="T15" s="2">
        <f>--229.51</f>
        <v>229.51</v>
      </c>
      <c r="U15" s="2"/>
      <c r="V15" s="19"/>
      <c r="W15" s="2"/>
      <c r="X15" s="2">
        <f t="shared" si="2"/>
        <v>17.159999999999997</v>
      </c>
      <c r="Y15" s="2"/>
      <c r="Z15" s="19">
        <f t="shared" si="3"/>
        <v>7.4767983965840251E-2</v>
      </c>
    </row>
    <row r="16" spans="1:26" s="23" customFormat="1" hidden="1" outlineLevel="1" x14ac:dyDescent="0.25">
      <c r="A16" s="44"/>
      <c r="B16" s="10" t="str">
        <f>CONCATENATE("          ", "4027", " - ", "TAXABLE SALES-SCHOOL SUPPLIES")</f>
        <v xml:space="preserve">          4027 - TAXABLE SALES-SCHOOL SUPPLIES</v>
      </c>
      <c r="C16" s="10"/>
      <c r="D16" s="2">
        <f>--20.87</f>
        <v>20.87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20.87</v>
      </c>
      <c r="M16" s="2"/>
      <c r="N16" s="19">
        <f t="shared" si="1"/>
        <v>0</v>
      </c>
      <c r="O16" s="10"/>
      <c r="P16" s="2">
        <f>--413.92</f>
        <v>413.92</v>
      </c>
      <c r="Q16" s="2"/>
      <c r="R16" s="19"/>
      <c r="S16" s="2"/>
      <c r="T16" s="2">
        <f>--161.59</f>
        <v>161.59</v>
      </c>
      <c r="U16" s="2"/>
      <c r="V16" s="19"/>
      <c r="W16" s="2"/>
      <c r="X16" s="2">
        <f t="shared" si="2"/>
        <v>252.33</v>
      </c>
      <c r="Y16" s="2"/>
      <c r="Z16" s="19">
        <f t="shared" si="3"/>
        <v>1.5615446500402252</v>
      </c>
    </row>
    <row r="17" spans="1:26" s="23" customFormat="1" hidden="1" outlineLevel="1" x14ac:dyDescent="0.25">
      <c r="A17" s="44"/>
      <c r="B17" s="10" t="str">
        <f>CONCATENATE("          ", "4028", " - ", "TAXABLE SALES-ART/TECH")</f>
        <v xml:space="preserve">          4028 - TAXABLE SALES-ART/TECH</v>
      </c>
      <c r="C17" s="10"/>
      <c r="D17" s="2">
        <f>0</f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--29.24</f>
        <v>29.24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29.24</v>
      </c>
      <c r="Y17" s="2"/>
      <c r="Z17" s="19">
        <f t="shared" si="3"/>
        <v>0</v>
      </c>
    </row>
    <row r="18" spans="1:26" s="23" customFormat="1" hidden="1" outlineLevel="1" x14ac:dyDescent="0.25">
      <c r="A18" s="44"/>
      <c r="B18" s="10" t="str">
        <f>CONCATENATE("          ", "4040", " - ", "TAXABLE SALES-LOGO CLOTHING")</f>
        <v xml:space="preserve">          4040 - TAXABLE SALES-LOGO CLOTHING</v>
      </c>
      <c r="C18" s="10"/>
      <c r="D18" s="2">
        <f>--38261.94</f>
        <v>38261.94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38261.94</v>
      </c>
      <c r="M18" s="2"/>
      <c r="N18" s="19">
        <f t="shared" si="1"/>
        <v>0</v>
      </c>
      <c r="O18" s="10"/>
      <c r="P18" s="2">
        <f>--211719.58</f>
        <v>211719.58</v>
      </c>
      <c r="Q18" s="2"/>
      <c r="R18" s="19"/>
      <c r="S18" s="2"/>
      <c r="T18" s="2">
        <f>--361873.67</f>
        <v>361873.67</v>
      </c>
      <c r="U18" s="2"/>
      <c r="V18" s="19"/>
      <c r="W18" s="2"/>
      <c r="X18" s="2">
        <f t="shared" si="2"/>
        <v>-150154.09</v>
      </c>
      <c r="Y18" s="2"/>
      <c r="Z18" s="19">
        <f t="shared" si="3"/>
        <v>-0.41493510704992714</v>
      </c>
    </row>
    <row r="19" spans="1:26" s="23" customFormat="1" hidden="1" outlineLevel="1" x14ac:dyDescent="0.25">
      <c r="A19" s="44"/>
      <c r="B19" s="10" t="str">
        <f>CONCATENATE("          ", "4041", " - ", "TAXABLE SALES-LOGO GIFTS")</f>
        <v xml:space="preserve">          4041 - TAXABLE SALES-LOGO GIFTS</v>
      </c>
      <c r="C19" s="10"/>
      <c r="D19" s="2">
        <f>--4675.99</f>
        <v>4675.99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4675.99</v>
      </c>
      <c r="M19" s="2"/>
      <c r="N19" s="19">
        <f t="shared" si="1"/>
        <v>0</v>
      </c>
      <c r="O19" s="10"/>
      <c r="P19" s="2">
        <f>--31513.33</f>
        <v>31513.33</v>
      </c>
      <c r="Q19" s="2"/>
      <c r="R19" s="19"/>
      <c r="S19" s="2"/>
      <c r="T19" s="2">
        <f>--48550.34</f>
        <v>48550.34</v>
      </c>
      <c r="U19" s="2"/>
      <c r="V19" s="19"/>
      <c r="W19" s="2"/>
      <c r="X19" s="2">
        <f t="shared" si="2"/>
        <v>-17037.009999999995</v>
      </c>
      <c r="Y19" s="2"/>
      <c r="Z19" s="19">
        <f t="shared" si="3"/>
        <v>-0.35091432933322397</v>
      </c>
    </row>
    <row r="20" spans="1:26" s="23" customFormat="1" hidden="1" outlineLevel="1" x14ac:dyDescent="0.25">
      <c r="A20" s="44"/>
      <c r="B20" s="10" t="str">
        <f>CONCATENATE("          ", "4042", " - ", "TAXABLE SALES-EVERYDAY GIFTS")</f>
        <v xml:space="preserve">          4042 - TAXABLE SALES-EVERYDAY GIFTS</v>
      </c>
      <c r="C20" s="10"/>
      <c r="D20" s="2">
        <f>--972.22</f>
        <v>972.22</v>
      </c>
      <c r="E20" s="2"/>
      <c r="F20" s="19"/>
      <c r="G20" s="2"/>
      <c r="H20" s="2">
        <f t="shared" si="4"/>
        <v>0</v>
      </c>
      <c r="I20" s="2"/>
      <c r="J20" s="19"/>
      <c r="K20" s="2"/>
      <c r="L20" s="2">
        <f t="shared" si="0"/>
        <v>972.22</v>
      </c>
      <c r="M20" s="2"/>
      <c r="N20" s="19">
        <f t="shared" si="1"/>
        <v>0</v>
      </c>
      <c r="O20" s="10"/>
      <c r="P20" s="2">
        <f>--9191.25</f>
        <v>9191.25</v>
      </c>
      <c r="Q20" s="2"/>
      <c r="R20" s="19"/>
      <c r="S20" s="2"/>
      <c r="T20" s="2">
        <f>--30701.57</f>
        <v>30701.57</v>
      </c>
      <c r="U20" s="2"/>
      <c r="V20" s="19"/>
      <c r="W20" s="2"/>
      <c r="X20" s="2">
        <f t="shared" si="2"/>
        <v>-21510.32</v>
      </c>
      <c r="Y20" s="2"/>
      <c r="Z20" s="19">
        <f t="shared" si="3"/>
        <v>-0.70062605918850407</v>
      </c>
    </row>
    <row r="21" spans="1:26" s="23" customFormat="1" hidden="1" outlineLevel="1" x14ac:dyDescent="0.25">
      <c r="A21" s="44"/>
      <c r="B21" s="10" t="str">
        <f>CONCATENATE("          ", "4043", " - ", "TAXABLE SALES-CARDS")</f>
        <v xml:space="preserve">          4043 - TAXABLE SALES-CARDS</v>
      </c>
      <c r="C21" s="10"/>
      <c r="D21" s="2">
        <f>--257.35</f>
        <v>257.35000000000002</v>
      </c>
      <c r="E21" s="2"/>
      <c r="F21" s="19"/>
      <c r="G21" s="2"/>
      <c r="H21" s="2">
        <f t="shared" si="4"/>
        <v>0</v>
      </c>
      <c r="I21" s="2"/>
      <c r="J21" s="19"/>
      <c r="K21" s="2"/>
      <c r="L21" s="2">
        <f t="shared" si="0"/>
        <v>257.35000000000002</v>
      </c>
      <c r="M21" s="2"/>
      <c r="N21" s="19">
        <f t="shared" si="1"/>
        <v>0</v>
      </c>
      <c r="O21" s="10"/>
      <c r="P21" s="2">
        <f>--10947.25</f>
        <v>10947.25</v>
      </c>
      <c r="Q21" s="2"/>
      <c r="R21" s="19"/>
      <c r="S21" s="2"/>
      <c r="T21" s="2">
        <f>--1544.02</f>
        <v>1544.02</v>
      </c>
      <c r="U21" s="2"/>
      <c r="V21" s="19"/>
      <c r="W21" s="2"/>
      <c r="X21" s="2">
        <f t="shared" si="2"/>
        <v>9403.23</v>
      </c>
      <c r="Y21" s="2"/>
      <c r="Z21" s="19">
        <f t="shared" si="3"/>
        <v>6.0900959832126524</v>
      </c>
    </row>
    <row r="22" spans="1:26" s="23" customFormat="1" hidden="1" outlineLevel="1" x14ac:dyDescent="0.25">
      <c r="A22" s="44"/>
      <c r="B22" s="10" t="str">
        <f>CONCATENATE("          ", "4044", " - ", "TAXABLE SALES-ACCESSORIES")</f>
        <v xml:space="preserve">          4044 - TAXABLE SALES-ACCESSORIES</v>
      </c>
      <c r="C22" s="10"/>
      <c r="D22" s="2">
        <f>--489.86</f>
        <v>489.86</v>
      </c>
      <c r="E22" s="2"/>
      <c r="F22" s="19"/>
      <c r="G22" s="2"/>
      <c r="H22" s="2">
        <f t="shared" si="4"/>
        <v>0</v>
      </c>
      <c r="I22" s="2"/>
      <c r="J22" s="19"/>
      <c r="K22" s="2"/>
      <c r="L22" s="2">
        <f t="shared" si="0"/>
        <v>489.86</v>
      </c>
      <c r="M22" s="2"/>
      <c r="N22" s="19">
        <f t="shared" si="1"/>
        <v>0</v>
      </c>
      <c r="O22" s="10"/>
      <c r="P22" s="2">
        <f>--2801.25</f>
        <v>2801.25</v>
      </c>
      <c r="Q22" s="2"/>
      <c r="R22" s="19"/>
      <c r="S22" s="2"/>
      <c r="T22" s="2">
        <f>--4101.55</f>
        <v>4101.55</v>
      </c>
      <c r="U22" s="2"/>
      <c r="V22" s="19"/>
      <c r="W22" s="2"/>
      <c r="X22" s="2">
        <f t="shared" si="2"/>
        <v>-1300.3000000000002</v>
      </c>
      <c r="Y22" s="2"/>
      <c r="Z22" s="19">
        <f t="shared" si="3"/>
        <v>-0.31702648998549332</v>
      </c>
    </row>
    <row r="23" spans="1:26" s="23" customFormat="1" hidden="1" outlineLevel="1" x14ac:dyDescent="0.25">
      <c r="A23" s="44"/>
      <c r="B23" s="10" t="str">
        <f>CONCATENATE("          ", "4045", " - ", "TAXABLE SALES-SPECIAL ORDERS")</f>
        <v xml:space="preserve">          4045 - TAXABLE SALES-SPECIAL ORDERS</v>
      </c>
      <c r="C23" s="10"/>
      <c r="D23" s="2">
        <f t="shared" ref="D23:D25" si="5">0</f>
        <v>0</v>
      </c>
      <c r="E23" s="2"/>
      <c r="F23" s="19"/>
      <c r="G23" s="2"/>
      <c r="H23" s="2">
        <f t="shared" si="4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0"/>
      <c r="P23" s="2">
        <f>--326.37</f>
        <v>326.37</v>
      </c>
      <c r="Q23" s="2"/>
      <c r="R23" s="19"/>
      <c r="S23" s="2"/>
      <c r="T23" s="2">
        <f>--467.6</f>
        <v>467.6</v>
      </c>
      <c r="U23" s="2"/>
      <c r="V23" s="19"/>
      <c r="W23" s="2"/>
      <c r="X23" s="2">
        <f t="shared" si="2"/>
        <v>-141.23000000000002</v>
      </c>
      <c r="Y23" s="2"/>
      <c r="Z23" s="19">
        <f t="shared" si="3"/>
        <v>-0.30203165098374679</v>
      </c>
    </row>
    <row r="24" spans="1:26" s="23" customFormat="1" hidden="1" outlineLevel="1" x14ac:dyDescent="0.25">
      <c r="A24" s="44"/>
      <c r="B24" s="10" t="str">
        <f>CONCATENATE("          ", "4092", " - ", "TAXABLE SALES-GRAD MERCH")</f>
        <v xml:space="preserve">          4092 - TAXABLE SALES-GRAD MERCH</v>
      </c>
      <c r="C24" s="10"/>
      <c r="D24" s="2">
        <f t="shared" si="5"/>
        <v>0</v>
      </c>
      <c r="E24" s="2"/>
      <c r="F24" s="19"/>
      <c r="G24" s="2"/>
      <c r="H24" s="2">
        <f t="shared" si="4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 t="shared" ref="P24:P25" si="6">0</f>
        <v>0</v>
      </c>
      <c r="Q24" s="2"/>
      <c r="R24" s="19"/>
      <c r="S24" s="2"/>
      <c r="T24" s="2">
        <f>-39.95</f>
        <v>-39.950000000000003</v>
      </c>
      <c r="U24" s="2"/>
      <c r="V24" s="19"/>
      <c r="W24" s="2"/>
      <c r="X24" s="2">
        <f t="shared" si="2"/>
        <v>39.950000000000003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"4095", " - ", "TAXABLE SALES-CUSTOMER SERVICE")</f>
        <v xml:space="preserve">          4095 - TAXABLE SALES-CUSTOMER SERVICE</v>
      </c>
      <c r="C25" s="10"/>
      <c r="D25" s="2">
        <f t="shared" si="5"/>
        <v>0</v>
      </c>
      <c r="E25" s="2"/>
      <c r="F25" s="19"/>
      <c r="G25" s="2"/>
      <c r="H25" s="2">
        <f t="shared" si="4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 t="shared" si="6"/>
        <v>0</v>
      </c>
      <c r="Q25" s="2"/>
      <c r="R25" s="19"/>
      <c r="S25" s="2"/>
      <c r="T25" s="2">
        <f>--29.7</f>
        <v>29.7</v>
      </c>
      <c r="U25" s="2"/>
      <c r="V25" s="19"/>
      <c r="W25" s="2"/>
      <c r="X25" s="2">
        <f t="shared" si="2"/>
        <v>-29.7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"4131", " - ", "NON-TAXABLE SALES-FOOD")</f>
        <v xml:space="preserve">          4131 - NON-TAXABLE SALES-FOOD</v>
      </c>
      <c r="C26" s="10"/>
      <c r="D26" s="2">
        <f>--15</f>
        <v>15</v>
      </c>
      <c r="E26" s="2"/>
      <c r="F26" s="19"/>
      <c r="G26" s="2"/>
      <c r="H26" s="2">
        <f t="shared" si="4"/>
        <v>0</v>
      </c>
      <c r="I26" s="2"/>
      <c r="J26" s="19"/>
      <c r="K26" s="2"/>
      <c r="L26" s="2">
        <f t="shared" si="0"/>
        <v>15</v>
      </c>
      <c r="M26" s="2"/>
      <c r="N26" s="19">
        <f t="shared" si="1"/>
        <v>0</v>
      </c>
      <c r="O26" s="10"/>
      <c r="P26" s="2">
        <f>--60</f>
        <v>60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60</v>
      </c>
      <c r="Y26" s="2"/>
      <c r="Z26" s="19">
        <f t="shared" si="3"/>
        <v>0</v>
      </c>
    </row>
    <row r="27" spans="1:26" s="23" customFormat="1" hidden="1" outlineLevel="1" x14ac:dyDescent="0.25">
      <c r="A27" s="44"/>
      <c r="B27" s="10" t="str">
        <f>CONCATENATE("          ", "4137", " - ", "NON-TAXABLE SALES-WATER")</f>
        <v xml:space="preserve">          4137 - NON-TAXABLE SALES-WATER</v>
      </c>
      <c r="C27" s="10"/>
      <c r="D27" s="2">
        <f>0</f>
        <v>0</v>
      </c>
      <c r="E27" s="2"/>
      <c r="F27" s="19"/>
      <c r="G27" s="2"/>
      <c r="H27" s="2">
        <f t="shared" si="4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>--9</f>
        <v>9</v>
      </c>
      <c r="Q27" s="2"/>
      <c r="R27" s="19"/>
      <c r="S27" s="2"/>
      <c r="T27" s="2">
        <f>--123</f>
        <v>123</v>
      </c>
      <c r="U27" s="2"/>
      <c r="V27" s="19"/>
      <c r="W27" s="2"/>
      <c r="X27" s="2">
        <f t="shared" si="2"/>
        <v>-114</v>
      </c>
      <c r="Y27" s="2"/>
      <c r="Z27" s="19">
        <f t="shared" si="3"/>
        <v>-0.92682926829268297</v>
      </c>
    </row>
    <row r="28" spans="1:26" s="23" customFormat="1" hidden="1" outlineLevel="1" x14ac:dyDescent="0.25">
      <c r="A28" s="44"/>
      <c r="B28" s="10" t="str">
        <f>CONCATENATE("          ", "4140", " - ", "NON-TAXABLE SALES-LOGO CLOTHIN")</f>
        <v xml:space="preserve">          4140 - NON-TAXABLE SALES-LOGO CLOTHIN</v>
      </c>
      <c r="C28" s="10"/>
      <c r="D28" s="2">
        <f>--124.85</f>
        <v>124.85</v>
      </c>
      <c r="E28" s="2"/>
      <c r="F28" s="19"/>
      <c r="G28" s="2"/>
      <c r="H28" s="2">
        <f t="shared" si="4"/>
        <v>0</v>
      </c>
      <c r="I28" s="2"/>
      <c r="J28" s="19"/>
      <c r="K28" s="2"/>
      <c r="L28" s="2">
        <f t="shared" si="0"/>
        <v>124.85</v>
      </c>
      <c r="M28" s="2"/>
      <c r="N28" s="19">
        <f t="shared" si="1"/>
        <v>0</v>
      </c>
      <c r="O28" s="10"/>
      <c r="P28" s="2">
        <f>--324.34</f>
        <v>324.33999999999997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324.33999999999997</v>
      </c>
      <c r="Y28" s="2"/>
      <c r="Z28" s="19">
        <f t="shared" si="3"/>
        <v>0</v>
      </c>
    </row>
    <row r="29" spans="1:26" s="23" customFormat="1" hidden="1" outlineLevel="1" x14ac:dyDescent="0.25">
      <c r="A29" s="44"/>
      <c r="B29" s="10" t="str">
        <f>CONCATENATE("          ", "4142", " - ", "NON-TAXABLE SALES-EVERYDAY GIF")</f>
        <v xml:space="preserve">          4142 - NON-TAXABLE SALES-EVERYDAY GIF</v>
      </c>
      <c r="C29" s="10"/>
      <c r="D29" s="2">
        <f t="shared" ref="D29:D32" si="7">0</f>
        <v>0</v>
      </c>
      <c r="E29" s="2"/>
      <c r="F29" s="19"/>
      <c r="G29" s="2"/>
      <c r="H29" s="2">
        <f t="shared" si="4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>0</f>
        <v>0</v>
      </c>
      <c r="Q29" s="2"/>
      <c r="R29" s="19"/>
      <c r="S29" s="2"/>
      <c r="T29" s="2">
        <f>--591.86</f>
        <v>591.86</v>
      </c>
      <c r="U29" s="2"/>
      <c r="V29" s="19"/>
      <c r="W29" s="2"/>
      <c r="X29" s="2">
        <f t="shared" si="2"/>
        <v>-591.86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"4145", " - ", "NON-TAXABLE SALES-SPECIAL ORDE")</f>
        <v xml:space="preserve">          4145 - NON-TAXABLE SALES-SPECIAL ORDE</v>
      </c>
      <c r="C30" s="10"/>
      <c r="D30" s="2">
        <f t="shared" si="7"/>
        <v>0</v>
      </c>
      <c r="E30" s="2"/>
      <c r="F30" s="19"/>
      <c r="G30" s="2"/>
      <c r="H30" s="2">
        <f t="shared" si="4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>--7</f>
        <v>7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7</v>
      </c>
      <c r="Y30" s="2"/>
      <c r="Z30" s="19">
        <f t="shared" si="3"/>
        <v>0</v>
      </c>
    </row>
    <row r="31" spans="1:26" s="23" customFormat="1" hidden="1" outlineLevel="1" x14ac:dyDescent="0.25">
      <c r="A31" s="44"/>
      <c r="B31" s="10" t="str">
        <f>CONCATENATE("          ", "4226", " - ", "SALES RETURN TAXABLE-WRITING I")</f>
        <v xml:space="preserve">          4226 - SALES RETURN TAXABLE-WRITING I</v>
      </c>
      <c r="C31" s="10"/>
      <c r="D31" s="2">
        <f t="shared" si="7"/>
        <v>0</v>
      </c>
      <c r="E31" s="2"/>
      <c r="F31" s="19"/>
      <c r="G31" s="2"/>
      <c r="H31" s="2">
        <f t="shared" si="4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-27.85</f>
        <v>-27.85</v>
      </c>
      <c r="Q31" s="2"/>
      <c r="R31" s="19"/>
      <c r="S31" s="2"/>
      <c r="T31" s="2">
        <f>-134.8</f>
        <v>-134.80000000000001</v>
      </c>
      <c r="U31" s="2"/>
      <c r="V31" s="19"/>
      <c r="W31" s="2"/>
      <c r="X31" s="2">
        <f t="shared" si="2"/>
        <v>106.95000000000002</v>
      </c>
      <c r="Y31" s="2"/>
      <c r="Z31" s="19">
        <f t="shared" si="3"/>
        <v>-0.79339762611275966</v>
      </c>
    </row>
    <row r="32" spans="1:26" s="23" customFormat="1" hidden="1" outlineLevel="1" x14ac:dyDescent="0.25">
      <c r="A32" s="44"/>
      <c r="B32" s="10" t="str">
        <f>CONCATENATE("          ", "4227", " - ", "SALES RETURN TAXABLE-SCHOOL SU")</f>
        <v xml:space="preserve">          4227 - SALES RETURN TAXABLE-SCHOOL SU</v>
      </c>
      <c r="C32" s="10"/>
      <c r="D32" s="2">
        <f t="shared" si="7"/>
        <v>0</v>
      </c>
      <c r="E32" s="2"/>
      <c r="F32" s="19"/>
      <c r="G32" s="2"/>
      <c r="H32" s="2">
        <f t="shared" si="4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0"/>
      <c r="P32" s="2">
        <f>-43.21</f>
        <v>-43.21</v>
      </c>
      <c r="Q32" s="2"/>
      <c r="R32" s="19"/>
      <c r="S32" s="2"/>
      <c r="T32" s="2">
        <f>0</f>
        <v>0</v>
      </c>
      <c r="U32" s="2"/>
      <c r="V32" s="19"/>
      <c r="W32" s="2"/>
      <c r="X32" s="2">
        <f t="shared" si="2"/>
        <v>-43.21</v>
      </c>
      <c r="Y32" s="2"/>
      <c r="Z32" s="19">
        <f t="shared" si="3"/>
        <v>0</v>
      </c>
    </row>
    <row r="33" spans="1:26" s="23" customFormat="1" hidden="1" outlineLevel="1" x14ac:dyDescent="0.25">
      <c r="A33" s="44"/>
      <c r="B33" s="10" t="str">
        <f>CONCATENATE("          ", "4240", " - ", "SALES RETURN TAXABLE-LOGO CLOT")</f>
        <v xml:space="preserve">          4240 - SALES RETURN TAXABLE-LOGO CLOT</v>
      </c>
      <c r="C33" s="10"/>
      <c r="D33" s="2">
        <f>-1244.91</f>
        <v>-1244.9100000000001</v>
      </c>
      <c r="E33" s="2"/>
      <c r="F33" s="19"/>
      <c r="G33" s="2"/>
      <c r="H33" s="2">
        <f t="shared" si="4"/>
        <v>0</v>
      </c>
      <c r="I33" s="2"/>
      <c r="J33" s="19"/>
      <c r="K33" s="2"/>
      <c r="L33" s="2">
        <f t="shared" si="0"/>
        <v>-1244.9100000000001</v>
      </c>
      <c r="M33" s="2"/>
      <c r="N33" s="19">
        <f t="shared" si="1"/>
        <v>0</v>
      </c>
      <c r="O33" s="10"/>
      <c r="P33" s="2">
        <f>-9196.23</f>
        <v>-9196.23</v>
      </c>
      <c r="Q33" s="2"/>
      <c r="R33" s="19"/>
      <c r="S33" s="2"/>
      <c r="T33" s="2">
        <f>-16122.19</f>
        <v>-16122.19</v>
      </c>
      <c r="U33" s="2"/>
      <c r="V33" s="19"/>
      <c r="W33" s="2"/>
      <c r="X33" s="2">
        <f t="shared" si="2"/>
        <v>6925.9600000000009</v>
      </c>
      <c r="Y33" s="2"/>
      <c r="Z33" s="19">
        <f t="shared" si="3"/>
        <v>-0.42959176141702837</v>
      </c>
    </row>
    <row r="34" spans="1:26" s="23" customFormat="1" hidden="1" outlineLevel="1" x14ac:dyDescent="0.25">
      <c r="A34" s="44"/>
      <c r="B34" s="10" t="str">
        <f>CONCATENATE("          ", "4241", " - ", "SALES RETURN TAXABLE-LOGO GIFT")</f>
        <v xml:space="preserve">          4241 - SALES RETURN TAXABLE-LOGO GIFT</v>
      </c>
      <c r="C34" s="10"/>
      <c r="D34" s="2">
        <f>-85.7</f>
        <v>-85.7</v>
      </c>
      <c r="E34" s="2"/>
      <c r="F34" s="19"/>
      <c r="G34" s="2"/>
      <c r="H34" s="2">
        <f t="shared" si="4"/>
        <v>0</v>
      </c>
      <c r="I34" s="2"/>
      <c r="J34" s="19"/>
      <c r="K34" s="2"/>
      <c r="L34" s="2">
        <f t="shared" si="0"/>
        <v>-85.7</v>
      </c>
      <c r="M34" s="2"/>
      <c r="N34" s="19">
        <f t="shared" si="1"/>
        <v>0</v>
      </c>
      <c r="O34" s="10"/>
      <c r="P34" s="2">
        <f>-648.65</f>
        <v>-648.65</v>
      </c>
      <c r="Q34" s="2"/>
      <c r="R34" s="19"/>
      <c r="S34" s="2"/>
      <c r="T34" s="2">
        <f>-1260.11</f>
        <v>-1260.1099999999999</v>
      </c>
      <c r="U34" s="2"/>
      <c r="V34" s="19"/>
      <c r="W34" s="2"/>
      <c r="X34" s="2">
        <f t="shared" si="2"/>
        <v>611.45999999999992</v>
      </c>
      <c r="Y34" s="2"/>
      <c r="Z34" s="19">
        <f t="shared" si="3"/>
        <v>-0.48524335177087713</v>
      </c>
    </row>
    <row r="35" spans="1:26" s="23" customFormat="1" hidden="1" outlineLevel="1" x14ac:dyDescent="0.25">
      <c r="A35" s="44"/>
      <c r="B35" s="10" t="str">
        <f>CONCATENATE("          ", "4242", " - ", "SALES RETURN TAXABLE-EVERYDAY")</f>
        <v xml:space="preserve">          4242 - SALES RETURN TAXABLE-EVERYDAY</v>
      </c>
      <c r="C35" s="10"/>
      <c r="D35" s="2">
        <f t="shared" ref="D35:D38" si="8">0</f>
        <v>0</v>
      </c>
      <c r="E35" s="2"/>
      <c r="F35" s="19"/>
      <c r="G35" s="2"/>
      <c r="H35" s="2">
        <f t="shared" si="4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-326.06</f>
        <v>-326.06</v>
      </c>
      <c r="Q35" s="2"/>
      <c r="R35" s="19"/>
      <c r="S35" s="2"/>
      <c r="T35" s="2">
        <f>-850.31</f>
        <v>-850.31</v>
      </c>
      <c r="U35" s="2"/>
      <c r="V35" s="19"/>
      <c r="W35" s="2"/>
      <c r="X35" s="2">
        <f t="shared" si="2"/>
        <v>524.25</v>
      </c>
      <c r="Y35" s="2"/>
      <c r="Z35" s="19">
        <f t="shared" si="3"/>
        <v>-0.61653985017229018</v>
      </c>
    </row>
    <row r="36" spans="1:26" s="23" customFormat="1" hidden="1" outlineLevel="1" x14ac:dyDescent="0.25">
      <c r="A36" s="44"/>
      <c r="B36" s="10" t="str">
        <f>CONCATENATE("          ", "4244", " - ", "SALES RETURN TAXABLE-ACCESSORI")</f>
        <v xml:space="preserve">          4244 - SALES RETURN TAXABLE-ACCESSORI</v>
      </c>
      <c r="C36" s="10"/>
      <c r="D36" s="2">
        <f t="shared" si="8"/>
        <v>0</v>
      </c>
      <c r="E36" s="2"/>
      <c r="F36" s="19"/>
      <c r="G36" s="2"/>
      <c r="H36" s="2">
        <f t="shared" si="4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0"/>
      <c r="P36" s="2">
        <f>-42.88</f>
        <v>-42.88</v>
      </c>
      <c r="Q36" s="2"/>
      <c r="R36" s="19"/>
      <c r="S36" s="2"/>
      <c r="T36" s="2">
        <f>-130.8</f>
        <v>-130.80000000000001</v>
      </c>
      <c r="U36" s="2"/>
      <c r="V36" s="19"/>
      <c r="W36" s="2"/>
      <c r="X36" s="2">
        <f t="shared" si="2"/>
        <v>87.920000000000016</v>
      </c>
      <c r="Y36" s="2"/>
      <c r="Z36" s="19">
        <f t="shared" si="3"/>
        <v>-0.67217125382262999</v>
      </c>
    </row>
    <row r="37" spans="1:26" s="23" customFormat="1" hidden="1" outlineLevel="1" x14ac:dyDescent="0.25">
      <c r="A37" s="44"/>
      <c r="B37" s="10" t="str">
        <f>CONCATENATE("          ", "4245", " - ", "SALES RETURN TAXABLE-SPECIAL O")</f>
        <v xml:space="preserve">          4245 - SALES RETURN TAXABLE-SPECIAL O</v>
      </c>
      <c r="C37" s="10"/>
      <c r="D37" s="2">
        <f t="shared" si="8"/>
        <v>0</v>
      </c>
      <c r="E37" s="2"/>
      <c r="F37" s="19"/>
      <c r="G37" s="2"/>
      <c r="H37" s="2">
        <f t="shared" si="4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0"/>
      <c r="P37" s="2">
        <f>-7</f>
        <v>-7</v>
      </c>
      <c r="Q37" s="2"/>
      <c r="R37" s="19"/>
      <c r="S37" s="2"/>
      <c r="T37" s="2">
        <f>-9.99</f>
        <v>-9.99</v>
      </c>
      <c r="U37" s="2"/>
      <c r="V37" s="19"/>
      <c r="W37" s="2"/>
      <c r="X37" s="2">
        <f t="shared" si="2"/>
        <v>2.99</v>
      </c>
      <c r="Y37" s="2"/>
      <c r="Z37" s="19">
        <f t="shared" si="3"/>
        <v>-0.29929929929929933</v>
      </c>
    </row>
    <row r="38" spans="1:26" s="23" customFormat="1" hidden="1" outlineLevel="1" x14ac:dyDescent="0.25">
      <c r="A38" s="44"/>
      <c r="B38" s="10" t="str">
        <f>CONCATENATE("          ", "4295", " - ", "SALES RETURN TAXABLE-CUSTOMER")</f>
        <v xml:space="preserve">          4295 - SALES RETURN TAXABLE-CUSTOMER</v>
      </c>
      <c r="C38" s="10"/>
      <c r="D38" s="2">
        <f t="shared" si="8"/>
        <v>0</v>
      </c>
      <c r="E38" s="2"/>
      <c r="F38" s="19"/>
      <c r="G38" s="2"/>
      <c r="H38" s="2">
        <f t="shared" si="4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0"/>
      <c r="P38" s="2">
        <f>0</f>
        <v>0</v>
      </c>
      <c r="Q38" s="2"/>
      <c r="R38" s="19"/>
      <c r="S38" s="2"/>
      <c r="T38" s="2">
        <f>--0.99</f>
        <v>0.99</v>
      </c>
      <c r="U38" s="2"/>
      <c r="V38" s="19"/>
      <c r="W38" s="2"/>
      <c r="X38" s="2">
        <f t="shared" si="2"/>
        <v>-0.99</v>
      </c>
      <c r="Y38" s="2"/>
      <c r="Z38" s="19">
        <f t="shared" si="3"/>
        <v>-1</v>
      </c>
    </row>
    <row r="39" spans="1:26" x14ac:dyDescent="0.25">
      <c r="A39" s="9"/>
      <c r="B39" s="11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4" customFormat="1" collapsed="1" x14ac:dyDescent="0.25">
      <c r="A40" s="11"/>
      <c r="B40" s="28" t="s">
        <v>256</v>
      </c>
      <c r="C40" s="11"/>
      <c r="D40" s="4">
        <f>SUM(OSRRefD16x_0)</f>
        <v>17435</v>
      </c>
      <c r="E40" s="4"/>
      <c r="F40" s="13">
        <f t="shared" ref="F40:F57" si="9">IF(D$12=0,0,D40/D$12)</f>
        <v>0.4052868843027404</v>
      </c>
      <c r="G40" s="4"/>
      <c r="H40" s="4">
        <f>SUM(OSRRefH16x_0)</f>
        <v>-0.33999999999991815</v>
      </c>
      <c r="I40" s="4"/>
      <c r="J40" s="13">
        <f t="shared" ref="J40:J57" si="10">IF(H$12=0,0,H40/H$12)</f>
        <v>0</v>
      </c>
      <c r="K40" s="4"/>
      <c r="L40" s="4">
        <f t="shared" ref="L40:L57" si="11">+D40-H40</f>
        <v>17435.34</v>
      </c>
      <c r="M40" s="4"/>
      <c r="N40" s="13">
        <f t="shared" ref="N40:N57" si="12">IF(H40=0,0,L40/H40)</f>
        <v>-51280.411764718228</v>
      </c>
      <c r="O40" s="11"/>
      <c r="P40" s="4">
        <f>SUM(OSRRefP16x_0)</f>
        <v>110530</v>
      </c>
      <c r="Q40" s="4"/>
      <c r="R40" s="13">
        <f t="shared" ref="R40:R57" si="13">IF(P$12=0,0,P40/P$12)</f>
        <v>0.43982441563100877</v>
      </c>
      <c r="S40" s="4"/>
      <c r="T40" s="4">
        <f>SUM(OSRRefT16x_0)</f>
        <v>183317.59000000003</v>
      </c>
      <c r="U40" s="4"/>
      <c r="V40" s="13">
        <f t="shared" ref="V40:V57" si="14">IF(T$12=0,0,T40/T$12)</f>
        <v>0.42647780328566715</v>
      </c>
      <c r="W40" s="4"/>
      <c r="X40" s="4">
        <f t="shared" ref="X40:X57" si="15">+P40-T40</f>
        <v>-72787.590000000026</v>
      </c>
      <c r="Y40" s="4"/>
      <c r="Z40" s="13">
        <f t="shared" ref="Z40:Z57" si="16">IF(T40=0,0,X40/T40)</f>
        <v>-0.3970573145763045</v>
      </c>
    </row>
    <row r="41" spans="1:26" s="23" customFormat="1" hidden="1" outlineLevel="1" x14ac:dyDescent="0.25">
      <c r="A41" s="44"/>
      <c r="B41" s="10" t="str">
        <f>CONCATENATE("          ", "5025", " - ", "PURCHASES @ COST-TEST FORMS")</f>
        <v xml:space="preserve">          5025 - PURCHASES @ COST-TEST FORMS</v>
      </c>
      <c r="C41" s="10"/>
      <c r="D41" s="2"/>
      <c r="E41" s="2"/>
      <c r="F41" s="19">
        <f t="shared" si="9"/>
        <v>0</v>
      </c>
      <c r="G41" s="2"/>
      <c r="H41" s="2"/>
      <c r="I41" s="2"/>
      <c r="J41" s="19">
        <f t="shared" si="10"/>
        <v>0</v>
      </c>
      <c r="K41" s="2"/>
      <c r="L41" s="2">
        <f t="shared" si="11"/>
        <v>0</v>
      </c>
      <c r="M41" s="2"/>
      <c r="N41" s="19">
        <f t="shared" si="12"/>
        <v>0</v>
      </c>
      <c r="O41" s="10"/>
      <c r="P41" s="2"/>
      <c r="Q41" s="2"/>
      <c r="R41" s="19">
        <f t="shared" si="13"/>
        <v>0</v>
      </c>
      <c r="S41" s="2"/>
      <c r="T41" s="2">
        <v>6.06</v>
      </c>
      <c r="U41" s="2"/>
      <c r="V41" s="19">
        <f t="shared" si="14"/>
        <v>1.4098240588429853E-5</v>
      </c>
      <c r="W41" s="2"/>
      <c r="X41" s="2">
        <f t="shared" si="15"/>
        <v>-6.06</v>
      </c>
      <c r="Y41" s="2"/>
      <c r="Z41" s="19">
        <f t="shared" si="16"/>
        <v>-1</v>
      </c>
    </row>
    <row r="42" spans="1:26" s="23" customFormat="1" hidden="1" outlineLevel="1" x14ac:dyDescent="0.25">
      <c r="A42" s="44"/>
      <c r="B42" s="10" t="str">
        <f>CONCATENATE("          ", "5026", " - ", "PURCHASES @ COST-WRITING INSTR")</f>
        <v xml:space="preserve">          5026 - PURCHASES @ COST-WRITING INSTR</v>
      </c>
      <c r="C42" s="10"/>
      <c r="D42" s="2"/>
      <c r="E42" s="2"/>
      <c r="F42" s="19">
        <f t="shared" si="9"/>
        <v>0</v>
      </c>
      <c r="G42" s="2"/>
      <c r="H42" s="2"/>
      <c r="I42" s="2"/>
      <c r="J42" s="19">
        <f t="shared" si="10"/>
        <v>0</v>
      </c>
      <c r="K42" s="2"/>
      <c r="L42" s="2">
        <f t="shared" si="11"/>
        <v>0</v>
      </c>
      <c r="M42" s="2"/>
      <c r="N42" s="19">
        <f t="shared" si="12"/>
        <v>0</v>
      </c>
      <c r="O42" s="10"/>
      <c r="P42" s="2"/>
      <c r="Q42" s="2"/>
      <c r="R42" s="19">
        <f t="shared" si="13"/>
        <v>0</v>
      </c>
      <c r="S42" s="2"/>
      <c r="T42" s="2">
        <v>1198.07</v>
      </c>
      <c r="U42" s="2"/>
      <c r="V42" s="19">
        <f t="shared" si="14"/>
        <v>2.7872407758713124E-3</v>
      </c>
      <c r="W42" s="2"/>
      <c r="X42" s="2">
        <f t="shared" si="15"/>
        <v>-1198.07</v>
      </c>
      <c r="Y42" s="2"/>
      <c r="Z42" s="19">
        <f t="shared" si="16"/>
        <v>-1</v>
      </c>
    </row>
    <row r="43" spans="1:26" s="23" customFormat="1" hidden="1" outlineLevel="1" x14ac:dyDescent="0.25">
      <c r="A43" s="44"/>
      <c r="B43" s="10" t="str">
        <f>CONCATENATE("          ", "5027", " - ", "PURCHASES @ COST-SCHOOL SUPPLI")</f>
        <v xml:space="preserve">          5027 - PURCHASES @ COST-SCHOOL SUPPLI</v>
      </c>
      <c r="C43" s="10"/>
      <c r="D43" s="2"/>
      <c r="E43" s="2"/>
      <c r="F43" s="19">
        <f t="shared" si="9"/>
        <v>0</v>
      </c>
      <c r="G43" s="2"/>
      <c r="H43" s="2"/>
      <c r="I43" s="2"/>
      <c r="J43" s="19">
        <f t="shared" si="10"/>
        <v>0</v>
      </c>
      <c r="K43" s="2"/>
      <c r="L43" s="2">
        <f t="shared" si="11"/>
        <v>0</v>
      </c>
      <c r="M43" s="2"/>
      <c r="N43" s="19">
        <f t="shared" si="12"/>
        <v>0</v>
      </c>
      <c r="O43" s="10"/>
      <c r="P43" s="2"/>
      <c r="Q43" s="2"/>
      <c r="R43" s="19">
        <f t="shared" si="13"/>
        <v>0</v>
      </c>
      <c r="S43" s="2"/>
      <c r="T43" s="2">
        <v>325.45</v>
      </c>
      <c r="U43" s="2"/>
      <c r="V43" s="19">
        <f t="shared" si="14"/>
        <v>7.5714065998424022E-4</v>
      </c>
      <c r="W43" s="2"/>
      <c r="X43" s="2">
        <f t="shared" si="15"/>
        <v>-325.45</v>
      </c>
      <c r="Y43" s="2"/>
      <c r="Z43" s="19">
        <f t="shared" si="16"/>
        <v>-1</v>
      </c>
    </row>
    <row r="44" spans="1:26" s="23" customFormat="1" hidden="1" outlineLevel="1" x14ac:dyDescent="0.25">
      <c r="A44" s="44"/>
      <c r="B44" s="10" t="str">
        <f>CONCATENATE("          ", "5037", " - ", "PURCHASES @ COST-WATER")</f>
        <v xml:space="preserve">          5037 - PURCHASES @ COST-WATER</v>
      </c>
      <c r="C44" s="10"/>
      <c r="D44" s="2"/>
      <c r="E44" s="2"/>
      <c r="F44" s="19">
        <f t="shared" si="9"/>
        <v>0</v>
      </c>
      <c r="G44" s="2"/>
      <c r="H44" s="2"/>
      <c r="I44" s="2"/>
      <c r="J44" s="19">
        <f t="shared" si="10"/>
        <v>0</v>
      </c>
      <c r="K44" s="2"/>
      <c r="L44" s="2">
        <f t="shared" si="11"/>
        <v>0</v>
      </c>
      <c r="M44" s="2"/>
      <c r="N44" s="19">
        <f t="shared" si="12"/>
        <v>0</v>
      </c>
      <c r="O44" s="10"/>
      <c r="P44" s="2"/>
      <c r="Q44" s="2"/>
      <c r="R44" s="19">
        <f t="shared" si="13"/>
        <v>0</v>
      </c>
      <c r="S44" s="2"/>
      <c r="T44" s="2">
        <v>29.76</v>
      </c>
      <c r="U44" s="2"/>
      <c r="V44" s="19">
        <f t="shared" si="14"/>
        <v>6.9234924077833738E-5</v>
      </c>
      <c r="W44" s="2"/>
      <c r="X44" s="2">
        <f t="shared" si="15"/>
        <v>-29.76</v>
      </c>
      <c r="Y44" s="2"/>
      <c r="Z44" s="19">
        <f t="shared" si="16"/>
        <v>-1</v>
      </c>
    </row>
    <row r="45" spans="1:26" s="23" customFormat="1" hidden="1" outlineLevel="1" x14ac:dyDescent="0.25">
      <c r="A45" s="44"/>
      <c r="B45" s="10" t="str">
        <f>CONCATENATE("          ", "5040", " - ", "PURCHASES @ COST-LOGO CLOTHING")</f>
        <v xml:space="preserve">          5040 - PURCHASES @ COST-LOGO CLOTHING</v>
      </c>
      <c r="C45" s="10"/>
      <c r="D45" s="2"/>
      <c r="E45" s="2"/>
      <c r="F45" s="19">
        <f t="shared" si="9"/>
        <v>0</v>
      </c>
      <c r="G45" s="2"/>
      <c r="H45" s="2">
        <v>264</v>
      </c>
      <c r="I45" s="2"/>
      <c r="J45" s="19">
        <f t="shared" si="10"/>
        <v>0</v>
      </c>
      <c r="K45" s="2"/>
      <c r="L45" s="2">
        <f t="shared" si="11"/>
        <v>-264</v>
      </c>
      <c r="M45" s="2"/>
      <c r="N45" s="19">
        <f t="shared" si="12"/>
        <v>-1</v>
      </c>
      <c r="O45" s="10"/>
      <c r="P45" s="2">
        <v>0</v>
      </c>
      <c r="Q45" s="2"/>
      <c r="R45" s="19">
        <f t="shared" si="13"/>
        <v>0</v>
      </c>
      <c r="S45" s="2"/>
      <c r="T45" s="2">
        <v>195988.82</v>
      </c>
      <c r="U45" s="2"/>
      <c r="V45" s="19">
        <f t="shared" si="14"/>
        <v>0.45595668927433541</v>
      </c>
      <c r="W45" s="2"/>
      <c r="X45" s="2">
        <f t="shared" si="15"/>
        <v>-195988.82</v>
      </c>
      <c r="Y45" s="2"/>
      <c r="Z45" s="19">
        <f t="shared" si="16"/>
        <v>-1</v>
      </c>
    </row>
    <row r="46" spans="1:26" s="23" customFormat="1" hidden="1" outlineLevel="1" x14ac:dyDescent="0.25">
      <c r="A46" s="44"/>
      <c r="B46" s="10" t="str">
        <f>CONCATENATE("          ", "5041", " - ", "PURCHASES @ COST-LOGO GIFTS")</f>
        <v xml:space="preserve">          5041 - PURCHASES @ COST-LOGO GIFTS</v>
      </c>
      <c r="C46" s="10"/>
      <c r="D46" s="2"/>
      <c r="E46" s="2"/>
      <c r="F46" s="19">
        <f t="shared" si="9"/>
        <v>0</v>
      </c>
      <c r="G46" s="2"/>
      <c r="H46" s="2">
        <v>1053.6600000000001</v>
      </c>
      <c r="I46" s="2"/>
      <c r="J46" s="19">
        <f t="shared" si="10"/>
        <v>0</v>
      </c>
      <c r="K46" s="2"/>
      <c r="L46" s="2">
        <f t="shared" si="11"/>
        <v>-1053.6600000000001</v>
      </c>
      <c r="M46" s="2"/>
      <c r="N46" s="19">
        <f t="shared" si="12"/>
        <v>-1</v>
      </c>
      <c r="O46" s="10"/>
      <c r="P46" s="2">
        <v>207.6</v>
      </c>
      <c r="Q46" s="2"/>
      <c r="R46" s="19">
        <f t="shared" si="13"/>
        <v>8.2608838039443968E-4</v>
      </c>
      <c r="S46" s="2"/>
      <c r="T46" s="2">
        <v>26980.92</v>
      </c>
      <c r="U46" s="2"/>
      <c r="V46" s="19">
        <f t="shared" si="14"/>
        <v>6.276955469590409E-2</v>
      </c>
      <c r="W46" s="2"/>
      <c r="X46" s="2">
        <f t="shared" si="15"/>
        <v>-26773.32</v>
      </c>
      <c r="Y46" s="2"/>
      <c r="Z46" s="19">
        <f t="shared" si="16"/>
        <v>-0.99230567378725421</v>
      </c>
    </row>
    <row r="47" spans="1:26" s="23" customFormat="1" hidden="1" outlineLevel="1" x14ac:dyDescent="0.25">
      <c r="A47" s="44"/>
      <c r="B47" s="10" t="str">
        <f>CONCATENATE("          ", "5042", " - ", "PURCHASES @ COST-EVERYDAY GIFT")</f>
        <v xml:space="preserve">          5042 - PURCHASES @ COST-EVERYDAY GIFT</v>
      </c>
      <c r="C47" s="10"/>
      <c r="D47" s="2"/>
      <c r="E47" s="2"/>
      <c r="F47" s="19">
        <f t="shared" si="9"/>
        <v>0</v>
      </c>
      <c r="G47" s="2"/>
      <c r="H47" s="2"/>
      <c r="I47" s="2"/>
      <c r="J47" s="19">
        <f t="shared" si="10"/>
        <v>0</v>
      </c>
      <c r="K47" s="2"/>
      <c r="L47" s="2">
        <f t="shared" si="11"/>
        <v>0</v>
      </c>
      <c r="M47" s="2"/>
      <c r="N47" s="19">
        <f t="shared" si="12"/>
        <v>0</v>
      </c>
      <c r="O47" s="10"/>
      <c r="P47" s="2">
        <v>7946.04</v>
      </c>
      <c r="Q47" s="2"/>
      <c r="R47" s="19">
        <f t="shared" si="13"/>
        <v>3.1619129644265095E-2</v>
      </c>
      <c r="S47" s="2"/>
      <c r="T47" s="2">
        <v>20517.63</v>
      </c>
      <c r="U47" s="2"/>
      <c r="V47" s="19">
        <f t="shared" si="14"/>
        <v>4.7733083175641261E-2</v>
      </c>
      <c r="W47" s="2"/>
      <c r="X47" s="2">
        <f t="shared" si="15"/>
        <v>-12571.59</v>
      </c>
      <c r="Y47" s="2"/>
      <c r="Z47" s="19">
        <f t="shared" si="16"/>
        <v>-0.61272135231993163</v>
      </c>
    </row>
    <row r="48" spans="1:26" s="23" customFormat="1" hidden="1" outlineLevel="1" x14ac:dyDescent="0.25">
      <c r="A48" s="44"/>
      <c r="B48" s="10" t="str">
        <f>CONCATENATE("          ", "5043", " - ", "PURCHASES @ COST-CARDS")</f>
        <v xml:space="preserve">          5043 - PURCHASES @ COST-CARDS</v>
      </c>
      <c r="C48" s="10"/>
      <c r="D48" s="2"/>
      <c r="E48" s="2"/>
      <c r="F48" s="19">
        <f t="shared" si="9"/>
        <v>0</v>
      </c>
      <c r="G48" s="2"/>
      <c r="H48" s="2"/>
      <c r="I48" s="2"/>
      <c r="J48" s="19">
        <f t="shared" si="10"/>
        <v>0</v>
      </c>
      <c r="K48" s="2"/>
      <c r="L48" s="2">
        <f t="shared" si="11"/>
        <v>0</v>
      </c>
      <c r="M48" s="2"/>
      <c r="N48" s="19">
        <f t="shared" si="12"/>
        <v>0</v>
      </c>
      <c r="O48" s="10"/>
      <c r="P48" s="2"/>
      <c r="Q48" s="2"/>
      <c r="R48" s="19">
        <f t="shared" si="13"/>
        <v>0</v>
      </c>
      <c r="S48" s="2"/>
      <c r="T48" s="2">
        <v>154.47</v>
      </c>
      <c r="U48" s="2"/>
      <c r="V48" s="19">
        <f t="shared" si="14"/>
        <v>3.5936554846448173E-4</v>
      </c>
      <c r="W48" s="2"/>
      <c r="X48" s="2">
        <f t="shared" si="15"/>
        <v>-154.47</v>
      </c>
      <c r="Y48" s="2"/>
      <c r="Z48" s="19">
        <f t="shared" si="16"/>
        <v>-1</v>
      </c>
    </row>
    <row r="49" spans="1:26" s="23" customFormat="1" hidden="1" outlineLevel="1" x14ac:dyDescent="0.25">
      <c r="A49" s="44"/>
      <c r="B49" s="10" t="str">
        <f>CONCATENATE("          ", "5044", " - ", "PURCHASES @ COST-ACCESSORIES")</f>
        <v xml:space="preserve">          5044 - PURCHASES @ COST-ACCESSORIES</v>
      </c>
      <c r="C49" s="10"/>
      <c r="D49" s="2"/>
      <c r="E49" s="2"/>
      <c r="F49" s="19">
        <f t="shared" si="9"/>
        <v>0</v>
      </c>
      <c r="G49" s="2"/>
      <c r="H49" s="2"/>
      <c r="I49" s="2"/>
      <c r="J49" s="19">
        <f t="shared" si="10"/>
        <v>0</v>
      </c>
      <c r="K49" s="2"/>
      <c r="L49" s="2">
        <f t="shared" si="11"/>
        <v>0</v>
      </c>
      <c r="M49" s="2"/>
      <c r="N49" s="19">
        <f t="shared" si="12"/>
        <v>0</v>
      </c>
      <c r="O49" s="10"/>
      <c r="P49" s="2"/>
      <c r="Q49" s="2"/>
      <c r="R49" s="19">
        <f t="shared" si="13"/>
        <v>0</v>
      </c>
      <c r="S49" s="2"/>
      <c r="T49" s="2">
        <v>-4381.05</v>
      </c>
      <c r="U49" s="2"/>
      <c r="V49" s="19">
        <f t="shared" si="14"/>
        <v>-1.0192260219462146E-2</v>
      </c>
      <c r="W49" s="2"/>
      <c r="X49" s="2">
        <f t="shared" si="15"/>
        <v>4381.05</v>
      </c>
      <c r="Y49" s="2"/>
      <c r="Z49" s="19">
        <f t="shared" si="16"/>
        <v>-1</v>
      </c>
    </row>
    <row r="50" spans="1:26" s="23" customFormat="1" hidden="1" outlineLevel="1" x14ac:dyDescent="0.25">
      <c r="A50" s="44"/>
      <c r="B50" s="10" t="str">
        <f>CONCATENATE("          ", "5045", " - ", "PURCHASES @ COST-SPECIAL ORDER")</f>
        <v xml:space="preserve">          5045 - PURCHASES @ COST-SPECIAL ORDER</v>
      </c>
      <c r="C50" s="10"/>
      <c r="D50" s="2"/>
      <c r="E50" s="2"/>
      <c r="F50" s="19">
        <f t="shared" si="9"/>
        <v>0</v>
      </c>
      <c r="G50" s="2"/>
      <c r="H50" s="2"/>
      <c r="I50" s="2"/>
      <c r="J50" s="19">
        <f t="shared" si="10"/>
        <v>0</v>
      </c>
      <c r="K50" s="2"/>
      <c r="L50" s="2">
        <f t="shared" si="11"/>
        <v>0</v>
      </c>
      <c r="M50" s="2"/>
      <c r="N50" s="19">
        <f t="shared" si="12"/>
        <v>0</v>
      </c>
      <c r="O50" s="10"/>
      <c r="P50" s="2"/>
      <c r="Q50" s="2"/>
      <c r="R50" s="19">
        <f t="shared" si="13"/>
        <v>0</v>
      </c>
      <c r="S50" s="2"/>
      <c r="T50" s="2">
        <v>-998.2</v>
      </c>
      <c r="U50" s="2"/>
      <c r="V50" s="19">
        <f t="shared" si="14"/>
        <v>-2.3222547451106734E-3</v>
      </c>
      <c r="W50" s="2"/>
      <c r="X50" s="2">
        <f t="shared" si="15"/>
        <v>998.2</v>
      </c>
      <c r="Y50" s="2"/>
      <c r="Z50" s="19">
        <f t="shared" si="16"/>
        <v>-1</v>
      </c>
    </row>
    <row r="51" spans="1:26" s="23" customFormat="1" hidden="1" outlineLevel="1" x14ac:dyDescent="0.25">
      <c r="A51" s="44"/>
      <c r="B51" s="10" t="str">
        <f>CONCATENATE("          ", "5083", " - ", "PURCHASES @ COST-COMPUTER EQUI")</f>
        <v xml:space="preserve">          5083 - PURCHASES @ COST-COMPUTER EQUI</v>
      </c>
      <c r="C51" s="10"/>
      <c r="D51" s="2"/>
      <c r="E51" s="2"/>
      <c r="F51" s="19">
        <f t="shared" si="9"/>
        <v>0</v>
      </c>
      <c r="G51" s="2"/>
      <c r="H51" s="2"/>
      <c r="I51" s="2"/>
      <c r="J51" s="19">
        <f t="shared" si="10"/>
        <v>0</v>
      </c>
      <c r="K51" s="2"/>
      <c r="L51" s="2">
        <f t="shared" si="11"/>
        <v>0</v>
      </c>
      <c r="M51" s="2"/>
      <c r="N51" s="19">
        <f t="shared" si="12"/>
        <v>0</v>
      </c>
      <c r="O51" s="10"/>
      <c r="P51" s="2"/>
      <c r="Q51" s="2"/>
      <c r="R51" s="19">
        <f t="shared" si="13"/>
        <v>0</v>
      </c>
      <c r="S51" s="2"/>
      <c r="T51" s="2">
        <v>90.35</v>
      </c>
      <c r="U51" s="2"/>
      <c r="V51" s="19">
        <f t="shared" si="14"/>
        <v>2.1019406553871901E-4</v>
      </c>
      <c r="W51" s="2"/>
      <c r="X51" s="2">
        <f t="shared" si="15"/>
        <v>-90.35</v>
      </c>
      <c r="Y51" s="2"/>
      <c r="Z51" s="19">
        <f t="shared" si="16"/>
        <v>-1</v>
      </c>
    </row>
    <row r="52" spans="1:26" s="23" customFormat="1" hidden="1" outlineLevel="1" x14ac:dyDescent="0.25">
      <c r="A52" s="44"/>
      <c r="B52" s="10" t="str">
        <f>CONCATENATE("          ", "5086", " - ", "PURCHASES @ COST-COMPUTER SUPP")</f>
        <v xml:space="preserve">          5086 - PURCHASES @ COST-COMPUTER SUPP</v>
      </c>
      <c r="C52" s="10"/>
      <c r="D52" s="2"/>
      <c r="E52" s="2"/>
      <c r="F52" s="19">
        <f t="shared" si="9"/>
        <v>0</v>
      </c>
      <c r="G52" s="2"/>
      <c r="H52" s="2"/>
      <c r="I52" s="2"/>
      <c r="J52" s="19">
        <f t="shared" si="10"/>
        <v>0</v>
      </c>
      <c r="K52" s="2"/>
      <c r="L52" s="2">
        <f t="shared" si="11"/>
        <v>0</v>
      </c>
      <c r="M52" s="2"/>
      <c r="N52" s="19">
        <f t="shared" si="12"/>
        <v>0</v>
      </c>
      <c r="O52" s="10"/>
      <c r="P52" s="2">
        <v>13.21</v>
      </c>
      <c r="Q52" s="2"/>
      <c r="R52" s="19">
        <f t="shared" si="13"/>
        <v>5.2565643087719411E-5</v>
      </c>
      <c r="S52" s="2"/>
      <c r="T52" s="2">
        <v>0</v>
      </c>
      <c r="U52" s="2"/>
      <c r="V52" s="19">
        <f t="shared" si="14"/>
        <v>0</v>
      </c>
      <c r="W52" s="2"/>
      <c r="X52" s="2">
        <f t="shared" si="15"/>
        <v>13.21</v>
      </c>
      <c r="Y52" s="2"/>
      <c r="Z52" s="19">
        <f t="shared" si="16"/>
        <v>0</v>
      </c>
    </row>
    <row r="53" spans="1:26" s="23" customFormat="1" hidden="1" outlineLevel="1" x14ac:dyDescent="0.25">
      <c r="A53" s="44"/>
      <c r="B53" s="10" t="str">
        <f>CONCATENATE("          ", "5092", " - ", "PURCHASES @ COST-GRAD MERCH")</f>
        <v xml:space="preserve">          5092 - PURCHASES @ COST-GRAD MERCH</v>
      </c>
      <c r="C53" s="10"/>
      <c r="D53" s="2"/>
      <c r="E53" s="2"/>
      <c r="F53" s="19">
        <f t="shared" si="9"/>
        <v>0</v>
      </c>
      <c r="G53" s="2"/>
      <c r="H53" s="2"/>
      <c r="I53" s="2"/>
      <c r="J53" s="19">
        <f t="shared" si="10"/>
        <v>0</v>
      </c>
      <c r="K53" s="2"/>
      <c r="L53" s="2">
        <f t="shared" si="11"/>
        <v>0</v>
      </c>
      <c r="M53" s="2"/>
      <c r="N53" s="19">
        <f t="shared" si="12"/>
        <v>0</v>
      </c>
      <c r="O53" s="10"/>
      <c r="P53" s="2"/>
      <c r="Q53" s="2"/>
      <c r="R53" s="19">
        <f t="shared" si="13"/>
        <v>0</v>
      </c>
      <c r="S53" s="2"/>
      <c r="T53" s="2">
        <v>-60.35</v>
      </c>
      <c r="U53" s="2"/>
      <c r="V53" s="19">
        <f t="shared" si="14"/>
        <v>-1.4040079529896728E-4</v>
      </c>
      <c r="W53" s="2"/>
      <c r="X53" s="2">
        <f t="shared" si="15"/>
        <v>60.35</v>
      </c>
      <c r="Y53" s="2"/>
      <c r="Z53" s="19">
        <f t="shared" si="16"/>
        <v>-1</v>
      </c>
    </row>
    <row r="54" spans="1:26" s="23" customFormat="1" hidden="1" outlineLevel="1" x14ac:dyDescent="0.25">
      <c r="A54" s="44"/>
      <c r="B54" s="10" t="str">
        <f>CONCATENATE("          ", "5095", " - ", "PURCHASES @ COST-CUSTOMER SERV")</f>
        <v xml:space="preserve">          5095 - PURCHASES @ COST-CUSTOMER SERV</v>
      </c>
      <c r="C54" s="10"/>
      <c r="D54" s="2"/>
      <c r="E54" s="2"/>
      <c r="F54" s="19">
        <f t="shared" si="9"/>
        <v>0</v>
      </c>
      <c r="G54" s="2"/>
      <c r="H54" s="2"/>
      <c r="I54" s="2"/>
      <c r="J54" s="19">
        <f t="shared" si="10"/>
        <v>0</v>
      </c>
      <c r="K54" s="2"/>
      <c r="L54" s="2">
        <f t="shared" si="11"/>
        <v>0</v>
      </c>
      <c r="M54" s="2"/>
      <c r="N54" s="19">
        <f t="shared" si="12"/>
        <v>0</v>
      </c>
      <c r="O54" s="10"/>
      <c r="P54" s="2"/>
      <c r="Q54" s="2"/>
      <c r="R54" s="19">
        <f t="shared" si="13"/>
        <v>0</v>
      </c>
      <c r="S54" s="2"/>
      <c r="T54" s="2">
        <v>-11.85</v>
      </c>
      <c r="U54" s="2"/>
      <c r="V54" s="19">
        <f t="shared" si="14"/>
        <v>-2.7568341744701939E-5</v>
      </c>
      <c r="W54" s="2"/>
      <c r="X54" s="2">
        <f t="shared" si="15"/>
        <v>11.85</v>
      </c>
      <c r="Y54" s="2"/>
      <c r="Z54" s="19">
        <f t="shared" si="16"/>
        <v>-1</v>
      </c>
    </row>
    <row r="55" spans="1:26" s="23" customFormat="1" hidden="1" outlineLevel="1" x14ac:dyDescent="0.25">
      <c r="A55" s="44"/>
      <c r="B55" s="10" t="str">
        <f>CONCATENATE("          ", "5200", " - ", "PURCHASES OFFSET")</f>
        <v xml:space="preserve">          5200 - PURCHASES OFFSET</v>
      </c>
      <c r="C55" s="10"/>
      <c r="D55" s="2"/>
      <c r="E55" s="2"/>
      <c r="F55" s="19">
        <f t="shared" si="9"/>
        <v>0</v>
      </c>
      <c r="G55" s="2"/>
      <c r="H55" s="2">
        <v>-1318</v>
      </c>
      <c r="I55" s="2"/>
      <c r="J55" s="19">
        <f t="shared" si="10"/>
        <v>0</v>
      </c>
      <c r="K55" s="2"/>
      <c r="L55" s="2">
        <f t="shared" si="11"/>
        <v>1318</v>
      </c>
      <c r="M55" s="2"/>
      <c r="N55" s="19">
        <f t="shared" si="12"/>
        <v>-1</v>
      </c>
      <c r="O55" s="10"/>
      <c r="P55" s="2">
        <v>-8166.85</v>
      </c>
      <c r="Q55" s="2"/>
      <c r="R55" s="19">
        <f t="shared" si="13"/>
        <v>-3.2497783667747256E-2</v>
      </c>
      <c r="S55" s="2"/>
      <c r="T55" s="2">
        <v>-201736</v>
      </c>
      <c r="U55" s="2"/>
      <c r="V55" s="19">
        <f t="shared" si="14"/>
        <v>-0.46932717216955194</v>
      </c>
      <c r="W55" s="2"/>
      <c r="X55" s="2">
        <f t="shared" si="15"/>
        <v>193569.15</v>
      </c>
      <c r="Y55" s="2"/>
      <c r="Z55" s="19">
        <f t="shared" si="16"/>
        <v>-0.95951714121426024</v>
      </c>
    </row>
    <row r="56" spans="1:26" s="23" customFormat="1" hidden="1" outlineLevel="1" x14ac:dyDescent="0.25">
      <c r="A56" s="44"/>
      <c r="B56" s="10" t="str">
        <f>CONCATENATE("          ", "5300", " - ", "COG$ OFFSET")</f>
        <v xml:space="preserve">          5300 - COG$ OFFSET</v>
      </c>
      <c r="C56" s="10"/>
      <c r="D56" s="2">
        <v>17435</v>
      </c>
      <c r="E56" s="2"/>
      <c r="F56" s="19">
        <f t="shared" si="9"/>
        <v>0.4052868843027404</v>
      </c>
      <c r="G56" s="2"/>
      <c r="H56" s="2"/>
      <c r="I56" s="2"/>
      <c r="J56" s="19">
        <f t="shared" si="10"/>
        <v>0</v>
      </c>
      <c r="K56" s="2"/>
      <c r="L56" s="2">
        <f t="shared" si="11"/>
        <v>17435</v>
      </c>
      <c r="M56" s="2"/>
      <c r="N56" s="19">
        <f t="shared" si="12"/>
        <v>0</v>
      </c>
      <c r="O56" s="10"/>
      <c r="P56" s="2">
        <v>110530</v>
      </c>
      <c r="Q56" s="2"/>
      <c r="R56" s="19">
        <f t="shared" si="13"/>
        <v>0.43982441563100877</v>
      </c>
      <c r="S56" s="2"/>
      <c r="T56" s="2">
        <v>145191</v>
      </c>
      <c r="U56" s="2"/>
      <c r="V56" s="19">
        <f t="shared" si="14"/>
        <v>0.33777848997932652</v>
      </c>
      <c r="W56" s="2"/>
      <c r="X56" s="2">
        <f t="shared" si="15"/>
        <v>-34661</v>
      </c>
      <c r="Y56" s="2"/>
      <c r="Z56" s="19">
        <f t="shared" si="16"/>
        <v>-0.23872691833515852</v>
      </c>
    </row>
    <row r="57" spans="1:26" s="23" customFormat="1" hidden="1" outlineLevel="1" x14ac:dyDescent="0.25">
      <c r="A57" s="44"/>
      <c r="B57" s="10" t="str">
        <f>CONCATENATE("          ", "5540", " - ", "FREIGHT-IN-LOGO CLOTHING")</f>
        <v xml:space="preserve">          5540 - FREIGHT-IN-LOGO CLOTHING</v>
      </c>
      <c r="C57" s="10"/>
      <c r="D57" s="2"/>
      <c r="E57" s="2"/>
      <c r="F57" s="19">
        <f t="shared" si="9"/>
        <v>0</v>
      </c>
      <c r="G57" s="2"/>
      <c r="H57" s="2"/>
      <c r="I57" s="2"/>
      <c r="J57" s="19">
        <f t="shared" si="10"/>
        <v>0</v>
      </c>
      <c r="K57" s="2"/>
      <c r="L57" s="2">
        <f t="shared" si="11"/>
        <v>0</v>
      </c>
      <c r="M57" s="2"/>
      <c r="N57" s="19">
        <f t="shared" si="12"/>
        <v>0</v>
      </c>
      <c r="O57" s="10"/>
      <c r="P57" s="2"/>
      <c r="Q57" s="2"/>
      <c r="R57" s="19">
        <f t="shared" si="13"/>
        <v>0</v>
      </c>
      <c r="S57" s="2"/>
      <c r="T57" s="2">
        <v>22.51</v>
      </c>
      <c r="U57" s="2"/>
      <c r="V57" s="19">
        <f t="shared" si="14"/>
        <v>5.2368217103227063E-5</v>
      </c>
      <c r="W57" s="2"/>
      <c r="X57" s="2">
        <f t="shared" si="15"/>
        <v>-22.51</v>
      </c>
      <c r="Y57" s="2"/>
      <c r="Z57" s="19">
        <f t="shared" si="16"/>
        <v>-1</v>
      </c>
    </row>
    <row r="58" spans="1:26" x14ac:dyDescent="0.25">
      <c r="A58" s="9"/>
      <c r="B58" s="11"/>
      <c r="C58" s="11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1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4" customFormat="1" x14ac:dyDescent="0.25">
      <c r="A59" s="11"/>
      <c r="B59" s="29" t="s">
        <v>107</v>
      </c>
      <c r="C59" s="29"/>
      <c r="D59" s="20">
        <f>D12-D40</f>
        <v>25583.909999999996</v>
      </c>
      <c r="E59" s="14"/>
      <c r="F59" s="22">
        <f>IF(D$12=0,0,D59/D$12)</f>
        <v>0.5947131156972596</v>
      </c>
      <c r="G59" s="14"/>
      <c r="H59" s="20">
        <f>H12-H40</f>
        <v>0.33999999999991815</v>
      </c>
      <c r="I59" s="14"/>
      <c r="J59" s="22">
        <f>IF(H$12=0,0,H59/H$12)</f>
        <v>0</v>
      </c>
      <c r="K59" s="16"/>
      <c r="L59" s="20">
        <f>+D59-H59</f>
        <v>25583.569999999996</v>
      </c>
      <c r="M59" s="16"/>
      <c r="N59" s="22">
        <f>IF(H59=0,0,L59/H59)</f>
        <v>75245.794117665166</v>
      </c>
      <c r="O59" s="28"/>
      <c r="P59" s="20">
        <f>P12-P40</f>
        <v>140774.82999999999</v>
      </c>
      <c r="Q59" s="14"/>
      <c r="R59" s="22">
        <f>IF(P$12=0,0,P59/P$12)</f>
        <v>0.56017558436899118</v>
      </c>
      <c r="S59" s="14"/>
      <c r="T59" s="20">
        <f>T12-T40</f>
        <v>246523.27999999997</v>
      </c>
      <c r="U59" s="14"/>
      <c r="V59" s="22">
        <f>IF(T$12=0,0,T59/T$12)</f>
        <v>0.5735221967143328</v>
      </c>
      <c r="W59" s="16"/>
      <c r="X59" s="20">
        <f>+P59-T59</f>
        <v>-105748.44999999998</v>
      </c>
      <c r="Y59" s="16"/>
      <c r="Z59" s="22">
        <f>IF(T59=0,0,X59/T59)</f>
        <v>-0.42895928530563115</v>
      </c>
    </row>
    <row r="60" spans="1:26" x14ac:dyDescent="0.25">
      <c r="A60" s="9"/>
      <c r="B60" s="11"/>
      <c r="C60" s="9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4" customFormat="1" x14ac:dyDescent="0.25">
      <c r="A61" s="11"/>
      <c r="B61" s="28" t="s">
        <v>294</v>
      </c>
      <c r="C61" s="11"/>
      <c r="D61" s="21">
        <f>SUM(OSRRefD22x_0)</f>
        <v>24362.67</v>
      </c>
      <c r="E61" s="21"/>
      <c r="F61" s="31">
        <f t="shared" ref="F61:F70" si="17">IF(D$12=0,0,D61/D$12)</f>
        <v>0.56632466977894136</v>
      </c>
      <c r="G61" s="21"/>
      <c r="H61" s="21">
        <f>SUM(OSRRefH22x_0)</f>
        <v>17168.43</v>
      </c>
      <c r="I61" s="21"/>
      <c r="J61" s="31">
        <f t="shared" ref="J61:J70" si="18">IF(H$12=0,0,H61/H$12)</f>
        <v>0</v>
      </c>
      <c r="K61" s="4"/>
      <c r="L61" s="21">
        <f t="shared" ref="L61:L70" si="19">+D61-H61</f>
        <v>7194.239999999998</v>
      </c>
      <c r="M61" s="4"/>
      <c r="N61" s="31">
        <f t="shared" ref="N61:N70" si="20">IF(H61=0,0,L61/H61)</f>
        <v>0.41903889872283007</v>
      </c>
      <c r="O61" s="11"/>
      <c r="P61" s="21">
        <f>SUM(OSRRefP22x_0)</f>
        <v>217150.51</v>
      </c>
      <c r="Q61" s="21"/>
      <c r="R61" s="31">
        <f t="shared" ref="R61:R70" si="21">IF(P$12=0,0,P61/P$12)</f>
        <v>0.86409206699290264</v>
      </c>
      <c r="S61" s="21"/>
      <c r="T61" s="21">
        <f>SUM(OSRRefT22x_0)</f>
        <v>300722.09999999998</v>
      </c>
      <c r="U61" s="21"/>
      <c r="V61" s="31">
        <f t="shared" ref="V61:V70" si="22">IF(T$12=0,0,T61/T$12)</f>
        <v>0.69961262641218824</v>
      </c>
      <c r="W61" s="4"/>
      <c r="X61" s="21">
        <f t="shared" ref="X61:X70" si="23">+P61-T61</f>
        <v>-83571.589999999967</v>
      </c>
      <c r="Y61" s="4"/>
      <c r="Z61" s="31">
        <f t="shared" ref="Z61:Z70" si="24">IF(T61=0,0,X61/T61)</f>
        <v>-0.27790305401565091</v>
      </c>
    </row>
    <row r="62" spans="1:26" s="26" customFormat="1" outlineLevel="1" collapsed="1" x14ac:dyDescent="0.25">
      <c r="A62" s="25"/>
      <c r="B62" s="12" t="str">
        <f>CONCATENATE("     ","*Benefits                                         ")</f>
        <v xml:space="preserve">     *Benefits                                         </v>
      </c>
      <c r="C62" s="12"/>
      <c r="D62" s="1">
        <f>SUM(OSRRefD22_0x_0)</f>
        <v>4210.9799999999996</v>
      </c>
      <c r="E62" s="1"/>
      <c r="F62" s="5">
        <f t="shared" si="17"/>
        <v>9.7886720049392237E-2</v>
      </c>
      <c r="G62" s="1"/>
      <c r="H62" s="1">
        <f>SUM(OSRRefH22_0x_0)</f>
        <v>3907.89</v>
      </c>
      <c r="I62" s="1"/>
      <c r="J62" s="5">
        <f t="shared" si="18"/>
        <v>0</v>
      </c>
      <c r="K62" s="1"/>
      <c r="L62" s="1">
        <f t="shared" si="19"/>
        <v>303.08999999999969</v>
      </c>
      <c r="M62" s="1"/>
      <c r="N62" s="5">
        <f t="shared" si="20"/>
        <v>7.7558477848659949E-2</v>
      </c>
      <c r="O62" s="12"/>
      <c r="P62" s="1">
        <f>SUM(OSRRefP22_0x_0)</f>
        <v>47489.73000000001</v>
      </c>
      <c r="Q62" s="1"/>
      <c r="R62" s="5">
        <f t="shared" si="21"/>
        <v>0.18897261146950503</v>
      </c>
      <c r="S62" s="1"/>
      <c r="T62" s="1">
        <f>SUM(OSRRefT22_0x_0)</f>
        <v>23263.960000000003</v>
      </c>
      <c r="U62" s="1"/>
      <c r="V62" s="5">
        <f t="shared" si="22"/>
        <v>5.4122261570892512E-2</v>
      </c>
      <c r="W62" s="1"/>
      <c r="X62" s="1">
        <f t="shared" si="23"/>
        <v>24225.770000000008</v>
      </c>
      <c r="Y62" s="1"/>
      <c r="Z62" s="5">
        <f t="shared" si="24"/>
        <v>1.0413433482519745</v>
      </c>
    </row>
    <row r="63" spans="1:26" s="23" customFormat="1" hidden="1" outlineLevel="2" x14ac:dyDescent="0.25">
      <c r="A63" s="27"/>
      <c r="B63" s="10" t="str">
        <f>CONCATENATE("          ", "6111", " - ", "F.I.C.A.")</f>
        <v xml:space="preserve">          6111 - F.I.C.A.</v>
      </c>
      <c r="C63" s="10"/>
      <c r="D63" s="6">
        <v>764.89</v>
      </c>
      <c r="E63" s="2"/>
      <c r="F63" s="7">
        <f t="shared" si="17"/>
        <v>1.7780320328897224E-2</v>
      </c>
      <c r="G63" s="2"/>
      <c r="H63" s="6">
        <v>626.87</v>
      </c>
      <c r="I63" s="2"/>
      <c r="J63" s="7">
        <f t="shared" si="18"/>
        <v>0</v>
      </c>
      <c r="K63" s="2"/>
      <c r="L63" s="6">
        <f t="shared" si="19"/>
        <v>138.01999999999998</v>
      </c>
      <c r="M63" s="2"/>
      <c r="N63" s="7">
        <f t="shared" si="20"/>
        <v>0.2201732416609504</v>
      </c>
      <c r="O63" s="10"/>
      <c r="P63" s="6">
        <v>6862.14</v>
      </c>
      <c r="Q63" s="2"/>
      <c r="R63" s="7">
        <f t="shared" si="21"/>
        <v>2.7306041033910891E-2</v>
      </c>
      <c r="S63" s="2"/>
      <c r="T63" s="6">
        <v>4640.1499999999996</v>
      </c>
      <c r="U63" s="2"/>
      <c r="V63" s="7">
        <f t="shared" si="22"/>
        <v>1.0795041430099468E-2</v>
      </c>
      <c r="W63" s="2"/>
      <c r="X63" s="6">
        <f t="shared" si="23"/>
        <v>2221.9900000000007</v>
      </c>
      <c r="Y63" s="2"/>
      <c r="Z63" s="7">
        <f t="shared" si="24"/>
        <v>0.47886167473034297</v>
      </c>
    </row>
    <row r="64" spans="1:26" s="23" customFormat="1" hidden="1" outlineLevel="2" x14ac:dyDescent="0.25">
      <c r="A64" s="27"/>
      <c r="B64" s="10" t="str">
        <f>CONCATENATE("          ", "6112", " - ", "COMPENSATION INSURANCE")</f>
        <v xml:space="preserve">          6112 - COMPENSATION INSURANCE</v>
      </c>
      <c r="C64" s="10"/>
      <c r="D64" s="6">
        <v>118.89</v>
      </c>
      <c r="E64" s="2"/>
      <c r="F64" s="7">
        <f t="shared" si="17"/>
        <v>2.7636683495699918E-3</v>
      </c>
      <c r="G64" s="2"/>
      <c r="H64" s="6">
        <v>138.82</v>
      </c>
      <c r="I64" s="2"/>
      <c r="J64" s="7">
        <f t="shared" si="18"/>
        <v>0</v>
      </c>
      <c r="K64" s="2"/>
      <c r="L64" s="6">
        <f t="shared" si="19"/>
        <v>-19.929999999999993</v>
      </c>
      <c r="M64" s="2"/>
      <c r="N64" s="7">
        <f t="shared" si="20"/>
        <v>-0.14356720933583053</v>
      </c>
      <c r="O64" s="10"/>
      <c r="P64" s="6">
        <v>2192.7399999999998</v>
      </c>
      <c r="Q64" s="2"/>
      <c r="R64" s="7">
        <f t="shared" si="21"/>
        <v>8.725419244827089E-3</v>
      </c>
      <c r="S64" s="2"/>
      <c r="T64" s="6">
        <v>1783.49</v>
      </c>
      <c r="U64" s="2"/>
      <c r="V64" s="7">
        <f t="shared" si="22"/>
        <v>4.1491866513298286E-3</v>
      </c>
      <c r="W64" s="2"/>
      <c r="X64" s="6">
        <f t="shared" si="23"/>
        <v>409.24999999999977</v>
      </c>
      <c r="Y64" s="2"/>
      <c r="Z64" s="7">
        <f t="shared" si="24"/>
        <v>0.22946582262866613</v>
      </c>
    </row>
    <row r="65" spans="1:26" s="23" customFormat="1" hidden="1" outlineLevel="2" x14ac:dyDescent="0.25">
      <c r="A65" s="27"/>
      <c r="B65" s="10" t="str">
        <f>CONCATENATE("          ", "6113", " - ", "GROUP INSURANCE")</f>
        <v xml:space="preserve">          6113 - GROUP INSURANCE</v>
      </c>
      <c r="C65" s="10"/>
      <c r="D65" s="6">
        <v>1998.43</v>
      </c>
      <c r="E65" s="2"/>
      <c r="F65" s="7">
        <f t="shared" si="17"/>
        <v>4.6454687020196471E-2</v>
      </c>
      <c r="G65" s="2"/>
      <c r="H65" s="6">
        <v>2012.47</v>
      </c>
      <c r="I65" s="2"/>
      <c r="J65" s="7">
        <f t="shared" si="18"/>
        <v>0</v>
      </c>
      <c r="K65" s="2"/>
      <c r="L65" s="6">
        <f t="shared" si="19"/>
        <v>-14.039999999999964</v>
      </c>
      <c r="M65" s="2"/>
      <c r="N65" s="7">
        <f t="shared" si="20"/>
        <v>-6.9765015130660154E-3</v>
      </c>
      <c r="O65" s="10"/>
      <c r="P65" s="6">
        <v>24287.33</v>
      </c>
      <c r="Q65" s="2"/>
      <c r="R65" s="7">
        <f t="shared" si="21"/>
        <v>9.664489934395612E-2</v>
      </c>
      <c r="S65" s="2"/>
      <c r="T65" s="6">
        <v>10321.58</v>
      </c>
      <c r="U65" s="2"/>
      <c r="V65" s="7">
        <f t="shared" si="22"/>
        <v>2.4012560741373895E-2</v>
      </c>
      <c r="W65" s="2"/>
      <c r="X65" s="6">
        <f t="shared" si="23"/>
        <v>13965.750000000002</v>
      </c>
      <c r="Y65" s="2"/>
      <c r="Z65" s="7">
        <f t="shared" si="24"/>
        <v>1.3530631938133504</v>
      </c>
    </row>
    <row r="66" spans="1:26" s="23" customFormat="1" hidden="1" outlineLevel="2" x14ac:dyDescent="0.25">
      <c r="A66" s="27"/>
      <c r="B66" s="10" t="str">
        <f>CONCATENATE("          ", "6114", " - ", "STATE UNEMPLOYMENT INSURANCE")</f>
        <v xml:space="preserve">          6114 - STATE UNEMPLOYMENT INSURANCE</v>
      </c>
      <c r="C66" s="10"/>
      <c r="D66" s="6">
        <v>16.71</v>
      </c>
      <c r="E66" s="2"/>
      <c r="F66" s="7">
        <f t="shared" si="17"/>
        <v>3.8843383061077101E-4</v>
      </c>
      <c r="G66" s="2"/>
      <c r="H66" s="6">
        <v>19</v>
      </c>
      <c r="I66" s="2"/>
      <c r="J66" s="7">
        <f t="shared" si="18"/>
        <v>0</v>
      </c>
      <c r="K66" s="2"/>
      <c r="L66" s="6">
        <f t="shared" si="19"/>
        <v>-2.2899999999999991</v>
      </c>
      <c r="M66" s="2"/>
      <c r="N66" s="7">
        <f t="shared" si="20"/>
        <v>-0.12052631578947363</v>
      </c>
      <c r="O66" s="10"/>
      <c r="P66" s="6">
        <v>281.83</v>
      </c>
      <c r="Q66" s="2"/>
      <c r="R66" s="7">
        <f t="shared" si="21"/>
        <v>1.1214667063900044E-3</v>
      </c>
      <c r="S66" s="2"/>
      <c r="T66" s="6">
        <v>276.77</v>
      </c>
      <c r="U66" s="2"/>
      <c r="V66" s="7">
        <f t="shared" si="22"/>
        <v>6.4388944680853638E-4</v>
      </c>
      <c r="W66" s="2"/>
      <c r="X66" s="6">
        <f t="shared" si="23"/>
        <v>5.0600000000000023</v>
      </c>
      <c r="Y66" s="2"/>
      <c r="Z66" s="7">
        <f t="shared" si="24"/>
        <v>1.8282328287025338E-2</v>
      </c>
    </row>
    <row r="67" spans="1:26" s="23" customFormat="1" hidden="1" outlineLevel="2" x14ac:dyDescent="0.25">
      <c r="A67" s="27"/>
      <c r="B67" s="10" t="str">
        <f>CONCATENATE("          ", "6115", " - ", "P.E.R.S.")</f>
        <v xml:space="preserve">          6115 - P.E.R.S.</v>
      </c>
      <c r="C67" s="10"/>
      <c r="D67" s="6">
        <v>362.12</v>
      </c>
      <c r="E67" s="2"/>
      <c r="F67" s="7">
        <f t="shared" si="17"/>
        <v>8.4176935212909865E-3</v>
      </c>
      <c r="G67" s="2"/>
      <c r="H67" s="6">
        <v>327.22000000000003</v>
      </c>
      <c r="I67" s="2"/>
      <c r="J67" s="7">
        <f t="shared" si="18"/>
        <v>0</v>
      </c>
      <c r="K67" s="2"/>
      <c r="L67" s="6">
        <f t="shared" si="19"/>
        <v>34.899999999999977</v>
      </c>
      <c r="M67" s="2"/>
      <c r="N67" s="7">
        <f t="shared" si="20"/>
        <v>0.10665607236721464</v>
      </c>
      <c r="O67" s="10"/>
      <c r="P67" s="6">
        <v>3856.57</v>
      </c>
      <c r="Q67" s="2"/>
      <c r="R67" s="7">
        <f t="shared" si="21"/>
        <v>1.5346183358274493E-2</v>
      </c>
      <c r="S67" s="2"/>
      <c r="T67" s="6">
        <v>2034.13</v>
      </c>
      <c r="U67" s="2"/>
      <c r="V67" s="7">
        <f t="shared" si="22"/>
        <v>4.7322861597595411E-3</v>
      </c>
      <c r="W67" s="2"/>
      <c r="X67" s="6">
        <f t="shared" si="23"/>
        <v>1822.44</v>
      </c>
      <c r="Y67" s="2"/>
      <c r="Z67" s="7">
        <f t="shared" si="24"/>
        <v>0.8959309385339187</v>
      </c>
    </row>
    <row r="68" spans="1:26" s="23" customFormat="1" hidden="1" outlineLevel="2" x14ac:dyDescent="0.25">
      <c r="A68" s="27"/>
      <c r="B68" s="10" t="str">
        <f>CONCATENATE("          ", "6118", " - ", "VACATION")</f>
        <v xml:space="preserve">          6118 - VACATION</v>
      </c>
      <c r="C68" s="10"/>
      <c r="D68" s="6">
        <v>513.84</v>
      </c>
      <c r="E68" s="2"/>
      <c r="F68" s="7">
        <f t="shared" si="17"/>
        <v>1.1944514633215953E-2</v>
      </c>
      <c r="G68" s="2"/>
      <c r="H68" s="6">
        <v>459.39</v>
      </c>
      <c r="I68" s="2"/>
      <c r="J68" s="7">
        <f t="shared" si="18"/>
        <v>0</v>
      </c>
      <c r="K68" s="2"/>
      <c r="L68" s="6">
        <f t="shared" si="19"/>
        <v>54.450000000000045</v>
      </c>
      <c r="M68" s="2"/>
      <c r="N68" s="7">
        <f t="shared" si="20"/>
        <v>0.11852674198393533</v>
      </c>
      <c r="O68" s="10"/>
      <c r="P68" s="6">
        <v>4783.46</v>
      </c>
      <c r="Q68" s="2"/>
      <c r="R68" s="7">
        <f t="shared" si="21"/>
        <v>1.9034492890566409E-2</v>
      </c>
      <c r="S68" s="2"/>
      <c r="T68" s="6">
        <v>2562.44</v>
      </c>
      <c r="U68" s="2"/>
      <c r="V68" s="7">
        <f t="shared" si="22"/>
        <v>5.9613689131049821E-3</v>
      </c>
      <c r="W68" s="2"/>
      <c r="X68" s="6">
        <f t="shared" si="23"/>
        <v>2221.02</v>
      </c>
      <c r="Y68" s="2"/>
      <c r="Z68" s="7">
        <f t="shared" si="24"/>
        <v>0.86675980705889699</v>
      </c>
    </row>
    <row r="69" spans="1:26" s="23" customFormat="1" hidden="1" outlineLevel="2" x14ac:dyDescent="0.25">
      <c r="A69" s="27"/>
      <c r="B69" s="10" t="str">
        <f>CONCATENATE("          ", "6119", " - ", "SICK LEAVE")</f>
        <v xml:space="preserve">          6119 - SICK LEAVE</v>
      </c>
      <c r="C69" s="10"/>
      <c r="D69" s="6">
        <v>324.12</v>
      </c>
      <c r="E69" s="2"/>
      <c r="F69" s="7">
        <f t="shared" si="17"/>
        <v>7.5343610519187964E-3</v>
      </c>
      <c r="G69" s="2"/>
      <c r="H69" s="6">
        <v>324.12</v>
      </c>
      <c r="I69" s="2"/>
      <c r="J69" s="7">
        <f t="shared" si="18"/>
        <v>0</v>
      </c>
      <c r="K69" s="2"/>
      <c r="L69" s="6">
        <f t="shared" si="19"/>
        <v>0</v>
      </c>
      <c r="M69" s="2"/>
      <c r="N69" s="7">
        <f t="shared" si="20"/>
        <v>0</v>
      </c>
      <c r="O69" s="10"/>
      <c r="P69" s="6">
        <v>3767.87</v>
      </c>
      <c r="Q69" s="2"/>
      <c r="R69" s="7">
        <f t="shared" si="21"/>
        <v>1.499322555798072E-2</v>
      </c>
      <c r="S69" s="2"/>
      <c r="T69" s="6">
        <v>1155.9000000000001</v>
      </c>
      <c r="U69" s="2"/>
      <c r="V69" s="7">
        <f t="shared" si="22"/>
        <v>2.6891347023376352E-3</v>
      </c>
      <c r="W69" s="2"/>
      <c r="X69" s="6">
        <f t="shared" si="23"/>
        <v>2611.9699999999998</v>
      </c>
      <c r="Y69" s="2"/>
      <c r="Z69" s="7">
        <f t="shared" si="24"/>
        <v>2.2596850938662509</v>
      </c>
    </row>
    <row r="70" spans="1:26" s="23" customFormat="1" hidden="1" outlineLevel="2" x14ac:dyDescent="0.25">
      <c r="A70" s="27"/>
      <c r="B70" s="10" t="str">
        <f>CONCATENATE("          ", "6156", " - ", "EMPLOYEE MEALS")</f>
        <v xml:space="preserve">          6156 - EMPLOYEE MEALS</v>
      </c>
      <c r="C70" s="10"/>
      <c r="D70" s="6">
        <v>111.98</v>
      </c>
      <c r="E70" s="2"/>
      <c r="F70" s="7">
        <f t="shared" si="17"/>
        <v>2.6030413136920488E-3</v>
      </c>
      <c r="G70" s="2"/>
      <c r="H70" s="6"/>
      <c r="I70" s="2"/>
      <c r="J70" s="7">
        <f t="shared" si="18"/>
        <v>0</v>
      </c>
      <c r="K70" s="2"/>
      <c r="L70" s="6">
        <f t="shared" si="19"/>
        <v>111.98</v>
      </c>
      <c r="M70" s="2"/>
      <c r="N70" s="7">
        <f t="shared" si="20"/>
        <v>0</v>
      </c>
      <c r="O70" s="10"/>
      <c r="P70" s="6">
        <v>1457.79</v>
      </c>
      <c r="Q70" s="2"/>
      <c r="R70" s="7">
        <f t="shared" si="21"/>
        <v>5.800883333599279E-3</v>
      </c>
      <c r="S70" s="2"/>
      <c r="T70" s="6">
        <v>489.5</v>
      </c>
      <c r="U70" s="2"/>
      <c r="V70" s="7">
        <f t="shared" si="22"/>
        <v>1.1387935260786161E-3</v>
      </c>
      <c r="W70" s="2"/>
      <c r="X70" s="6">
        <f t="shared" si="23"/>
        <v>968.29</v>
      </c>
      <c r="Y70" s="2"/>
      <c r="Z70" s="7">
        <f t="shared" si="24"/>
        <v>1.9781205311542389</v>
      </c>
    </row>
    <row r="71" spans="1:26" s="26" customFormat="1" outlineLevel="1" collapsed="1" x14ac:dyDescent="0.25">
      <c r="A71" s="25"/>
      <c r="B71" s="12" t="str">
        <f>CONCATENATE("     ","*Payroll                                          ")</f>
        <v xml:space="preserve">     *Payroll                                          </v>
      </c>
      <c r="C71" s="12"/>
      <c r="D71" s="1">
        <f>SUM(OSRRefD22_1x_0)</f>
        <v>8738.17</v>
      </c>
      <c r="E71" s="1"/>
      <c r="F71" s="5">
        <f t="shared" ref="F71:F77" si="25">IF(D$12=0,0,D71/D$12)</f>
        <v>0.20312392852352606</v>
      </c>
      <c r="G71" s="1"/>
      <c r="H71" s="1">
        <f>SUM(OSRRefH22_1x_0)</f>
        <v>3706.6800000000003</v>
      </c>
      <c r="I71" s="1"/>
      <c r="J71" s="5">
        <f t="shared" ref="J71:J77" si="26">IF(H$12=0,0,H71/H$12)</f>
        <v>0</v>
      </c>
      <c r="K71" s="1"/>
      <c r="L71" s="1">
        <f t="shared" ref="L71:L77" si="27">+D71-H71</f>
        <v>5031.49</v>
      </c>
      <c r="M71" s="1"/>
      <c r="N71" s="5">
        <f t="shared" ref="N71:N77" si="28">IF(H71=0,0,L71/H71)</f>
        <v>1.3574114841313518</v>
      </c>
      <c r="O71" s="12"/>
      <c r="P71" s="1">
        <f>SUM(OSRRefP22_1x_0)</f>
        <v>83188.22</v>
      </c>
      <c r="Q71" s="1"/>
      <c r="R71" s="5">
        <f t="shared" ref="R71:R77" si="29">IF(P$12=0,0,P71/P$12)</f>
        <v>0.33102515379429837</v>
      </c>
      <c r="S71" s="1"/>
      <c r="T71" s="1">
        <f>SUM(OSRRefT22_1x_0)</f>
        <v>107642.89</v>
      </c>
      <c r="U71" s="1"/>
      <c r="V71" s="5">
        <f t="shared" ref="V71:V77" si="30">IF(T$12=0,0,T71/T$12)</f>
        <v>0.25042497703859573</v>
      </c>
      <c r="W71" s="1"/>
      <c r="X71" s="1">
        <f t="shared" ref="X71:X77" si="31">+P71-T71</f>
        <v>-24454.67</v>
      </c>
      <c r="Y71" s="1"/>
      <c r="Z71" s="5">
        <f t="shared" ref="Z71:Z77" si="32">IF(T71=0,0,X71/T71)</f>
        <v>-0.22718332813249439</v>
      </c>
    </row>
    <row r="72" spans="1:26" s="23" customFormat="1" hidden="1" outlineLevel="2" x14ac:dyDescent="0.25">
      <c r="A72" s="27"/>
      <c r="B72" s="10" t="str">
        <f>CONCATENATE("          ", "6002", " - ", "STAFF SALARIES")</f>
        <v xml:space="preserve">          6002 - STAFF SALARIES</v>
      </c>
      <c r="C72" s="10"/>
      <c r="D72" s="6">
        <v>5153.24</v>
      </c>
      <c r="E72" s="2"/>
      <c r="F72" s="7">
        <f t="shared" si="25"/>
        <v>0.11979011090704066</v>
      </c>
      <c r="G72" s="2"/>
      <c r="H72" s="6">
        <v>2810.92</v>
      </c>
      <c r="I72" s="2"/>
      <c r="J72" s="7">
        <f t="shared" si="26"/>
        <v>0</v>
      </c>
      <c r="K72" s="2"/>
      <c r="L72" s="6">
        <f t="shared" si="27"/>
        <v>2342.3199999999997</v>
      </c>
      <c r="M72" s="2"/>
      <c r="N72" s="7">
        <f t="shared" si="28"/>
        <v>0.83329301438674874</v>
      </c>
      <c r="O72" s="10"/>
      <c r="P72" s="6">
        <v>48008.12</v>
      </c>
      <c r="Q72" s="2"/>
      <c r="R72" s="7">
        <f t="shared" si="29"/>
        <v>0.19103540508950825</v>
      </c>
      <c r="S72" s="2"/>
      <c r="T72" s="6">
        <v>22748.98</v>
      </c>
      <c r="U72" s="2"/>
      <c r="V72" s="7">
        <f t="shared" si="30"/>
        <v>5.2924190293956924E-2</v>
      </c>
      <c r="W72" s="2"/>
      <c r="X72" s="6">
        <f t="shared" si="31"/>
        <v>25259.140000000003</v>
      </c>
      <c r="Y72" s="2"/>
      <c r="Z72" s="7">
        <f t="shared" si="32"/>
        <v>1.110341650482791</v>
      </c>
    </row>
    <row r="73" spans="1:26" s="23" customFormat="1" hidden="1" outlineLevel="2" x14ac:dyDescent="0.25">
      <c r="A73" s="27"/>
      <c r="B73" s="10" t="str">
        <f>CONCATENATE("          ", "6004", " - ", "STAFF HOURLY")</f>
        <v xml:space="preserve">          6004 - STAFF HOURLY</v>
      </c>
      <c r="C73" s="10"/>
      <c r="D73" s="6"/>
      <c r="E73" s="2"/>
      <c r="F73" s="7">
        <f t="shared" si="25"/>
        <v>0</v>
      </c>
      <c r="G73" s="2"/>
      <c r="H73" s="6"/>
      <c r="I73" s="2"/>
      <c r="J73" s="7">
        <f t="shared" si="26"/>
        <v>0</v>
      </c>
      <c r="K73" s="2"/>
      <c r="L73" s="6">
        <f t="shared" si="27"/>
        <v>0</v>
      </c>
      <c r="M73" s="2"/>
      <c r="N73" s="7">
        <f t="shared" si="28"/>
        <v>0</v>
      </c>
      <c r="O73" s="10"/>
      <c r="P73" s="6">
        <v>3456.21</v>
      </c>
      <c r="Q73" s="2"/>
      <c r="R73" s="7">
        <f t="shared" si="29"/>
        <v>1.3753058387298008E-2</v>
      </c>
      <c r="S73" s="2"/>
      <c r="T73" s="6"/>
      <c r="U73" s="2"/>
      <c r="V73" s="7">
        <f t="shared" si="30"/>
        <v>0</v>
      </c>
      <c r="W73" s="2"/>
      <c r="X73" s="6">
        <f t="shared" si="31"/>
        <v>3456.21</v>
      </c>
      <c r="Y73" s="2"/>
      <c r="Z73" s="7">
        <f t="shared" si="32"/>
        <v>0</v>
      </c>
    </row>
    <row r="74" spans="1:26" s="23" customFormat="1" hidden="1" outlineLevel="2" x14ac:dyDescent="0.25">
      <c r="A74" s="27"/>
      <c r="B74" s="10" t="str">
        <f>CONCATENATE("          ", "6005", " - ", "TEMPORARY WAGES-HOURLY")</f>
        <v xml:space="preserve">          6005 - TEMPORARY WAGES-HOURLY</v>
      </c>
      <c r="C74" s="10"/>
      <c r="D74" s="6">
        <v>2617.66</v>
      </c>
      <c r="E74" s="2"/>
      <c r="F74" s="7">
        <f t="shared" si="25"/>
        <v>6.0849054520442293E-2</v>
      </c>
      <c r="G74" s="2"/>
      <c r="H74" s="6">
        <v>1196.76</v>
      </c>
      <c r="I74" s="2"/>
      <c r="J74" s="7">
        <f t="shared" si="26"/>
        <v>0</v>
      </c>
      <c r="K74" s="2"/>
      <c r="L74" s="6">
        <f t="shared" si="27"/>
        <v>1420.8999999999999</v>
      </c>
      <c r="M74" s="2"/>
      <c r="N74" s="7">
        <f t="shared" si="28"/>
        <v>1.187289013670243</v>
      </c>
      <c r="O74" s="10"/>
      <c r="P74" s="6">
        <v>16583.11</v>
      </c>
      <c r="Q74" s="2"/>
      <c r="R74" s="7">
        <f t="shared" si="29"/>
        <v>6.598802736899248E-2</v>
      </c>
      <c r="S74" s="2"/>
      <c r="T74" s="6">
        <v>12681.83</v>
      </c>
      <c r="U74" s="2"/>
      <c r="V74" s="7">
        <f t="shared" si="30"/>
        <v>2.9503546277486362E-2</v>
      </c>
      <c r="W74" s="2"/>
      <c r="X74" s="6">
        <f t="shared" si="31"/>
        <v>3901.2800000000007</v>
      </c>
      <c r="Y74" s="2"/>
      <c r="Z74" s="7">
        <f t="shared" si="32"/>
        <v>0.30762752694208967</v>
      </c>
    </row>
    <row r="75" spans="1:26" s="23" customFormat="1" hidden="1" outlineLevel="2" x14ac:dyDescent="0.25">
      <c r="A75" s="27"/>
      <c r="B75" s="10" t="str">
        <f>CONCATENATE("          ", "6006", " - ", "TEMPORARY PART TIME")</f>
        <v xml:space="preserve">          6006 - TEMPORARY PART TIME</v>
      </c>
      <c r="C75" s="10"/>
      <c r="D75" s="6">
        <v>203.81</v>
      </c>
      <c r="E75" s="2"/>
      <c r="F75" s="7">
        <f t="shared" si="25"/>
        <v>4.7376839627038441E-3</v>
      </c>
      <c r="G75" s="2"/>
      <c r="H75" s="6"/>
      <c r="I75" s="2"/>
      <c r="J75" s="7">
        <f t="shared" si="26"/>
        <v>0</v>
      </c>
      <c r="K75" s="2"/>
      <c r="L75" s="6">
        <f t="shared" si="27"/>
        <v>203.81</v>
      </c>
      <c r="M75" s="2"/>
      <c r="N75" s="7">
        <f t="shared" si="28"/>
        <v>0</v>
      </c>
      <c r="O75" s="10"/>
      <c r="P75" s="6">
        <v>710.96</v>
      </c>
      <c r="Q75" s="2"/>
      <c r="R75" s="7">
        <f t="shared" si="29"/>
        <v>2.8290741566725959E-3</v>
      </c>
      <c r="S75" s="2"/>
      <c r="T75" s="6">
        <v>316.16000000000003</v>
      </c>
      <c r="U75" s="2"/>
      <c r="V75" s="7">
        <f t="shared" si="30"/>
        <v>7.3552801063333053E-4</v>
      </c>
      <c r="W75" s="2"/>
      <c r="X75" s="6">
        <f t="shared" si="31"/>
        <v>394.8</v>
      </c>
      <c r="Y75" s="2"/>
      <c r="Z75" s="7">
        <f t="shared" si="32"/>
        <v>1.2487348178137652</v>
      </c>
    </row>
    <row r="76" spans="1:26" s="23" customFormat="1" hidden="1" outlineLevel="2" x14ac:dyDescent="0.25">
      <c r="A76" s="27"/>
      <c r="B76" s="10" t="str">
        <f>CONCATENATE("          ", "6007", " - ", "STUDENT HOURLY")</f>
        <v xml:space="preserve">          6007 - STUDENT HOURLY</v>
      </c>
      <c r="C76" s="10"/>
      <c r="D76" s="6">
        <v>681.98</v>
      </c>
      <c r="E76" s="2"/>
      <c r="F76" s="7">
        <f t="shared" si="25"/>
        <v>1.5853028354274899E-2</v>
      </c>
      <c r="G76" s="2"/>
      <c r="H76" s="6">
        <v>-301</v>
      </c>
      <c r="I76" s="2"/>
      <c r="J76" s="7">
        <f t="shared" si="26"/>
        <v>0</v>
      </c>
      <c r="K76" s="2"/>
      <c r="L76" s="6">
        <f t="shared" si="27"/>
        <v>982.98</v>
      </c>
      <c r="M76" s="2"/>
      <c r="N76" s="7">
        <f t="shared" si="28"/>
        <v>-3.2657142857142856</v>
      </c>
      <c r="O76" s="10"/>
      <c r="P76" s="6">
        <v>12429.31</v>
      </c>
      <c r="Q76" s="2"/>
      <c r="R76" s="7">
        <f t="shared" si="29"/>
        <v>4.9459097145088698E-2</v>
      </c>
      <c r="S76" s="2"/>
      <c r="T76" s="6">
        <v>71895.92</v>
      </c>
      <c r="U76" s="2"/>
      <c r="V76" s="7">
        <f t="shared" si="30"/>
        <v>0.16726171245651908</v>
      </c>
      <c r="W76" s="2"/>
      <c r="X76" s="6">
        <f t="shared" si="31"/>
        <v>-59466.61</v>
      </c>
      <c r="Y76" s="2"/>
      <c r="Z76" s="7">
        <f t="shared" si="32"/>
        <v>-0.82712078793900967</v>
      </c>
    </row>
    <row r="77" spans="1:26" s="23" customFormat="1" hidden="1" outlineLevel="2" x14ac:dyDescent="0.25">
      <c r="A77" s="27"/>
      <c r="B77" s="10" t="str">
        <f>CONCATENATE("          ", "6008", " - ", "STUDENT HOURLY-FICA EXEMPT")</f>
        <v xml:space="preserve">          6008 - STUDENT HOURLY-FICA EXEMPT</v>
      </c>
      <c r="C77" s="10"/>
      <c r="D77" s="6">
        <v>81.48</v>
      </c>
      <c r="E77" s="2"/>
      <c r="F77" s="7">
        <f t="shared" si="25"/>
        <v>1.8940507790643699E-3</v>
      </c>
      <c r="G77" s="2"/>
      <c r="H77" s="6"/>
      <c r="I77" s="2"/>
      <c r="J77" s="7">
        <f t="shared" si="26"/>
        <v>0</v>
      </c>
      <c r="K77" s="2"/>
      <c r="L77" s="6">
        <f t="shared" si="27"/>
        <v>81.48</v>
      </c>
      <c r="M77" s="2"/>
      <c r="N77" s="7">
        <f t="shared" si="28"/>
        <v>0</v>
      </c>
      <c r="O77" s="10"/>
      <c r="P77" s="6">
        <v>2000.51</v>
      </c>
      <c r="Q77" s="2"/>
      <c r="R77" s="7">
        <f t="shared" si="29"/>
        <v>7.9604916467383453E-3</v>
      </c>
      <c r="S77" s="2"/>
      <c r="T77" s="6"/>
      <c r="U77" s="2"/>
      <c r="V77" s="7">
        <f t="shared" si="30"/>
        <v>0</v>
      </c>
      <c r="W77" s="2"/>
      <c r="X77" s="6">
        <f t="shared" si="31"/>
        <v>2000.51</v>
      </c>
      <c r="Y77" s="2"/>
      <c r="Z77" s="7">
        <f t="shared" si="32"/>
        <v>0</v>
      </c>
    </row>
    <row r="78" spans="1:26" s="26" customFormat="1" outlineLevel="1" collapsed="1" x14ac:dyDescent="0.25">
      <c r="A78" s="25"/>
      <c r="B78" s="12" t="str">
        <f>CONCATENATE("     ","Advertising/Promo                                 ")</f>
        <v xml:space="preserve">     Advertising/Promo                                 </v>
      </c>
      <c r="C78" s="12"/>
      <c r="D78" s="1">
        <f>SUM(OSRRefD22_2x_0)</f>
        <v>936</v>
      </c>
      <c r="E78" s="1"/>
      <c r="F78" s="5">
        <f t="shared" ref="F78:F86" si="33">IF(D$12=0,0,D78/D$12)</f>
        <v>2.1757873456115E-2</v>
      </c>
      <c r="G78" s="1"/>
      <c r="H78" s="1">
        <f>SUM(OSRRefH22_2x_0)</f>
        <v>799.5</v>
      </c>
      <c r="I78" s="1"/>
      <c r="J78" s="5">
        <f t="shared" ref="J78:J86" si="34">IF(H$12=0,0,H78/H$12)</f>
        <v>0</v>
      </c>
      <c r="K78" s="1"/>
      <c r="L78" s="1">
        <f t="shared" ref="L78:L86" si="35">+D78-H78</f>
        <v>136.5</v>
      </c>
      <c r="M78" s="1"/>
      <c r="N78" s="5">
        <f t="shared" ref="N78:N86" si="36">IF(H78=0,0,L78/H78)</f>
        <v>0.17073170731707318</v>
      </c>
      <c r="O78" s="12"/>
      <c r="P78" s="1">
        <f>SUM(OSRRefP22_2x_0)</f>
        <v>1960.2</v>
      </c>
      <c r="Q78" s="1"/>
      <c r="R78" s="5">
        <f t="shared" ref="R78:R86" si="37">IF(P$12=0,0,P78/P$12)</f>
        <v>7.8000888403139731E-3</v>
      </c>
      <c r="S78" s="1"/>
      <c r="T78" s="1">
        <f>SUM(OSRRefT22_2x_0)</f>
        <v>3638.48</v>
      </c>
      <c r="U78" s="1"/>
      <c r="V78" s="5">
        <f t="shared" ref="V78:V86" si="38">IF(T$12=0,0,T78/T$12)</f>
        <v>8.4647139300643975E-3</v>
      </c>
      <c r="W78" s="1"/>
      <c r="X78" s="1">
        <f t="shared" ref="X78:X86" si="39">+P78-T78</f>
        <v>-1678.28</v>
      </c>
      <c r="Y78" s="1"/>
      <c r="Z78" s="5">
        <f t="shared" ref="Z78:Z86" si="40">IF(T78=0,0,X78/T78)</f>
        <v>-0.46125854752534023</v>
      </c>
    </row>
    <row r="79" spans="1:26" s="23" customFormat="1" hidden="1" outlineLevel="2" x14ac:dyDescent="0.25">
      <c r="A79" s="27"/>
      <c r="B79" s="10" t="str">
        <f>CONCATENATE("          ", "6362", " - ", "ADVERTISING EXPENSE")</f>
        <v xml:space="preserve">          6362 - ADVERTISING EXPENSE</v>
      </c>
      <c r="C79" s="10"/>
      <c r="D79" s="6">
        <v>936</v>
      </c>
      <c r="E79" s="2"/>
      <c r="F79" s="7">
        <f t="shared" si="33"/>
        <v>2.1757873456115E-2</v>
      </c>
      <c r="G79" s="2"/>
      <c r="H79" s="6">
        <v>799.5</v>
      </c>
      <c r="I79" s="2"/>
      <c r="J79" s="7">
        <f t="shared" si="34"/>
        <v>0</v>
      </c>
      <c r="K79" s="2"/>
      <c r="L79" s="6">
        <f t="shared" si="35"/>
        <v>136.5</v>
      </c>
      <c r="M79" s="2"/>
      <c r="N79" s="7">
        <f t="shared" si="36"/>
        <v>0.17073170731707318</v>
      </c>
      <c r="O79" s="10"/>
      <c r="P79" s="6">
        <v>1960.2</v>
      </c>
      <c r="Q79" s="2"/>
      <c r="R79" s="7">
        <f t="shared" si="37"/>
        <v>7.8000888403139731E-3</v>
      </c>
      <c r="S79" s="2"/>
      <c r="T79" s="6">
        <v>3638.48</v>
      </c>
      <c r="U79" s="2"/>
      <c r="V79" s="7">
        <f t="shared" si="38"/>
        <v>8.4647139300643975E-3</v>
      </c>
      <c r="W79" s="2"/>
      <c r="X79" s="6">
        <f t="shared" si="39"/>
        <v>-1678.28</v>
      </c>
      <c r="Y79" s="2"/>
      <c r="Z79" s="7">
        <f t="shared" si="40"/>
        <v>-0.46125854752534023</v>
      </c>
    </row>
    <row r="80" spans="1:26" s="26" customFormat="1" outlineLevel="1" collapsed="1" x14ac:dyDescent="0.25">
      <c r="A80" s="25"/>
      <c r="B80" s="12" t="str">
        <f>CONCATENATE("     ","Bad Debts/Over/Short                              ")</f>
        <v xml:space="preserve">     Bad Debts/Over/Short                              </v>
      </c>
      <c r="C80" s="12"/>
      <c r="D80" s="1">
        <f>SUM(OSRRefD22_3x_0)</f>
        <v>0.26</v>
      </c>
      <c r="E80" s="1"/>
      <c r="F80" s="5">
        <f t="shared" si="33"/>
        <v>6.0438537378097221E-6</v>
      </c>
      <c r="G80" s="1"/>
      <c r="H80" s="1">
        <f>SUM(OSRRefH22_3x_0)</f>
        <v>0</v>
      </c>
      <c r="I80" s="1"/>
      <c r="J80" s="5">
        <f t="shared" si="34"/>
        <v>0</v>
      </c>
      <c r="K80" s="1"/>
      <c r="L80" s="1">
        <f t="shared" si="35"/>
        <v>0.26</v>
      </c>
      <c r="M80" s="1"/>
      <c r="N80" s="5">
        <f t="shared" si="36"/>
        <v>0</v>
      </c>
      <c r="O80" s="12"/>
      <c r="P80" s="1">
        <f>SUM(OSRRefP22_3x_0)</f>
        <v>-23.1</v>
      </c>
      <c r="Q80" s="1"/>
      <c r="R80" s="5">
        <f t="shared" si="37"/>
        <v>-9.1920238858918878E-5</v>
      </c>
      <c r="S80" s="1"/>
      <c r="T80" s="1">
        <f>SUM(OSRRefT22_3x_0)</f>
        <v>44.45</v>
      </c>
      <c r="U80" s="1"/>
      <c r="V80" s="5">
        <f t="shared" si="38"/>
        <v>1.0341036207189884E-4</v>
      </c>
      <c r="W80" s="1"/>
      <c r="X80" s="1">
        <f t="shared" si="39"/>
        <v>-67.550000000000011</v>
      </c>
      <c r="Y80" s="1"/>
      <c r="Z80" s="5">
        <f t="shared" si="40"/>
        <v>-1.5196850393700789</v>
      </c>
    </row>
    <row r="81" spans="1:26" s="23" customFormat="1" hidden="1" outlineLevel="2" x14ac:dyDescent="0.25">
      <c r="A81" s="27"/>
      <c r="B81" s="10" t="str">
        <f>CONCATENATE("          ", "6272", " - ", "CASH (OVER/SHORT)")</f>
        <v xml:space="preserve">          6272 - CASH (OVER/SHORT)</v>
      </c>
      <c r="C81" s="10"/>
      <c r="D81" s="6">
        <v>0.26</v>
      </c>
      <c r="E81" s="2"/>
      <c r="F81" s="7">
        <f t="shared" si="33"/>
        <v>6.0438537378097221E-6</v>
      </c>
      <c r="G81" s="2"/>
      <c r="H81" s="6"/>
      <c r="I81" s="2"/>
      <c r="J81" s="7">
        <f t="shared" si="34"/>
        <v>0</v>
      </c>
      <c r="K81" s="2"/>
      <c r="L81" s="6">
        <f t="shared" si="35"/>
        <v>0.26</v>
      </c>
      <c r="M81" s="2"/>
      <c r="N81" s="7">
        <f t="shared" si="36"/>
        <v>0</v>
      </c>
      <c r="O81" s="10"/>
      <c r="P81" s="6">
        <v>-23.1</v>
      </c>
      <c r="Q81" s="2"/>
      <c r="R81" s="7">
        <f t="shared" si="37"/>
        <v>-9.1920238858918878E-5</v>
      </c>
      <c r="S81" s="2"/>
      <c r="T81" s="6">
        <v>44.45</v>
      </c>
      <c r="U81" s="2"/>
      <c r="V81" s="7">
        <f t="shared" si="38"/>
        <v>1.0341036207189884E-4</v>
      </c>
      <c r="W81" s="2"/>
      <c r="X81" s="6">
        <f t="shared" si="39"/>
        <v>-67.550000000000011</v>
      </c>
      <c r="Y81" s="2"/>
      <c r="Z81" s="7">
        <f t="shared" si="40"/>
        <v>-1.5196850393700789</v>
      </c>
    </row>
    <row r="82" spans="1:26" s="26" customFormat="1" outlineLevel="1" collapsed="1" x14ac:dyDescent="0.25">
      <c r="A82" s="25"/>
      <c r="B82" s="12" t="str">
        <f>CONCATENATE("     ","Bank/card Fees                                    ")</f>
        <v xml:space="preserve">     Bank/card Fees                                    </v>
      </c>
      <c r="C82" s="12"/>
      <c r="D82" s="1">
        <f>SUM(OSRRefD22_4x_0)</f>
        <v>494.45</v>
      </c>
      <c r="E82" s="1"/>
      <c r="F82" s="5">
        <f t="shared" si="33"/>
        <v>1.1493782617923142E-2</v>
      </c>
      <c r="G82" s="1"/>
      <c r="H82" s="1">
        <f>SUM(OSRRefH22_4x_0)</f>
        <v>13.04</v>
      </c>
      <c r="I82" s="1"/>
      <c r="J82" s="5">
        <f t="shared" si="34"/>
        <v>0</v>
      </c>
      <c r="K82" s="1"/>
      <c r="L82" s="1">
        <f t="shared" si="35"/>
        <v>481.40999999999997</v>
      </c>
      <c r="M82" s="1"/>
      <c r="N82" s="5">
        <f t="shared" si="36"/>
        <v>36.91794478527607</v>
      </c>
      <c r="O82" s="12"/>
      <c r="P82" s="1">
        <f>SUM(OSRRefP22_4x_0)</f>
        <v>3832.35</v>
      </c>
      <c r="Q82" s="1"/>
      <c r="R82" s="5">
        <f t="shared" si="37"/>
        <v>1.5249806380561807E-2</v>
      </c>
      <c r="S82" s="1"/>
      <c r="T82" s="1">
        <f>SUM(OSRRefT22_4x_0)</f>
        <v>6160.92</v>
      </c>
      <c r="U82" s="1"/>
      <c r="V82" s="5">
        <f t="shared" si="38"/>
        <v>1.4333025149516378E-2</v>
      </c>
      <c r="W82" s="1"/>
      <c r="X82" s="1">
        <f t="shared" si="39"/>
        <v>-2328.5700000000002</v>
      </c>
      <c r="Y82" s="1"/>
      <c r="Z82" s="5">
        <f t="shared" si="40"/>
        <v>-0.37795816209267447</v>
      </c>
    </row>
    <row r="83" spans="1:26" s="23" customFormat="1" hidden="1" outlineLevel="2" x14ac:dyDescent="0.25">
      <c r="A83" s="27"/>
      <c r="B83" s="10" t="str">
        <f>CONCATENATE("          ", "6381", " - ", "BANK/CREDIT CARD FEES")</f>
        <v xml:space="preserve">          6381 - BANK/CREDIT CARD FEES</v>
      </c>
      <c r="C83" s="10"/>
      <c r="D83" s="6">
        <v>494.45</v>
      </c>
      <c r="E83" s="2"/>
      <c r="F83" s="7">
        <f t="shared" si="33"/>
        <v>1.1493782617923142E-2</v>
      </c>
      <c r="G83" s="2"/>
      <c r="H83" s="6">
        <v>13.04</v>
      </c>
      <c r="I83" s="2"/>
      <c r="J83" s="7">
        <f t="shared" si="34"/>
        <v>0</v>
      </c>
      <c r="K83" s="2"/>
      <c r="L83" s="6">
        <f t="shared" si="35"/>
        <v>481.40999999999997</v>
      </c>
      <c r="M83" s="2"/>
      <c r="N83" s="7">
        <f t="shared" si="36"/>
        <v>36.91794478527607</v>
      </c>
      <c r="O83" s="10"/>
      <c r="P83" s="6">
        <v>3832.35</v>
      </c>
      <c r="Q83" s="2"/>
      <c r="R83" s="7">
        <f t="shared" si="37"/>
        <v>1.5249806380561807E-2</v>
      </c>
      <c r="S83" s="2"/>
      <c r="T83" s="6">
        <v>6160.92</v>
      </c>
      <c r="U83" s="2"/>
      <c r="V83" s="7">
        <f t="shared" si="38"/>
        <v>1.4333025149516378E-2</v>
      </c>
      <c r="W83" s="2"/>
      <c r="X83" s="6">
        <f t="shared" si="39"/>
        <v>-2328.5700000000002</v>
      </c>
      <c r="Y83" s="2"/>
      <c r="Z83" s="7">
        <f t="shared" si="40"/>
        <v>-0.37795816209267447</v>
      </c>
    </row>
    <row r="84" spans="1:26" s="26" customFormat="1" outlineLevel="1" collapsed="1" x14ac:dyDescent="0.25">
      <c r="A84" s="25"/>
      <c r="B84" s="12" t="str">
        <f>CONCATENATE("     ","Discounts and Markdowns                           ")</f>
        <v xml:space="preserve">     Discounts and Markdowns                           </v>
      </c>
      <c r="C84" s="12"/>
      <c r="D84" s="1">
        <f>SUM(OSRRefD22_5x_0)</f>
        <v>0</v>
      </c>
      <c r="E84" s="1"/>
      <c r="F84" s="5">
        <f t="shared" si="33"/>
        <v>0</v>
      </c>
      <c r="G84" s="1"/>
      <c r="H84" s="1">
        <f>SUM(OSRRefH22_5x_0)</f>
        <v>0</v>
      </c>
      <c r="I84" s="1"/>
      <c r="J84" s="5">
        <f t="shared" si="34"/>
        <v>0</v>
      </c>
      <c r="K84" s="1"/>
      <c r="L84" s="1">
        <f t="shared" si="35"/>
        <v>0</v>
      </c>
      <c r="M84" s="1"/>
      <c r="N84" s="5">
        <f t="shared" si="36"/>
        <v>0</v>
      </c>
      <c r="O84" s="12"/>
      <c r="P84" s="1">
        <f>SUM(OSRRefP22_5x_0)</f>
        <v>0</v>
      </c>
      <c r="Q84" s="1"/>
      <c r="R84" s="5">
        <f t="shared" si="37"/>
        <v>0</v>
      </c>
      <c r="S84" s="1"/>
      <c r="T84" s="1">
        <f>SUM(OSRRefT22_5x_0)</f>
        <v>68571.64</v>
      </c>
      <c r="U84" s="1"/>
      <c r="V84" s="5">
        <f t="shared" si="38"/>
        <v>0.15952796671009903</v>
      </c>
      <c r="W84" s="1"/>
      <c r="X84" s="1">
        <f t="shared" si="39"/>
        <v>-68571.64</v>
      </c>
      <c r="Y84" s="1"/>
      <c r="Z84" s="5">
        <f t="shared" si="40"/>
        <v>-1</v>
      </c>
    </row>
    <row r="85" spans="1:26" s="23" customFormat="1" hidden="1" outlineLevel="2" x14ac:dyDescent="0.25">
      <c r="A85" s="27"/>
      <c r="B85" s="10" t="str">
        <f>CONCATENATE("          ", "6382", " - ", "DISCOUNTS/MARK DOWNS")</f>
        <v xml:space="preserve">          6382 - DISCOUNTS/MARK DOWNS</v>
      </c>
      <c r="C85" s="10"/>
      <c r="D85" s="6">
        <v>0</v>
      </c>
      <c r="E85" s="2"/>
      <c r="F85" s="7">
        <f t="shared" si="33"/>
        <v>0</v>
      </c>
      <c r="G85" s="2"/>
      <c r="H85" s="6"/>
      <c r="I85" s="2"/>
      <c r="J85" s="7">
        <f t="shared" si="34"/>
        <v>0</v>
      </c>
      <c r="K85" s="2"/>
      <c r="L85" s="6">
        <f t="shared" si="35"/>
        <v>0</v>
      </c>
      <c r="M85" s="2"/>
      <c r="N85" s="7">
        <f t="shared" si="36"/>
        <v>0</v>
      </c>
      <c r="O85" s="10"/>
      <c r="P85" s="6">
        <v>0</v>
      </c>
      <c r="Q85" s="2"/>
      <c r="R85" s="7">
        <f t="shared" si="37"/>
        <v>0</v>
      </c>
      <c r="S85" s="2"/>
      <c r="T85" s="6">
        <v>68571.64</v>
      </c>
      <c r="U85" s="2"/>
      <c r="V85" s="7">
        <f t="shared" si="38"/>
        <v>0.15952796671009903</v>
      </c>
      <c r="W85" s="2"/>
      <c r="X85" s="6">
        <f t="shared" si="39"/>
        <v>-68571.64</v>
      </c>
      <c r="Y85" s="2"/>
      <c r="Z85" s="7">
        <f t="shared" si="40"/>
        <v>-1</v>
      </c>
    </row>
    <row r="86" spans="1:26" s="23" customFormat="1" hidden="1" outlineLevel="2" x14ac:dyDescent="0.25">
      <c r="A86" s="27"/>
      <c r="B86" s="10" t="str">
        <f>CONCATENATE("          ", "9175", " - ", "EARNED DISCOUNTS")</f>
        <v xml:space="preserve">          9175 - EARNED DISCOUNTS</v>
      </c>
      <c r="C86" s="10"/>
      <c r="D86" s="6"/>
      <c r="E86" s="2"/>
      <c r="F86" s="7">
        <f t="shared" si="33"/>
        <v>0</v>
      </c>
      <c r="G86" s="2"/>
      <c r="H86" s="6"/>
      <c r="I86" s="2"/>
      <c r="J86" s="7">
        <f t="shared" si="34"/>
        <v>0</v>
      </c>
      <c r="K86" s="2"/>
      <c r="L86" s="6">
        <f t="shared" si="35"/>
        <v>0</v>
      </c>
      <c r="M86" s="2"/>
      <c r="N86" s="7">
        <f t="shared" si="36"/>
        <v>0</v>
      </c>
      <c r="O86" s="10"/>
      <c r="P86" s="6"/>
      <c r="Q86" s="2"/>
      <c r="R86" s="7">
        <f t="shared" si="37"/>
        <v>0</v>
      </c>
      <c r="S86" s="2"/>
      <c r="T86" s="6">
        <v>0</v>
      </c>
      <c r="U86" s="2"/>
      <c r="V86" s="7">
        <f t="shared" si="38"/>
        <v>0</v>
      </c>
      <c r="W86" s="2"/>
      <c r="X86" s="6">
        <f t="shared" si="39"/>
        <v>0</v>
      </c>
      <c r="Y86" s="2"/>
      <c r="Z86" s="7">
        <f t="shared" si="40"/>
        <v>0</v>
      </c>
    </row>
    <row r="87" spans="1:26" s="26" customFormat="1" outlineLevel="1" collapsed="1" x14ac:dyDescent="0.25">
      <c r="A87" s="25"/>
      <c r="B87" s="12" t="str">
        <f>CONCATENATE("     ","Employees' Appreciation                           ")</f>
        <v xml:space="preserve">     Employees' Appreciation                           </v>
      </c>
      <c r="C87" s="12"/>
      <c r="D87" s="1">
        <f>SUM(OSRRefD22_6x_0)</f>
        <v>0</v>
      </c>
      <c r="E87" s="1"/>
      <c r="F87" s="5">
        <f t="shared" ref="F87:F102" si="41">IF(D$12=0,0,D87/D$12)</f>
        <v>0</v>
      </c>
      <c r="G87" s="1"/>
      <c r="H87" s="1">
        <f>SUM(OSRRefH22_6x_0)</f>
        <v>0</v>
      </c>
      <c r="I87" s="1"/>
      <c r="J87" s="5">
        <f t="shared" ref="J87:J102" si="42">IF(H$12=0,0,H87/H$12)</f>
        <v>0</v>
      </c>
      <c r="K87" s="1"/>
      <c r="L87" s="1">
        <f t="shared" ref="L87:L102" si="43">+D87-H87</f>
        <v>0</v>
      </c>
      <c r="M87" s="1"/>
      <c r="N87" s="5">
        <f t="shared" ref="N87:N102" si="44">IF(H87=0,0,L87/H87)</f>
        <v>0</v>
      </c>
      <c r="O87" s="12"/>
      <c r="P87" s="1">
        <f>SUM(OSRRefP22_6x_0)</f>
        <v>0</v>
      </c>
      <c r="Q87" s="1"/>
      <c r="R87" s="5">
        <f t="shared" ref="R87:R102" si="45">IF(P$12=0,0,P87/P$12)</f>
        <v>0</v>
      </c>
      <c r="S87" s="1"/>
      <c r="T87" s="1">
        <f>SUM(OSRRefT22_6x_0)</f>
        <v>120.93</v>
      </c>
      <c r="U87" s="1"/>
      <c r="V87" s="5">
        <f t="shared" ref="V87:V102" si="46">IF(T$12=0,0,T87/T$12)</f>
        <v>2.8133667233643932E-4</v>
      </c>
      <c r="W87" s="1"/>
      <c r="X87" s="1">
        <f t="shared" ref="X87:X102" si="47">+P87-T87</f>
        <v>-120.93</v>
      </c>
      <c r="Y87" s="1"/>
      <c r="Z87" s="5">
        <f t="shared" ref="Z87:Z102" si="48">IF(T87=0,0,X87/T87)</f>
        <v>-1</v>
      </c>
    </row>
    <row r="88" spans="1:26" s="23" customFormat="1" hidden="1" outlineLevel="2" x14ac:dyDescent="0.25">
      <c r="A88" s="27"/>
      <c r="B88" s="10" t="str">
        <f>CONCATENATE("          ", "6277", " - ", "EMPLOYEE APPRECIATION")</f>
        <v xml:space="preserve">          6277 - EMPLOYEE APPRECIATION</v>
      </c>
      <c r="C88" s="10"/>
      <c r="D88" s="6"/>
      <c r="E88" s="2"/>
      <c r="F88" s="7">
        <f t="shared" si="41"/>
        <v>0</v>
      </c>
      <c r="G88" s="2"/>
      <c r="H88" s="6"/>
      <c r="I88" s="2"/>
      <c r="J88" s="7">
        <f t="shared" si="42"/>
        <v>0</v>
      </c>
      <c r="K88" s="2"/>
      <c r="L88" s="6">
        <f t="shared" si="43"/>
        <v>0</v>
      </c>
      <c r="M88" s="2"/>
      <c r="N88" s="7">
        <f t="shared" si="44"/>
        <v>0</v>
      </c>
      <c r="O88" s="10"/>
      <c r="P88" s="6"/>
      <c r="Q88" s="2"/>
      <c r="R88" s="7">
        <f t="shared" si="45"/>
        <v>0</v>
      </c>
      <c r="S88" s="2"/>
      <c r="T88" s="6">
        <v>120.93</v>
      </c>
      <c r="U88" s="2"/>
      <c r="V88" s="7">
        <f t="shared" si="46"/>
        <v>2.8133667233643932E-4</v>
      </c>
      <c r="W88" s="2"/>
      <c r="X88" s="6">
        <f t="shared" si="47"/>
        <v>-120.93</v>
      </c>
      <c r="Y88" s="2"/>
      <c r="Z88" s="7">
        <f t="shared" si="48"/>
        <v>-1</v>
      </c>
    </row>
    <row r="89" spans="1:26" s="26" customFormat="1" outlineLevel="1" collapsed="1" x14ac:dyDescent="0.25">
      <c r="A89" s="25"/>
      <c r="B89" s="12" t="str">
        <f>CONCATENATE("     ","General                                           ")</f>
        <v xml:space="preserve">     General                                           </v>
      </c>
      <c r="C89" s="12"/>
      <c r="D89" s="1">
        <f>SUM(OSRRefD22_7x_0)</f>
        <v>94.83</v>
      </c>
      <c r="E89" s="1"/>
      <c r="F89" s="5">
        <f t="shared" si="41"/>
        <v>2.2043794229095995E-3</v>
      </c>
      <c r="G89" s="1"/>
      <c r="H89" s="1">
        <f>SUM(OSRRefH22_7x_0)</f>
        <v>0</v>
      </c>
      <c r="I89" s="1"/>
      <c r="J89" s="5">
        <f t="shared" si="42"/>
        <v>0</v>
      </c>
      <c r="K89" s="1"/>
      <c r="L89" s="1">
        <f t="shared" si="43"/>
        <v>94.83</v>
      </c>
      <c r="M89" s="1"/>
      <c r="N89" s="5">
        <f t="shared" si="44"/>
        <v>0</v>
      </c>
      <c r="O89" s="12"/>
      <c r="P89" s="1">
        <f>SUM(OSRRefP22_7x_0)</f>
        <v>1380.29</v>
      </c>
      <c r="Q89" s="1"/>
      <c r="R89" s="5">
        <f t="shared" si="45"/>
        <v>5.4924929218431659E-3</v>
      </c>
      <c r="S89" s="1"/>
      <c r="T89" s="1">
        <f>SUM(OSRRefT22_7x_0)</f>
        <v>1271.44</v>
      </c>
      <c r="U89" s="1"/>
      <c r="V89" s="5">
        <f t="shared" si="46"/>
        <v>2.9579318504543324E-3</v>
      </c>
      <c r="W89" s="1"/>
      <c r="X89" s="1">
        <f t="shared" si="47"/>
        <v>108.84999999999991</v>
      </c>
      <c r="Y89" s="1"/>
      <c r="Z89" s="5">
        <f t="shared" si="48"/>
        <v>8.5611590008179625E-2</v>
      </c>
    </row>
    <row r="90" spans="1:26" s="23" customFormat="1" hidden="1" outlineLevel="2" x14ac:dyDescent="0.25">
      <c r="A90" s="27"/>
      <c r="B90" s="10" t="str">
        <f>CONCATENATE("          ", "6279", " - ", "GENERAL EXPENSE")</f>
        <v xml:space="preserve">          6279 - GENERAL EXPENSE</v>
      </c>
      <c r="C90" s="10"/>
      <c r="D90" s="6">
        <v>94.83</v>
      </c>
      <c r="E90" s="2"/>
      <c r="F90" s="7">
        <f t="shared" si="41"/>
        <v>2.2043794229095995E-3</v>
      </c>
      <c r="G90" s="2"/>
      <c r="H90" s="6"/>
      <c r="I90" s="2"/>
      <c r="J90" s="7">
        <f t="shared" si="42"/>
        <v>0</v>
      </c>
      <c r="K90" s="2"/>
      <c r="L90" s="6">
        <f t="shared" si="43"/>
        <v>94.83</v>
      </c>
      <c r="M90" s="2"/>
      <c r="N90" s="7">
        <f t="shared" si="44"/>
        <v>0</v>
      </c>
      <c r="O90" s="10"/>
      <c r="P90" s="6">
        <v>1380.29</v>
      </c>
      <c r="Q90" s="2"/>
      <c r="R90" s="7">
        <f t="shared" si="45"/>
        <v>5.4924929218431659E-3</v>
      </c>
      <c r="S90" s="2"/>
      <c r="T90" s="6">
        <v>1271.44</v>
      </c>
      <c r="U90" s="2"/>
      <c r="V90" s="7">
        <f t="shared" si="46"/>
        <v>2.9579318504543324E-3</v>
      </c>
      <c r="W90" s="2"/>
      <c r="X90" s="6">
        <f t="shared" si="47"/>
        <v>108.84999999999991</v>
      </c>
      <c r="Y90" s="2"/>
      <c r="Z90" s="7">
        <f t="shared" si="48"/>
        <v>8.5611590008179625E-2</v>
      </c>
    </row>
    <row r="91" spans="1:26" s="26" customFormat="1" outlineLevel="1" collapsed="1" x14ac:dyDescent="0.25">
      <c r="A91" s="25"/>
      <c r="B91" s="12" t="str">
        <f>CONCATENATE("     ","Insurance                                         ")</f>
        <v xml:space="preserve">     Insurance                                         </v>
      </c>
      <c r="C91" s="12"/>
      <c r="D91" s="1">
        <f>SUM(OSRRefD22_8x_0)</f>
        <v>161.18</v>
      </c>
      <c r="E91" s="1"/>
      <c r="F91" s="5">
        <f t="shared" si="41"/>
        <v>3.7467244056160424E-3</v>
      </c>
      <c r="G91" s="1"/>
      <c r="H91" s="1">
        <f>SUM(OSRRefH22_8x_0)</f>
        <v>161.18</v>
      </c>
      <c r="I91" s="1"/>
      <c r="J91" s="5">
        <f t="shared" si="42"/>
        <v>0</v>
      </c>
      <c r="K91" s="1"/>
      <c r="L91" s="1">
        <f t="shared" si="43"/>
        <v>0</v>
      </c>
      <c r="M91" s="1"/>
      <c r="N91" s="5">
        <f t="shared" si="44"/>
        <v>0</v>
      </c>
      <c r="O91" s="12"/>
      <c r="P91" s="1">
        <f>SUM(OSRRefP22_8x_0)</f>
        <v>1611.8</v>
      </c>
      <c r="Q91" s="1"/>
      <c r="R91" s="5">
        <f t="shared" si="45"/>
        <v>6.4137247183032658E-3</v>
      </c>
      <c r="S91" s="1"/>
      <c r="T91" s="1">
        <f>SUM(OSRRefT22_8x_0)</f>
        <v>1611.8</v>
      </c>
      <c r="U91" s="1"/>
      <c r="V91" s="5">
        <f t="shared" si="46"/>
        <v>3.7497597657477288E-3</v>
      </c>
      <c r="W91" s="1"/>
      <c r="X91" s="1">
        <f t="shared" si="47"/>
        <v>0</v>
      </c>
      <c r="Y91" s="1"/>
      <c r="Z91" s="5">
        <f t="shared" si="48"/>
        <v>0</v>
      </c>
    </row>
    <row r="92" spans="1:26" s="23" customFormat="1" hidden="1" outlineLevel="2" x14ac:dyDescent="0.25">
      <c r="A92" s="27"/>
      <c r="B92" s="10" t="str">
        <f>CONCATENATE("          ", "6314", " - ", "LIABILITY INSURANCE")</f>
        <v xml:space="preserve">          6314 - LIABILITY INSURANCE</v>
      </c>
      <c r="C92" s="10"/>
      <c r="D92" s="6">
        <v>161.18</v>
      </c>
      <c r="E92" s="2"/>
      <c r="F92" s="7">
        <f t="shared" si="41"/>
        <v>3.7467244056160424E-3</v>
      </c>
      <c r="G92" s="2"/>
      <c r="H92" s="6">
        <v>161.18</v>
      </c>
      <c r="I92" s="2"/>
      <c r="J92" s="7">
        <f t="shared" si="42"/>
        <v>0</v>
      </c>
      <c r="K92" s="2"/>
      <c r="L92" s="6">
        <f t="shared" si="43"/>
        <v>0</v>
      </c>
      <c r="M92" s="2"/>
      <c r="N92" s="7">
        <f t="shared" si="44"/>
        <v>0</v>
      </c>
      <c r="O92" s="10"/>
      <c r="P92" s="6">
        <v>1611.8</v>
      </c>
      <c r="Q92" s="2"/>
      <c r="R92" s="7">
        <f t="shared" si="45"/>
        <v>6.4137247183032658E-3</v>
      </c>
      <c r="S92" s="2"/>
      <c r="T92" s="6">
        <v>1611.8</v>
      </c>
      <c r="U92" s="2"/>
      <c r="V92" s="7">
        <f t="shared" si="46"/>
        <v>3.7497597657477288E-3</v>
      </c>
      <c r="W92" s="2"/>
      <c r="X92" s="6">
        <f t="shared" si="47"/>
        <v>0</v>
      </c>
      <c r="Y92" s="2"/>
      <c r="Z92" s="7">
        <f t="shared" si="48"/>
        <v>0</v>
      </c>
    </row>
    <row r="93" spans="1:26" s="26" customFormat="1" outlineLevel="1" collapsed="1" x14ac:dyDescent="0.25">
      <c r="A93" s="25"/>
      <c r="B93" s="12" t="str">
        <f>CONCATENATE("     ","Inventory Adjustment                              ")</f>
        <v xml:space="preserve">     Inventory Adjustment                              </v>
      </c>
      <c r="C93" s="12"/>
      <c r="D93" s="1">
        <f>SUM(OSRRefD22_9x_0)</f>
        <v>100</v>
      </c>
      <c r="E93" s="1"/>
      <c r="F93" s="5">
        <f t="shared" si="41"/>
        <v>2.3245591299268162E-3</v>
      </c>
      <c r="G93" s="1"/>
      <c r="H93" s="1">
        <f>SUM(OSRRefH22_9x_0)</f>
        <v>600</v>
      </c>
      <c r="I93" s="1"/>
      <c r="J93" s="5">
        <f t="shared" si="42"/>
        <v>0</v>
      </c>
      <c r="K93" s="1"/>
      <c r="L93" s="1">
        <f t="shared" si="43"/>
        <v>-500</v>
      </c>
      <c r="M93" s="1"/>
      <c r="N93" s="5">
        <f t="shared" si="44"/>
        <v>-0.83333333333333337</v>
      </c>
      <c r="O93" s="12"/>
      <c r="P93" s="1">
        <f>SUM(OSRRefP22_9x_0)</f>
        <v>1000</v>
      </c>
      <c r="Q93" s="1"/>
      <c r="R93" s="5">
        <f t="shared" si="45"/>
        <v>3.979231119433717E-3</v>
      </c>
      <c r="S93" s="1"/>
      <c r="T93" s="1">
        <f>SUM(OSRRefT22_9x_0)</f>
        <v>3600</v>
      </c>
      <c r="U93" s="1"/>
      <c r="V93" s="5">
        <f t="shared" si="46"/>
        <v>8.3751924287702104E-3</v>
      </c>
      <c r="W93" s="1"/>
      <c r="X93" s="1">
        <f t="shared" si="47"/>
        <v>-2600</v>
      </c>
      <c r="Y93" s="1"/>
      <c r="Z93" s="5">
        <f t="shared" si="48"/>
        <v>-0.72222222222222221</v>
      </c>
    </row>
    <row r="94" spans="1:26" s="23" customFormat="1" hidden="1" outlineLevel="2" x14ac:dyDescent="0.25">
      <c r="A94" s="27"/>
      <c r="B94" s="10" t="str">
        <f>CONCATENATE("          ", "6408", " - ", "INVENTORY ADJUSTMENT")</f>
        <v xml:space="preserve">          6408 - INVENTORY ADJUSTMENT</v>
      </c>
      <c r="C94" s="10"/>
      <c r="D94" s="6">
        <v>100</v>
      </c>
      <c r="E94" s="2"/>
      <c r="F94" s="7">
        <f t="shared" si="41"/>
        <v>2.3245591299268162E-3</v>
      </c>
      <c r="G94" s="2"/>
      <c r="H94" s="6">
        <v>600</v>
      </c>
      <c r="I94" s="2"/>
      <c r="J94" s="7">
        <f t="shared" si="42"/>
        <v>0</v>
      </c>
      <c r="K94" s="2"/>
      <c r="L94" s="6">
        <f t="shared" si="43"/>
        <v>-500</v>
      </c>
      <c r="M94" s="2"/>
      <c r="N94" s="7">
        <f t="shared" si="44"/>
        <v>-0.83333333333333337</v>
      </c>
      <c r="O94" s="10"/>
      <c r="P94" s="6">
        <v>1000</v>
      </c>
      <c r="Q94" s="2"/>
      <c r="R94" s="7">
        <f t="shared" si="45"/>
        <v>3.979231119433717E-3</v>
      </c>
      <c r="S94" s="2"/>
      <c r="T94" s="6">
        <v>3600</v>
      </c>
      <c r="U94" s="2"/>
      <c r="V94" s="7">
        <f t="shared" si="46"/>
        <v>8.3751924287702104E-3</v>
      </c>
      <c r="W94" s="2"/>
      <c r="X94" s="6">
        <f t="shared" si="47"/>
        <v>-2600</v>
      </c>
      <c r="Y94" s="2"/>
      <c r="Z94" s="7">
        <f t="shared" si="48"/>
        <v>-0.72222222222222221</v>
      </c>
    </row>
    <row r="95" spans="1:26" s="26" customFormat="1" outlineLevel="1" collapsed="1" x14ac:dyDescent="0.25">
      <c r="A95" s="25"/>
      <c r="B95" s="12" t="str">
        <f>CONCATENATE("     ","Professional Services                             ")</f>
        <v xml:space="preserve">     Professional Services                             </v>
      </c>
      <c r="C95" s="12"/>
      <c r="D95" s="1">
        <f>SUM(OSRRefD22_10x_0)</f>
        <v>0</v>
      </c>
      <c r="E95" s="1"/>
      <c r="F95" s="5">
        <f t="shared" si="41"/>
        <v>0</v>
      </c>
      <c r="G95" s="1"/>
      <c r="H95" s="1">
        <f>SUM(OSRRefH22_10x_0)</f>
        <v>0</v>
      </c>
      <c r="I95" s="1"/>
      <c r="J95" s="5">
        <f t="shared" si="42"/>
        <v>0</v>
      </c>
      <c r="K95" s="1"/>
      <c r="L95" s="1">
        <f t="shared" si="43"/>
        <v>0</v>
      </c>
      <c r="M95" s="1"/>
      <c r="N95" s="5">
        <f t="shared" si="44"/>
        <v>0</v>
      </c>
      <c r="O95" s="12"/>
      <c r="P95" s="1">
        <f>SUM(OSRRefP22_10x_0)</f>
        <v>0</v>
      </c>
      <c r="Q95" s="1"/>
      <c r="R95" s="5">
        <f t="shared" si="45"/>
        <v>0</v>
      </c>
      <c r="S95" s="1"/>
      <c r="T95" s="1">
        <f>SUM(OSRRefT22_10x_0)</f>
        <v>750</v>
      </c>
      <c r="U95" s="1"/>
      <c r="V95" s="5">
        <f t="shared" si="46"/>
        <v>1.7448317559937937E-3</v>
      </c>
      <c r="W95" s="1"/>
      <c r="X95" s="1">
        <f t="shared" si="47"/>
        <v>-750</v>
      </c>
      <c r="Y95" s="1"/>
      <c r="Z95" s="5">
        <f t="shared" si="48"/>
        <v>-1</v>
      </c>
    </row>
    <row r="96" spans="1:26" s="23" customFormat="1" hidden="1" outlineLevel="2" x14ac:dyDescent="0.25">
      <c r="A96" s="27"/>
      <c r="B96" s="10" t="str">
        <f>CONCATENATE("          ", "6336", " - ", "PROFESSIONAL SERVICES")</f>
        <v xml:space="preserve">          6336 - PROFESSIONAL SERVICES</v>
      </c>
      <c r="C96" s="10"/>
      <c r="D96" s="6"/>
      <c r="E96" s="2"/>
      <c r="F96" s="7">
        <f t="shared" si="41"/>
        <v>0</v>
      </c>
      <c r="G96" s="2"/>
      <c r="H96" s="6"/>
      <c r="I96" s="2"/>
      <c r="J96" s="7">
        <f t="shared" si="42"/>
        <v>0</v>
      </c>
      <c r="K96" s="2"/>
      <c r="L96" s="6">
        <f t="shared" si="43"/>
        <v>0</v>
      </c>
      <c r="M96" s="2"/>
      <c r="N96" s="7">
        <f t="shared" si="44"/>
        <v>0</v>
      </c>
      <c r="O96" s="10"/>
      <c r="P96" s="6"/>
      <c r="Q96" s="2"/>
      <c r="R96" s="7">
        <f t="shared" si="45"/>
        <v>0</v>
      </c>
      <c r="S96" s="2"/>
      <c r="T96" s="6">
        <v>750</v>
      </c>
      <c r="U96" s="2"/>
      <c r="V96" s="7">
        <f t="shared" si="46"/>
        <v>1.7448317559937937E-3</v>
      </c>
      <c r="W96" s="2"/>
      <c r="X96" s="6">
        <f t="shared" si="47"/>
        <v>-750</v>
      </c>
      <c r="Y96" s="2"/>
      <c r="Z96" s="7">
        <f t="shared" si="48"/>
        <v>-1</v>
      </c>
    </row>
    <row r="97" spans="1:26" s="26" customFormat="1" outlineLevel="1" collapsed="1" x14ac:dyDescent="0.25">
      <c r="A97" s="25"/>
      <c r="B97" s="12" t="str">
        <f>CONCATENATE("     ","Rent                                              ")</f>
        <v xml:space="preserve">     Rent                                              </v>
      </c>
      <c r="C97" s="12"/>
      <c r="D97" s="1">
        <f>SUM(OSRRefD22_11x_0)</f>
        <v>6900</v>
      </c>
      <c r="E97" s="1"/>
      <c r="F97" s="5">
        <f t="shared" si="41"/>
        <v>0.16039457996495032</v>
      </c>
      <c r="G97" s="1"/>
      <c r="H97" s="1">
        <f>SUM(OSRRefH22_11x_0)</f>
        <v>6900</v>
      </c>
      <c r="I97" s="1"/>
      <c r="J97" s="5">
        <f t="shared" si="42"/>
        <v>0</v>
      </c>
      <c r="K97" s="1"/>
      <c r="L97" s="1">
        <f t="shared" si="43"/>
        <v>0</v>
      </c>
      <c r="M97" s="1"/>
      <c r="N97" s="5">
        <f t="shared" si="44"/>
        <v>0</v>
      </c>
      <c r="O97" s="12"/>
      <c r="P97" s="1">
        <f>SUM(OSRRefP22_11x_0)</f>
        <v>69000</v>
      </c>
      <c r="Q97" s="1"/>
      <c r="R97" s="5">
        <f t="shared" si="45"/>
        <v>0.27456694724092651</v>
      </c>
      <c r="S97" s="1"/>
      <c r="T97" s="1">
        <f>SUM(OSRRefT22_11x_0)</f>
        <v>69000</v>
      </c>
      <c r="U97" s="1"/>
      <c r="V97" s="5">
        <f t="shared" si="46"/>
        <v>0.16052452155142902</v>
      </c>
      <c r="W97" s="1"/>
      <c r="X97" s="1">
        <f t="shared" si="47"/>
        <v>0</v>
      </c>
      <c r="Y97" s="1"/>
      <c r="Z97" s="5">
        <f t="shared" si="48"/>
        <v>0</v>
      </c>
    </row>
    <row r="98" spans="1:26" s="23" customFormat="1" hidden="1" outlineLevel="2" x14ac:dyDescent="0.25">
      <c r="A98" s="27"/>
      <c r="B98" s="10" t="str">
        <f>CONCATENATE("          ", "6273", " - ", "RENT")</f>
        <v xml:space="preserve">          6273 - RENT</v>
      </c>
      <c r="C98" s="10"/>
      <c r="D98" s="6">
        <v>6900</v>
      </c>
      <c r="E98" s="2"/>
      <c r="F98" s="7">
        <f t="shared" si="41"/>
        <v>0.16039457996495032</v>
      </c>
      <c r="G98" s="2"/>
      <c r="H98" s="6">
        <v>6900</v>
      </c>
      <c r="I98" s="2"/>
      <c r="J98" s="7">
        <f t="shared" si="42"/>
        <v>0</v>
      </c>
      <c r="K98" s="2"/>
      <c r="L98" s="6">
        <f t="shared" si="43"/>
        <v>0</v>
      </c>
      <c r="M98" s="2"/>
      <c r="N98" s="7">
        <f t="shared" si="44"/>
        <v>0</v>
      </c>
      <c r="O98" s="10"/>
      <c r="P98" s="6">
        <v>69000</v>
      </c>
      <c r="Q98" s="2"/>
      <c r="R98" s="7">
        <f t="shared" si="45"/>
        <v>0.27456694724092651</v>
      </c>
      <c r="S98" s="2"/>
      <c r="T98" s="6">
        <v>69000</v>
      </c>
      <c r="U98" s="2"/>
      <c r="V98" s="7">
        <f t="shared" si="46"/>
        <v>0.16052452155142902</v>
      </c>
      <c r="W98" s="2"/>
      <c r="X98" s="6">
        <f t="shared" si="47"/>
        <v>0</v>
      </c>
      <c r="Y98" s="2"/>
      <c r="Z98" s="7">
        <f t="shared" si="48"/>
        <v>0</v>
      </c>
    </row>
    <row r="99" spans="1:26" s="26" customFormat="1" outlineLevel="1" collapsed="1" x14ac:dyDescent="0.25">
      <c r="A99" s="25"/>
      <c r="B99" s="12" t="str">
        <f>CONCATENATE("     ","Repair and Maintenance                            ")</f>
        <v xml:space="preserve">     Repair and Maintenance                            </v>
      </c>
      <c r="C99" s="12"/>
      <c r="D99" s="1">
        <f>SUM(OSRRefD22_12x_0)</f>
        <v>0</v>
      </c>
      <c r="E99" s="1"/>
      <c r="F99" s="5">
        <f t="shared" si="41"/>
        <v>0</v>
      </c>
      <c r="G99" s="1"/>
      <c r="H99" s="1">
        <f>SUM(OSRRefH22_12x_0)</f>
        <v>0</v>
      </c>
      <c r="I99" s="1"/>
      <c r="J99" s="5">
        <f t="shared" si="42"/>
        <v>0</v>
      </c>
      <c r="K99" s="1"/>
      <c r="L99" s="1">
        <f t="shared" si="43"/>
        <v>0</v>
      </c>
      <c r="M99" s="1"/>
      <c r="N99" s="5">
        <f t="shared" si="44"/>
        <v>0</v>
      </c>
      <c r="O99" s="12"/>
      <c r="P99" s="1">
        <f>SUM(OSRRefP22_12x_0)</f>
        <v>309.70999999999998</v>
      </c>
      <c r="Q99" s="1"/>
      <c r="R99" s="5">
        <f t="shared" si="45"/>
        <v>1.2324076699998165E-3</v>
      </c>
      <c r="S99" s="1"/>
      <c r="T99" s="1">
        <f>SUM(OSRRefT22_12x_0)</f>
        <v>323.98</v>
      </c>
      <c r="U99" s="1"/>
      <c r="V99" s="5">
        <f t="shared" si="46"/>
        <v>7.5372078974249247E-4</v>
      </c>
      <c r="W99" s="1"/>
      <c r="X99" s="1">
        <f t="shared" si="47"/>
        <v>-14.270000000000039</v>
      </c>
      <c r="Y99" s="1"/>
      <c r="Z99" s="5">
        <f t="shared" si="48"/>
        <v>-4.4045928761034747E-2</v>
      </c>
    </row>
    <row r="100" spans="1:26" s="23" customFormat="1" hidden="1" outlineLevel="2" x14ac:dyDescent="0.25">
      <c r="A100" s="27"/>
      <c r="B100" s="10" t="str">
        <f>CONCATENATE("          ", "6372", " - ", "COMPUTER HARDWARE MAINTENANCE")</f>
        <v xml:space="preserve">          6372 - COMPUTER HARDWARE MAINTENANCE</v>
      </c>
      <c r="C100" s="10"/>
      <c r="D100" s="6"/>
      <c r="E100" s="2"/>
      <c r="F100" s="7">
        <f t="shared" si="41"/>
        <v>0</v>
      </c>
      <c r="G100" s="2"/>
      <c r="H100" s="6"/>
      <c r="I100" s="2"/>
      <c r="J100" s="7">
        <f t="shared" si="42"/>
        <v>0</v>
      </c>
      <c r="K100" s="2"/>
      <c r="L100" s="6">
        <f t="shared" si="43"/>
        <v>0</v>
      </c>
      <c r="M100" s="2"/>
      <c r="N100" s="7">
        <f t="shared" si="44"/>
        <v>0</v>
      </c>
      <c r="O100" s="10"/>
      <c r="P100" s="6">
        <v>-0.52</v>
      </c>
      <c r="Q100" s="2"/>
      <c r="R100" s="7">
        <f t="shared" si="45"/>
        <v>-2.0692001821055332E-6</v>
      </c>
      <c r="S100" s="2"/>
      <c r="T100" s="6"/>
      <c r="U100" s="2"/>
      <c r="V100" s="7">
        <f t="shared" si="46"/>
        <v>0</v>
      </c>
      <c r="W100" s="2"/>
      <c r="X100" s="6">
        <f t="shared" si="47"/>
        <v>-0.52</v>
      </c>
      <c r="Y100" s="2"/>
      <c r="Z100" s="7">
        <f t="shared" si="48"/>
        <v>0</v>
      </c>
    </row>
    <row r="101" spans="1:26" s="23" customFormat="1" hidden="1" outlineLevel="2" x14ac:dyDescent="0.25">
      <c r="A101" s="27"/>
      <c r="B101" s="10" t="str">
        <f>CONCATENATE("          ", "6373", " - ", "MAINTENANCE CONTRACTS")</f>
        <v xml:space="preserve">          6373 - MAINTENANCE CONTRACTS</v>
      </c>
      <c r="C101" s="10"/>
      <c r="D101" s="6"/>
      <c r="E101" s="2"/>
      <c r="F101" s="7">
        <f t="shared" si="41"/>
        <v>0</v>
      </c>
      <c r="G101" s="2"/>
      <c r="H101" s="6"/>
      <c r="I101" s="2"/>
      <c r="J101" s="7">
        <f t="shared" si="42"/>
        <v>0</v>
      </c>
      <c r="K101" s="2"/>
      <c r="L101" s="6">
        <f t="shared" si="43"/>
        <v>0</v>
      </c>
      <c r="M101" s="2"/>
      <c r="N101" s="7">
        <f t="shared" si="44"/>
        <v>0</v>
      </c>
      <c r="O101" s="10"/>
      <c r="P101" s="6">
        <v>144.66999999999999</v>
      </c>
      <c r="Q101" s="2"/>
      <c r="R101" s="7">
        <f t="shared" si="45"/>
        <v>5.7567536604847581E-4</v>
      </c>
      <c r="S101" s="2"/>
      <c r="T101" s="6">
        <v>141.44999999999999</v>
      </c>
      <c r="U101" s="2"/>
      <c r="V101" s="7">
        <f t="shared" si="46"/>
        <v>3.2907526918042948E-4</v>
      </c>
      <c r="W101" s="2"/>
      <c r="X101" s="6">
        <f t="shared" si="47"/>
        <v>3.2199999999999989</v>
      </c>
      <c r="Y101" s="2"/>
      <c r="Z101" s="7">
        <f t="shared" si="48"/>
        <v>2.2764227642276418E-2</v>
      </c>
    </row>
    <row r="102" spans="1:26" s="23" customFormat="1" hidden="1" outlineLevel="2" x14ac:dyDescent="0.25">
      <c r="A102" s="27"/>
      <c r="B102" s="10" t="str">
        <f>CONCATENATE("          ", "6375", " - ", "OUTSIDE REPAIRS &amp; MAINTENANCE")</f>
        <v xml:space="preserve">          6375 - OUTSIDE REPAIRS &amp; MAINTENANCE</v>
      </c>
      <c r="C102" s="10"/>
      <c r="D102" s="6"/>
      <c r="E102" s="2"/>
      <c r="F102" s="7">
        <f t="shared" si="41"/>
        <v>0</v>
      </c>
      <c r="G102" s="2"/>
      <c r="H102" s="6"/>
      <c r="I102" s="2"/>
      <c r="J102" s="7">
        <f t="shared" si="42"/>
        <v>0</v>
      </c>
      <c r="K102" s="2"/>
      <c r="L102" s="6">
        <f t="shared" si="43"/>
        <v>0</v>
      </c>
      <c r="M102" s="2"/>
      <c r="N102" s="7">
        <f t="shared" si="44"/>
        <v>0</v>
      </c>
      <c r="O102" s="10"/>
      <c r="P102" s="6">
        <v>165.56</v>
      </c>
      <c r="Q102" s="2"/>
      <c r="R102" s="7">
        <f t="shared" si="45"/>
        <v>6.5880150413344623E-4</v>
      </c>
      <c r="S102" s="2"/>
      <c r="T102" s="6">
        <v>182.53</v>
      </c>
      <c r="U102" s="2"/>
      <c r="V102" s="7">
        <f t="shared" si="46"/>
        <v>4.2464552056206288E-4</v>
      </c>
      <c r="W102" s="2"/>
      <c r="X102" s="6">
        <f t="shared" si="47"/>
        <v>-16.97</v>
      </c>
      <c r="Y102" s="2"/>
      <c r="Z102" s="7">
        <f t="shared" si="48"/>
        <v>-9.2971018462718449E-2</v>
      </c>
    </row>
    <row r="103" spans="1:26" s="26" customFormat="1" outlineLevel="1" collapsed="1" x14ac:dyDescent="0.25">
      <c r="A103" s="25"/>
      <c r="B103" s="12" t="str">
        <f>CONCATENATE("     ","Services                                          ")</f>
        <v xml:space="preserve">     Services                                          </v>
      </c>
      <c r="C103" s="12"/>
      <c r="D103" s="1">
        <f>SUM(OSRRefD22_13x_0)</f>
        <v>155.59</v>
      </c>
      <c r="E103" s="1"/>
      <c r="F103" s="5">
        <f t="shared" ref="F103:F106" si="49">IF(D$12=0,0,D103/D$12)</f>
        <v>3.6167815502531333E-3</v>
      </c>
      <c r="G103" s="1"/>
      <c r="H103" s="1">
        <f>SUM(OSRRefH22_13x_0)</f>
        <v>128.72</v>
      </c>
      <c r="I103" s="1"/>
      <c r="J103" s="5">
        <f t="shared" ref="J103:J106" si="50">IF(H$12=0,0,H103/H$12)</f>
        <v>0</v>
      </c>
      <c r="K103" s="1"/>
      <c r="L103" s="1">
        <f t="shared" ref="L103:L106" si="51">+D103-H103</f>
        <v>26.870000000000005</v>
      </c>
      <c r="M103" s="1"/>
      <c r="N103" s="5">
        <f t="shared" ref="N103:N106" si="52">IF(H103=0,0,L103/H103)</f>
        <v>0.20874766935985087</v>
      </c>
      <c r="O103" s="12"/>
      <c r="P103" s="1">
        <f>SUM(OSRRefP22_13x_0)</f>
        <v>762.93</v>
      </c>
      <c r="Q103" s="1"/>
      <c r="R103" s="5">
        <f t="shared" ref="R103:R106" si="53">IF(P$12=0,0,P103/P$12)</f>
        <v>3.0358747979495658E-3</v>
      </c>
      <c r="S103" s="1"/>
      <c r="T103" s="1">
        <f>SUM(OSRRefT22_13x_0)</f>
        <v>2760.08</v>
      </c>
      <c r="U103" s="1"/>
      <c r="V103" s="5">
        <f t="shared" ref="V103:V106" si="54">IF(T$12=0,0,T103/T$12)</f>
        <v>6.4211669774444664E-3</v>
      </c>
      <c r="W103" s="1"/>
      <c r="X103" s="1">
        <f t="shared" ref="X103:X106" si="55">+P103-T103</f>
        <v>-1997.15</v>
      </c>
      <c r="Y103" s="1"/>
      <c r="Z103" s="5">
        <f t="shared" ref="Z103:Z106" si="56">IF(T103=0,0,X103/T103)</f>
        <v>-0.72358409901162291</v>
      </c>
    </row>
    <row r="104" spans="1:26" s="23" customFormat="1" hidden="1" outlineLevel="2" x14ac:dyDescent="0.25">
      <c r="A104" s="27"/>
      <c r="B104" s="10" t="str">
        <f>CONCATENATE("          ", "6283", " - ", "PLANT SERVICE")</f>
        <v xml:space="preserve">          6283 - PLANT SERVICE</v>
      </c>
      <c r="C104" s="10"/>
      <c r="D104" s="6"/>
      <c r="E104" s="2"/>
      <c r="F104" s="7">
        <f t="shared" si="49"/>
        <v>0</v>
      </c>
      <c r="G104" s="2"/>
      <c r="H104" s="6"/>
      <c r="I104" s="2"/>
      <c r="J104" s="7">
        <f t="shared" si="50"/>
        <v>0</v>
      </c>
      <c r="K104" s="2"/>
      <c r="L104" s="6">
        <f t="shared" si="51"/>
        <v>0</v>
      </c>
      <c r="M104" s="2"/>
      <c r="N104" s="7">
        <f t="shared" si="52"/>
        <v>0</v>
      </c>
      <c r="O104" s="10"/>
      <c r="P104" s="6">
        <v>41.31</v>
      </c>
      <c r="Q104" s="2"/>
      <c r="R104" s="7">
        <f t="shared" si="53"/>
        <v>1.6438203754380688E-4</v>
      </c>
      <c r="S104" s="2"/>
      <c r="T104" s="6">
        <v>178.65</v>
      </c>
      <c r="U104" s="2"/>
      <c r="V104" s="7">
        <f t="shared" si="54"/>
        <v>4.1561892427772166E-4</v>
      </c>
      <c r="W104" s="2"/>
      <c r="X104" s="6">
        <f t="shared" si="55"/>
        <v>-137.34</v>
      </c>
      <c r="Y104" s="2"/>
      <c r="Z104" s="7">
        <f t="shared" si="56"/>
        <v>-0.7687657430730479</v>
      </c>
    </row>
    <row r="105" spans="1:26" s="23" customFormat="1" hidden="1" outlineLevel="2" x14ac:dyDescent="0.25">
      <c r="A105" s="27"/>
      <c r="B105" s="10" t="str">
        <f>CONCATENATE("          ", "6284", " - ", "TRASH REMOVAL EXPENSE")</f>
        <v xml:space="preserve">          6284 - TRASH REMOVAL EXPENSE</v>
      </c>
      <c r="C105" s="10"/>
      <c r="D105" s="6">
        <v>142.57</v>
      </c>
      <c r="E105" s="2"/>
      <c r="F105" s="7">
        <f t="shared" si="49"/>
        <v>3.3141239515366615E-3</v>
      </c>
      <c r="G105" s="2"/>
      <c r="H105" s="6">
        <v>134.82</v>
      </c>
      <c r="I105" s="2"/>
      <c r="J105" s="7">
        <f t="shared" si="50"/>
        <v>0</v>
      </c>
      <c r="K105" s="2"/>
      <c r="L105" s="6">
        <f t="shared" si="51"/>
        <v>7.75</v>
      </c>
      <c r="M105" s="2"/>
      <c r="N105" s="7">
        <f t="shared" si="52"/>
        <v>5.7484052811155616E-2</v>
      </c>
      <c r="O105" s="10"/>
      <c r="P105" s="6">
        <v>1440.72</v>
      </c>
      <c r="Q105" s="2"/>
      <c r="R105" s="7">
        <f t="shared" si="53"/>
        <v>5.7329578583905456E-3</v>
      </c>
      <c r="S105" s="2"/>
      <c r="T105" s="6">
        <v>1348.2</v>
      </c>
      <c r="U105" s="2"/>
      <c r="V105" s="7">
        <f t="shared" si="54"/>
        <v>3.1365095645744436E-3</v>
      </c>
      <c r="W105" s="2"/>
      <c r="X105" s="6">
        <f t="shared" si="55"/>
        <v>92.519999999999982</v>
      </c>
      <c r="Y105" s="2"/>
      <c r="Z105" s="7">
        <f t="shared" si="56"/>
        <v>6.8624833110814409E-2</v>
      </c>
    </row>
    <row r="106" spans="1:26" s="23" customFormat="1" hidden="1" outlineLevel="2" x14ac:dyDescent="0.25">
      <c r="A106" s="27"/>
      <c r="B106" s="10" t="str">
        <f>CONCATENATE("          ", "6285", " - ", "JANITORIAL SERVICES")</f>
        <v xml:space="preserve">          6285 - JANITORIAL SERVICES</v>
      </c>
      <c r="C106" s="10"/>
      <c r="D106" s="6">
        <v>13.02</v>
      </c>
      <c r="E106" s="2"/>
      <c r="F106" s="7">
        <f t="shared" si="49"/>
        <v>3.0265759871647143E-4</v>
      </c>
      <c r="G106" s="2"/>
      <c r="H106" s="6">
        <v>-6.1</v>
      </c>
      <c r="I106" s="2"/>
      <c r="J106" s="7">
        <f t="shared" si="50"/>
        <v>0</v>
      </c>
      <c r="K106" s="2"/>
      <c r="L106" s="6">
        <f t="shared" si="51"/>
        <v>19.119999999999997</v>
      </c>
      <c r="M106" s="2"/>
      <c r="N106" s="7">
        <f t="shared" si="52"/>
        <v>-3.1344262295081964</v>
      </c>
      <c r="O106" s="10"/>
      <c r="P106" s="6">
        <v>-719.1</v>
      </c>
      <c r="Q106" s="2"/>
      <c r="R106" s="7">
        <f t="shared" si="53"/>
        <v>-2.8614650979847862E-3</v>
      </c>
      <c r="S106" s="2"/>
      <c r="T106" s="6">
        <v>1233.23</v>
      </c>
      <c r="U106" s="2"/>
      <c r="V106" s="7">
        <f t="shared" si="54"/>
        <v>2.8690384885923016E-3</v>
      </c>
      <c r="W106" s="2"/>
      <c r="X106" s="6">
        <f t="shared" si="55"/>
        <v>-1952.33</v>
      </c>
      <c r="Y106" s="2"/>
      <c r="Z106" s="7">
        <f t="shared" si="56"/>
        <v>-1.5831029086220736</v>
      </c>
    </row>
    <row r="107" spans="1:26" s="26" customFormat="1" outlineLevel="1" collapsed="1" x14ac:dyDescent="0.25">
      <c r="A107" s="25"/>
      <c r="B107" s="12" t="str">
        <f>CONCATENATE("     ","Subscriptions &amp; Dues                              ")</f>
        <v xml:space="preserve">     Subscriptions &amp; Dues                              </v>
      </c>
      <c r="C107" s="12"/>
      <c r="D107" s="1">
        <f>SUM(OSRRefD22_14x_0)</f>
        <v>2014.87</v>
      </c>
      <c r="E107" s="1"/>
      <c r="F107" s="5">
        <f t="shared" ref="F107:F109" si="57">IF(D$12=0,0,D107/D$12)</f>
        <v>4.6836844541156435E-2</v>
      </c>
      <c r="G107" s="1"/>
      <c r="H107" s="1">
        <f>SUM(OSRRefH22_14x_0)</f>
        <v>75</v>
      </c>
      <c r="I107" s="1"/>
      <c r="J107" s="5">
        <f t="shared" ref="J107:J109" si="58">IF(H$12=0,0,H107/H$12)</f>
        <v>0</v>
      </c>
      <c r="K107" s="1"/>
      <c r="L107" s="1">
        <f t="shared" ref="L107:L109" si="59">+D107-H107</f>
        <v>1939.87</v>
      </c>
      <c r="M107" s="1"/>
      <c r="N107" s="5">
        <f t="shared" ref="N107:N109" si="60">IF(H107=0,0,L107/H107)</f>
        <v>25.864933333333333</v>
      </c>
      <c r="O107" s="12"/>
      <c r="P107" s="1">
        <f>SUM(OSRRefP22_14x_0)</f>
        <v>2254.14</v>
      </c>
      <c r="Q107" s="1"/>
      <c r="R107" s="5">
        <f t="shared" ref="R107:R109" si="61">IF(P$12=0,0,P107/P$12)</f>
        <v>8.9697440355603186E-3</v>
      </c>
      <c r="S107" s="1"/>
      <c r="T107" s="1">
        <f>SUM(OSRRefT22_14x_0)</f>
        <v>268.40999999999997</v>
      </c>
      <c r="U107" s="1"/>
      <c r="V107" s="5">
        <f t="shared" ref="V107:V109" si="62">IF(T$12=0,0,T107/T$12)</f>
        <v>6.2444038883505886E-4</v>
      </c>
      <c r="W107" s="1"/>
      <c r="X107" s="1">
        <f t="shared" ref="X107:X109" si="63">+P107-T107</f>
        <v>1985.73</v>
      </c>
      <c r="Y107" s="1"/>
      <c r="Z107" s="5">
        <f t="shared" ref="Z107:Z109" si="64">IF(T107=0,0,X107/T107)</f>
        <v>7.3981222756231144</v>
      </c>
    </row>
    <row r="108" spans="1:26" s="23" customFormat="1" hidden="1" outlineLevel="2" x14ac:dyDescent="0.25">
      <c r="A108" s="27"/>
      <c r="B108" s="10" t="str">
        <f>CONCATENATE("          ", "6258", " - ", "MEMBERSHIP DUES")</f>
        <v xml:space="preserve">          6258 - MEMBERSHIP DUES</v>
      </c>
      <c r="C108" s="10"/>
      <c r="D108" s="6"/>
      <c r="E108" s="2"/>
      <c r="F108" s="7">
        <f t="shared" si="57"/>
        <v>0</v>
      </c>
      <c r="G108" s="2"/>
      <c r="H108" s="6"/>
      <c r="I108" s="2"/>
      <c r="J108" s="7">
        <f t="shared" si="58"/>
        <v>0</v>
      </c>
      <c r="K108" s="2"/>
      <c r="L108" s="6">
        <f t="shared" si="59"/>
        <v>0</v>
      </c>
      <c r="M108" s="2"/>
      <c r="N108" s="7">
        <f t="shared" si="60"/>
        <v>0</v>
      </c>
      <c r="O108" s="10"/>
      <c r="P108" s="6">
        <v>-60.73</v>
      </c>
      <c r="Q108" s="2"/>
      <c r="R108" s="7">
        <f t="shared" si="61"/>
        <v>-2.4165870588320964E-4</v>
      </c>
      <c r="S108" s="2"/>
      <c r="T108" s="6">
        <v>29.99</v>
      </c>
      <c r="U108" s="2"/>
      <c r="V108" s="7">
        <f t="shared" si="62"/>
        <v>6.9770005816338491E-5</v>
      </c>
      <c r="W108" s="2"/>
      <c r="X108" s="6">
        <f t="shared" si="63"/>
        <v>-90.72</v>
      </c>
      <c r="Y108" s="2"/>
      <c r="Z108" s="7">
        <f t="shared" si="64"/>
        <v>-3.0250083361120375</v>
      </c>
    </row>
    <row r="109" spans="1:26" s="23" customFormat="1" hidden="1" outlineLevel="2" x14ac:dyDescent="0.25">
      <c r="A109" s="27"/>
      <c r="B109" s="10" t="str">
        <f>CONCATENATE("          ", "6275", " - ", "SUBSCRIPTIONS")</f>
        <v xml:space="preserve">          6275 - SUBSCRIPTIONS</v>
      </c>
      <c r="C109" s="10"/>
      <c r="D109" s="6">
        <v>2014.87</v>
      </c>
      <c r="E109" s="2"/>
      <c r="F109" s="7">
        <f t="shared" si="57"/>
        <v>4.6836844541156435E-2</v>
      </c>
      <c r="G109" s="2"/>
      <c r="H109" s="6">
        <v>75</v>
      </c>
      <c r="I109" s="2"/>
      <c r="J109" s="7">
        <f t="shared" si="58"/>
        <v>0</v>
      </c>
      <c r="K109" s="2"/>
      <c r="L109" s="6">
        <f t="shared" si="59"/>
        <v>1939.87</v>
      </c>
      <c r="M109" s="2"/>
      <c r="N109" s="7">
        <f t="shared" si="60"/>
        <v>25.864933333333333</v>
      </c>
      <c r="O109" s="10"/>
      <c r="P109" s="6">
        <v>2314.87</v>
      </c>
      <c r="Q109" s="2"/>
      <c r="R109" s="7">
        <f t="shared" si="61"/>
        <v>9.2114027414435286E-3</v>
      </c>
      <c r="S109" s="2"/>
      <c r="T109" s="6">
        <v>238.42</v>
      </c>
      <c r="U109" s="2"/>
      <c r="V109" s="7">
        <f t="shared" si="62"/>
        <v>5.5467038301872042E-4</v>
      </c>
      <c r="W109" s="2"/>
      <c r="X109" s="6">
        <f t="shared" si="63"/>
        <v>2076.4499999999998</v>
      </c>
      <c r="Y109" s="2"/>
      <c r="Z109" s="7">
        <f t="shared" si="64"/>
        <v>8.7092106366915516</v>
      </c>
    </row>
    <row r="110" spans="1:26" s="26" customFormat="1" outlineLevel="1" collapsed="1" x14ac:dyDescent="0.25">
      <c r="A110" s="25"/>
      <c r="B110" s="12" t="str">
        <f>CONCATENATE("     ","Supplies                                          ")</f>
        <v xml:space="preserve">     Supplies                                          </v>
      </c>
      <c r="C110" s="12"/>
      <c r="D110" s="1">
        <f>SUM(OSRRefD22_15x_0)</f>
        <v>270.08999999999997</v>
      </c>
      <c r="E110" s="1"/>
      <c r="F110" s="5">
        <f t="shared" ref="F110:F116" si="65">IF(D$12=0,0,D110/D$12)</f>
        <v>6.2784017540193368E-3</v>
      </c>
      <c r="G110" s="1"/>
      <c r="H110" s="1">
        <f>SUM(OSRRefH22_15x_0)</f>
        <v>209.37</v>
      </c>
      <c r="I110" s="1"/>
      <c r="J110" s="5">
        <f t="shared" ref="J110:J116" si="66">IF(H$12=0,0,H110/H$12)</f>
        <v>0</v>
      </c>
      <c r="K110" s="1"/>
      <c r="L110" s="1">
        <f t="shared" ref="L110:L116" si="67">+D110-H110</f>
        <v>60.71999999999997</v>
      </c>
      <c r="M110" s="1"/>
      <c r="N110" s="5">
        <f t="shared" ref="N110:N116" si="68">IF(H110=0,0,L110/H110)</f>
        <v>0.29001289583034806</v>
      </c>
      <c r="O110" s="12"/>
      <c r="P110" s="1">
        <f>SUM(OSRRefP22_15x_0)</f>
        <v>829.24</v>
      </c>
      <c r="Q110" s="1"/>
      <c r="R110" s="5">
        <f t="shared" ref="R110:R116" si="69">IF(P$12=0,0,P110/P$12)</f>
        <v>3.2997376134792158E-3</v>
      </c>
      <c r="S110" s="1"/>
      <c r="T110" s="1">
        <f>SUM(OSRRefT22_15x_0)</f>
        <v>3811.06</v>
      </c>
      <c r="U110" s="1"/>
      <c r="V110" s="5">
        <f t="shared" ref="V110:V116" si="70">IF(T$12=0,0,T110/T$12)</f>
        <v>8.8662113493302771E-3</v>
      </c>
      <c r="W110" s="1"/>
      <c r="X110" s="1">
        <f t="shared" ref="X110:X116" si="71">+P110-T110</f>
        <v>-2981.8199999999997</v>
      </c>
      <c r="Y110" s="1"/>
      <c r="Z110" s="5">
        <f t="shared" ref="Z110:Z116" si="72">IF(T110=0,0,X110/T110)</f>
        <v>-0.7824122422633073</v>
      </c>
    </row>
    <row r="111" spans="1:26" s="23" customFormat="1" hidden="1" outlineLevel="2" x14ac:dyDescent="0.25">
      <c r="A111" s="27"/>
      <c r="B111" s="10" t="str">
        <f>CONCATENATE("          ", "6234", " - ", "EXPENDABLE SUPPLIES &amp; EQUIPMEN")</f>
        <v xml:space="preserve">          6234 - EXPENDABLE SUPPLIES &amp; EQUIPMEN</v>
      </c>
      <c r="C111" s="10"/>
      <c r="D111" s="6"/>
      <c r="E111" s="2"/>
      <c r="F111" s="7">
        <f t="shared" si="65"/>
        <v>0</v>
      </c>
      <c r="G111" s="2"/>
      <c r="H111" s="6"/>
      <c r="I111" s="2"/>
      <c r="J111" s="7">
        <f t="shared" si="66"/>
        <v>0</v>
      </c>
      <c r="K111" s="2"/>
      <c r="L111" s="6">
        <f t="shared" si="67"/>
        <v>0</v>
      </c>
      <c r="M111" s="2"/>
      <c r="N111" s="7">
        <f t="shared" si="68"/>
        <v>0</v>
      </c>
      <c r="O111" s="10"/>
      <c r="P111" s="6"/>
      <c r="Q111" s="2"/>
      <c r="R111" s="7">
        <f t="shared" si="69"/>
        <v>0</v>
      </c>
      <c r="S111" s="2"/>
      <c r="T111" s="6">
        <v>303.86</v>
      </c>
      <c r="U111" s="2"/>
      <c r="V111" s="7">
        <f t="shared" si="70"/>
        <v>7.0691276983503228E-4</v>
      </c>
      <c r="W111" s="2"/>
      <c r="X111" s="6">
        <f t="shared" si="71"/>
        <v>-303.86</v>
      </c>
      <c r="Y111" s="2"/>
      <c r="Z111" s="7">
        <f t="shared" si="72"/>
        <v>-1</v>
      </c>
    </row>
    <row r="112" spans="1:26" s="23" customFormat="1" hidden="1" outlineLevel="2" x14ac:dyDescent="0.25">
      <c r="A112" s="27"/>
      <c r="B112" s="10" t="str">
        <f>CONCATENATE("          ", "6235", " - ", "COVID-19 EXPENSES")</f>
        <v xml:space="preserve">          6235 - COVID-19 EXPENSES</v>
      </c>
      <c r="C112" s="10"/>
      <c r="D112" s="6"/>
      <c r="E112" s="2"/>
      <c r="F112" s="7">
        <f t="shared" si="65"/>
        <v>0</v>
      </c>
      <c r="G112" s="2"/>
      <c r="H112" s="6"/>
      <c r="I112" s="2"/>
      <c r="J112" s="7">
        <f t="shared" si="66"/>
        <v>0</v>
      </c>
      <c r="K112" s="2"/>
      <c r="L112" s="6">
        <f t="shared" si="67"/>
        <v>0</v>
      </c>
      <c r="M112" s="2"/>
      <c r="N112" s="7">
        <f t="shared" si="68"/>
        <v>0</v>
      </c>
      <c r="O112" s="10"/>
      <c r="P112" s="6">
        <v>265.7</v>
      </c>
      <c r="Q112" s="2"/>
      <c r="R112" s="7">
        <f t="shared" si="69"/>
        <v>1.0572817084335386E-3</v>
      </c>
      <c r="S112" s="2"/>
      <c r="T112" s="6"/>
      <c r="U112" s="2"/>
      <c r="V112" s="7">
        <f t="shared" si="70"/>
        <v>0</v>
      </c>
      <c r="W112" s="2"/>
      <c r="X112" s="6">
        <f t="shared" si="71"/>
        <v>265.7</v>
      </c>
      <c r="Y112" s="2"/>
      <c r="Z112" s="7">
        <f t="shared" si="72"/>
        <v>0</v>
      </c>
    </row>
    <row r="113" spans="1:26" s="23" customFormat="1" hidden="1" outlineLevel="2" x14ac:dyDescent="0.25">
      <c r="A113" s="27"/>
      <c r="B113" s="10" t="str">
        <f>CONCATENATE("          ", "6237", " - ", "JANITORIAL SUPPLIES")</f>
        <v xml:space="preserve">          6237 - JANITORIAL SUPPLIES</v>
      </c>
      <c r="C113" s="10"/>
      <c r="D113" s="6"/>
      <c r="E113" s="2"/>
      <c r="F113" s="7">
        <f t="shared" si="65"/>
        <v>0</v>
      </c>
      <c r="G113" s="2"/>
      <c r="H113" s="6"/>
      <c r="I113" s="2"/>
      <c r="J113" s="7">
        <f t="shared" si="66"/>
        <v>0</v>
      </c>
      <c r="K113" s="2"/>
      <c r="L113" s="6">
        <f t="shared" si="67"/>
        <v>0</v>
      </c>
      <c r="M113" s="2"/>
      <c r="N113" s="7">
        <f t="shared" si="68"/>
        <v>0</v>
      </c>
      <c r="O113" s="10"/>
      <c r="P113" s="6">
        <v>191.74</v>
      </c>
      <c r="Q113" s="2"/>
      <c r="R113" s="7">
        <f t="shared" si="69"/>
        <v>7.6297777484022103E-4</v>
      </c>
      <c r="S113" s="2"/>
      <c r="T113" s="6">
        <v>670.42</v>
      </c>
      <c r="U113" s="2"/>
      <c r="V113" s="7">
        <f t="shared" si="70"/>
        <v>1.5596934744711455E-3</v>
      </c>
      <c r="W113" s="2"/>
      <c r="X113" s="6">
        <f t="shared" si="71"/>
        <v>-478.67999999999995</v>
      </c>
      <c r="Y113" s="2"/>
      <c r="Z113" s="7">
        <f t="shared" si="72"/>
        <v>-0.71400017899227342</v>
      </c>
    </row>
    <row r="114" spans="1:26" s="23" customFormat="1" hidden="1" outlineLevel="2" x14ac:dyDescent="0.25">
      <c r="A114" s="27"/>
      <c r="B114" s="10" t="str">
        <f>CONCATENATE("          ", "6241", " - ", "OFFICE EXPENSE")</f>
        <v xml:space="preserve">          6241 - OFFICE EXPENSE</v>
      </c>
      <c r="C114" s="10"/>
      <c r="D114" s="6">
        <v>270.08999999999997</v>
      </c>
      <c r="E114" s="2"/>
      <c r="F114" s="7">
        <f t="shared" si="65"/>
        <v>6.2784017540193368E-3</v>
      </c>
      <c r="G114" s="2"/>
      <c r="H114" s="6">
        <v>209.37</v>
      </c>
      <c r="I114" s="2"/>
      <c r="J114" s="7">
        <f t="shared" si="66"/>
        <v>0</v>
      </c>
      <c r="K114" s="2"/>
      <c r="L114" s="6">
        <f t="shared" si="67"/>
        <v>60.71999999999997</v>
      </c>
      <c r="M114" s="2"/>
      <c r="N114" s="7">
        <f t="shared" si="68"/>
        <v>0.29001289583034806</v>
      </c>
      <c r="O114" s="10"/>
      <c r="P114" s="6">
        <v>371.8</v>
      </c>
      <c r="Q114" s="2"/>
      <c r="R114" s="7">
        <f t="shared" si="69"/>
        <v>1.4794781302054562E-3</v>
      </c>
      <c r="S114" s="2"/>
      <c r="T114" s="6">
        <v>2338.41</v>
      </c>
      <c r="U114" s="2"/>
      <c r="V114" s="7">
        <f t="shared" si="70"/>
        <v>5.4401760353779294E-3</v>
      </c>
      <c r="W114" s="2"/>
      <c r="X114" s="6">
        <f t="shared" si="71"/>
        <v>-1966.61</v>
      </c>
      <c r="Y114" s="2"/>
      <c r="Z114" s="7">
        <f t="shared" si="72"/>
        <v>-0.8410030747388183</v>
      </c>
    </row>
    <row r="115" spans="1:26" s="23" customFormat="1" hidden="1" outlineLevel="2" x14ac:dyDescent="0.25">
      <c r="A115" s="27"/>
      <c r="B115" s="10" t="str">
        <f>CONCATENATE("          ", "6245", " - ", "PRINTING")</f>
        <v xml:space="preserve">          6245 - PRINTING</v>
      </c>
      <c r="C115" s="10"/>
      <c r="D115" s="6"/>
      <c r="E115" s="2"/>
      <c r="F115" s="7">
        <f t="shared" si="65"/>
        <v>0</v>
      </c>
      <c r="G115" s="2"/>
      <c r="H115" s="6"/>
      <c r="I115" s="2"/>
      <c r="J115" s="7">
        <f t="shared" si="66"/>
        <v>0</v>
      </c>
      <c r="K115" s="2"/>
      <c r="L115" s="6">
        <f t="shared" si="67"/>
        <v>0</v>
      </c>
      <c r="M115" s="2"/>
      <c r="N115" s="7">
        <f t="shared" si="68"/>
        <v>0</v>
      </c>
      <c r="O115" s="10"/>
      <c r="P115" s="6"/>
      <c r="Q115" s="2"/>
      <c r="R115" s="7">
        <f t="shared" si="69"/>
        <v>0</v>
      </c>
      <c r="S115" s="2"/>
      <c r="T115" s="6">
        <v>22.05</v>
      </c>
      <c r="U115" s="2"/>
      <c r="V115" s="7">
        <f t="shared" si="70"/>
        <v>5.1298053626217537E-5</v>
      </c>
      <c r="W115" s="2"/>
      <c r="X115" s="6">
        <f t="shared" si="71"/>
        <v>-22.05</v>
      </c>
      <c r="Y115" s="2"/>
      <c r="Z115" s="7">
        <f t="shared" si="72"/>
        <v>-1</v>
      </c>
    </row>
    <row r="116" spans="1:26" s="23" customFormat="1" hidden="1" outlineLevel="2" x14ac:dyDescent="0.25">
      <c r="A116" s="27"/>
      <c r="B116" s="10" t="str">
        <f>CONCATENATE("          ", "6247", " - ", "STORE SUPPLIES")</f>
        <v xml:space="preserve">          6247 - STORE SUPPLIES</v>
      </c>
      <c r="C116" s="10"/>
      <c r="D116" s="6"/>
      <c r="E116" s="2"/>
      <c r="F116" s="7">
        <f t="shared" si="65"/>
        <v>0</v>
      </c>
      <c r="G116" s="2"/>
      <c r="H116" s="6"/>
      <c r="I116" s="2"/>
      <c r="J116" s="7">
        <f t="shared" si="66"/>
        <v>0</v>
      </c>
      <c r="K116" s="2"/>
      <c r="L116" s="6">
        <f t="shared" si="67"/>
        <v>0</v>
      </c>
      <c r="M116" s="2"/>
      <c r="N116" s="7">
        <f t="shared" si="68"/>
        <v>0</v>
      </c>
      <c r="O116" s="10"/>
      <c r="P116" s="6"/>
      <c r="Q116" s="2"/>
      <c r="R116" s="7">
        <f t="shared" si="69"/>
        <v>0</v>
      </c>
      <c r="S116" s="2"/>
      <c r="T116" s="6">
        <v>476.32</v>
      </c>
      <c r="U116" s="2"/>
      <c r="V116" s="7">
        <f t="shared" si="70"/>
        <v>1.1081310160199517E-3</v>
      </c>
      <c r="W116" s="2"/>
      <c r="X116" s="6">
        <f t="shared" si="71"/>
        <v>-476.32</v>
      </c>
      <c r="Y116" s="2"/>
      <c r="Z116" s="7">
        <f t="shared" si="72"/>
        <v>-1</v>
      </c>
    </row>
    <row r="117" spans="1:26" s="26" customFormat="1" outlineLevel="1" collapsed="1" x14ac:dyDescent="0.25">
      <c r="A117" s="25"/>
      <c r="B117" s="12" t="str">
        <f>CONCATENATE("     ","Telephone/Data Lines                              ")</f>
        <v xml:space="preserve">     Telephone/Data Lines                              </v>
      </c>
      <c r="C117" s="12"/>
      <c r="D117" s="1">
        <f>SUM(OSRRefD22_16x_0)</f>
        <v>232.15</v>
      </c>
      <c r="E117" s="1"/>
      <c r="F117" s="5">
        <f t="shared" ref="F117:F124" si="73">IF(D$12=0,0,D117/D$12)</f>
        <v>5.396464020125104E-3</v>
      </c>
      <c r="G117" s="1"/>
      <c r="H117" s="1">
        <f>SUM(OSRRefH22_16x_0)</f>
        <v>600</v>
      </c>
      <c r="I117" s="1"/>
      <c r="J117" s="5">
        <f t="shared" ref="J117:J124" si="74">IF(H$12=0,0,H117/H$12)</f>
        <v>0</v>
      </c>
      <c r="K117" s="1"/>
      <c r="L117" s="1">
        <f t="shared" ref="L117:L124" si="75">+D117-H117</f>
        <v>-367.85</v>
      </c>
      <c r="M117" s="1"/>
      <c r="N117" s="5">
        <f t="shared" ref="N117:N124" si="76">IF(H117=0,0,L117/H117)</f>
        <v>-0.61308333333333342</v>
      </c>
      <c r="O117" s="12"/>
      <c r="P117" s="1">
        <f>SUM(OSRRefP22_16x_0)</f>
        <v>2790.94</v>
      </c>
      <c r="Q117" s="1"/>
      <c r="R117" s="5">
        <f t="shared" ref="R117:R124" si="77">IF(P$12=0,0,P117/P$12)</f>
        <v>1.110579530047234E-2</v>
      </c>
      <c r="S117" s="1"/>
      <c r="T117" s="1">
        <f>SUM(OSRRefT22_16x_0)</f>
        <v>2623.17</v>
      </c>
      <c r="U117" s="1"/>
      <c r="V117" s="5">
        <f t="shared" ref="V117:V124" si="78">IF(T$12=0,0,T117/T$12)</f>
        <v>6.1026537564936537E-3</v>
      </c>
      <c r="W117" s="1"/>
      <c r="X117" s="1">
        <f t="shared" ref="X117:X124" si="79">+P117-T117</f>
        <v>167.76999999999998</v>
      </c>
      <c r="Y117" s="1"/>
      <c r="Z117" s="5">
        <f t="shared" ref="Z117:Z124" si="80">IF(T117=0,0,X117/T117)</f>
        <v>6.3956968095853481E-2</v>
      </c>
    </row>
    <row r="118" spans="1:26" s="23" customFormat="1" hidden="1" outlineLevel="2" x14ac:dyDescent="0.25">
      <c r="A118" s="27"/>
      <c r="B118" s="10" t="str">
        <f>CONCATENATE("          ", "6309", " - ", "TELEPHONE")</f>
        <v xml:space="preserve">          6309 - TELEPHONE</v>
      </c>
      <c r="C118" s="10"/>
      <c r="D118" s="6">
        <v>232.15</v>
      </c>
      <c r="E118" s="2"/>
      <c r="F118" s="7">
        <f t="shared" si="73"/>
        <v>5.396464020125104E-3</v>
      </c>
      <c r="G118" s="2"/>
      <c r="H118" s="6">
        <v>600</v>
      </c>
      <c r="I118" s="2"/>
      <c r="J118" s="7">
        <f t="shared" si="74"/>
        <v>0</v>
      </c>
      <c r="K118" s="2"/>
      <c r="L118" s="6">
        <f t="shared" si="75"/>
        <v>-367.85</v>
      </c>
      <c r="M118" s="2"/>
      <c r="N118" s="7">
        <f t="shared" si="76"/>
        <v>-0.61308333333333342</v>
      </c>
      <c r="O118" s="10"/>
      <c r="P118" s="6">
        <v>2790.94</v>
      </c>
      <c r="Q118" s="2"/>
      <c r="R118" s="7">
        <f t="shared" si="77"/>
        <v>1.110579530047234E-2</v>
      </c>
      <c r="S118" s="2"/>
      <c r="T118" s="6">
        <v>2623.17</v>
      </c>
      <c r="U118" s="2"/>
      <c r="V118" s="7">
        <f t="shared" si="78"/>
        <v>6.1026537564936537E-3</v>
      </c>
      <c r="W118" s="2"/>
      <c r="X118" s="6">
        <f t="shared" si="79"/>
        <v>167.76999999999998</v>
      </c>
      <c r="Y118" s="2"/>
      <c r="Z118" s="7">
        <f t="shared" si="80"/>
        <v>6.3956968095853481E-2</v>
      </c>
    </row>
    <row r="119" spans="1:26" s="26" customFormat="1" outlineLevel="1" collapsed="1" x14ac:dyDescent="0.25">
      <c r="A119" s="25"/>
      <c r="B119" s="12" t="str">
        <f>CONCATENATE("     ","Training                                          ")</f>
        <v xml:space="preserve">     Training                                          </v>
      </c>
      <c r="C119" s="12"/>
      <c r="D119" s="1">
        <f>SUM(OSRRefD22_17x_0)</f>
        <v>0</v>
      </c>
      <c r="E119" s="1"/>
      <c r="F119" s="5">
        <f t="shared" si="73"/>
        <v>0</v>
      </c>
      <c r="G119" s="1"/>
      <c r="H119" s="1">
        <f>SUM(OSRRefH22_17x_0)</f>
        <v>0</v>
      </c>
      <c r="I119" s="1"/>
      <c r="J119" s="5">
        <f t="shared" si="74"/>
        <v>0</v>
      </c>
      <c r="K119" s="1"/>
      <c r="L119" s="1">
        <f t="shared" si="75"/>
        <v>0</v>
      </c>
      <c r="M119" s="1"/>
      <c r="N119" s="5">
        <f t="shared" si="76"/>
        <v>0</v>
      </c>
      <c r="O119" s="12"/>
      <c r="P119" s="1">
        <f>SUM(OSRRefP22_17x_0)</f>
        <v>0</v>
      </c>
      <c r="Q119" s="1"/>
      <c r="R119" s="5">
        <f t="shared" si="77"/>
        <v>0</v>
      </c>
      <c r="S119" s="1"/>
      <c r="T119" s="1">
        <f>SUM(OSRRefT22_17x_0)</f>
        <v>1613.4</v>
      </c>
      <c r="U119" s="1"/>
      <c r="V119" s="5">
        <f t="shared" si="78"/>
        <v>3.7534820734938493E-3</v>
      </c>
      <c r="W119" s="1"/>
      <c r="X119" s="1">
        <f t="shared" si="79"/>
        <v>-1613.4</v>
      </c>
      <c r="Y119" s="1"/>
      <c r="Z119" s="5">
        <f t="shared" si="80"/>
        <v>-1</v>
      </c>
    </row>
    <row r="120" spans="1:26" s="23" customFormat="1" hidden="1" outlineLevel="2" x14ac:dyDescent="0.25">
      <c r="A120" s="27"/>
      <c r="B120" s="10" t="str">
        <f>CONCATENATE("          ", "6376", " - ", "TRAINING")</f>
        <v xml:space="preserve">          6376 - TRAINING</v>
      </c>
      <c r="C120" s="10"/>
      <c r="D120" s="6"/>
      <c r="E120" s="2"/>
      <c r="F120" s="7">
        <f t="shared" si="73"/>
        <v>0</v>
      </c>
      <c r="G120" s="2"/>
      <c r="H120" s="6"/>
      <c r="I120" s="2"/>
      <c r="J120" s="7">
        <f t="shared" si="74"/>
        <v>0</v>
      </c>
      <c r="K120" s="2"/>
      <c r="L120" s="6">
        <f t="shared" si="75"/>
        <v>0</v>
      </c>
      <c r="M120" s="2"/>
      <c r="N120" s="7">
        <f t="shared" si="76"/>
        <v>0</v>
      </c>
      <c r="O120" s="10"/>
      <c r="P120" s="6"/>
      <c r="Q120" s="2"/>
      <c r="R120" s="7">
        <f t="shared" si="77"/>
        <v>0</v>
      </c>
      <c r="S120" s="2"/>
      <c r="T120" s="6">
        <v>1613.4</v>
      </c>
      <c r="U120" s="2"/>
      <c r="V120" s="7">
        <f t="shared" si="78"/>
        <v>3.7534820734938493E-3</v>
      </c>
      <c r="W120" s="2"/>
      <c r="X120" s="6">
        <f t="shared" si="79"/>
        <v>-1613.4</v>
      </c>
      <c r="Y120" s="2"/>
      <c r="Z120" s="7">
        <f t="shared" si="80"/>
        <v>-1</v>
      </c>
    </row>
    <row r="121" spans="1:26" s="26" customFormat="1" outlineLevel="1" collapsed="1" x14ac:dyDescent="0.25">
      <c r="A121" s="25"/>
      <c r="B121" s="12" t="str">
        <f>CONCATENATE("     ","Travel                                            ")</f>
        <v xml:space="preserve">     Travel                                            </v>
      </c>
      <c r="C121" s="12"/>
      <c r="D121" s="1">
        <f>SUM(OSRRefD22_18x_0)</f>
        <v>25.17</v>
      </c>
      <c r="E121" s="1"/>
      <c r="F121" s="5">
        <f t="shared" si="73"/>
        <v>5.8509153300257961E-4</v>
      </c>
      <c r="G121" s="1"/>
      <c r="H121" s="1">
        <f>SUM(OSRRefH22_18x_0)</f>
        <v>0</v>
      </c>
      <c r="I121" s="1"/>
      <c r="J121" s="5">
        <f t="shared" si="74"/>
        <v>0</v>
      </c>
      <c r="K121" s="1"/>
      <c r="L121" s="1">
        <f t="shared" si="75"/>
        <v>25.17</v>
      </c>
      <c r="M121" s="1"/>
      <c r="N121" s="5">
        <f t="shared" si="76"/>
        <v>0</v>
      </c>
      <c r="O121" s="12"/>
      <c r="P121" s="1">
        <f>SUM(OSRRefP22_18x_0)</f>
        <v>499.53</v>
      </c>
      <c r="Q121" s="1"/>
      <c r="R121" s="5">
        <f t="shared" si="77"/>
        <v>1.9877453210907247E-3</v>
      </c>
      <c r="S121" s="1"/>
      <c r="T121" s="1">
        <f>SUM(OSRRefT22_18x_0)</f>
        <v>712.14</v>
      </c>
      <c r="U121" s="1"/>
      <c r="V121" s="5">
        <f t="shared" si="78"/>
        <v>1.656752648951227E-3</v>
      </c>
      <c r="W121" s="1"/>
      <c r="X121" s="1">
        <f t="shared" si="79"/>
        <v>-212.61</v>
      </c>
      <c r="Y121" s="1"/>
      <c r="Z121" s="5">
        <f t="shared" si="80"/>
        <v>-0.29855084674361787</v>
      </c>
    </row>
    <row r="122" spans="1:26" s="23" customFormat="1" hidden="1" outlineLevel="2" x14ac:dyDescent="0.25">
      <c r="A122" s="27"/>
      <c r="B122" s="10" t="str">
        <f>CONCATENATE("          ", "6294", " - ", "TRAVEL OPERATIONAL")</f>
        <v xml:space="preserve">          6294 - TRAVEL OPERATIONAL</v>
      </c>
      <c r="C122" s="10"/>
      <c r="D122" s="6">
        <v>25.17</v>
      </c>
      <c r="E122" s="2"/>
      <c r="F122" s="7">
        <f t="shared" si="73"/>
        <v>5.8509153300257961E-4</v>
      </c>
      <c r="G122" s="2"/>
      <c r="H122" s="6"/>
      <c r="I122" s="2"/>
      <c r="J122" s="7">
        <f t="shared" si="74"/>
        <v>0</v>
      </c>
      <c r="K122" s="2"/>
      <c r="L122" s="6">
        <f t="shared" si="75"/>
        <v>25.17</v>
      </c>
      <c r="M122" s="2"/>
      <c r="N122" s="7">
        <f t="shared" si="76"/>
        <v>0</v>
      </c>
      <c r="O122" s="10"/>
      <c r="P122" s="6">
        <v>499.53</v>
      </c>
      <c r="Q122" s="2"/>
      <c r="R122" s="7">
        <f t="shared" si="77"/>
        <v>1.9877453210907247E-3</v>
      </c>
      <c r="S122" s="2"/>
      <c r="T122" s="6">
        <v>712.14</v>
      </c>
      <c r="U122" s="2"/>
      <c r="V122" s="7">
        <f t="shared" si="78"/>
        <v>1.656752648951227E-3</v>
      </c>
      <c r="W122" s="2"/>
      <c r="X122" s="6">
        <f t="shared" si="79"/>
        <v>-212.61</v>
      </c>
      <c r="Y122" s="2"/>
      <c r="Z122" s="7">
        <f t="shared" si="80"/>
        <v>-0.29855084674361787</v>
      </c>
    </row>
    <row r="123" spans="1:26" s="26" customFormat="1" outlineLevel="1" collapsed="1" x14ac:dyDescent="0.25">
      <c r="A123" s="25"/>
      <c r="B123" s="12" t="str">
        <f>CONCATENATE("     ","Utilities                                         ")</f>
        <v xml:space="preserve">     Utilities                                         </v>
      </c>
      <c r="C123" s="12"/>
      <c r="D123" s="1">
        <f>SUM(OSRRefD22_19x_0)</f>
        <v>28.93</v>
      </c>
      <c r="E123" s="1"/>
      <c r="F123" s="5">
        <f t="shared" si="73"/>
        <v>6.7249495628782794E-4</v>
      </c>
      <c r="G123" s="1"/>
      <c r="H123" s="1">
        <f>SUM(OSRRefH22_19x_0)</f>
        <v>67.05</v>
      </c>
      <c r="I123" s="1"/>
      <c r="J123" s="5">
        <f t="shared" si="74"/>
        <v>0</v>
      </c>
      <c r="K123" s="1"/>
      <c r="L123" s="1">
        <f t="shared" si="75"/>
        <v>-38.119999999999997</v>
      </c>
      <c r="M123" s="1"/>
      <c r="N123" s="5">
        <f t="shared" si="76"/>
        <v>-0.56853094705443696</v>
      </c>
      <c r="O123" s="12"/>
      <c r="P123" s="1">
        <f>SUM(OSRRefP22_19x_0)</f>
        <v>264.52999999999997</v>
      </c>
      <c r="Q123" s="1"/>
      <c r="R123" s="5">
        <f t="shared" si="77"/>
        <v>1.0526260080238011E-3</v>
      </c>
      <c r="S123" s="1"/>
      <c r="T123" s="1">
        <f>SUM(OSRRefT22_19x_0)</f>
        <v>2933.35</v>
      </c>
      <c r="U123" s="1"/>
      <c r="V123" s="5">
        <f t="shared" si="78"/>
        <v>6.8242696419258597E-3</v>
      </c>
      <c r="W123" s="1"/>
      <c r="X123" s="1">
        <f t="shared" si="79"/>
        <v>-2668.8199999999997</v>
      </c>
      <c r="Y123" s="1"/>
      <c r="Z123" s="5">
        <f t="shared" si="80"/>
        <v>-0.90981983056914439</v>
      </c>
    </row>
    <row r="124" spans="1:26" s="23" customFormat="1" hidden="1" outlineLevel="2" x14ac:dyDescent="0.25">
      <c r="A124" s="27"/>
      <c r="B124" s="10" t="str">
        <f>CONCATENATE("          ", "6274", " - ", "UTILITIES")</f>
        <v xml:space="preserve">          6274 - UTILITIES</v>
      </c>
      <c r="C124" s="10"/>
      <c r="D124" s="6">
        <v>28.93</v>
      </c>
      <c r="E124" s="2"/>
      <c r="F124" s="7">
        <f t="shared" si="73"/>
        <v>6.7249495628782794E-4</v>
      </c>
      <c r="G124" s="2"/>
      <c r="H124" s="6">
        <v>67.05</v>
      </c>
      <c r="I124" s="2"/>
      <c r="J124" s="7">
        <f t="shared" si="74"/>
        <v>0</v>
      </c>
      <c r="K124" s="2"/>
      <c r="L124" s="6">
        <f t="shared" si="75"/>
        <v>-38.119999999999997</v>
      </c>
      <c r="M124" s="2"/>
      <c r="N124" s="7">
        <f t="shared" si="76"/>
        <v>-0.56853094705443696</v>
      </c>
      <c r="O124" s="10"/>
      <c r="P124" s="6">
        <v>264.52999999999997</v>
      </c>
      <c r="Q124" s="2"/>
      <c r="R124" s="7">
        <f t="shared" si="77"/>
        <v>1.0526260080238011E-3</v>
      </c>
      <c r="S124" s="2"/>
      <c r="T124" s="6">
        <v>2933.35</v>
      </c>
      <c r="U124" s="2"/>
      <c r="V124" s="7">
        <f t="shared" si="78"/>
        <v>6.8242696419258597E-3</v>
      </c>
      <c r="W124" s="2"/>
      <c r="X124" s="6">
        <f t="shared" si="79"/>
        <v>-2668.8199999999997</v>
      </c>
      <c r="Y124" s="2"/>
      <c r="Z124" s="7">
        <f t="shared" si="80"/>
        <v>-0.90981983056914439</v>
      </c>
    </row>
    <row r="125" spans="1:26" s="62" customFormat="1" x14ac:dyDescent="0.25">
      <c r="A125" s="37"/>
      <c r="B125" s="37"/>
      <c r="C125" s="37"/>
      <c r="D125" s="1"/>
      <c r="E125" s="1"/>
      <c r="F125" s="5"/>
      <c r="G125" s="1"/>
      <c r="H125" s="1"/>
      <c r="I125" s="1"/>
      <c r="J125" s="5"/>
      <c r="K125" s="1"/>
      <c r="L125" s="1"/>
      <c r="M125" s="1"/>
      <c r="N125" s="5"/>
      <c r="O125" s="37"/>
      <c r="P125" s="1"/>
      <c r="Q125" s="1"/>
      <c r="R125" s="5"/>
      <c r="S125" s="1"/>
      <c r="T125" s="1"/>
      <c r="U125" s="1"/>
      <c r="V125" s="5"/>
      <c r="W125" s="1"/>
      <c r="X125" s="1"/>
      <c r="Y125" s="1"/>
      <c r="Z125" s="5"/>
    </row>
    <row r="126" spans="1:26" s="24" customFormat="1" x14ac:dyDescent="0.25">
      <c r="A126" s="11"/>
      <c r="B126" s="28" t="s">
        <v>292</v>
      </c>
      <c r="C126" s="11"/>
      <c r="D126" s="4">
        <f>SUM(0)</f>
        <v>0</v>
      </c>
      <c r="E126" s="4"/>
      <c r="F126" s="13">
        <f>IF(D$12=0,0,D126/D$12)</f>
        <v>0</v>
      </c>
      <c r="G126" s="4"/>
      <c r="H126" s="4">
        <f>SUM(0)</f>
        <v>0</v>
      </c>
      <c r="I126" s="4"/>
      <c r="J126" s="13">
        <f>IF(H$12=0,0,H126/H$12)</f>
        <v>0</v>
      </c>
      <c r="K126" s="4"/>
      <c r="L126" s="4">
        <f>+D126-H126</f>
        <v>0</v>
      </c>
      <c r="M126" s="4"/>
      <c r="N126" s="13">
        <f>IF(H126=0,0,L126/H126)</f>
        <v>0</v>
      </c>
      <c r="O126" s="11"/>
      <c r="P126" s="4">
        <f>SUM(0)</f>
        <v>0</v>
      </c>
      <c r="Q126" s="4"/>
      <c r="R126" s="13">
        <f>IF(P$12=0,0,P126/P$12)</f>
        <v>0</v>
      </c>
      <c r="S126" s="4"/>
      <c r="T126" s="4">
        <f>SUM(0)</f>
        <v>0</v>
      </c>
      <c r="U126" s="4"/>
      <c r="V126" s="13">
        <f>IF(T$12=0,0,T126/T$12)</f>
        <v>0</v>
      </c>
      <c r="W126" s="4"/>
      <c r="X126" s="4">
        <f>+P126-T126</f>
        <v>0</v>
      </c>
      <c r="Y126" s="4"/>
      <c r="Z126" s="13">
        <f>IF(T126=0,0,X126/T126)</f>
        <v>0</v>
      </c>
    </row>
    <row r="127" spans="1:26" x14ac:dyDescent="0.25">
      <c r="A127" s="9"/>
      <c r="B127" s="11"/>
      <c r="C127" s="11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1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4" customFormat="1" x14ac:dyDescent="0.25">
      <c r="A128" s="11"/>
      <c r="B128" s="29" t="s">
        <v>276</v>
      </c>
      <c r="C128" s="29"/>
      <c r="D128" s="20">
        <f>+D59-D61+D126</f>
        <v>1221.239999999998</v>
      </c>
      <c r="E128" s="14"/>
      <c r="F128" s="22">
        <f>IF(D$12=0,0,D128/D$12)</f>
        <v>2.8388445918318201E-2</v>
      </c>
      <c r="G128" s="14"/>
      <c r="H128" s="20">
        <f>+H59-H61+H126</f>
        <v>-17168.09</v>
      </c>
      <c r="I128" s="14"/>
      <c r="J128" s="22">
        <f>IF(H$12=0,0,H128/H$12)</f>
        <v>0</v>
      </c>
      <c r="K128" s="16"/>
      <c r="L128" s="20">
        <f>+D128-H128</f>
        <v>18389.329999999998</v>
      </c>
      <c r="M128" s="16"/>
      <c r="N128" s="22">
        <f>IF(H128=0,0,L128/H128)</f>
        <v>-1.0711342962437871</v>
      </c>
      <c r="O128" s="28"/>
      <c r="P128" s="20">
        <f>+P59-P61+P126</f>
        <v>-76375.680000000022</v>
      </c>
      <c r="Q128" s="14"/>
      <c r="R128" s="22">
        <f>IF(P$12=0,0,P128/P$12)</f>
        <v>-0.30391648262391147</v>
      </c>
      <c r="S128" s="14"/>
      <c r="T128" s="20">
        <f>+T59-T61+T126</f>
        <v>-54198.820000000007</v>
      </c>
      <c r="U128" s="14"/>
      <c r="V128" s="22">
        <f>IF(T$12=0,0,T128/T$12)</f>
        <v>-0.12609042969785542</v>
      </c>
      <c r="W128" s="16"/>
      <c r="X128" s="20">
        <f>+P128-T128</f>
        <v>-22176.860000000015</v>
      </c>
      <c r="Y128" s="16"/>
      <c r="Z128" s="22">
        <f>IF(T128=0,0,X128/T128)</f>
        <v>0.40917606693282277</v>
      </c>
    </row>
    <row r="129" spans="1:26" x14ac:dyDescent="0.25">
      <c r="A129" s="9"/>
      <c r="B129" s="11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4" customFormat="1" x14ac:dyDescent="0.25">
      <c r="A130" s="51"/>
      <c r="B130" s="11" t="s">
        <v>127</v>
      </c>
      <c r="C130" s="11"/>
      <c r="D130" s="4">
        <v>9648.0300000000007</v>
      </c>
      <c r="E130" s="4"/>
      <c r="F130" s="13">
        <f>IF(D$12=0,0,D130/D$12)</f>
        <v>0.22427416222307822</v>
      </c>
      <c r="G130" s="4"/>
      <c r="H130" s="4">
        <v>2746.86</v>
      </c>
      <c r="I130" s="4"/>
      <c r="J130" s="13">
        <f>IF(H$12=0,0,H130/H$12)</f>
        <v>0</v>
      </c>
      <c r="K130" s="4"/>
      <c r="L130" s="4">
        <f>+D130-H130</f>
        <v>6901.17</v>
      </c>
      <c r="M130" s="4"/>
      <c r="N130" s="13">
        <f>IF(H130=0,0,L130/H130)</f>
        <v>2.512385050566829</v>
      </c>
      <c r="O130" s="11"/>
      <c r="P130" s="4">
        <v>52573.99</v>
      </c>
      <c r="Q130" s="4"/>
      <c r="R130" s="13">
        <f>IF(P$12=0,0,P130/P$12)</f>
        <v>0.20920405708079706</v>
      </c>
      <c r="S130" s="4"/>
      <c r="T130" s="4">
        <v>48805.35</v>
      </c>
      <c r="U130" s="4"/>
      <c r="V130" s="13">
        <f>IF(T$12=0,0,T130/T$12)</f>
        <v>0.11354283272318894</v>
      </c>
      <c r="W130" s="4"/>
      <c r="X130" s="4">
        <f>+P130-T130</f>
        <v>3768.6399999999994</v>
      </c>
      <c r="Y130" s="4"/>
      <c r="Z130" s="13">
        <f>IF(T130=0,0,X130/T130)</f>
        <v>7.7217764036114883E-2</v>
      </c>
    </row>
    <row r="131" spans="1:26" x14ac:dyDescent="0.25">
      <c r="A131" s="9"/>
      <c r="B131" s="11"/>
      <c r="C131" s="11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1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4" customFormat="1" ht="15.75" thickBot="1" x14ac:dyDescent="0.3">
      <c r="A132" s="11"/>
      <c r="B132" s="29" t="s">
        <v>125</v>
      </c>
      <c r="C132" s="29"/>
      <c r="D132" s="30">
        <f>+D128-D130</f>
        <v>-8426.7900000000027</v>
      </c>
      <c r="E132" s="14"/>
      <c r="F132" s="34">
        <f>IF(D$12=0,0,D132/D$12)</f>
        <v>-0.19588571630476001</v>
      </c>
      <c r="G132" s="14"/>
      <c r="H132" s="30">
        <f>+H128-H130</f>
        <v>-19914.95</v>
      </c>
      <c r="I132" s="14"/>
      <c r="J132" s="34">
        <f>IF(H$12=0,0,H132/H$12)</f>
        <v>0</v>
      </c>
      <c r="K132" s="16"/>
      <c r="L132" s="30">
        <f>D132-H132</f>
        <v>11488.159999999998</v>
      </c>
      <c r="M132" s="16"/>
      <c r="N132" s="34">
        <f>IF(H132=0,0,L132/H132)</f>
        <v>-0.57686110183555561</v>
      </c>
      <c r="O132" s="28"/>
      <c r="P132" s="30">
        <f>+P128-P130</f>
        <v>-128949.67000000001</v>
      </c>
      <c r="Q132" s="14"/>
      <c r="R132" s="34">
        <f>IF(P$12=0,0,P132/P$12)</f>
        <v>-0.5131205397047085</v>
      </c>
      <c r="S132" s="14"/>
      <c r="T132" s="30">
        <f>+T128-T130</f>
        <v>-103004.17000000001</v>
      </c>
      <c r="U132" s="14"/>
      <c r="V132" s="34">
        <f>IF(T$12=0,0,T132/T$12)</f>
        <v>-0.23963326242104435</v>
      </c>
      <c r="W132" s="16"/>
      <c r="X132" s="30">
        <f>P132-T132</f>
        <v>-25945.5</v>
      </c>
      <c r="Y132" s="16"/>
      <c r="Z132" s="34">
        <f>IF(T132=0,0,X132/T132)</f>
        <v>0.25188786046234823</v>
      </c>
    </row>
    <row r="133" spans="1:26" ht="15.75" thickTop="1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4" customFormat="1" ht="15.75" thickBot="1" x14ac:dyDescent="0.3">
      <c r="A135" s="11"/>
      <c r="B135" s="29" t="s">
        <v>293</v>
      </c>
      <c r="C135" s="29"/>
      <c r="D135" s="32">
        <f>SUM(D132:D134)</f>
        <v>-8426.7900000000027</v>
      </c>
      <c r="E135" s="14"/>
      <c r="F135" s="35">
        <f>IF(D$12=0,0,D135/D$12)</f>
        <v>-0.19588571630476001</v>
      </c>
      <c r="G135" s="14"/>
      <c r="H135" s="32">
        <f>SUM(H132:H134)</f>
        <v>-19914.95</v>
      </c>
      <c r="I135" s="14"/>
      <c r="J135" s="35">
        <f>IF(H$12=0,0,H135/H$12)</f>
        <v>0</v>
      </c>
      <c r="K135" s="16"/>
      <c r="L135" s="32">
        <f>+D135-H135</f>
        <v>11488.159999999998</v>
      </c>
      <c r="M135" s="16"/>
      <c r="N135" s="35">
        <f>IF(H135=0,0,L135/H135)</f>
        <v>-0.57686110183555561</v>
      </c>
      <c r="O135" s="28"/>
      <c r="P135" s="32">
        <f>SUM(P132:P134)</f>
        <v>-128949.67000000001</v>
      </c>
      <c r="Q135" s="14"/>
      <c r="R135" s="35">
        <f>IF(P$12=0,0,P135/P$12)</f>
        <v>-0.5131205397047085</v>
      </c>
      <c r="S135" s="14"/>
      <c r="T135" s="32">
        <f>SUM(T132:T134)</f>
        <v>-103004.17000000001</v>
      </c>
      <c r="U135" s="14"/>
      <c r="V135" s="35">
        <f>IF(T$12=0,0,T135/T$12)</f>
        <v>-0.23963326242104435</v>
      </c>
      <c r="W135" s="16"/>
      <c r="X135" s="32">
        <f>+P135-T135</f>
        <v>-25945.5</v>
      </c>
      <c r="Y135" s="16"/>
      <c r="Z135" s="35">
        <f>IF(T135=0,0,X135/T135)</f>
        <v>0.25188786046234823</v>
      </c>
    </row>
    <row r="136" spans="1:26" ht="15.75" thickTop="1" x14ac:dyDescent="0.25">
      <c r="A136" s="9"/>
      <c r="C136" s="9"/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  <row r="137" spans="1:26" x14ac:dyDescent="0.25">
      <c r="A137" s="9"/>
      <c r="B137" s="59">
        <v>44330.00886898148</v>
      </c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  <row r="138" spans="1:26" x14ac:dyDescent="0.25">
      <c r="A138" s="9"/>
      <c r="B138" s="52" t="s">
        <v>56</v>
      </c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  <row r="139" spans="1:26" x14ac:dyDescent="0.25">
      <c r="A139" s="9"/>
      <c r="B139" s="55"/>
      <c r="D139" s="17"/>
      <c r="E139" s="17"/>
      <c r="G139" s="17"/>
      <c r="H139" s="17"/>
      <c r="I139" s="17"/>
      <c r="J139" s="42"/>
      <c r="K139" s="17"/>
      <c r="L139" s="17"/>
      <c r="M139" s="17"/>
      <c r="P139" s="17"/>
      <c r="Q139" s="17"/>
      <c r="R139" s="42"/>
      <c r="S139" s="17"/>
      <c r="T139" s="17"/>
      <c r="U139" s="17"/>
      <c r="V139" s="42"/>
      <c r="W139" s="17"/>
      <c r="X139" s="17"/>
    </row>
    <row r="140" spans="1:26" x14ac:dyDescent="0.25">
      <c r="D140" s="17"/>
      <c r="E140" s="17"/>
      <c r="G140" s="17"/>
      <c r="H140" s="17"/>
      <c r="I140" s="17"/>
      <c r="J140" s="42"/>
      <c r="K140" s="17"/>
      <c r="L140" s="17"/>
      <c r="M140" s="17"/>
      <c r="P140" s="17"/>
      <c r="Q140" s="17"/>
      <c r="R140" s="42"/>
      <c r="S140" s="17"/>
      <c r="T140" s="17"/>
      <c r="U140" s="17"/>
      <c r="V140" s="42"/>
      <c r="W140" s="17"/>
      <c r="X140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124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3702.45</v>
      </c>
      <c r="E12" s="4"/>
      <c r="F12" s="13"/>
      <c r="G12" s="4"/>
      <c r="H12" s="4">
        <f>SUM(OSRRefH13x_0)</f>
        <v>4273.75</v>
      </c>
      <c r="I12" s="4"/>
      <c r="J12" s="13"/>
      <c r="K12" s="4"/>
      <c r="L12" s="4">
        <f t="shared" ref="L12:L31" si="0">+D12-H12</f>
        <v>-571.30000000000018</v>
      </c>
      <c r="M12" s="4"/>
      <c r="N12" s="13">
        <f t="shared" ref="N12:N31" si="1">IF(H12=0,0,L12/H12)</f>
        <v>-0.13367651360046801</v>
      </c>
      <c r="O12" s="11"/>
      <c r="P12" s="4">
        <f>SUM(OSRRefP13x_0)</f>
        <v>114697.48</v>
      </c>
      <c r="Q12" s="4"/>
      <c r="R12" s="13"/>
      <c r="S12" s="4"/>
      <c r="T12" s="4">
        <f>SUM(OSRRefT13x_0)</f>
        <v>491833.84999999992</v>
      </c>
      <c r="U12" s="4"/>
      <c r="V12" s="13"/>
      <c r="W12" s="4"/>
      <c r="X12" s="4">
        <f t="shared" ref="X12:X31" si="2">+P12-T12</f>
        <v>-377136.36999999994</v>
      </c>
      <c r="Y12" s="4"/>
      <c r="Z12" s="13">
        <f t="shared" ref="Z12:Z31" si="3">IF(T12=0,0,X12/T12)</f>
        <v>-0.76679628699813973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-9.28</f>
        <v>-9.2799999999999994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-9.2799999999999994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"4041", " - ", "TAXABLE SALES-LOGO GIFTS")</f>
        <v xml:space="preserve">          4041 - TAXABLE SALES-LOGO GIFTS</v>
      </c>
      <c r="C14" s="10"/>
      <c r="D14" s="2">
        <f>--262.2</f>
        <v>262.2</v>
      </c>
      <c r="E14" s="2"/>
      <c r="F14" s="19"/>
      <c r="G14" s="2"/>
      <c r="H14" s="2">
        <f>--24.7</f>
        <v>24.7</v>
      </c>
      <c r="I14" s="2"/>
      <c r="J14" s="19"/>
      <c r="K14" s="2"/>
      <c r="L14" s="2">
        <f t="shared" si="0"/>
        <v>237.5</v>
      </c>
      <c r="M14" s="2"/>
      <c r="N14" s="19">
        <f t="shared" si="1"/>
        <v>9.615384615384615</v>
      </c>
      <c r="O14" s="10"/>
      <c r="P14" s="2">
        <f>--92920.17</f>
        <v>92920.17</v>
      </c>
      <c r="Q14" s="2"/>
      <c r="R14" s="19"/>
      <c r="S14" s="2"/>
      <c r="T14" s="2">
        <f>--174207.25</f>
        <v>174207.25</v>
      </c>
      <c r="U14" s="2"/>
      <c r="V14" s="19"/>
      <c r="W14" s="2"/>
      <c r="X14" s="2">
        <f t="shared" si="2"/>
        <v>-81287.08</v>
      </c>
      <c r="Y14" s="2"/>
      <c r="Z14" s="19">
        <f t="shared" si="3"/>
        <v>-0.46661134941284016</v>
      </c>
    </row>
    <row r="15" spans="1:26" s="23" customFormat="1" hidden="1" outlineLevel="1" x14ac:dyDescent="0.25">
      <c r="A15" s="44"/>
      <c r="B15" s="10" t="str">
        <f>CONCATENATE("          ", "4042", " - ", "TAXABLE SALES-EVERYDAY GIFTS")</f>
        <v xml:space="preserve">          4042 - TAXABLE SALES-EVERYDAY GIFTS</v>
      </c>
      <c r="C15" s="10"/>
      <c r="D15" s="2">
        <f>--1279.89</f>
        <v>1279.8900000000001</v>
      </c>
      <c r="E15" s="2"/>
      <c r="F15" s="19"/>
      <c r="G15" s="2"/>
      <c r="H15" s="2">
        <f>--262.2</f>
        <v>262.2</v>
      </c>
      <c r="I15" s="2"/>
      <c r="J15" s="19"/>
      <c r="K15" s="2"/>
      <c r="L15" s="2">
        <f t="shared" si="0"/>
        <v>1017.69</v>
      </c>
      <c r="M15" s="2"/>
      <c r="N15" s="19">
        <f t="shared" si="1"/>
        <v>3.8813501144164761</v>
      </c>
      <c r="O15" s="10"/>
      <c r="P15" s="2">
        <f>--17099.84</f>
        <v>17099.84</v>
      </c>
      <c r="Q15" s="2"/>
      <c r="R15" s="19"/>
      <c r="S15" s="2"/>
      <c r="T15" s="2">
        <f>--74446.61</f>
        <v>74446.61</v>
      </c>
      <c r="U15" s="2"/>
      <c r="V15" s="19"/>
      <c r="W15" s="2"/>
      <c r="X15" s="2">
        <f t="shared" si="2"/>
        <v>-57346.770000000004</v>
      </c>
      <c r="Y15" s="2"/>
      <c r="Z15" s="19">
        <f t="shared" si="3"/>
        <v>-0.77030733837309717</v>
      </c>
    </row>
    <row r="16" spans="1:26" s="23" customFormat="1" hidden="1" outlineLevel="1" x14ac:dyDescent="0.25">
      <c r="A16" s="44"/>
      <c r="B16" s="10" t="str">
        <f>CONCATENATE("          ", "4043", " - ", "TAXABLE SALES-CARDS")</f>
        <v xml:space="preserve">          4043 - TAXABLE SALES-CARDS</v>
      </c>
      <c r="C16" s="10"/>
      <c r="D16" s="2">
        <f t="shared" ref="D16:D19" si="4">0</f>
        <v>0</v>
      </c>
      <c r="E16" s="2"/>
      <c r="F16" s="19"/>
      <c r="G16" s="2"/>
      <c r="H16" s="2">
        <f>--651</f>
        <v>651</v>
      </c>
      <c r="I16" s="2"/>
      <c r="J16" s="19"/>
      <c r="K16" s="2"/>
      <c r="L16" s="2">
        <f t="shared" si="0"/>
        <v>-651</v>
      </c>
      <c r="M16" s="2"/>
      <c r="N16" s="19">
        <f t="shared" si="1"/>
        <v>-1</v>
      </c>
      <c r="O16" s="10"/>
      <c r="P16" s="2">
        <f>--52.68</f>
        <v>52.68</v>
      </c>
      <c r="Q16" s="2"/>
      <c r="R16" s="19"/>
      <c r="S16" s="2"/>
      <c r="T16" s="2">
        <f>--921.72</f>
        <v>921.72</v>
      </c>
      <c r="U16" s="2"/>
      <c r="V16" s="19"/>
      <c r="W16" s="2"/>
      <c r="X16" s="2">
        <f t="shared" si="2"/>
        <v>-869.04000000000008</v>
      </c>
      <c r="Y16" s="2"/>
      <c r="Z16" s="19">
        <f t="shared" si="3"/>
        <v>-0.94284598359588601</v>
      </c>
    </row>
    <row r="17" spans="1:26" s="23" customFormat="1" hidden="1" outlineLevel="1" x14ac:dyDescent="0.25">
      <c r="A17" s="44"/>
      <c r="B17" s="10" t="str">
        <f>CONCATENATE("          ", "4044", " - ", "TAXABLE SALES-ACCESSORIES")</f>
        <v xml:space="preserve">          4044 - TAXABLE SALES-ACCESSORIES</v>
      </c>
      <c r="C17" s="10"/>
      <c r="D17" s="2">
        <f t="shared" si="4"/>
        <v>0</v>
      </c>
      <c r="E17" s="2"/>
      <c r="F17" s="19"/>
      <c r="G17" s="2"/>
      <c r="H17" s="2">
        <f t="shared" ref="H17:H18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ref="P17:P19" si="6">0</f>
        <v>0</v>
      </c>
      <c r="Q17" s="2"/>
      <c r="R17" s="19"/>
      <c r="S17" s="2"/>
      <c r="T17" s="2">
        <f>--235.18</f>
        <v>235.18</v>
      </c>
      <c r="U17" s="2"/>
      <c r="V17" s="19"/>
      <c r="W17" s="2"/>
      <c r="X17" s="2">
        <f t="shared" si="2"/>
        <v>-235.18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"4047", " - ", "TAXABLE SALES-MISC")</f>
        <v xml:space="preserve">          4047 - TAXABLE SALES-MISC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 t="shared" si="6"/>
        <v>0</v>
      </c>
      <c r="Q18" s="2"/>
      <c r="R18" s="19"/>
      <c r="S18" s="2"/>
      <c r="T18" s="2">
        <f>--2676.14</f>
        <v>2676.14</v>
      </c>
      <c r="U18" s="2"/>
      <c r="V18" s="19"/>
      <c r="W18" s="2"/>
      <c r="X18" s="2">
        <f t="shared" si="2"/>
        <v>-2676.14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"4092", " - ", "TAXABLE SALES-GRAD MERCH")</f>
        <v xml:space="preserve">          4092 - TAXABLE SALES-GRAD MERCH</v>
      </c>
      <c r="C19" s="10"/>
      <c r="D19" s="2">
        <f t="shared" si="4"/>
        <v>0</v>
      </c>
      <c r="E19" s="2"/>
      <c r="F19" s="19"/>
      <c r="G19" s="2"/>
      <c r="H19" s="2">
        <f>--3214.15</f>
        <v>3214.15</v>
      </c>
      <c r="I19" s="2"/>
      <c r="J19" s="19"/>
      <c r="K19" s="2"/>
      <c r="L19" s="2">
        <f t="shared" si="0"/>
        <v>-3214.15</v>
      </c>
      <c r="M19" s="2"/>
      <c r="N19" s="19">
        <f t="shared" si="1"/>
        <v>-1</v>
      </c>
      <c r="O19" s="10"/>
      <c r="P19" s="2">
        <f t="shared" si="6"/>
        <v>0</v>
      </c>
      <c r="Q19" s="2"/>
      <c r="R19" s="19"/>
      <c r="S19" s="2"/>
      <c r="T19" s="2">
        <f>--21866.37</f>
        <v>21866.37</v>
      </c>
      <c r="U19" s="2"/>
      <c r="V19" s="19"/>
      <c r="W19" s="2"/>
      <c r="X19" s="2">
        <f t="shared" si="2"/>
        <v>-21866.37</v>
      </c>
      <c r="Y19" s="2"/>
      <c r="Z19" s="19">
        <f t="shared" si="3"/>
        <v>-1</v>
      </c>
    </row>
    <row r="20" spans="1:26" s="23" customFormat="1" hidden="1" outlineLevel="1" x14ac:dyDescent="0.25">
      <c r="A20" s="44"/>
      <c r="B20" s="10" t="str">
        <f>CONCATENATE("          ", "4095", " - ", "TAXABLE SALES-CUSTOMER SERVICE")</f>
        <v xml:space="preserve">          4095 - TAXABLE SALES-CUSTOMER SERVICE</v>
      </c>
      <c r="C20" s="10"/>
      <c r="D20" s="2">
        <f>--2119.46</f>
        <v>2119.46</v>
      </c>
      <c r="E20" s="2"/>
      <c r="F20" s="19"/>
      <c r="G20" s="2"/>
      <c r="H20" s="2">
        <f t="shared" ref="H20:H22" si="7">0</f>
        <v>0</v>
      </c>
      <c r="I20" s="2"/>
      <c r="J20" s="19"/>
      <c r="K20" s="2"/>
      <c r="L20" s="2">
        <f t="shared" si="0"/>
        <v>2119.46</v>
      </c>
      <c r="M20" s="2"/>
      <c r="N20" s="19">
        <f t="shared" si="1"/>
        <v>0</v>
      </c>
      <c r="O20" s="10"/>
      <c r="P20" s="2">
        <f>--3034.59</f>
        <v>3034.59</v>
      </c>
      <c r="Q20" s="2"/>
      <c r="R20" s="19"/>
      <c r="S20" s="2"/>
      <c r="T20" s="2">
        <f>--279.56</f>
        <v>279.56</v>
      </c>
      <c r="U20" s="2"/>
      <c r="V20" s="19"/>
      <c r="W20" s="2"/>
      <c r="X20" s="2">
        <f t="shared" si="2"/>
        <v>2755.03</v>
      </c>
      <c r="Y20" s="2"/>
      <c r="Z20" s="19">
        <f t="shared" si="3"/>
        <v>9.8548790957218486</v>
      </c>
    </row>
    <row r="21" spans="1:26" s="23" customFormat="1" hidden="1" outlineLevel="1" x14ac:dyDescent="0.25">
      <c r="A21" s="44"/>
      <c r="B21" s="10" t="str">
        <f>CONCATENATE("          ", "4141", " - ", "NON-TAXABLE SALES-LOGO GIFTS")</f>
        <v xml:space="preserve">          4141 - NON-TAXABLE SALES-LOGO GIFTS</v>
      </c>
      <c r="C21" s="10"/>
      <c r="D21" s="2">
        <f>--0.6</f>
        <v>0.6</v>
      </c>
      <c r="E21" s="2"/>
      <c r="F21" s="19"/>
      <c r="G21" s="2"/>
      <c r="H21" s="2">
        <f t="shared" si="7"/>
        <v>0</v>
      </c>
      <c r="I21" s="2"/>
      <c r="J21" s="19"/>
      <c r="K21" s="2"/>
      <c r="L21" s="2">
        <f t="shared" si="0"/>
        <v>0.6</v>
      </c>
      <c r="M21" s="2"/>
      <c r="N21" s="19">
        <f t="shared" si="1"/>
        <v>0</v>
      </c>
      <c r="O21" s="10"/>
      <c r="P21" s="2">
        <f>--1279.24</f>
        <v>1279.24</v>
      </c>
      <c r="Q21" s="2"/>
      <c r="R21" s="19"/>
      <c r="S21" s="2"/>
      <c r="T21" s="2">
        <f>--864.6</f>
        <v>864.6</v>
      </c>
      <c r="U21" s="2"/>
      <c r="V21" s="19"/>
      <c r="W21" s="2"/>
      <c r="X21" s="2">
        <f t="shared" si="2"/>
        <v>414.64</v>
      </c>
      <c r="Y21" s="2"/>
      <c r="Z21" s="19">
        <f t="shared" si="3"/>
        <v>0.47957436965070549</v>
      </c>
    </row>
    <row r="22" spans="1:26" s="23" customFormat="1" hidden="1" outlineLevel="1" x14ac:dyDescent="0.25">
      <c r="A22" s="44"/>
      <c r="B22" s="10" t="str">
        <f>CONCATENATE("          ", "4142", " - ", "NON-TAXABLE SALES-EVERYDAY GIF")</f>
        <v xml:space="preserve">          4142 - NON-TAXABLE SALES-EVERYDAY GIF</v>
      </c>
      <c r="C22" s="10"/>
      <c r="D22" s="2">
        <f>--22.1</f>
        <v>22.1</v>
      </c>
      <c r="E22" s="2"/>
      <c r="F22" s="19"/>
      <c r="G22" s="2"/>
      <c r="H22" s="2">
        <f t="shared" si="7"/>
        <v>0</v>
      </c>
      <c r="I22" s="2"/>
      <c r="J22" s="19"/>
      <c r="K22" s="2"/>
      <c r="L22" s="2">
        <f t="shared" si="0"/>
        <v>22.1</v>
      </c>
      <c r="M22" s="2"/>
      <c r="N22" s="19">
        <f t="shared" si="1"/>
        <v>0</v>
      </c>
      <c r="O22" s="10"/>
      <c r="P22" s="2">
        <f>--1132.69</f>
        <v>1132.69</v>
      </c>
      <c r="Q22" s="2"/>
      <c r="R22" s="19"/>
      <c r="S22" s="2"/>
      <c r="T22" s="2">
        <f>--8924.02</f>
        <v>8924.02</v>
      </c>
      <c r="U22" s="2"/>
      <c r="V22" s="19"/>
      <c r="W22" s="2"/>
      <c r="X22" s="2">
        <f t="shared" si="2"/>
        <v>-7791.33</v>
      </c>
      <c r="Y22" s="2"/>
      <c r="Z22" s="19">
        <f t="shared" si="3"/>
        <v>-0.87307401821152342</v>
      </c>
    </row>
    <row r="23" spans="1:26" s="23" customFormat="1" hidden="1" outlineLevel="1" x14ac:dyDescent="0.25">
      <c r="A23" s="44"/>
      <c r="B23" s="10" t="str">
        <f>CONCATENATE("          ", "4146", " - ", "NON-TAXABLE SALES-COIN OP MACH")</f>
        <v xml:space="preserve">          4146 - NON-TAXABLE SALES-COIN OP MACH</v>
      </c>
      <c r="C23" s="10"/>
      <c r="D23" s="2">
        <f>--30.2</f>
        <v>30.2</v>
      </c>
      <c r="E23" s="2"/>
      <c r="F23" s="19"/>
      <c r="G23" s="2"/>
      <c r="H23" s="2">
        <f>--121.7</f>
        <v>121.7</v>
      </c>
      <c r="I23" s="2"/>
      <c r="J23" s="19"/>
      <c r="K23" s="2"/>
      <c r="L23" s="2">
        <f t="shared" si="0"/>
        <v>-91.5</v>
      </c>
      <c r="M23" s="2"/>
      <c r="N23" s="19">
        <f t="shared" si="1"/>
        <v>-0.75184880854560387</v>
      </c>
      <c r="O23" s="10"/>
      <c r="P23" s="2">
        <f>--329.3</f>
        <v>329.3</v>
      </c>
      <c r="Q23" s="2"/>
      <c r="R23" s="19"/>
      <c r="S23" s="2"/>
      <c r="T23" s="2">
        <f>--205908.65</f>
        <v>205908.65</v>
      </c>
      <c r="U23" s="2"/>
      <c r="V23" s="19"/>
      <c r="W23" s="2"/>
      <c r="X23" s="2">
        <f t="shared" si="2"/>
        <v>-205579.35</v>
      </c>
      <c r="Y23" s="2"/>
      <c r="Z23" s="19">
        <f t="shared" si="3"/>
        <v>-0.99840074712742766</v>
      </c>
    </row>
    <row r="24" spans="1:26" s="23" customFormat="1" hidden="1" outlineLevel="1" x14ac:dyDescent="0.25">
      <c r="A24" s="44"/>
      <c r="B24" s="10" t="str">
        <f>CONCATENATE("          ", "4147", " - ", "NON-TAXABLE SALES-MISC")</f>
        <v xml:space="preserve">          4147 - NON-TAXABLE SALES-MISC</v>
      </c>
      <c r="C24" s="10"/>
      <c r="D24" s="2">
        <f>--11</f>
        <v>11</v>
      </c>
      <c r="E24" s="2"/>
      <c r="F24" s="19"/>
      <c r="G24" s="2"/>
      <c r="H24" s="2">
        <f t="shared" ref="H24:H31" si="8">0</f>
        <v>0</v>
      </c>
      <c r="I24" s="2"/>
      <c r="J24" s="19"/>
      <c r="K24" s="2"/>
      <c r="L24" s="2">
        <f t="shared" si="0"/>
        <v>11</v>
      </c>
      <c r="M24" s="2"/>
      <c r="N24" s="19">
        <f t="shared" si="1"/>
        <v>0</v>
      </c>
      <c r="O24" s="10"/>
      <c r="P24" s="2">
        <f>--154.5</f>
        <v>154.5</v>
      </c>
      <c r="Q24" s="2"/>
      <c r="R24" s="19"/>
      <c r="S24" s="2"/>
      <c r="T24" s="2">
        <f>--3436.37</f>
        <v>3436.37</v>
      </c>
      <c r="U24" s="2"/>
      <c r="V24" s="19"/>
      <c r="W24" s="2"/>
      <c r="X24" s="2">
        <f t="shared" si="2"/>
        <v>-3281.87</v>
      </c>
      <c r="Y24" s="2"/>
      <c r="Z24" s="19">
        <f t="shared" si="3"/>
        <v>-0.95503976579937555</v>
      </c>
    </row>
    <row r="25" spans="1:26" s="23" customFormat="1" hidden="1" outlineLevel="1" x14ac:dyDescent="0.25">
      <c r="A25" s="44"/>
      <c r="B25" s="10" t="str">
        <f>CONCATENATE("          ", "4241", " - ", "SALES RETURN TAXABLE-LOGO GIFT")</f>
        <v xml:space="preserve">          4241 - SALES RETURN TAXABLE-LOGO GIFT</v>
      </c>
      <c r="C25" s="10"/>
      <c r="D25" s="2">
        <f>-23</f>
        <v>-23</v>
      </c>
      <c r="E25" s="2"/>
      <c r="F25" s="19"/>
      <c r="G25" s="2"/>
      <c r="H25" s="2">
        <f t="shared" si="8"/>
        <v>0</v>
      </c>
      <c r="I25" s="2"/>
      <c r="J25" s="19"/>
      <c r="K25" s="2"/>
      <c r="L25" s="2">
        <f t="shared" si="0"/>
        <v>-23</v>
      </c>
      <c r="M25" s="2"/>
      <c r="N25" s="19">
        <f t="shared" si="1"/>
        <v>0</v>
      </c>
      <c r="O25" s="10"/>
      <c r="P25" s="2">
        <f>-1285.05</f>
        <v>-1285.05</v>
      </c>
      <c r="Q25" s="2"/>
      <c r="R25" s="19"/>
      <c r="S25" s="2"/>
      <c r="T25" s="2">
        <f>-1059.4</f>
        <v>-1059.4000000000001</v>
      </c>
      <c r="U25" s="2"/>
      <c r="V25" s="19"/>
      <c r="W25" s="2"/>
      <c r="X25" s="2">
        <f t="shared" si="2"/>
        <v>-225.64999999999986</v>
      </c>
      <c r="Y25" s="2"/>
      <c r="Z25" s="19">
        <f t="shared" si="3"/>
        <v>0.2129979233528411</v>
      </c>
    </row>
    <row r="26" spans="1:26" s="23" customFormat="1" hidden="1" outlineLevel="1" x14ac:dyDescent="0.25">
      <c r="A26" s="44"/>
      <c r="B26" s="10" t="str">
        <f>CONCATENATE("          ", "4242", " - ", "SALES RETURN TAXABLE-EVERYDAY")</f>
        <v xml:space="preserve">          4242 - SALES RETURN TAXABLE-EVERYDAY</v>
      </c>
      <c r="C26" s="10"/>
      <c r="D26" s="2">
        <f t="shared" ref="D26:D31" si="9">0</f>
        <v>0</v>
      </c>
      <c r="E26" s="2"/>
      <c r="F26" s="19"/>
      <c r="G26" s="2"/>
      <c r="H26" s="2">
        <f t="shared" si="8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0"/>
      <c r="P26" s="2">
        <f t="shared" ref="P26:P27" si="10">0</f>
        <v>0</v>
      </c>
      <c r="Q26" s="2"/>
      <c r="R26" s="19"/>
      <c r="S26" s="2"/>
      <c r="T26" s="2">
        <f>-227.7</f>
        <v>-227.7</v>
      </c>
      <c r="U26" s="2"/>
      <c r="V26" s="19"/>
      <c r="W26" s="2"/>
      <c r="X26" s="2">
        <f t="shared" si="2"/>
        <v>227.7</v>
      </c>
      <c r="Y26" s="2"/>
      <c r="Z26" s="19">
        <f t="shared" si="3"/>
        <v>-1</v>
      </c>
    </row>
    <row r="27" spans="1:26" s="23" customFormat="1" hidden="1" outlineLevel="1" x14ac:dyDescent="0.25">
      <c r="A27" s="44"/>
      <c r="B27" s="10" t="str">
        <f>CONCATENATE("          ", "4292", " - ", "SALES RETURN TAXABLE-GRAD MERC")</f>
        <v xml:space="preserve">          4292 - SALES RETURN TAXABLE-GRAD MERC</v>
      </c>
      <c r="C27" s="10"/>
      <c r="D27" s="2">
        <f t="shared" si="9"/>
        <v>0</v>
      </c>
      <c r="E27" s="2"/>
      <c r="F27" s="19"/>
      <c r="G27" s="2"/>
      <c r="H27" s="2">
        <f t="shared" si="8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si="10"/>
        <v>0</v>
      </c>
      <c r="Q27" s="2"/>
      <c r="R27" s="19"/>
      <c r="S27" s="2"/>
      <c r="T27" s="2">
        <f>-513.95</f>
        <v>-513.95000000000005</v>
      </c>
      <c r="U27" s="2"/>
      <c r="V27" s="19"/>
      <c r="W27" s="2"/>
      <c r="X27" s="2">
        <f t="shared" si="2"/>
        <v>513.95000000000005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"4341", " - ", "SALES RETURN NON TAXABLE-LOGO")</f>
        <v xml:space="preserve">          4341 - SALES RETURN NON TAXABLE-LOGO</v>
      </c>
      <c r="C28" s="10"/>
      <c r="D28" s="2">
        <f t="shared" si="9"/>
        <v>0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>-11.2</f>
        <v>-11.2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-11.2</v>
      </c>
      <c r="Y28" s="2"/>
      <c r="Z28" s="19">
        <f t="shared" si="3"/>
        <v>0</v>
      </c>
    </row>
    <row r="29" spans="1:26" s="23" customFormat="1" hidden="1" outlineLevel="1" x14ac:dyDescent="0.25">
      <c r="A29" s="44"/>
      <c r="B29" s="10" t="str">
        <f>CONCATENATE("          ", "4342", " - ", "SALES RETURN NON TAXABLE-EVERY")</f>
        <v xml:space="preserve">          4342 - SALES RETURN NON TAXABLE-EVERY</v>
      </c>
      <c r="C29" s="10"/>
      <c r="D29" s="2">
        <f t="shared" si="9"/>
        <v>0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 t="shared" ref="P29:P31" si="11">0</f>
        <v>0</v>
      </c>
      <c r="Q29" s="2"/>
      <c r="R29" s="19"/>
      <c r="S29" s="2"/>
      <c r="T29" s="2">
        <f>-39.42</f>
        <v>-39.42</v>
      </c>
      <c r="U29" s="2"/>
      <c r="V29" s="19"/>
      <c r="W29" s="2"/>
      <c r="X29" s="2">
        <f t="shared" si="2"/>
        <v>39.42</v>
      </c>
      <c r="Y29" s="2"/>
      <c r="Z29" s="19">
        <f t="shared" si="3"/>
        <v>-1</v>
      </c>
    </row>
    <row r="30" spans="1:26" s="23" customFormat="1" hidden="1" outlineLevel="1" x14ac:dyDescent="0.25">
      <c r="A30" s="44"/>
      <c r="B30" s="10" t="str">
        <f>CONCATENATE("          ", "4346", " - ", "SALES RETURN NON TAXABLE-COIN-")</f>
        <v xml:space="preserve">          4346 - SALES RETURN NON TAXABLE-COIN-</v>
      </c>
      <c r="C30" s="10"/>
      <c r="D30" s="2">
        <f t="shared" si="9"/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0"/>
      <c r="P30" s="2">
        <f t="shared" si="11"/>
        <v>0</v>
      </c>
      <c r="Q30" s="2"/>
      <c r="R30" s="19"/>
      <c r="S30" s="2"/>
      <c r="T30" s="2">
        <f>-8.15</f>
        <v>-8.15</v>
      </c>
      <c r="U30" s="2"/>
      <c r="V30" s="19"/>
      <c r="W30" s="2"/>
      <c r="X30" s="2">
        <f t="shared" si="2"/>
        <v>8.15</v>
      </c>
      <c r="Y30" s="2"/>
      <c r="Z30" s="19">
        <f t="shared" si="3"/>
        <v>-1</v>
      </c>
    </row>
    <row r="31" spans="1:26" s="23" customFormat="1" hidden="1" outlineLevel="1" x14ac:dyDescent="0.25">
      <c r="A31" s="44"/>
      <c r="B31" s="10" t="str">
        <f>CONCATENATE("          ", "4347", " - ", "SALES RETURN NON TAXABLE-MISC")</f>
        <v xml:space="preserve">          4347 - SALES RETURN NON TAXABLE-MISC</v>
      </c>
      <c r="C31" s="10"/>
      <c r="D31" s="2">
        <f t="shared" si="9"/>
        <v>0</v>
      </c>
      <c r="E31" s="2"/>
      <c r="F31" s="19"/>
      <c r="G31" s="2"/>
      <c r="H31" s="2">
        <f t="shared" si="8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 t="shared" si="11"/>
        <v>0</v>
      </c>
      <c r="Q31" s="2"/>
      <c r="R31" s="19"/>
      <c r="S31" s="2"/>
      <c r="T31" s="2">
        <f>-84</f>
        <v>-84</v>
      </c>
      <c r="U31" s="2"/>
      <c r="V31" s="19"/>
      <c r="W31" s="2"/>
      <c r="X31" s="2">
        <f t="shared" si="2"/>
        <v>84</v>
      </c>
      <c r="Y31" s="2"/>
      <c r="Z31" s="19">
        <f t="shared" si="3"/>
        <v>-1</v>
      </c>
    </row>
    <row r="32" spans="1:26" x14ac:dyDescent="0.25">
      <c r="A32" s="9"/>
      <c r="B32" s="11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collapsed="1" x14ac:dyDescent="0.25">
      <c r="A33" s="11"/>
      <c r="B33" s="28" t="s">
        <v>256</v>
      </c>
      <c r="C33" s="11"/>
      <c r="D33" s="4">
        <f>SUM(OSRRefD16x_0)</f>
        <v>0</v>
      </c>
      <c r="E33" s="4"/>
      <c r="F33" s="13">
        <f t="shared" ref="F33:F38" si="12">IF(D$12=0,0,D33/D$12)</f>
        <v>0</v>
      </c>
      <c r="G33" s="4"/>
      <c r="H33" s="4">
        <f>SUM(OSRRefH16x_0)</f>
        <v>1050.3500000000004</v>
      </c>
      <c r="I33" s="4"/>
      <c r="J33" s="13">
        <f t="shared" ref="J33:J38" si="13">IF(H$12=0,0,H33/H$12)</f>
        <v>0.24576776835331976</v>
      </c>
      <c r="K33" s="4"/>
      <c r="L33" s="4">
        <f t="shared" ref="L33:L38" si="14">+D33-H33</f>
        <v>-1050.3500000000004</v>
      </c>
      <c r="M33" s="4"/>
      <c r="N33" s="13">
        <f t="shared" ref="N33:N38" si="15">IF(H33=0,0,L33/H33)</f>
        <v>-1</v>
      </c>
      <c r="O33" s="11"/>
      <c r="P33" s="4">
        <f>SUM(OSRRefP16x_0)</f>
        <v>0</v>
      </c>
      <c r="Q33" s="4"/>
      <c r="R33" s="13">
        <f t="shared" ref="R33:R38" si="16">IF(P$12=0,0,P33/P$12)</f>
        <v>0</v>
      </c>
      <c r="S33" s="4"/>
      <c r="T33" s="4">
        <f>SUM(OSRRefT16x_0)</f>
        <v>9471.41</v>
      </c>
      <c r="U33" s="4"/>
      <c r="V33" s="13">
        <f t="shared" ref="V33:V38" si="17">IF(T$12=0,0,T33/T$12)</f>
        <v>1.9257336598528144E-2</v>
      </c>
      <c r="W33" s="4"/>
      <c r="X33" s="4">
        <f t="shared" ref="X33:X38" si="18">+P33-T33</f>
        <v>-9471.41</v>
      </c>
      <c r="Y33" s="4"/>
      <c r="Z33" s="13">
        <f t="shared" ref="Z33:Z38" si="19">IF(T33=0,0,X33/T33)</f>
        <v>-1</v>
      </c>
    </row>
    <row r="34" spans="1:26" s="23" customFormat="1" hidden="1" outlineLevel="1" x14ac:dyDescent="0.25">
      <c r="A34" s="44"/>
      <c r="B34" s="10" t="str">
        <f>CONCATENATE("          ", "5092", " - ", "PURCHASES @ COST-GRAD MERCH")</f>
        <v xml:space="preserve">          5092 - PURCHASES @ COST-GRAD MERCH</v>
      </c>
      <c r="C34" s="10"/>
      <c r="D34" s="2"/>
      <c r="E34" s="2"/>
      <c r="F34" s="19">
        <f t="shared" si="12"/>
        <v>0</v>
      </c>
      <c r="G34" s="2"/>
      <c r="H34" s="2">
        <v>5539.35</v>
      </c>
      <c r="I34" s="2"/>
      <c r="J34" s="19">
        <f t="shared" si="13"/>
        <v>1.296133372331091</v>
      </c>
      <c r="K34" s="2"/>
      <c r="L34" s="2">
        <f t="shared" si="14"/>
        <v>-5539.35</v>
      </c>
      <c r="M34" s="2"/>
      <c r="N34" s="19">
        <f t="shared" si="15"/>
        <v>-1</v>
      </c>
      <c r="O34" s="10"/>
      <c r="P34" s="2">
        <v>0</v>
      </c>
      <c r="Q34" s="2"/>
      <c r="R34" s="19">
        <f t="shared" si="16"/>
        <v>0</v>
      </c>
      <c r="S34" s="2"/>
      <c r="T34" s="2">
        <v>8545.83</v>
      </c>
      <c r="U34" s="2"/>
      <c r="V34" s="19">
        <f t="shared" si="17"/>
        <v>1.7375440913633744E-2</v>
      </c>
      <c r="W34" s="2"/>
      <c r="X34" s="2">
        <f t="shared" si="18"/>
        <v>-8545.83</v>
      </c>
      <c r="Y34" s="2"/>
      <c r="Z34" s="19">
        <f t="shared" si="19"/>
        <v>-1</v>
      </c>
    </row>
    <row r="35" spans="1:26" s="23" customFormat="1" hidden="1" outlineLevel="1" x14ac:dyDescent="0.25">
      <c r="A35" s="44"/>
      <c r="B35" s="10" t="str">
        <f>CONCATENATE("          ", "5095", " - ", "PURCHASES @ COST-CUSTOMER SERV")</f>
        <v xml:space="preserve">          5095 - PURCHASES @ COST-CUSTOMER SERV</v>
      </c>
      <c r="C35" s="10"/>
      <c r="D35" s="2"/>
      <c r="E35" s="2"/>
      <c r="F35" s="19">
        <f t="shared" si="12"/>
        <v>0</v>
      </c>
      <c r="G35" s="2"/>
      <c r="H35" s="2"/>
      <c r="I35" s="2"/>
      <c r="J35" s="19">
        <f t="shared" si="13"/>
        <v>0</v>
      </c>
      <c r="K35" s="2"/>
      <c r="L35" s="2">
        <f t="shared" si="14"/>
        <v>0</v>
      </c>
      <c r="M35" s="2"/>
      <c r="N35" s="19">
        <f t="shared" si="15"/>
        <v>0</v>
      </c>
      <c r="O35" s="10"/>
      <c r="P35" s="2"/>
      <c r="Q35" s="2"/>
      <c r="R35" s="19">
        <f t="shared" si="16"/>
        <v>0</v>
      </c>
      <c r="S35" s="2"/>
      <c r="T35" s="2">
        <v>11.85</v>
      </c>
      <c r="U35" s="2"/>
      <c r="V35" s="19">
        <f t="shared" si="17"/>
        <v>2.4093502307740718E-5</v>
      </c>
      <c r="W35" s="2"/>
      <c r="X35" s="2">
        <f t="shared" si="18"/>
        <v>-11.85</v>
      </c>
      <c r="Y35" s="2"/>
      <c r="Z35" s="19">
        <f t="shared" si="19"/>
        <v>-1</v>
      </c>
    </row>
    <row r="36" spans="1:26" s="23" customFormat="1" hidden="1" outlineLevel="1" x14ac:dyDescent="0.25">
      <c r="A36" s="44"/>
      <c r="B36" s="10" t="str">
        <f>CONCATENATE("          ", "5200", " - ", "PURCHASES OFFSET")</f>
        <v xml:space="preserve">          5200 - PURCHASES OFFSET</v>
      </c>
      <c r="C36" s="10"/>
      <c r="D36" s="2"/>
      <c r="E36" s="2"/>
      <c r="F36" s="19">
        <f t="shared" si="12"/>
        <v>0</v>
      </c>
      <c r="G36" s="2"/>
      <c r="H36" s="2">
        <v>-5539</v>
      </c>
      <c r="I36" s="2"/>
      <c r="J36" s="19">
        <f t="shared" si="13"/>
        <v>-1.2960514770400702</v>
      </c>
      <c r="K36" s="2"/>
      <c r="L36" s="2">
        <f t="shared" si="14"/>
        <v>5539</v>
      </c>
      <c r="M36" s="2"/>
      <c r="N36" s="19">
        <f t="shared" si="15"/>
        <v>-1</v>
      </c>
      <c r="O36" s="10"/>
      <c r="P36" s="2"/>
      <c r="Q36" s="2"/>
      <c r="R36" s="19">
        <f t="shared" si="16"/>
        <v>0</v>
      </c>
      <c r="S36" s="2"/>
      <c r="T36" s="2">
        <v>-8677</v>
      </c>
      <c r="U36" s="2"/>
      <c r="V36" s="19">
        <f t="shared" si="17"/>
        <v>-1.7642136668714448E-2</v>
      </c>
      <c r="W36" s="2"/>
      <c r="X36" s="2">
        <f t="shared" si="18"/>
        <v>8677</v>
      </c>
      <c r="Y36" s="2"/>
      <c r="Z36" s="19">
        <f t="shared" si="19"/>
        <v>-1</v>
      </c>
    </row>
    <row r="37" spans="1:26" s="23" customFormat="1" hidden="1" outlineLevel="1" x14ac:dyDescent="0.25">
      <c r="A37" s="44"/>
      <c r="B37" s="10" t="str">
        <f>CONCATENATE("          ", "5300", " - ", "COG$ OFFSET")</f>
        <v xml:space="preserve">          5300 - COG$ OFFSET</v>
      </c>
      <c r="C37" s="10"/>
      <c r="D37" s="2"/>
      <c r="E37" s="2"/>
      <c r="F37" s="19">
        <f t="shared" si="12"/>
        <v>0</v>
      </c>
      <c r="G37" s="2"/>
      <c r="H37" s="2">
        <v>1050</v>
      </c>
      <c r="I37" s="2"/>
      <c r="J37" s="19">
        <f t="shared" si="13"/>
        <v>0.24568587306229892</v>
      </c>
      <c r="K37" s="2"/>
      <c r="L37" s="2">
        <f t="shared" si="14"/>
        <v>-1050</v>
      </c>
      <c r="M37" s="2"/>
      <c r="N37" s="19">
        <f t="shared" si="15"/>
        <v>-1</v>
      </c>
      <c r="O37" s="10"/>
      <c r="P37" s="2"/>
      <c r="Q37" s="2"/>
      <c r="R37" s="19">
        <f t="shared" si="16"/>
        <v>0</v>
      </c>
      <c r="S37" s="2"/>
      <c r="T37" s="2">
        <v>9472</v>
      </c>
      <c r="U37" s="2"/>
      <c r="V37" s="19">
        <f t="shared" si="17"/>
        <v>1.9258536190626167E-2</v>
      </c>
      <c r="W37" s="2"/>
      <c r="X37" s="2">
        <f t="shared" si="18"/>
        <v>-9472</v>
      </c>
      <c r="Y37" s="2"/>
      <c r="Z37" s="19">
        <f t="shared" si="19"/>
        <v>-1</v>
      </c>
    </row>
    <row r="38" spans="1:26" s="23" customFormat="1" hidden="1" outlineLevel="1" x14ac:dyDescent="0.25">
      <c r="A38" s="44"/>
      <c r="B38" s="10" t="str">
        <f>CONCATENATE("          ", "5592", " - ", "FREIGHT-IN-GRAD MERCH")</f>
        <v xml:space="preserve">          5592 - FREIGHT-IN-GRAD MERCH</v>
      </c>
      <c r="C38" s="10"/>
      <c r="D38" s="2"/>
      <c r="E38" s="2"/>
      <c r="F38" s="19">
        <f t="shared" si="12"/>
        <v>0</v>
      </c>
      <c r="G38" s="2"/>
      <c r="H38" s="2"/>
      <c r="I38" s="2"/>
      <c r="J38" s="19">
        <f t="shared" si="13"/>
        <v>0</v>
      </c>
      <c r="K38" s="2"/>
      <c r="L38" s="2">
        <f t="shared" si="14"/>
        <v>0</v>
      </c>
      <c r="M38" s="2"/>
      <c r="N38" s="19">
        <f t="shared" si="15"/>
        <v>0</v>
      </c>
      <c r="O38" s="10"/>
      <c r="P38" s="2">
        <v>0</v>
      </c>
      <c r="Q38" s="2"/>
      <c r="R38" s="19">
        <f t="shared" si="16"/>
        <v>0</v>
      </c>
      <c r="S38" s="2"/>
      <c r="T38" s="2">
        <v>118.73</v>
      </c>
      <c r="U38" s="2"/>
      <c r="V38" s="19">
        <f t="shared" si="17"/>
        <v>2.4140266067494139E-4</v>
      </c>
      <c r="W38" s="2"/>
      <c r="X38" s="2">
        <f t="shared" si="18"/>
        <v>-118.73</v>
      </c>
      <c r="Y38" s="2"/>
      <c r="Z38" s="19">
        <f t="shared" si="19"/>
        <v>-1</v>
      </c>
    </row>
    <row r="39" spans="1:26" x14ac:dyDescent="0.25">
      <c r="A39" s="9"/>
      <c r="B39" s="11"/>
      <c r="C39" s="11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1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4" customFormat="1" x14ac:dyDescent="0.25">
      <c r="A40" s="11"/>
      <c r="B40" s="29" t="s">
        <v>107</v>
      </c>
      <c r="C40" s="29"/>
      <c r="D40" s="20">
        <f>D12-D33</f>
        <v>3702.45</v>
      </c>
      <c r="E40" s="14"/>
      <c r="F40" s="22">
        <f>IF(D$12=0,0,D40/D$12)</f>
        <v>1</v>
      </c>
      <c r="G40" s="14"/>
      <c r="H40" s="20">
        <f>H12-H33</f>
        <v>3223.3999999999996</v>
      </c>
      <c r="I40" s="14"/>
      <c r="J40" s="22">
        <f>IF(H$12=0,0,H40/H$12)</f>
        <v>0.75423223164668018</v>
      </c>
      <c r="K40" s="16"/>
      <c r="L40" s="20">
        <f>+D40-H40</f>
        <v>479.05000000000018</v>
      </c>
      <c r="M40" s="16"/>
      <c r="N40" s="22">
        <f>IF(H40=0,0,L40/H40)</f>
        <v>0.14861636781038662</v>
      </c>
      <c r="O40" s="28"/>
      <c r="P40" s="20">
        <f>P12-P33</f>
        <v>114697.48</v>
      </c>
      <c r="Q40" s="14"/>
      <c r="R40" s="22">
        <f>IF(P$12=0,0,P40/P$12)</f>
        <v>1</v>
      </c>
      <c r="S40" s="14"/>
      <c r="T40" s="20">
        <f>T12-T33</f>
        <v>482362.43999999994</v>
      </c>
      <c r="U40" s="14"/>
      <c r="V40" s="22">
        <f>IF(T$12=0,0,T40/T$12)</f>
        <v>0.98074266340147187</v>
      </c>
      <c r="W40" s="16"/>
      <c r="X40" s="20">
        <f>+P40-T40</f>
        <v>-367664.95999999996</v>
      </c>
      <c r="Y40" s="16"/>
      <c r="Z40" s="22">
        <f>IF(T40=0,0,X40/T40)</f>
        <v>-0.76221722404422698</v>
      </c>
    </row>
    <row r="41" spans="1:26" x14ac:dyDescent="0.25">
      <c r="A41" s="9"/>
      <c r="B41" s="11"/>
      <c r="C41" s="9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4" customFormat="1" x14ac:dyDescent="0.25">
      <c r="A42" s="11"/>
      <c r="B42" s="28" t="s">
        <v>294</v>
      </c>
      <c r="C42" s="11"/>
      <c r="D42" s="21">
        <f>SUM(OSRRefD22x_0)</f>
        <v>15294.86</v>
      </c>
      <c r="E42" s="21"/>
      <c r="F42" s="31">
        <f t="shared" ref="F42:F51" si="20">IF(D$12=0,0,D42/D$12)</f>
        <v>4.1310105470701837</v>
      </c>
      <c r="G42" s="21"/>
      <c r="H42" s="21">
        <f>SUM(OSRRefH22x_0)</f>
        <v>34281.200000000004</v>
      </c>
      <c r="I42" s="21"/>
      <c r="J42" s="31">
        <f t="shared" ref="J42:J51" si="21">IF(H$12=0,0,H42/H$12)</f>
        <v>8.0213395729745542</v>
      </c>
      <c r="K42" s="4"/>
      <c r="L42" s="21">
        <f t="shared" ref="L42:L51" si="22">+D42-H42</f>
        <v>-18986.340000000004</v>
      </c>
      <c r="M42" s="4"/>
      <c r="N42" s="31">
        <f t="shared" ref="N42:N51" si="23">IF(H42=0,0,L42/H42)</f>
        <v>-0.55384117242103548</v>
      </c>
      <c r="O42" s="11"/>
      <c r="P42" s="21">
        <f>SUM(OSRRefP22x_0)</f>
        <v>272559.77000000008</v>
      </c>
      <c r="Q42" s="21"/>
      <c r="R42" s="31">
        <f t="shared" ref="R42:R51" si="24">IF(P$12=0,0,P42/P$12)</f>
        <v>2.3763361671067238</v>
      </c>
      <c r="S42" s="21"/>
      <c r="T42" s="21">
        <f>SUM(OSRRefT22x_0)</f>
        <v>455064.84000000008</v>
      </c>
      <c r="U42" s="21"/>
      <c r="V42" s="31">
        <f t="shared" ref="V42:V51" si="25">IF(T$12=0,0,T42/T$12)</f>
        <v>0.92524099347777744</v>
      </c>
      <c r="W42" s="4"/>
      <c r="X42" s="21">
        <f t="shared" ref="X42:X51" si="26">+P42-T42</f>
        <v>-182505.07</v>
      </c>
      <c r="Y42" s="4"/>
      <c r="Z42" s="31">
        <f t="shared" ref="Z42:Z51" si="27">IF(T42=0,0,X42/T42)</f>
        <v>-0.40105289171538716</v>
      </c>
    </row>
    <row r="43" spans="1:26" s="26" customFormat="1" outlineLevel="1" collapsed="1" x14ac:dyDescent="0.25">
      <c r="A43" s="25"/>
      <c r="B43" s="12" t="str">
        <f>CONCATENATE("     ","*Benefits                                         ")</f>
        <v xml:space="preserve">     *Benefits                                         </v>
      </c>
      <c r="C43" s="12"/>
      <c r="D43" s="1">
        <f>SUM(OSRRefD22_0x_0)</f>
        <v>10512.210000000001</v>
      </c>
      <c r="E43" s="1"/>
      <c r="F43" s="5">
        <f t="shared" si="20"/>
        <v>2.839257788761496</v>
      </c>
      <c r="G43" s="1"/>
      <c r="H43" s="1">
        <f>SUM(OSRRefH22_0x_0)</f>
        <v>7793.3899999999994</v>
      </c>
      <c r="I43" s="1"/>
      <c r="J43" s="5">
        <f t="shared" si="21"/>
        <v>1.8235484059666567</v>
      </c>
      <c r="K43" s="1"/>
      <c r="L43" s="1">
        <f t="shared" si="22"/>
        <v>2718.8200000000015</v>
      </c>
      <c r="M43" s="1"/>
      <c r="N43" s="5">
        <f t="shared" si="23"/>
        <v>0.348862305107277</v>
      </c>
      <c r="O43" s="12"/>
      <c r="P43" s="1">
        <f>SUM(OSRRefP22_0x_0)</f>
        <v>94898.33</v>
      </c>
      <c r="Q43" s="1"/>
      <c r="R43" s="5">
        <f t="shared" si="24"/>
        <v>0.82737938095937247</v>
      </c>
      <c r="S43" s="1"/>
      <c r="T43" s="1">
        <f>SUM(OSRRefT22_0x_0)</f>
        <v>83105.049999999988</v>
      </c>
      <c r="U43" s="1"/>
      <c r="V43" s="5">
        <f t="shared" si="25"/>
        <v>0.16896976489113144</v>
      </c>
      <c r="W43" s="1"/>
      <c r="X43" s="1">
        <f t="shared" si="26"/>
        <v>11793.280000000013</v>
      </c>
      <c r="Y43" s="1"/>
      <c r="Z43" s="5">
        <f t="shared" si="27"/>
        <v>0.14190810305751594</v>
      </c>
    </row>
    <row r="44" spans="1:26" s="23" customFormat="1" hidden="1" outlineLevel="2" x14ac:dyDescent="0.25">
      <c r="A44" s="27"/>
      <c r="B44" s="10" t="str">
        <f>CONCATENATE("          ", "6111", " - ", "F.I.C.A.")</f>
        <v xml:space="preserve">          6111 - F.I.C.A.</v>
      </c>
      <c r="C44" s="10"/>
      <c r="D44" s="6">
        <v>1823.33</v>
      </c>
      <c r="E44" s="2"/>
      <c r="F44" s="7">
        <f t="shared" si="20"/>
        <v>0.49246579967318937</v>
      </c>
      <c r="G44" s="2"/>
      <c r="H44" s="6">
        <v>1307.3499999999999</v>
      </c>
      <c r="I44" s="2"/>
      <c r="J44" s="7">
        <f t="shared" si="21"/>
        <v>0.30590231061713952</v>
      </c>
      <c r="K44" s="2"/>
      <c r="L44" s="6">
        <f t="shared" si="22"/>
        <v>515.98</v>
      </c>
      <c r="M44" s="2"/>
      <c r="N44" s="7">
        <f t="shared" si="23"/>
        <v>0.39467625348988417</v>
      </c>
      <c r="O44" s="10"/>
      <c r="P44" s="6">
        <v>13291.02</v>
      </c>
      <c r="Q44" s="2"/>
      <c r="R44" s="7">
        <f t="shared" si="24"/>
        <v>0.1158789190486138</v>
      </c>
      <c r="S44" s="2"/>
      <c r="T44" s="6">
        <v>13152.33</v>
      </c>
      <c r="U44" s="2"/>
      <c r="V44" s="7">
        <f t="shared" si="25"/>
        <v>2.6741408709465609E-2</v>
      </c>
      <c r="W44" s="2"/>
      <c r="X44" s="6">
        <f t="shared" si="26"/>
        <v>138.69000000000051</v>
      </c>
      <c r="Y44" s="2"/>
      <c r="Z44" s="7">
        <f t="shared" si="27"/>
        <v>1.0544899648959577E-2</v>
      </c>
    </row>
    <row r="45" spans="1:26" s="23" customFormat="1" hidden="1" outlineLevel="2" x14ac:dyDescent="0.25">
      <c r="A45" s="27"/>
      <c r="B45" s="10" t="str">
        <f>CONCATENATE("          ", "6112", " - ", "COMPENSATION INSURANCE")</f>
        <v xml:space="preserve">          6112 - COMPENSATION INSURANCE</v>
      </c>
      <c r="C45" s="10"/>
      <c r="D45" s="6">
        <v>306.89</v>
      </c>
      <c r="E45" s="2"/>
      <c r="F45" s="7">
        <f t="shared" si="20"/>
        <v>8.2888357709084523E-2</v>
      </c>
      <c r="G45" s="2"/>
      <c r="H45" s="6">
        <v>216.57</v>
      </c>
      <c r="I45" s="2"/>
      <c r="J45" s="7">
        <f t="shared" si="21"/>
        <v>5.0674466218192452E-2</v>
      </c>
      <c r="K45" s="2"/>
      <c r="L45" s="6">
        <f t="shared" si="22"/>
        <v>90.32</v>
      </c>
      <c r="M45" s="2"/>
      <c r="N45" s="7">
        <f t="shared" si="23"/>
        <v>0.41704760585491985</v>
      </c>
      <c r="O45" s="10"/>
      <c r="P45" s="6">
        <v>3337.15</v>
      </c>
      <c r="Q45" s="2"/>
      <c r="R45" s="7">
        <f t="shared" si="24"/>
        <v>2.9095233827281995E-2</v>
      </c>
      <c r="S45" s="2"/>
      <c r="T45" s="6">
        <v>2116.48</v>
      </c>
      <c r="U45" s="2"/>
      <c r="V45" s="7">
        <f t="shared" si="25"/>
        <v>4.3032418366486984E-3</v>
      </c>
      <c r="W45" s="2"/>
      <c r="X45" s="6">
        <f t="shared" si="26"/>
        <v>1220.67</v>
      </c>
      <c r="Y45" s="2"/>
      <c r="Z45" s="7">
        <f t="shared" si="27"/>
        <v>0.57674535077109168</v>
      </c>
    </row>
    <row r="46" spans="1:26" s="23" customFormat="1" hidden="1" outlineLevel="2" x14ac:dyDescent="0.25">
      <c r="A46" s="27"/>
      <c r="B46" s="10" t="str">
        <f>CONCATENATE("          ", "6113", " - ", "GROUP INSURANCE")</f>
        <v xml:space="preserve">          6113 - GROUP INSURANCE</v>
      </c>
      <c r="C46" s="10"/>
      <c r="D46" s="6">
        <v>3421.48</v>
      </c>
      <c r="E46" s="2"/>
      <c r="F46" s="7">
        <f t="shared" si="20"/>
        <v>0.92411241205147943</v>
      </c>
      <c r="G46" s="2"/>
      <c r="H46" s="6">
        <v>2724.48</v>
      </c>
      <c r="I46" s="2"/>
      <c r="J46" s="7">
        <f t="shared" si="21"/>
        <v>0.63749166422930681</v>
      </c>
      <c r="K46" s="2"/>
      <c r="L46" s="6">
        <f t="shared" si="22"/>
        <v>697</v>
      </c>
      <c r="M46" s="2"/>
      <c r="N46" s="7">
        <f t="shared" si="23"/>
        <v>0.25582863518910032</v>
      </c>
      <c r="O46" s="10"/>
      <c r="P46" s="6">
        <v>36057.25</v>
      </c>
      <c r="Q46" s="2"/>
      <c r="R46" s="7">
        <f t="shared" si="24"/>
        <v>0.31436828429011693</v>
      </c>
      <c r="S46" s="2"/>
      <c r="T46" s="6">
        <v>30067.27</v>
      </c>
      <c r="U46" s="2"/>
      <c r="V46" s="7">
        <f t="shared" si="25"/>
        <v>6.1132982205271164E-2</v>
      </c>
      <c r="W46" s="2"/>
      <c r="X46" s="6">
        <f t="shared" si="26"/>
        <v>5989.98</v>
      </c>
      <c r="Y46" s="2"/>
      <c r="Z46" s="7">
        <f t="shared" si="27"/>
        <v>0.19921928395893607</v>
      </c>
    </row>
    <row r="47" spans="1:26" s="23" customFormat="1" hidden="1" outlineLevel="2" x14ac:dyDescent="0.25">
      <c r="A47" s="27"/>
      <c r="B47" s="10" t="str">
        <f>CONCATENATE("          ", "6114", " - ", "STATE UNEMPLOYMENT INSURANCE")</f>
        <v xml:space="preserve">          6114 - STATE UNEMPLOYMENT INSURANCE</v>
      </c>
      <c r="C47" s="10"/>
      <c r="D47" s="6">
        <v>43.13</v>
      </c>
      <c r="E47" s="2"/>
      <c r="F47" s="7">
        <f t="shared" si="20"/>
        <v>1.1649043201123581E-2</v>
      </c>
      <c r="G47" s="2"/>
      <c r="H47" s="6">
        <v>29.64</v>
      </c>
      <c r="I47" s="2"/>
      <c r="J47" s="7">
        <f t="shared" si="21"/>
        <v>6.9353612167300386E-3</v>
      </c>
      <c r="K47" s="2"/>
      <c r="L47" s="6">
        <f t="shared" si="22"/>
        <v>13.490000000000002</v>
      </c>
      <c r="M47" s="2"/>
      <c r="N47" s="7">
        <f t="shared" si="23"/>
        <v>0.45512820512820518</v>
      </c>
      <c r="O47" s="10"/>
      <c r="P47" s="6">
        <v>468.99</v>
      </c>
      <c r="Q47" s="2"/>
      <c r="R47" s="7">
        <f t="shared" si="24"/>
        <v>4.088930288616629E-3</v>
      </c>
      <c r="S47" s="2"/>
      <c r="T47" s="6">
        <v>484.08</v>
      </c>
      <c r="U47" s="2"/>
      <c r="V47" s="7">
        <f t="shared" si="25"/>
        <v>9.8423481832330176E-4</v>
      </c>
      <c r="W47" s="2"/>
      <c r="X47" s="6">
        <f t="shared" si="26"/>
        <v>-15.089999999999975</v>
      </c>
      <c r="Y47" s="2"/>
      <c r="Z47" s="7">
        <f t="shared" si="27"/>
        <v>-3.1172533465542836E-2</v>
      </c>
    </row>
    <row r="48" spans="1:26" s="23" customFormat="1" hidden="1" outlineLevel="2" x14ac:dyDescent="0.25">
      <c r="A48" s="27"/>
      <c r="B48" s="10" t="str">
        <f>CONCATENATE("          ", "6115", " - ", "P.E.R.S.")</f>
        <v xml:space="preserve">          6115 - P.E.R.S.</v>
      </c>
      <c r="C48" s="10"/>
      <c r="D48" s="6">
        <v>1596.69</v>
      </c>
      <c r="E48" s="2"/>
      <c r="F48" s="7">
        <f t="shared" si="20"/>
        <v>0.43125227889640649</v>
      </c>
      <c r="G48" s="2"/>
      <c r="H48" s="6">
        <v>1166.77</v>
      </c>
      <c r="I48" s="2"/>
      <c r="J48" s="7">
        <f t="shared" si="21"/>
        <v>0.27300848201228428</v>
      </c>
      <c r="K48" s="2"/>
      <c r="L48" s="6">
        <f t="shared" si="22"/>
        <v>429.92000000000007</v>
      </c>
      <c r="M48" s="2"/>
      <c r="N48" s="7">
        <f t="shared" si="23"/>
        <v>0.36847022120897871</v>
      </c>
      <c r="O48" s="10"/>
      <c r="P48" s="6">
        <v>17311.48</v>
      </c>
      <c r="Q48" s="2"/>
      <c r="R48" s="7">
        <f t="shared" si="24"/>
        <v>0.15093165080871873</v>
      </c>
      <c r="S48" s="2"/>
      <c r="T48" s="6">
        <v>13219.88</v>
      </c>
      <c r="U48" s="2"/>
      <c r="V48" s="7">
        <f t="shared" si="25"/>
        <v>2.6878751838654458E-2</v>
      </c>
      <c r="W48" s="2"/>
      <c r="X48" s="6">
        <f t="shared" si="26"/>
        <v>4091.6000000000004</v>
      </c>
      <c r="Y48" s="2"/>
      <c r="Z48" s="7">
        <f t="shared" si="27"/>
        <v>0.30950356584174749</v>
      </c>
    </row>
    <row r="49" spans="1:26" s="23" customFormat="1" hidden="1" outlineLevel="2" x14ac:dyDescent="0.25">
      <c r="A49" s="27"/>
      <c r="B49" s="10" t="str">
        <f>CONCATENATE("          ", "6118", " - ", "VACATION")</f>
        <v xml:space="preserve">          6118 - VACATION</v>
      </c>
      <c r="C49" s="10"/>
      <c r="D49" s="6">
        <v>1824.15</v>
      </c>
      <c r="E49" s="2"/>
      <c r="F49" s="7">
        <f t="shared" si="20"/>
        <v>0.49268727464246653</v>
      </c>
      <c r="G49" s="2"/>
      <c r="H49" s="6">
        <v>1558.77</v>
      </c>
      <c r="I49" s="2"/>
      <c r="J49" s="7">
        <f t="shared" si="21"/>
        <v>0.36473120795554254</v>
      </c>
      <c r="K49" s="2"/>
      <c r="L49" s="6">
        <f t="shared" si="22"/>
        <v>265.38000000000011</v>
      </c>
      <c r="M49" s="2"/>
      <c r="N49" s="7">
        <f t="shared" si="23"/>
        <v>0.1702496198926077</v>
      </c>
      <c r="O49" s="10"/>
      <c r="P49" s="6">
        <v>13139.88</v>
      </c>
      <c r="Q49" s="2"/>
      <c r="R49" s="7">
        <f t="shared" si="24"/>
        <v>0.11456119175416932</v>
      </c>
      <c r="S49" s="2"/>
      <c r="T49" s="6">
        <v>13453.74</v>
      </c>
      <c r="U49" s="2"/>
      <c r="V49" s="7">
        <f t="shared" si="25"/>
        <v>2.7354237614999461E-2</v>
      </c>
      <c r="W49" s="2"/>
      <c r="X49" s="6">
        <f t="shared" si="26"/>
        <v>-313.86000000000058</v>
      </c>
      <c r="Y49" s="2"/>
      <c r="Z49" s="7">
        <f t="shared" si="27"/>
        <v>-2.3328829009628592E-2</v>
      </c>
    </row>
    <row r="50" spans="1:26" s="23" customFormat="1" hidden="1" outlineLevel="2" x14ac:dyDescent="0.25">
      <c r="A50" s="27"/>
      <c r="B50" s="10" t="str">
        <f>CONCATENATE("          ", "6119", " - ", "SICK LEAVE")</f>
        <v xml:space="preserve">          6119 - SICK LEAVE</v>
      </c>
      <c r="C50" s="10"/>
      <c r="D50" s="6">
        <v>1107.75</v>
      </c>
      <c r="E50" s="2"/>
      <c r="F50" s="7">
        <f t="shared" si="20"/>
        <v>0.29919377709354616</v>
      </c>
      <c r="G50" s="2"/>
      <c r="H50" s="6">
        <v>789.81</v>
      </c>
      <c r="I50" s="2"/>
      <c r="J50" s="7">
        <f t="shared" si="21"/>
        <v>0.18480491371746124</v>
      </c>
      <c r="K50" s="2"/>
      <c r="L50" s="6">
        <f t="shared" si="22"/>
        <v>317.94000000000005</v>
      </c>
      <c r="M50" s="2"/>
      <c r="N50" s="7">
        <f t="shared" si="23"/>
        <v>0.40255251262961989</v>
      </c>
      <c r="O50" s="10"/>
      <c r="P50" s="6">
        <v>8017.52</v>
      </c>
      <c r="Q50" s="2"/>
      <c r="R50" s="7">
        <f t="shared" si="24"/>
        <v>6.9901448575853634E-2</v>
      </c>
      <c r="S50" s="2"/>
      <c r="T50" s="6">
        <v>8168.76</v>
      </c>
      <c r="U50" s="2"/>
      <c r="V50" s="7">
        <f t="shared" si="25"/>
        <v>1.6608779570580597E-2</v>
      </c>
      <c r="W50" s="2"/>
      <c r="X50" s="6">
        <f t="shared" si="26"/>
        <v>-151.23999999999978</v>
      </c>
      <c r="Y50" s="2"/>
      <c r="Z50" s="7">
        <f t="shared" si="27"/>
        <v>-1.8514437931828061E-2</v>
      </c>
    </row>
    <row r="51" spans="1:26" s="23" customFormat="1" hidden="1" outlineLevel="2" x14ac:dyDescent="0.25">
      <c r="A51" s="27"/>
      <c r="B51" s="10" t="str">
        <f>CONCATENATE("          ", "6156", " - ", "EMPLOYEE MEALS")</f>
        <v xml:space="preserve">          6156 - EMPLOYEE MEALS</v>
      </c>
      <c r="C51" s="10"/>
      <c r="D51" s="6">
        <v>388.79</v>
      </c>
      <c r="E51" s="2"/>
      <c r="F51" s="7">
        <f t="shared" si="20"/>
        <v>0.1050088454941998</v>
      </c>
      <c r="G51" s="2"/>
      <c r="H51" s="6"/>
      <c r="I51" s="2"/>
      <c r="J51" s="7">
        <f t="shared" si="21"/>
        <v>0</v>
      </c>
      <c r="K51" s="2"/>
      <c r="L51" s="6">
        <f t="shared" si="22"/>
        <v>388.79</v>
      </c>
      <c r="M51" s="2"/>
      <c r="N51" s="7">
        <f t="shared" si="23"/>
        <v>0</v>
      </c>
      <c r="O51" s="10"/>
      <c r="P51" s="6">
        <v>3275.04</v>
      </c>
      <c r="Q51" s="2"/>
      <c r="R51" s="7">
        <f t="shared" si="24"/>
        <v>2.8553722366001417E-2</v>
      </c>
      <c r="S51" s="2"/>
      <c r="T51" s="6">
        <v>2442.5100000000002</v>
      </c>
      <c r="U51" s="2"/>
      <c r="V51" s="7">
        <f t="shared" si="25"/>
        <v>4.9661282971881675E-3</v>
      </c>
      <c r="W51" s="2"/>
      <c r="X51" s="6">
        <f t="shared" si="26"/>
        <v>832.52999999999975</v>
      </c>
      <c r="Y51" s="2"/>
      <c r="Z51" s="7">
        <f t="shared" si="27"/>
        <v>0.3408501909920531</v>
      </c>
    </row>
    <row r="52" spans="1:26" s="26" customFormat="1" outlineLevel="1" collapsed="1" x14ac:dyDescent="0.25">
      <c r="A52" s="25"/>
      <c r="B52" s="12" t="str">
        <f>CONCATENATE("     ","*Payroll                                          ")</f>
        <v xml:space="preserve">     *Payroll                                          </v>
      </c>
      <c r="C52" s="12"/>
      <c r="D52" s="1">
        <f>SUM(OSRRefD22_1x_0)</f>
        <v>16035.06</v>
      </c>
      <c r="E52" s="1"/>
      <c r="F52" s="5">
        <f t="shared" ref="F52:F57" si="28">IF(D$12=0,0,D52/D$12)</f>
        <v>4.3309322205566589</v>
      </c>
      <c r="G52" s="1"/>
      <c r="H52" s="1">
        <f>SUM(OSRRefH22_1x_0)</f>
        <v>10574.62</v>
      </c>
      <c r="I52" s="1"/>
      <c r="J52" s="5">
        <f t="shared" ref="J52:J57" si="29">IF(H$12=0,0,H52/H$12)</f>
        <v>2.4743188066686166</v>
      </c>
      <c r="K52" s="1"/>
      <c r="L52" s="1">
        <f t="shared" ref="L52:L57" si="30">+D52-H52</f>
        <v>5460.4399999999987</v>
      </c>
      <c r="M52" s="1"/>
      <c r="N52" s="5">
        <f t="shared" ref="N52:N57" si="31">IF(H52=0,0,L52/H52)</f>
        <v>0.5163722195218361</v>
      </c>
      <c r="O52" s="12"/>
      <c r="P52" s="1">
        <f>SUM(OSRRefP22_1x_0)</f>
        <v>154853.63</v>
      </c>
      <c r="Q52" s="1"/>
      <c r="R52" s="5">
        <f t="shared" ref="R52:R57" si="32">IF(P$12=0,0,P52/P$12)</f>
        <v>1.3501049020431837</v>
      </c>
      <c r="S52" s="1"/>
      <c r="T52" s="1">
        <f>SUM(OSRRefT22_1x_0)</f>
        <v>169988.78</v>
      </c>
      <c r="U52" s="1"/>
      <c r="V52" s="5">
        <f t="shared" ref="V52:V57" si="33">IF(T$12=0,0,T52/T$12)</f>
        <v>0.34562236820422187</v>
      </c>
      <c r="W52" s="1"/>
      <c r="X52" s="1">
        <f t="shared" ref="X52:X57" si="34">+P52-T52</f>
        <v>-15135.149999999994</v>
      </c>
      <c r="Y52" s="1"/>
      <c r="Z52" s="5">
        <f t="shared" ref="Z52:Z57" si="35">IF(T52=0,0,X52/T52)</f>
        <v>-8.9036170504900355E-2</v>
      </c>
    </row>
    <row r="53" spans="1:26" s="23" customFormat="1" hidden="1" outlineLevel="2" x14ac:dyDescent="0.25">
      <c r="A53" s="27"/>
      <c r="B53" s="10" t="str">
        <f>CONCATENATE("          ", "6002", " - ", "STAFF SALARIES")</f>
        <v xml:space="preserve">          6002 - STAFF SALARIES</v>
      </c>
      <c r="C53" s="10"/>
      <c r="D53" s="6">
        <v>15385.34</v>
      </c>
      <c r="E53" s="2"/>
      <c r="F53" s="7">
        <f t="shared" si="28"/>
        <v>4.1554484192899297</v>
      </c>
      <c r="G53" s="2"/>
      <c r="H53" s="6">
        <v>10574.62</v>
      </c>
      <c r="I53" s="2"/>
      <c r="J53" s="7">
        <f t="shared" si="29"/>
        <v>2.4743188066686166</v>
      </c>
      <c r="K53" s="2"/>
      <c r="L53" s="6">
        <f t="shared" si="30"/>
        <v>4810.7199999999993</v>
      </c>
      <c r="M53" s="2"/>
      <c r="N53" s="7">
        <f t="shared" si="31"/>
        <v>0.45493076819781691</v>
      </c>
      <c r="O53" s="10"/>
      <c r="P53" s="6">
        <v>147857.13</v>
      </c>
      <c r="Q53" s="2"/>
      <c r="R53" s="7">
        <f t="shared" si="32"/>
        <v>1.2891053055394068</v>
      </c>
      <c r="S53" s="2"/>
      <c r="T53" s="6">
        <v>113327.62</v>
      </c>
      <c r="U53" s="2"/>
      <c r="V53" s="7">
        <f t="shared" si="33"/>
        <v>0.23041850413508549</v>
      </c>
      <c r="W53" s="2"/>
      <c r="X53" s="6">
        <f t="shared" si="34"/>
        <v>34529.510000000009</v>
      </c>
      <c r="Y53" s="2"/>
      <c r="Z53" s="7">
        <f t="shared" si="35"/>
        <v>0.30468750689372998</v>
      </c>
    </row>
    <row r="54" spans="1:26" s="23" customFormat="1" hidden="1" outlineLevel="2" x14ac:dyDescent="0.25">
      <c r="A54" s="27"/>
      <c r="B54" s="10" t="str">
        <f>CONCATENATE("          ", "6004", " - ", "STAFF HOURLY")</f>
        <v xml:space="preserve">          6004 - STAFF HOURLY</v>
      </c>
      <c r="C54" s="10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0"/>
      <c r="P54" s="6"/>
      <c r="Q54" s="2"/>
      <c r="R54" s="7">
        <f t="shared" si="32"/>
        <v>0</v>
      </c>
      <c r="S54" s="2"/>
      <c r="T54" s="6">
        <v>491.67</v>
      </c>
      <c r="U54" s="2"/>
      <c r="V54" s="7">
        <f t="shared" si="33"/>
        <v>9.9966685904193065E-4</v>
      </c>
      <c r="W54" s="2"/>
      <c r="X54" s="6">
        <f t="shared" si="34"/>
        <v>-491.67</v>
      </c>
      <c r="Y54" s="2"/>
      <c r="Z54" s="7">
        <f t="shared" si="35"/>
        <v>-1</v>
      </c>
    </row>
    <row r="55" spans="1:26" s="23" customFormat="1" hidden="1" outlineLevel="2" x14ac:dyDescent="0.25">
      <c r="A55" s="27"/>
      <c r="B55" s="10" t="str">
        <f>CONCATENATE("          ", "6005", " - ", "TEMPORARY WAGES-HOURLY")</f>
        <v xml:space="preserve">          6005 - TEMPORARY WAGES-HOURLY</v>
      </c>
      <c r="C55" s="10"/>
      <c r="D55" s="6"/>
      <c r="E55" s="2"/>
      <c r="F55" s="7">
        <f t="shared" si="28"/>
        <v>0</v>
      </c>
      <c r="G55" s="2"/>
      <c r="H55" s="6"/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0"/>
      <c r="P55" s="6">
        <v>383.25</v>
      </c>
      <c r="Q55" s="2"/>
      <c r="R55" s="7">
        <f t="shared" si="32"/>
        <v>3.3413986078857181E-3</v>
      </c>
      <c r="S55" s="2"/>
      <c r="T55" s="6">
        <v>18251.97</v>
      </c>
      <c r="U55" s="2"/>
      <c r="V55" s="7">
        <f t="shared" si="33"/>
        <v>3.7110032178549739E-2</v>
      </c>
      <c r="W55" s="2"/>
      <c r="X55" s="6">
        <f t="shared" si="34"/>
        <v>-17868.72</v>
      </c>
      <c r="Y55" s="2"/>
      <c r="Z55" s="7">
        <f t="shared" si="35"/>
        <v>-0.97900226660464595</v>
      </c>
    </row>
    <row r="56" spans="1:26" s="23" customFormat="1" hidden="1" outlineLevel="2" x14ac:dyDescent="0.25">
      <c r="A56" s="27"/>
      <c r="B56" s="10" t="str">
        <f>CONCATENATE("          ", "6006", " - ", "TEMPORARY PART TIME")</f>
        <v xml:space="preserve">          6006 - TEMPORARY PART TIME</v>
      </c>
      <c r="C56" s="10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0"/>
      <c r="P56" s="6"/>
      <c r="Q56" s="2"/>
      <c r="R56" s="7">
        <f t="shared" si="32"/>
        <v>0</v>
      </c>
      <c r="S56" s="2"/>
      <c r="T56" s="6">
        <v>2571.56</v>
      </c>
      <c r="U56" s="2"/>
      <c r="V56" s="7">
        <f t="shared" si="33"/>
        <v>5.2285136535437735E-3</v>
      </c>
      <c r="W56" s="2"/>
      <c r="X56" s="6">
        <f t="shared" si="34"/>
        <v>-2571.56</v>
      </c>
      <c r="Y56" s="2"/>
      <c r="Z56" s="7">
        <f t="shared" si="35"/>
        <v>-1</v>
      </c>
    </row>
    <row r="57" spans="1:26" s="23" customFormat="1" hidden="1" outlineLevel="2" x14ac:dyDescent="0.25">
      <c r="A57" s="27"/>
      <c r="B57" s="10" t="str">
        <f>CONCATENATE("          ", "6007", " - ", "STUDENT HOURLY")</f>
        <v xml:space="preserve">          6007 - STUDENT HOURLY</v>
      </c>
      <c r="C57" s="10"/>
      <c r="D57" s="6">
        <v>649.72</v>
      </c>
      <c r="E57" s="2"/>
      <c r="F57" s="7">
        <f t="shared" si="28"/>
        <v>0.1754838012667288</v>
      </c>
      <c r="G57" s="2"/>
      <c r="H57" s="6"/>
      <c r="I57" s="2"/>
      <c r="J57" s="7">
        <f t="shared" si="29"/>
        <v>0</v>
      </c>
      <c r="K57" s="2"/>
      <c r="L57" s="6">
        <f t="shared" si="30"/>
        <v>649.72</v>
      </c>
      <c r="M57" s="2"/>
      <c r="N57" s="7">
        <f t="shared" si="31"/>
        <v>0</v>
      </c>
      <c r="O57" s="10"/>
      <c r="P57" s="6">
        <v>6613.25</v>
      </c>
      <c r="Q57" s="2"/>
      <c r="R57" s="7">
        <f t="shared" si="32"/>
        <v>5.7658197895891002E-2</v>
      </c>
      <c r="S57" s="2"/>
      <c r="T57" s="6">
        <v>35345.96</v>
      </c>
      <c r="U57" s="2"/>
      <c r="V57" s="7">
        <f t="shared" si="33"/>
        <v>7.1865651378000939E-2</v>
      </c>
      <c r="W57" s="2"/>
      <c r="X57" s="6">
        <f t="shared" si="34"/>
        <v>-28732.71</v>
      </c>
      <c r="Y57" s="2"/>
      <c r="Z57" s="7">
        <f t="shared" si="35"/>
        <v>-0.81289940915453984</v>
      </c>
    </row>
    <row r="58" spans="1:26" s="26" customFormat="1" outlineLevel="1" collapsed="1" x14ac:dyDescent="0.25">
      <c r="A58" s="25"/>
      <c r="B58" s="12" t="str">
        <f>CONCATENATE("     ","Advertising/Promo                                 ")</f>
        <v xml:space="preserve">     Advertising/Promo                                 </v>
      </c>
      <c r="C58" s="12"/>
      <c r="D58" s="1">
        <f>SUM(OSRRefD22_2x_0)</f>
        <v>0</v>
      </c>
      <c r="E58" s="1"/>
      <c r="F58" s="5">
        <f t="shared" ref="F58:F68" si="36">IF(D$12=0,0,D58/D$12)</f>
        <v>0</v>
      </c>
      <c r="G58" s="1"/>
      <c r="H58" s="1">
        <f>SUM(OSRRefH22_2x_0)</f>
        <v>0</v>
      </c>
      <c r="I58" s="1"/>
      <c r="J58" s="5">
        <f t="shared" ref="J58:J68" si="37">IF(H$12=0,0,H58/H$12)</f>
        <v>0</v>
      </c>
      <c r="K58" s="1"/>
      <c r="L58" s="1">
        <f t="shared" ref="L58:L68" si="38">+D58-H58</f>
        <v>0</v>
      </c>
      <c r="M58" s="1"/>
      <c r="N58" s="5">
        <f t="shared" ref="N58:N68" si="39">IF(H58=0,0,L58/H58)</f>
        <v>0</v>
      </c>
      <c r="O58" s="12"/>
      <c r="P58" s="1">
        <f>SUM(OSRRefP22_2x_0)</f>
        <v>0</v>
      </c>
      <c r="Q58" s="1"/>
      <c r="R58" s="5">
        <f t="shared" ref="R58:R68" si="40">IF(P$12=0,0,P58/P$12)</f>
        <v>0</v>
      </c>
      <c r="S58" s="1"/>
      <c r="T58" s="1">
        <f>SUM(OSRRefT22_2x_0)</f>
        <v>1915.77</v>
      </c>
      <c r="U58" s="1"/>
      <c r="V58" s="5">
        <f t="shared" ref="V58:V68" si="41">IF(T$12=0,0,T58/T$12)</f>
        <v>3.8951568705569988E-3</v>
      </c>
      <c r="W58" s="1"/>
      <c r="X58" s="1">
        <f t="shared" ref="X58:X68" si="42">+P58-T58</f>
        <v>-1915.77</v>
      </c>
      <c r="Y58" s="1"/>
      <c r="Z58" s="5">
        <f t="shared" ref="Z58:Z68" si="43">IF(T58=0,0,X58/T58)</f>
        <v>-1</v>
      </c>
    </row>
    <row r="59" spans="1:26" s="23" customFormat="1" hidden="1" outlineLevel="2" x14ac:dyDescent="0.25">
      <c r="A59" s="27"/>
      <c r="B59" s="10" t="str">
        <f>CONCATENATE("          ", "6362", " - ", "ADVERTISING EXPENSE")</f>
        <v xml:space="preserve">          6362 - ADVERTISING EXPENSE</v>
      </c>
      <c r="C59" s="10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0"/>
      <c r="P59" s="6"/>
      <c r="Q59" s="2"/>
      <c r="R59" s="7">
        <f t="shared" si="40"/>
        <v>0</v>
      </c>
      <c r="S59" s="2"/>
      <c r="T59" s="6">
        <v>1915.77</v>
      </c>
      <c r="U59" s="2"/>
      <c r="V59" s="7">
        <f t="shared" si="41"/>
        <v>3.8951568705569988E-3</v>
      </c>
      <c r="W59" s="2"/>
      <c r="X59" s="6">
        <f t="shared" si="42"/>
        <v>-1915.77</v>
      </c>
      <c r="Y59" s="2"/>
      <c r="Z59" s="7">
        <f t="shared" si="43"/>
        <v>-1</v>
      </c>
    </row>
    <row r="60" spans="1:26" s="26" customFormat="1" outlineLevel="1" collapsed="1" x14ac:dyDescent="0.25">
      <c r="A60" s="25"/>
      <c r="B60" s="12" t="str">
        <f>CONCATENATE("     ","Depreciation                                      ")</f>
        <v xml:space="preserve">     Depreciation                                      </v>
      </c>
      <c r="C60" s="12"/>
      <c r="D60" s="1">
        <f>SUM(OSRRefD22_3x_0)</f>
        <v>169.88</v>
      </c>
      <c r="E60" s="1"/>
      <c r="F60" s="5">
        <f t="shared" si="36"/>
        <v>4.5883131439992439E-2</v>
      </c>
      <c r="G60" s="1"/>
      <c r="H60" s="1">
        <f>SUM(OSRRefH22_3x_0)</f>
        <v>169.88</v>
      </c>
      <c r="I60" s="1"/>
      <c r="J60" s="5">
        <f t="shared" si="37"/>
        <v>3.9749634396022228E-2</v>
      </c>
      <c r="K60" s="1"/>
      <c r="L60" s="1">
        <f t="shared" si="38"/>
        <v>0</v>
      </c>
      <c r="M60" s="1"/>
      <c r="N60" s="5">
        <f t="shared" si="39"/>
        <v>0</v>
      </c>
      <c r="O60" s="12"/>
      <c r="P60" s="1">
        <f>SUM(OSRRefP22_3x_0)</f>
        <v>1698.8</v>
      </c>
      <c r="Q60" s="1"/>
      <c r="R60" s="5">
        <f t="shared" si="40"/>
        <v>1.4811136216767797E-2</v>
      </c>
      <c r="S60" s="1"/>
      <c r="T60" s="1">
        <f>SUM(OSRRefT22_3x_0)</f>
        <v>849.4</v>
      </c>
      <c r="U60" s="1"/>
      <c r="V60" s="5">
        <f t="shared" si="41"/>
        <v>1.7270059797632883E-3</v>
      </c>
      <c r="W60" s="1"/>
      <c r="X60" s="1">
        <f t="shared" si="42"/>
        <v>849.4</v>
      </c>
      <c r="Y60" s="1"/>
      <c r="Z60" s="5">
        <f t="shared" si="43"/>
        <v>1</v>
      </c>
    </row>
    <row r="61" spans="1:26" s="23" customFormat="1" hidden="1" outlineLevel="2" x14ac:dyDescent="0.25">
      <c r="A61" s="27"/>
      <c r="B61" s="10" t="str">
        <f>CONCATENATE("          ", "6322", " - ", "EQUIPMENT DEPRECIATION EXPENSE")</f>
        <v xml:space="preserve">          6322 - EQUIPMENT DEPRECIATION EXPENSE</v>
      </c>
      <c r="C61" s="10"/>
      <c r="D61" s="6">
        <v>169.88</v>
      </c>
      <c r="E61" s="2"/>
      <c r="F61" s="7">
        <f t="shared" si="36"/>
        <v>4.5883131439992439E-2</v>
      </c>
      <c r="G61" s="2"/>
      <c r="H61" s="6">
        <v>169.88</v>
      </c>
      <c r="I61" s="2"/>
      <c r="J61" s="7">
        <f t="shared" si="37"/>
        <v>3.9749634396022228E-2</v>
      </c>
      <c r="K61" s="2"/>
      <c r="L61" s="6">
        <f t="shared" si="38"/>
        <v>0</v>
      </c>
      <c r="M61" s="2"/>
      <c r="N61" s="7">
        <f t="shared" si="39"/>
        <v>0</v>
      </c>
      <c r="O61" s="10"/>
      <c r="P61" s="6">
        <v>1698.8</v>
      </c>
      <c r="Q61" s="2"/>
      <c r="R61" s="7">
        <f t="shared" si="40"/>
        <v>1.4811136216767797E-2</v>
      </c>
      <c r="S61" s="2"/>
      <c r="T61" s="6">
        <v>849.4</v>
      </c>
      <c r="U61" s="2"/>
      <c r="V61" s="7">
        <f t="shared" si="41"/>
        <v>1.7270059797632883E-3</v>
      </c>
      <c r="W61" s="2"/>
      <c r="X61" s="6">
        <f t="shared" si="42"/>
        <v>849.4</v>
      </c>
      <c r="Y61" s="2"/>
      <c r="Z61" s="7">
        <f t="shared" si="43"/>
        <v>1</v>
      </c>
    </row>
    <row r="62" spans="1:26" s="26" customFormat="1" outlineLevel="1" collapsed="1" x14ac:dyDescent="0.25">
      <c r="A62" s="25"/>
      <c r="B62" s="12" t="str">
        <f>CONCATENATE("     ","Discounts and Markdowns                           ")</f>
        <v xml:space="preserve">     Discounts and Markdowns                           </v>
      </c>
      <c r="C62" s="12"/>
      <c r="D62" s="1">
        <f>SUM(OSRRefD22_4x_0)</f>
        <v>0</v>
      </c>
      <c r="E62" s="1"/>
      <c r="F62" s="5">
        <f t="shared" si="36"/>
        <v>0</v>
      </c>
      <c r="G62" s="1"/>
      <c r="H62" s="1">
        <f>SUM(OSRRefH22_4x_0)</f>
        <v>154.86000000000001</v>
      </c>
      <c r="I62" s="1"/>
      <c r="J62" s="5">
        <f t="shared" si="37"/>
        <v>3.6235156478502492E-2</v>
      </c>
      <c r="K62" s="1"/>
      <c r="L62" s="1">
        <f t="shared" si="38"/>
        <v>-154.86000000000001</v>
      </c>
      <c r="M62" s="1"/>
      <c r="N62" s="5">
        <f t="shared" si="39"/>
        <v>-1</v>
      </c>
      <c r="O62" s="12"/>
      <c r="P62" s="1">
        <f>SUM(OSRRefP22_4x_0)</f>
        <v>0</v>
      </c>
      <c r="Q62" s="1"/>
      <c r="R62" s="5">
        <f t="shared" si="40"/>
        <v>0</v>
      </c>
      <c r="S62" s="1"/>
      <c r="T62" s="1">
        <f>SUM(OSRRefT22_4x_0)</f>
        <v>1281.19</v>
      </c>
      <c r="U62" s="1"/>
      <c r="V62" s="5">
        <f t="shared" si="41"/>
        <v>2.6049244068906607E-3</v>
      </c>
      <c r="W62" s="1"/>
      <c r="X62" s="1">
        <f t="shared" si="42"/>
        <v>-1281.19</v>
      </c>
      <c r="Y62" s="1"/>
      <c r="Z62" s="5">
        <f t="shared" si="43"/>
        <v>-1</v>
      </c>
    </row>
    <row r="63" spans="1:26" s="23" customFormat="1" hidden="1" outlineLevel="2" x14ac:dyDescent="0.25">
      <c r="A63" s="27"/>
      <c r="B63" s="10" t="str">
        <f>CONCATENATE("          ", "6382", " - ", "DISCOUNTS/MARK DOWNS")</f>
        <v xml:space="preserve">          6382 - DISCOUNTS/MARK DOWNS</v>
      </c>
      <c r="C63" s="10"/>
      <c r="D63" s="6"/>
      <c r="E63" s="2"/>
      <c r="F63" s="7">
        <f t="shared" si="36"/>
        <v>0</v>
      </c>
      <c r="G63" s="2"/>
      <c r="H63" s="6">
        <v>154.86000000000001</v>
      </c>
      <c r="I63" s="2"/>
      <c r="J63" s="7">
        <f t="shared" si="37"/>
        <v>3.6235156478502492E-2</v>
      </c>
      <c r="K63" s="2"/>
      <c r="L63" s="6">
        <f t="shared" si="38"/>
        <v>-154.86000000000001</v>
      </c>
      <c r="M63" s="2"/>
      <c r="N63" s="7">
        <f t="shared" si="39"/>
        <v>-1</v>
      </c>
      <c r="O63" s="10"/>
      <c r="P63" s="6">
        <v>0</v>
      </c>
      <c r="Q63" s="2"/>
      <c r="R63" s="7">
        <f t="shared" si="40"/>
        <v>0</v>
      </c>
      <c r="S63" s="2"/>
      <c r="T63" s="6">
        <v>1281.19</v>
      </c>
      <c r="U63" s="2"/>
      <c r="V63" s="7">
        <f t="shared" si="41"/>
        <v>2.6049244068906607E-3</v>
      </c>
      <c r="W63" s="2"/>
      <c r="X63" s="6">
        <f t="shared" si="42"/>
        <v>-1281.19</v>
      </c>
      <c r="Y63" s="2"/>
      <c r="Z63" s="7">
        <f t="shared" si="43"/>
        <v>-1</v>
      </c>
    </row>
    <row r="64" spans="1:26" s="26" customFormat="1" outlineLevel="1" collapsed="1" x14ac:dyDescent="0.25">
      <c r="A64" s="25"/>
      <c r="B64" s="12" t="str">
        <f>CONCATENATE("     ","Equipment Rental                                  ")</f>
        <v xml:space="preserve">     Equipment Rental                                  </v>
      </c>
      <c r="C64" s="12"/>
      <c r="D64" s="1">
        <f>SUM(OSRRefD22_5x_0)</f>
        <v>1205.6400000000001</v>
      </c>
      <c r="E64" s="1"/>
      <c r="F64" s="5">
        <f t="shared" si="36"/>
        <v>0.3256330267795649</v>
      </c>
      <c r="G64" s="1"/>
      <c r="H64" s="1">
        <f>SUM(OSRRefH22_5x_0)</f>
        <v>1326.99</v>
      </c>
      <c r="I64" s="1"/>
      <c r="J64" s="5">
        <f t="shared" si="37"/>
        <v>0.31049780637613339</v>
      </c>
      <c r="K64" s="1"/>
      <c r="L64" s="1">
        <f t="shared" si="38"/>
        <v>-121.34999999999991</v>
      </c>
      <c r="M64" s="1"/>
      <c r="N64" s="5">
        <f t="shared" si="39"/>
        <v>-9.1447561775145181E-2</v>
      </c>
      <c r="O64" s="12"/>
      <c r="P64" s="1">
        <f>SUM(OSRRefP22_5x_0)</f>
        <v>12056.4</v>
      </c>
      <c r="Q64" s="1"/>
      <c r="R64" s="5">
        <f t="shared" si="40"/>
        <v>0.10511477671523385</v>
      </c>
      <c r="S64" s="1"/>
      <c r="T64" s="1">
        <f>SUM(OSRRefT22_5x_0)</f>
        <v>14876.07</v>
      </c>
      <c r="U64" s="1"/>
      <c r="V64" s="5">
        <f t="shared" si="41"/>
        <v>3.0246128850220461E-2</v>
      </c>
      <c r="W64" s="1"/>
      <c r="X64" s="1">
        <f t="shared" si="42"/>
        <v>-2819.67</v>
      </c>
      <c r="Y64" s="1"/>
      <c r="Z64" s="5">
        <f t="shared" si="43"/>
        <v>-0.18954401263236864</v>
      </c>
    </row>
    <row r="65" spans="1:26" s="23" customFormat="1" hidden="1" outlineLevel="2" x14ac:dyDescent="0.25">
      <c r="A65" s="27"/>
      <c r="B65" s="10" t="str">
        <f>CONCATENATE("          ", "6351", " - ", "EQUIPMENT RENTAL")</f>
        <v xml:space="preserve">          6351 - EQUIPMENT RENTAL</v>
      </c>
      <c r="C65" s="10"/>
      <c r="D65" s="6">
        <v>1205.6400000000001</v>
      </c>
      <c r="E65" s="2"/>
      <c r="F65" s="7">
        <f t="shared" si="36"/>
        <v>0.3256330267795649</v>
      </c>
      <c r="G65" s="2"/>
      <c r="H65" s="6">
        <v>1326.99</v>
      </c>
      <c r="I65" s="2"/>
      <c r="J65" s="7">
        <f t="shared" si="37"/>
        <v>0.31049780637613339</v>
      </c>
      <c r="K65" s="2"/>
      <c r="L65" s="6">
        <f t="shared" si="38"/>
        <v>-121.34999999999991</v>
      </c>
      <c r="M65" s="2"/>
      <c r="N65" s="7">
        <f t="shared" si="39"/>
        <v>-9.1447561775145181E-2</v>
      </c>
      <c r="O65" s="10"/>
      <c r="P65" s="6">
        <v>12056.4</v>
      </c>
      <c r="Q65" s="2"/>
      <c r="R65" s="7">
        <f t="shared" si="40"/>
        <v>0.10511477671523385</v>
      </c>
      <c r="S65" s="2"/>
      <c r="T65" s="6">
        <v>14876.07</v>
      </c>
      <c r="U65" s="2"/>
      <c r="V65" s="7">
        <f t="shared" si="41"/>
        <v>3.0246128850220461E-2</v>
      </c>
      <c r="W65" s="2"/>
      <c r="X65" s="6">
        <f t="shared" si="42"/>
        <v>-2819.67</v>
      </c>
      <c r="Y65" s="2"/>
      <c r="Z65" s="7">
        <f t="shared" si="43"/>
        <v>-0.18954401263236864</v>
      </c>
    </row>
    <row r="66" spans="1:26" s="26" customFormat="1" outlineLevel="1" collapsed="1" x14ac:dyDescent="0.25">
      <c r="A66" s="25"/>
      <c r="B66" s="12" t="str">
        <f>CONCATENATE("     ","Freight out/Postage                               ")</f>
        <v xml:space="preserve">     Freight out/Postage                               </v>
      </c>
      <c r="C66" s="12"/>
      <c r="D66" s="1">
        <f>SUM(OSRRefD22_6x_0)</f>
        <v>-18667.690000000002</v>
      </c>
      <c r="E66" s="1"/>
      <c r="F66" s="5">
        <f t="shared" si="36"/>
        <v>-5.0419830112493091</v>
      </c>
      <c r="G66" s="1"/>
      <c r="H66" s="1">
        <f>SUM(OSRRefH22_6x_0)</f>
        <v>1051.3899999999999</v>
      </c>
      <c r="I66" s="1"/>
      <c r="J66" s="5">
        <f t="shared" si="37"/>
        <v>0.24601111436092421</v>
      </c>
      <c r="K66" s="1"/>
      <c r="L66" s="1">
        <f t="shared" si="38"/>
        <v>-19719.080000000002</v>
      </c>
      <c r="M66" s="1"/>
      <c r="N66" s="5">
        <f t="shared" si="39"/>
        <v>-18.755247814797556</v>
      </c>
      <c r="O66" s="12"/>
      <c r="P66" s="1">
        <f>SUM(OSRRefP22_6x_0)</f>
        <v>-72673.700000000012</v>
      </c>
      <c r="Q66" s="1"/>
      <c r="R66" s="5">
        <f t="shared" si="40"/>
        <v>-0.63361200263510598</v>
      </c>
      <c r="S66" s="1"/>
      <c r="T66" s="1">
        <f>SUM(OSRRefT22_6x_0)</f>
        <v>-17249.519999999997</v>
      </c>
      <c r="U66" s="1"/>
      <c r="V66" s="5">
        <f t="shared" si="41"/>
        <v>-3.5071843875731611E-2</v>
      </c>
      <c r="W66" s="1"/>
      <c r="X66" s="1">
        <f t="shared" si="42"/>
        <v>-55424.180000000015</v>
      </c>
      <c r="Y66" s="1"/>
      <c r="Z66" s="5">
        <f t="shared" si="43"/>
        <v>3.2130853496213243</v>
      </c>
    </row>
    <row r="67" spans="1:26" s="23" customFormat="1" hidden="1" outlineLevel="2" x14ac:dyDescent="0.25">
      <c r="A67" s="27"/>
      <c r="B67" s="10" t="str">
        <f>CONCATENATE("          ", "6305", " - ", "FREIGHT OUT")</f>
        <v xml:space="preserve">          6305 - FREIGHT OUT</v>
      </c>
      <c r="C67" s="10"/>
      <c r="D67" s="6">
        <v>16530.71</v>
      </c>
      <c r="E67" s="2"/>
      <c r="F67" s="7">
        <f t="shared" si="36"/>
        <v>4.4648030358276278</v>
      </c>
      <c r="G67" s="2"/>
      <c r="H67" s="6">
        <v>3027.18</v>
      </c>
      <c r="I67" s="2"/>
      <c r="J67" s="7">
        <f t="shared" si="37"/>
        <v>0.70831939163498092</v>
      </c>
      <c r="K67" s="2"/>
      <c r="L67" s="6">
        <f t="shared" si="38"/>
        <v>13503.529999999999</v>
      </c>
      <c r="M67" s="2"/>
      <c r="N67" s="7">
        <f t="shared" si="39"/>
        <v>4.4607621614836246</v>
      </c>
      <c r="O67" s="10"/>
      <c r="P67" s="6">
        <v>178009.9</v>
      </c>
      <c r="Q67" s="2"/>
      <c r="R67" s="7">
        <f t="shared" si="40"/>
        <v>1.5519948651007851</v>
      </c>
      <c r="S67" s="2"/>
      <c r="T67" s="6">
        <v>39426.720000000001</v>
      </c>
      <c r="U67" s="2"/>
      <c r="V67" s="7">
        <f t="shared" si="41"/>
        <v>8.0162680954147442E-2</v>
      </c>
      <c r="W67" s="2"/>
      <c r="X67" s="6">
        <f t="shared" si="42"/>
        <v>138583.18</v>
      </c>
      <c r="Y67" s="2"/>
      <c r="Z67" s="7">
        <f t="shared" si="43"/>
        <v>3.5149558472021001</v>
      </c>
    </row>
    <row r="68" spans="1:26" s="23" customFormat="1" hidden="1" outlineLevel="2" x14ac:dyDescent="0.25">
      <c r="A68" s="27"/>
      <c r="B68" s="10" t="str">
        <f>CONCATENATE("          ", "6307", " - ", "POSTAGE")</f>
        <v xml:space="preserve">          6307 - POSTAGE</v>
      </c>
      <c r="C68" s="10"/>
      <c r="D68" s="6">
        <v>-35198.400000000001</v>
      </c>
      <c r="E68" s="2"/>
      <c r="F68" s="7">
        <f t="shared" si="36"/>
        <v>-9.5067860470769361</v>
      </c>
      <c r="G68" s="2"/>
      <c r="H68" s="6">
        <v>-1975.79</v>
      </c>
      <c r="I68" s="2"/>
      <c r="J68" s="7">
        <f t="shared" si="37"/>
        <v>-0.46230827727405671</v>
      </c>
      <c r="K68" s="2"/>
      <c r="L68" s="6">
        <f t="shared" si="38"/>
        <v>-33222.61</v>
      </c>
      <c r="M68" s="2"/>
      <c r="N68" s="7">
        <f t="shared" si="39"/>
        <v>16.814848744046685</v>
      </c>
      <c r="O68" s="10"/>
      <c r="P68" s="6">
        <v>-250683.6</v>
      </c>
      <c r="Q68" s="2"/>
      <c r="R68" s="7">
        <f t="shared" si="40"/>
        <v>-2.1856068677358911</v>
      </c>
      <c r="S68" s="2"/>
      <c r="T68" s="6">
        <v>-56676.24</v>
      </c>
      <c r="U68" s="2"/>
      <c r="V68" s="7">
        <f t="shared" si="41"/>
        <v>-0.11523452482987905</v>
      </c>
      <c r="W68" s="2"/>
      <c r="X68" s="6">
        <f t="shared" si="42"/>
        <v>-194007.36000000002</v>
      </c>
      <c r="Y68" s="2"/>
      <c r="Z68" s="7">
        <f t="shared" si="43"/>
        <v>3.423080994787234</v>
      </c>
    </row>
    <row r="69" spans="1:26" s="26" customFormat="1" outlineLevel="1" collapsed="1" x14ac:dyDescent="0.25">
      <c r="A69" s="25"/>
      <c r="B69" s="12" t="str">
        <f>CONCATENATE("     ","General                                           ")</f>
        <v xml:space="preserve">     General                                           </v>
      </c>
      <c r="C69" s="12"/>
      <c r="D69" s="1">
        <f>SUM(OSRRefD22_7x_0)</f>
        <v>0</v>
      </c>
      <c r="E69" s="1"/>
      <c r="F69" s="5">
        <f t="shared" ref="F69:F76" si="44">IF(D$12=0,0,D69/D$12)</f>
        <v>0</v>
      </c>
      <c r="G69" s="1"/>
      <c r="H69" s="1">
        <f>SUM(OSRRefH22_7x_0)</f>
        <v>0</v>
      </c>
      <c r="I69" s="1"/>
      <c r="J69" s="5">
        <f t="shared" ref="J69:J76" si="45">IF(H$12=0,0,H69/H$12)</f>
        <v>0</v>
      </c>
      <c r="K69" s="1"/>
      <c r="L69" s="1">
        <f t="shared" ref="L69:L76" si="46">+D69-H69</f>
        <v>0</v>
      </c>
      <c r="M69" s="1"/>
      <c r="N69" s="5">
        <f t="shared" ref="N69:N76" si="47">IF(H69=0,0,L69/H69)</f>
        <v>0</v>
      </c>
      <c r="O69" s="12"/>
      <c r="P69" s="1">
        <f>SUM(OSRRefP22_7x_0)</f>
        <v>0</v>
      </c>
      <c r="Q69" s="1"/>
      <c r="R69" s="5">
        <f t="shared" ref="R69:R76" si="48">IF(P$12=0,0,P69/P$12)</f>
        <v>0</v>
      </c>
      <c r="S69" s="1"/>
      <c r="T69" s="1">
        <f>SUM(OSRRefT22_7x_0)</f>
        <v>155.16999999999999</v>
      </c>
      <c r="U69" s="1"/>
      <c r="V69" s="5">
        <f t="shared" ref="V69:V76" si="49">IF(T$12=0,0,T69/T$12)</f>
        <v>3.1549272177992631E-4</v>
      </c>
      <c r="W69" s="1"/>
      <c r="X69" s="1">
        <f t="shared" ref="X69:X76" si="50">+P69-T69</f>
        <v>-155.16999999999999</v>
      </c>
      <c r="Y69" s="1"/>
      <c r="Z69" s="5">
        <f t="shared" ref="Z69:Z76" si="51">IF(T69=0,0,X69/T69)</f>
        <v>-1</v>
      </c>
    </row>
    <row r="70" spans="1:26" s="23" customFormat="1" hidden="1" outlineLevel="2" x14ac:dyDescent="0.25">
      <c r="A70" s="27"/>
      <c r="B70" s="10" t="str">
        <f>CONCATENATE("          ", "6279", " - ", "GENERAL EXPENSE")</f>
        <v xml:space="preserve">          6279 - GENERAL EXPENSE</v>
      </c>
      <c r="C70" s="10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0"/>
      <c r="P70" s="6"/>
      <c r="Q70" s="2"/>
      <c r="R70" s="7">
        <f t="shared" si="48"/>
        <v>0</v>
      </c>
      <c r="S70" s="2"/>
      <c r="T70" s="6">
        <v>155.16999999999999</v>
      </c>
      <c r="U70" s="2"/>
      <c r="V70" s="7">
        <f t="shared" si="49"/>
        <v>3.1549272177992631E-4</v>
      </c>
      <c r="W70" s="2"/>
      <c r="X70" s="6">
        <f t="shared" si="50"/>
        <v>-155.16999999999999</v>
      </c>
      <c r="Y70" s="2"/>
      <c r="Z70" s="7">
        <f t="shared" si="51"/>
        <v>-1</v>
      </c>
    </row>
    <row r="71" spans="1:26" s="26" customFormat="1" outlineLevel="1" collapsed="1" x14ac:dyDescent="0.25">
      <c r="A71" s="25"/>
      <c r="B71" s="12" t="str">
        <f>CONCATENATE("     ","Inventory Adjustment                              ")</f>
        <v xml:space="preserve">     Inventory Adjustment                              </v>
      </c>
      <c r="C71" s="12"/>
      <c r="D71" s="1">
        <f>SUM(OSRRefD22_8x_0)</f>
        <v>0</v>
      </c>
      <c r="E71" s="1"/>
      <c r="F71" s="5">
        <f t="shared" si="44"/>
        <v>0</v>
      </c>
      <c r="G71" s="1"/>
      <c r="H71" s="1">
        <f>SUM(OSRRefH22_8x_0)</f>
        <v>100</v>
      </c>
      <c r="I71" s="1"/>
      <c r="J71" s="5">
        <f t="shared" si="45"/>
        <v>2.3398654577361802E-2</v>
      </c>
      <c r="K71" s="1"/>
      <c r="L71" s="1">
        <f t="shared" si="46"/>
        <v>-100</v>
      </c>
      <c r="M71" s="1"/>
      <c r="N71" s="5">
        <f t="shared" si="47"/>
        <v>-1</v>
      </c>
      <c r="O71" s="12"/>
      <c r="P71" s="1">
        <f>SUM(OSRRefP22_8x_0)</f>
        <v>0</v>
      </c>
      <c r="Q71" s="1"/>
      <c r="R71" s="5">
        <f t="shared" si="48"/>
        <v>0</v>
      </c>
      <c r="S71" s="1"/>
      <c r="T71" s="1">
        <f>SUM(OSRRefT22_8x_0)</f>
        <v>900</v>
      </c>
      <c r="U71" s="1"/>
      <c r="V71" s="5">
        <f t="shared" si="49"/>
        <v>1.8298862512208141E-3</v>
      </c>
      <c r="W71" s="1"/>
      <c r="X71" s="1">
        <f t="shared" si="50"/>
        <v>-900</v>
      </c>
      <c r="Y71" s="1"/>
      <c r="Z71" s="5">
        <f t="shared" si="51"/>
        <v>-1</v>
      </c>
    </row>
    <row r="72" spans="1:26" s="23" customFormat="1" hidden="1" outlineLevel="2" x14ac:dyDescent="0.25">
      <c r="A72" s="27"/>
      <c r="B72" s="10" t="str">
        <f>CONCATENATE("          ", "6408", " - ", "INVENTORY ADJUSTMENT")</f>
        <v xml:space="preserve">          6408 - INVENTORY ADJUSTMENT</v>
      </c>
      <c r="C72" s="10"/>
      <c r="D72" s="6"/>
      <c r="E72" s="2"/>
      <c r="F72" s="7">
        <f t="shared" si="44"/>
        <v>0</v>
      </c>
      <c r="G72" s="2"/>
      <c r="H72" s="6">
        <v>100</v>
      </c>
      <c r="I72" s="2"/>
      <c r="J72" s="7">
        <f t="shared" si="45"/>
        <v>2.3398654577361802E-2</v>
      </c>
      <c r="K72" s="2"/>
      <c r="L72" s="6">
        <f t="shared" si="46"/>
        <v>-100</v>
      </c>
      <c r="M72" s="2"/>
      <c r="N72" s="7">
        <f t="shared" si="47"/>
        <v>-1</v>
      </c>
      <c r="O72" s="10"/>
      <c r="P72" s="6"/>
      <c r="Q72" s="2"/>
      <c r="R72" s="7">
        <f t="shared" si="48"/>
        <v>0</v>
      </c>
      <c r="S72" s="2"/>
      <c r="T72" s="6">
        <v>900</v>
      </c>
      <c r="U72" s="2"/>
      <c r="V72" s="7">
        <f t="shared" si="49"/>
        <v>1.8298862512208141E-3</v>
      </c>
      <c r="W72" s="2"/>
      <c r="X72" s="6">
        <f t="shared" si="50"/>
        <v>-900</v>
      </c>
      <c r="Y72" s="2"/>
      <c r="Z72" s="7">
        <f t="shared" si="51"/>
        <v>-1</v>
      </c>
    </row>
    <row r="73" spans="1:26" s="26" customFormat="1" outlineLevel="1" collapsed="1" x14ac:dyDescent="0.25">
      <c r="A73" s="25"/>
      <c r="B73" s="12" t="str">
        <f>CONCATENATE("     ","Repair and Maintenance                            ")</f>
        <v xml:space="preserve">     Repair and Maintenance                            </v>
      </c>
      <c r="C73" s="12"/>
      <c r="D73" s="1">
        <f>SUM(OSRRefD22_9x_0)</f>
        <v>102.36</v>
      </c>
      <c r="E73" s="1"/>
      <c r="F73" s="5">
        <f t="shared" si="44"/>
        <v>2.7646558360004864E-2</v>
      </c>
      <c r="G73" s="1"/>
      <c r="H73" s="1">
        <f>SUM(OSRRefH22_9x_0)</f>
        <v>5143.9799999999996</v>
      </c>
      <c r="I73" s="1"/>
      <c r="J73" s="5">
        <f t="shared" si="45"/>
        <v>1.2036221117285755</v>
      </c>
      <c r="K73" s="1"/>
      <c r="L73" s="1">
        <f t="shared" si="46"/>
        <v>-5041.62</v>
      </c>
      <c r="M73" s="1"/>
      <c r="N73" s="5">
        <f t="shared" si="47"/>
        <v>-0.98010101127920413</v>
      </c>
      <c r="O73" s="12"/>
      <c r="P73" s="1">
        <f>SUM(OSRRefP22_9x_0)</f>
        <v>31093.699999999997</v>
      </c>
      <c r="Q73" s="1"/>
      <c r="R73" s="5">
        <f t="shared" si="48"/>
        <v>0.27109313997134027</v>
      </c>
      <c r="S73" s="1"/>
      <c r="T73" s="1">
        <f>SUM(OSRRefT22_9x_0)</f>
        <v>65914.31</v>
      </c>
      <c r="U73" s="1"/>
      <c r="V73" s="5">
        <f t="shared" si="49"/>
        <v>0.134017432919674</v>
      </c>
      <c r="W73" s="1"/>
      <c r="X73" s="1">
        <f t="shared" si="50"/>
        <v>-34820.61</v>
      </c>
      <c r="Y73" s="1"/>
      <c r="Z73" s="5">
        <f t="shared" si="51"/>
        <v>-0.52827087168173348</v>
      </c>
    </row>
    <row r="74" spans="1:26" s="23" customFormat="1" hidden="1" outlineLevel="2" x14ac:dyDescent="0.25">
      <c r="A74" s="27"/>
      <c r="B74" s="10" t="str">
        <f>CONCATENATE("          ", "6371", " - ", "COMPUTER SOFTWARE MAINTENANCE")</f>
        <v xml:space="preserve">          6371 - COMPUTER SOFTWARE MAINTENANCE</v>
      </c>
      <c r="C74" s="10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0"/>
      <c r="P74" s="6">
        <v>7.69</v>
      </c>
      <c r="Q74" s="2"/>
      <c r="R74" s="7">
        <f t="shared" si="48"/>
        <v>6.7045936841855644E-5</v>
      </c>
      <c r="S74" s="2"/>
      <c r="T74" s="6"/>
      <c r="U74" s="2"/>
      <c r="V74" s="7">
        <f t="shared" si="49"/>
        <v>0</v>
      </c>
      <c r="W74" s="2"/>
      <c r="X74" s="6">
        <f t="shared" si="50"/>
        <v>7.69</v>
      </c>
      <c r="Y74" s="2"/>
      <c r="Z74" s="7">
        <f t="shared" si="51"/>
        <v>0</v>
      </c>
    </row>
    <row r="75" spans="1:26" s="23" customFormat="1" hidden="1" outlineLevel="2" x14ac:dyDescent="0.25">
      <c r="A75" s="27"/>
      <c r="B75" s="10" t="str">
        <f>CONCATENATE("          ", "6373", " - ", "MAINTENANCE CONTRACTS")</f>
        <v xml:space="preserve">          6373 - MAINTENANCE CONTRACTS</v>
      </c>
      <c r="C75" s="10"/>
      <c r="D75" s="6">
        <v>97.76</v>
      </c>
      <c r="E75" s="2"/>
      <c r="F75" s="7">
        <f t="shared" si="44"/>
        <v>2.640413780064552E-2</v>
      </c>
      <c r="G75" s="2"/>
      <c r="H75" s="6">
        <v>4665.28</v>
      </c>
      <c r="I75" s="2"/>
      <c r="J75" s="7">
        <f t="shared" si="45"/>
        <v>1.0916127522667447</v>
      </c>
      <c r="K75" s="2"/>
      <c r="L75" s="6">
        <f t="shared" si="46"/>
        <v>-4567.5199999999995</v>
      </c>
      <c r="M75" s="2"/>
      <c r="N75" s="7">
        <f t="shared" si="47"/>
        <v>-0.97904520200288081</v>
      </c>
      <c r="O75" s="10"/>
      <c r="P75" s="6">
        <v>31081.41</v>
      </c>
      <c r="Q75" s="2"/>
      <c r="R75" s="7">
        <f t="shared" si="48"/>
        <v>0.27098598853261641</v>
      </c>
      <c r="S75" s="2"/>
      <c r="T75" s="6">
        <v>64512.55</v>
      </c>
      <c r="U75" s="2"/>
      <c r="V75" s="7">
        <f t="shared" si="49"/>
        <v>0.13116736475132815</v>
      </c>
      <c r="W75" s="2"/>
      <c r="X75" s="6">
        <f t="shared" si="50"/>
        <v>-33431.14</v>
      </c>
      <c r="Y75" s="2"/>
      <c r="Z75" s="7">
        <f t="shared" si="51"/>
        <v>-0.51821141777840118</v>
      </c>
    </row>
    <row r="76" spans="1:26" s="23" customFormat="1" hidden="1" outlineLevel="2" x14ac:dyDescent="0.25">
      <c r="A76" s="27"/>
      <c r="B76" s="10" t="str">
        <f>CONCATENATE("          ", "6375", " - ", "OUTSIDE REPAIRS &amp; MAINTENANCE")</f>
        <v xml:space="preserve">          6375 - OUTSIDE REPAIRS &amp; MAINTENANCE</v>
      </c>
      <c r="C76" s="10"/>
      <c r="D76" s="6">
        <v>4.5999999999999996</v>
      </c>
      <c r="E76" s="2"/>
      <c r="F76" s="7">
        <f t="shared" si="44"/>
        <v>1.2424205593593431E-3</v>
      </c>
      <c r="G76" s="2"/>
      <c r="H76" s="6">
        <v>478.7</v>
      </c>
      <c r="I76" s="2"/>
      <c r="J76" s="7">
        <f t="shared" si="45"/>
        <v>0.11200935946183094</v>
      </c>
      <c r="K76" s="2"/>
      <c r="L76" s="6">
        <f t="shared" si="46"/>
        <v>-474.09999999999997</v>
      </c>
      <c r="M76" s="2"/>
      <c r="N76" s="7">
        <f t="shared" si="47"/>
        <v>-0.99039064132024224</v>
      </c>
      <c r="O76" s="10"/>
      <c r="P76" s="6">
        <v>4.5999999999999996</v>
      </c>
      <c r="Q76" s="2"/>
      <c r="R76" s="7">
        <f t="shared" si="48"/>
        <v>4.0105501881994266E-5</v>
      </c>
      <c r="S76" s="2"/>
      <c r="T76" s="6">
        <v>1401.76</v>
      </c>
      <c r="U76" s="2"/>
      <c r="V76" s="7">
        <f t="shared" si="49"/>
        <v>2.8500681683458757E-3</v>
      </c>
      <c r="W76" s="2"/>
      <c r="X76" s="6">
        <f t="shared" si="50"/>
        <v>-1397.16</v>
      </c>
      <c r="Y76" s="2"/>
      <c r="Z76" s="7">
        <f t="shared" si="51"/>
        <v>-0.99671841114028081</v>
      </c>
    </row>
    <row r="77" spans="1:26" s="26" customFormat="1" outlineLevel="1" collapsed="1" x14ac:dyDescent="0.25">
      <c r="A77" s="25"/>
      <c r="B77" s="12" t="str">
        <f>CONCATENATE("     ","Royalty &amp; Commissions                             ")</f>
        <v xml:space="preserve">     Royalty &amp; Commissions                             </v>
      </c>
      <c r="C77" s="12"/>
      <c r="D77" s="1">
        <f>SUM(OSRRefD22_10x_0)</f>
        <v>2570.27</v>
      </c>
      <c r="E77" s="1"/>
      <c r="F77" s="5">
        <f t="shared" ref="F77:F85" si="52">IF(D$12=0,0,D77/D$12)</f>
        <v>0.694207889370552</v>
      </c>
      <c r="G77" s="1"/>
      <c r="H77" s="1">
        <f>SUM(OSRRefH22_10x_0)</f>
        <v>5781.94</v>
      </c>
      <c r="I77" s="1"/>
      <c r="J77" s="5">
        <f t="shared" ref="J77:J85" si="53">IF(H$12=0,0,H77/H$12)</f>
        <v>1.3528961684703129</v>
      </c>
      <c r="K77" s="1"/>
      <c r="L77" s="1">
        <f t="shared" ref="L77:L85" si="54">+D77-H77</f>
        <v>-3211.6699999999996</v>
      </c>
      <c r="M77" s="1"/>
      <c r="N77" s="5">
        <f t="shared" ref="N77:N85" si="55">IF(H77=0,0,L77/H77)</f>
        <v>-0.55546581251275517</v>
      </c>
      <c r="O77" s="12"/>
      <c r="P77" s="1">
        <f>SUM(OSRRefP22_10x_0)</f>
        <v>13233.89</v>
      </c>
      <c r="Q77" s="1"/>
      <c r="R77" s="5">
        <f t="shared" ref="R77:R85" si="56">IF(P$12=0,0,P77/P$12)</f>
        <v>0.11538082615241416</v>
      </c>
      <c r="S77" s="1"/>
      <c r="T77" s="1">
        <f>SUM(OSRRefT22_10x_0)</f>
        <v>82607.740000000005</v>
      </c>
      <c r="U77" s="1"/>
      <c r="V77" s="5">
        <f t="shared" ref="V77:V85" si="57">IF(T$12=0,0,T77/T$12)</f>
        <v>0.16795863074491521</v>
      </c>
      <c r="W77" s="1"/>
      <c r="X77" s="1">
        <f t="shared" ref="X77:X85" si="58">+P77-T77</f>
        <v>-69373.850000000006</v>
      </c>
      <c r="Y77" s="1"/>
      <c r="Z77" s="5">
        <f t="shared" ref="Z77:Z85" si="59">IF(T77=0,0,X77/T77)</f>
        <v>-0.83979842566810325</v>
      </c>
    </row>
    <row r="78" spans="1:26" s="23" customFormat="1" hidden="1" outlineLevel="2" x14ac:dyDescent="0.25">
      <c r="A78" s="27"/>
      <c r="B78" s="10" t="str">
        <f>CONCATENATE("          ", "6259", " - ", "ROYALTY &amp; COMMISSIONS")</f>
        <v xml:space="preserve">          6259 - ROYALTY &amp; COMMISSIONS</v>
      </c>
      <c r="C78" s="10"/>
      <c r="D78" s="6">
        <v>2570.27</v>
      </c>
      <c r="E78" s="2"/>
      <c r="F78" s="7">
        <f t="shared" si="52"/>
        <v>0.694207889370552</v>
      </c>
      <c r="G78" s="2"/>
      <c r="H78" s="6">
        <v>5781.94</v>
      </c>
      <c r="I78" s="2"/>
      <c r="J78" s="7">
        <f t="shared" si="53"/>
        <v>1.3528961684703129</v>
      </c>
      <c r="K78" s="2"/>
      <c r="L78" s="6">
        <f t="shared" si="54"/>
        <v>-3211.6699999999996</v>
      </c>
      <c r="M78" s="2"/>
      <c r="N78" s="7">
        <f t="shared" si="55"/>
        <v>-0.55546581251275517</v>
      </c>
      <c r="O78" s="10"/>
      <c r="P78" s="6">
        <v>13233.89</v>
      </c>
      <c r="Q78" s="2"/>
      <c r="R78" s="7">
        <f t="shared" si="56"/>
        <v>0.11538082615241416</v>
      </c>
      <c r="S78" s="2"/>
      <c r="T78" s="6">
        <v>82607.740000000005</v>
      </c>
      <c r="U78" s="2"/>
      <c r="V78" s="7">
        <f t="shared" si="57"/>
        <v>0.16795863074491521</v>
      </c>
      <c r="W78" s="2"/>
      <c r="X78" s="6">
        <f t="shared" si="58"/>
        <v>-69373.850000000006</v>
      </c>
      <c r="Y78" s="2"/>
      <c r="Z78" s="7">
        <f t="shared" si="59"/>
        <v>-0.83979842566810325</v>
      </c>
    </row>
    <row r="79" spans="1:26" s="26" customFormat="1" outlineLevel="1" collapsed="1" x14ac:dyDescent="0.25">
      <c r="A79" s="25"/>
      <c r="B79" s="12" t="str">
        <f>CONCATENATE("     ","Supplies                                          ")</f>
        <v xml:space="preserve">     Supplies                                          </v>
      </c>
      <c r="C79" s="12"/>
      <c r="D79" s="1">
        <f>SUM(OSRRefD22_11x_0)</f>
        <v>3285.03</v>
      </c>
      <c r="E79" s="1"/>
      <c r="F79" s="5">
        <f t="shared" si="52"/>
        <v>0.88725843698091811</v>
      </c>
      <c r="G79" s="1"/>
      <c r="H79" s="1">
        <f>SUM(OSRRefH22_11x_0)</f>
        <v>1978.3</v>
      </c>
      <c r="I79" s="1"/>
      <c r="J79" s="5">
        <f t="shared" si="53"/>
        <v>0.46289558350394849</v>
      </c>
      <c r="K79" s="1"/>
      <c r="L79" s="1">
        <f t="shared" si="54"/>
        <v>1306.7300000000002</v>
      </c>
      <c r="M79" s="1"/>
      <c r="N79" s="5">
        <f t="shared" si="55"/>
        <v>0.66053176970125882</v>
      </c>
      <c r="O79" s="12"/>
      <c r="P79" s="1">
        <f>SUM(OSRRefP22_11x_0)</f>
        <v>35798.199999999997</v>
      </c>
      <c r="Q79" s="1"/>
      <c r="R79" s="5">
        <f t="shared" si="56"/>
        <v>0.31210973423304506</v>
      </c>
      <c r="S79" s="1"/>
      <c r="T79" s="1">
        <f>SUM(OSRRefT22_11x_0)</f>
        <v>48597.17</v>
      </c>
      <c r="U79" s="1"/>
      <c r="V79" s="5">
        <f t="shared" si="57"/>
        <v>9.8808103590267329E-2</v>
      </c>
      <c r="W79" s="1"/>
      <c r="X79" s="1">
        <f t="shared" si="58"/>
        <v>-12798.970000000001</v>
      </c>
      <c r="Y79" s="1"/>
      <c r="Z79" s="5">
        <f t="shared" si="59"/>
        <v>-0.26336862825551366</v>
      </c>
    </row>
    <row r="80" spans="1:26" s="23" customFormat="1" hidden="1" outlineLevel="2" x14ac:dyDescent="0.25">
      <c r="A80" s="27"/>
      <c r="B80" s="10" t="str">
        <f>CONCATENATE("          ", "6234", " - ", "EXPENDABLE SUPPLIES &amp; EQUIPMEN")</f>
        <v xml:space="preserve">          6234 - EXPENDABLE SUPPLIES &amp; EQUIPMEN</v>
      </c>
      <c r="C80" s="10"/>
      <c r="D80" s="6"/>
      <c r="E80" s="2"/>
      <c r="F80" s="7">
        <f t="shared" si="52"/>
        <v>0</v>
      </c>
      <c r="G80" s="2"/>
      <c r="H80" s="6"/>
      <c r="I80" s="2"/>
      <c r="J80" s="7">
        <f t="shared" si="53"/>
        <v>0</v>
      </c>
      <c r="K80" s="2"/>
      <c r="L80" s="6">
        <f t="shared" si="54"/>
        <v>0</v>
      </c>
      <c r="M80" s="2"/>
      <c r="N80" s="7">
        <f t="shared" si="55"/>
        <v>0</v>
      </c>
      <c r="O80" s="10"/>
      <c r="P80" s="6"/>
      <c r="Q80" s="2"/>
      <c r="R80" s="7">
        <f t="shared" si="56"/>
        <v>0</v>
      </c>
      <c r="S80" s="2"/>
      <c r="T80" s="6">
        <v>1017.27</v>
      </c>
      <c r="U80" s="2"/>
      <c r="V80" s="7">
        <f t="shared" si="57"/>
        <v>2.068320429754886E-3</v>
      </c>
      <c r="W80" s="2"/>
      <c r="X80" s="6">
        <f t="shared" si="58"/>
        <v>-1017.27</v>
      </c>
      <c r="Y80" s="2"/>
      <c r="Z80" s="7">
        <f t="shared" si="59"/>
        <v>-1</v>
      </c>
    </row>
    <row r="81" spans="1:26" s="23" customFormat="1" hidden="1" outlineLevel="2" x14ac:dyDescent="0.25">
      <c r="A81" s="27"/>
      <c r="B81" s="10" t="str">
        <f>CONCATENATE("          ", "6235", " - ", "COVID-19 EXPENSES")</f>
        <v xml:space="preserve">          6235 - COVID-19 EXPENSES</v>
      </c>
      <c r="C81" s="10"/>
      <c r="D81" s="6"/>
      <c r="E81" s="2"/>
      <c r="F81" s="7">
        <f t="shared" si="52"/>
        <v>0</v>
      </c>
      <c r="G81" s="2"/>
      <c r="H81" s="6"/>
      <c r="I81" s="2"/>
      <c r="J81" s="7">
        <f t="shared" si="53"/>
        <v>0</v>
      </c>
      <c r="K81" s="2"/>
      <c r="L81" s="6">
        <f t="shared" si="54"/>
        <v>0</v>
      </c>
      <c r="M81" s="2"/>
      <c r="N81" s="7">
        <f t="shared" si="55"/>
        <v>0</v>
      </c>
      <c r="O81" s="10"/>
      <c r="P81" s="6">
        <v>310.91000000000003</v>
      </c>
      <c r="Q81" s="2"/>
      <c r="R81" s="7">
        <f t="shared" si="56"/>
        <v>2.7106959978545303E-3</v>
      </c>
      <c r="S81" s="2"/>
      <c r="T81" s="6"/>
      <c r="U81" s="2"/>
      <c r="V81" s="7">
        <f t="shared" si="57"/>
        <v>0</v>
      </c>
      <c r="W81" s="2"/>
      <c r="X81" s="6">
        <f t="shared" si="58"/>
        <v>310.91000000000003</v>
      </c>
      <c r="Y81" s="2"/>
      <c r="Z81" s="7">
        <f t="shared" si="59"/>
        <v>0</v>
      </c>
    </row>
    <row r="82" spans="1:26" s="23" customFormat="1" hidden="1" outlineLevel="2" x14ac:dyDescent="0.25">
      <c r="A82" s="27"/>
      <c r="B82" s="10" t="str">
        <f>CONCATENATE("          ", "6241", " - ", "OFFICE EXPENSE")</f>
        <v xml:space="preserve">          6241 - OFFICE EXPENSE</v>
      </c>
      <c r="C82" s="10"/>
      <c r="D82" s="6">
        <v>6.55</v>
      </c>
      <c r="E82" s="2"/>
      <c r="F82" s="7">
        <f t="shared" si="52"/>
        <v>1.7690988399573257E-3</v>
      </c>
      <c r="G82" s="2"/>
      <c r="H82" s="6"/>
      <c r="I82" s="2"/>
      <c r="J82" s="7">
        <f t="shared" si="53"/>
        <v>0</v>
      </c>
      <c r="K82" s="2"/>
      <c r="L82" s="6">
        <f t="shared" si="54"/>
        <v>6.55</v>
      </c>
      <c r="M82" s="2"/>
      <c r="N82" s="7">
        <f t="shared" si="55"/>
        <v>0</v>
      </c>
      <c r="O82" s="10"/>
      <c r="P82" s="6">
        <v>4657.76</v>
      </c>
      <c r="Q82" s="2"/>
      <c r="R82" s="7">
        <f t="shared" si="56"/>
        <v>4.0609087488234268E-2</v>
      </c>
      <c r="S82" s="2"/>
      <c r="T82" s="6">
        <v>1713.32</v>
      </c>
      <c r="U82" s="2"/>
      <c r="V82" s="7">
        <f t="shared" si="57"/>
        <v>3.4835341243796055E-3</v>
      </c>
      <c r="W82" s="2"/>
      <c r="X82" s="6">
        <f t="shared" si="58"/>
        <v>2944.4400000000005</v>
      </c>
      <c r="Y82" s="2"/>
      <c r="Z82" s="7">
        <f t="shared" si="59"/>
        <v>1.7185581210748726</v>
      </c>
    </row>
    <row r="83" spans="1:26" s="23" customFormat="1" hidden="1" outlineLevel="2" x14ac:dyDescent="0.25">
      <c r="A83" s="27"/>
      <c r="B83" s="10" t="str">
        <f>CONCATENATE("          ", "6243", " - ", "PAPER SUPPLIES")</f>
        <v xml:space="preserve">          6243 - PAPER SUPPLIES</v>
      </c>
      <c r="C83" s="10"/>
      <c r="D83" s="6">
        <v>199.93</v>
      </c>
      <c r="E83" s="2"/>
      <c r="F83" s="7">
        <f t="shared" si="52"/>
        <v>5.3999378789720325E-2</v>
      </c>
      <c r="G83" s="2"/>
      <c r="H83" s="6">
        <v>791.44</v>
      </c>
      <c r="I83" s="2"/>
      <c r="J83" s="7">
        <f t="shared" si="53"/>
        <v>0.18518631178707226</v>
      </c>
      <c r="K83" s="2"/>
      <c r="L83" s="6">
        <f t="shared" si="54"/>
        <v>-591.51</v>
      </c>
      <c r="M83" s="2"/>
      <c r="N83" s="7">
        <f t="shared" si="55"/>
        <v>-0.74738451430304254</v>
      </c>
      <c r="O83" s="10"/>
      <c r="P83" s="6">
        <v>6682.58</v>
      </c>
      <c r="Q83" s="2"/>
      <c r="R83" s="7">
        <f t="shared" si="56"/>
        <v>5.8262657557951583E-2</v>
      </c>
      <c r="S83" s="2"/>
      <c r="T83" s="6">
        <v>17888.36</v>
      </c>
      <c r="U83" s="2"/>
      <c r="V83" s="7">
        <f t="shared" si="57"/>
        <v>3.6370737800987069E-2</v>
      </c>
      <c r="W83" s="2"/>
      <c r="X83" s="6">
        <f t="shared" si="58"/>
        <v>-11205.78</v>
      </c>
      <c r="Y83" s="2"/>
      <c r="Z83" s="7">
        <f t="shared" si="59"/>
        <v>-0.62642858260902623</v>
      </c>
    </row>
    <row r="84" spans="1:26" s="23" customFormat="1" hidden="1" outlineLevel="2" x14ac:dyDescent="0.25">
      <c r="A84" s="27"/>
      <c r="B84" s="10" t="str">
        <f>CONCATENATE("          ", "6245", " - ", "PRINTING")</f>
        <v xml:space="preserve">          6245 - PRINTING</v>
      </c>
      <c r="C84" s="10"/>
      <c r="D84" s="6">
        <v>1766.38</v>
      </c>
      <c r="E84" s="2"/>
      <c r="F84" s="7">
        <f t="shared" si="52"/>
        <v>0.47708409296546889</v>
      </c>
      <c r="G84" s="2"/>
      <c r="H84" s="6">
        <v>264.60000000000002</v>
      </c>
      <c r="I84" s="2"/>
      <c r="J84" s="7">
        <f t="shared" si="53"/>
        <v>6.1912840011699333E-2</v>
      </c>
      <c r="K84" s="2"/>
      <c r="L84" s="6">
        <f t="shared" si="54"/>
        <v>1501.7800000000002</v>
      </c>
      <c r="M84" s="2"/>
      <c r="N84" s="7">
        <f t="shared" si="55"/>
        <v>5.6756613756613756</v>
      </c>
      <c r="O84" s="10"/>
      <c r="P84" s="6">
        <v>3051.93</v>
      </c>
      <c r="Q84" s="2"/>
      <c r="R84" s="7">
        <f t="shared" si="56"/>
        <v>2.6608518338851035E-2</v>
      </c>
      <c r="S84" s="2"/>
      <c r="T84" s="6">
        <v>5828.02</v>
      </c>
      <c r="U84" s="2"/>
      <c r="V84" s="7">
        <f t="shared" si="57"/>
        <v>1.1849570744266588E-2</v>
      </c>
      <c r="W84" s="2"/>
      <c r="X84" s="6">
        <f t="shared" si="58"/>
        <v>-2776.0900000000006</v>
      </c>
      <c r="Y84" s="2"/>
      <c r="Z84" s="7">
        <f t="shared" si="59"/>
        <v>-0.47633501600886757</v>
      </c>
    </row>
    <row r="85" spans="1:26" s="23" customFormat="1" hidden="1" outlineLevel="2" x14ac:dyDescent="0.25">
      <c r="A85" s="27"/>
      <c r="B85" s="10" t="str">
        <f>CONCATENATE("          ", "6247", " - ", "STORE SUPPLIES")</f>
        <v xml:space="preserve">          6247 - STORE SUPPLIES</v>
      </c>
      <c r="C85" s="10"/>
      <c r="D85" s="6">
        <v>1312.17</v>
      </c>
      <c r="E85" s="2"/>
      <c r="F85" s="7">
        <f t="shared" si="52"/>
        <v>0.3544058663857716</v>
      </c>
      <c r="G85" s="2"/>
      <c r="H85" s="6">
        <v>922.26</v>
      </c>
      <c r="I85" s="2"/>
      <c r="J85" s="7">
        <f t="shared" si="53"/>
        <v>0.21579643170517696</v>
      </c>
      <c r="K85" s="2"/>
      <c r="L85" s="6">
        <f t="shared" si="54"/>
        <v>389.91000000000008</v>
      </c>
      <c r="M85" s="2"/>
      <c r="N85" s="7">
        <f t="shared" si="55"/>
        <v>0.42277665734174752</v>
      </c>
      <c r="O85" s="10"/>
      <c r="P85" s="6">
        <v>21095.02</v>
      </c>
      <c r="Q85" s="2"/>
      <c r="R85" s="7">
        <f t="shared" si="56"/>
        <v>0.18391877485015365</v>
      </c>
      <c r="S85" s="2"/>
      <c r="T85" s="6">
        <v>22150.2</v>
      </c>
      <c r="U85" s="2"/>
      <c r="V85" s="7">
        <f t="shared" si="57"/>
        <v>4.5035940490879195E-2</v>
      </c>
      <c r="W85" s="2"/>
      <c r="X85" s="6">
        <f t="shared" si="58"/>
        <v>-1055.1800000000003</v>
      </c>
      <c r="Y85" s="2"/>
      <c r="Z85" s="7">
        <f t="shared" si="59"/>
        <v>-4.7637493115186329E-2</v>
      </c>
    </row>
    <row r="86" spans="1:26" s="26" customFormat="1" outlineLevel="1" collapsed="1" x14ac:dyDescent="0.25">
      <c r="A86" s="25"/>
      <c r="B86" s="12" t="str">
        <f>CONCATENATE("     ","Telephone/Data Lines                              ")</f>
        <v xml:space="preserve">     Telephone/Data Lines                              </v>
      </c>
      <c r="C86" s="12"/>
      <c r="D86" s="1">
        <f>SUM(OSRRefD22_12x_0)</f>
        <v>82.1</v>
      </c>
      <c r="E86" s="1"/>
      <c r="F86" s="5">
        <f t="shared" ref="F86:F91" si="60">IF(D$12=0,0,D86/D$12)</f>
        <v>2.2174506070304797E-2</v>
      </c>
      <c r="G86" s="1"/>
      <c r="H86" s="1">
        <f>SUM(OSRRefH22_12x_0)</f>
        <v>205.85</v>
      </c>
      <c r="I86" s="1"/>
      <c r="J86" s="5">
        <f t="shared" ref="J86:J91" si="61">IF(H$12=0,0,H86/H$12)</f>
        <v>4.8166130447499268E-2</v>
      </c>
      <c r="K86" s="1"/>
      <c r="L86" s="1">
        <f t="shared" ref="L86:L91" si="62">+D86-H86</f>
        <v>-123.75</v>
      </c>
      <c r="M86" s="1"/>
      <c r="N86" s="5">
        <f t="shared" ref="N86:N91" si="63">IF(H86=0,0,L86/H86)</f>
        <v>-0.60116589749817828</v>
      </c>
      <c r="O86" s="12"/>
      <c r="P86" s="1">
        <f>SUM(OSRRefP22_12x_0)</f>
        <v>1585.5</v>
      </c>
      <c r="Q86" s="1"/>
      <c r="R86" s="5">
        <f t="shared" ref="R86:R91" si="64">IF(P$12=0,0,P86/P$12)</f>
        <v>1.3823320268239547E-2</v>
      </c>
      <c r="S86" s="1"/>
      <c r="T86" s="1">
        <f>SUM(OSRRefT22_12x_0)</f>
        <v>2026</v>
      </c>
      <c r="U86" s="1"/>
      <c r="V86" s="5">
        <f t="shared" ref="V86:V91" si="65">IF(T$12=0,0,T86/T$12)</f>
        <v>4.1192772721926323E-3</v>
      </c>
      <c r="W86" s="1"/>
      <c r="X86" s="1">
        <f t="shared" ref="X86:X91" si="66">+P86-T86</f>
        <v>-440.5</v>
      </c>
      <c r="Y86" s="1"/>
      <c r="Z86" s="5">
        <f t="shared" ref="Z86:Z91" si="67">IF(T86=0,0,X86/T86)</f>
        <v>-0.21742349457058244</v>
      </c>
    </row>
    <row r="87" spans="1:26" s="23" customFormat="1" hidden="1" outlineLevel="2" x14ac:dyDescent="0.25">
      <c r="A87" s="27"/>
      <c r="B87" s="10" t="str">
        <f>CONCATENATE("          ", "6309", " - ", "TELEPHONE")</f>
        <v xml:space="preserve">          6309 - TELEPHONE</v>
      </c>
      <c r="C87" s="10"/>
      <c r="D87" s="6">
        <v>82.1</v>
      </c>
      <c r="E87" s="2"/>
      <c r="F87" s="7">
        <f t="shared" si="60"/>
        <v>2.2174506070304797E-2</v>
      </c>
      <c r="G87" s="2"/>
      <c r="H87" s="6">
        <v>205.85</v>
      </c>
      <c r="I87" s="2"/>
      <c r="J87" s="7">
        <f t="shared" si="61"/>
        <v>4.8166130447499268E-2</v>
      </c>
      <c r="K87" s="2"/>
      <c r="L87" s="6">
        <f t="shared" si="62"/>
        <v>-123.75</v>
      </c>
      <c r="M87" s="2"/>
      <c r="N87" s="7">
        <f t="shared" si="63"/>
        <v>-0.60116589749817828</v>
      </c>
      <c r="O87" s="10"/>
      <c r="P87" s="6">
        <v>1585.5</v>
      </c>
      <c r="Q87" s="2"/>
      <c r="R87" s="7">
        <f t="shared" si="64"/>
        <v>1.3823320268239547E-2</v>
      </c>
      <c r="S87" s="2"/>
      <c r="T87" s="6">
        <v>2026</v>
      </c>
      <c r="U87" s="2"/>
      <c r="V87" s="7">
        <f t="shared" si="65"/>
        <v>4.1192772721926323E-3</v>
      </c>
      <c r="W87" s="2"/>
      <c r="X87" s="6">
        <f t="shared" si="66"/>
        <v>-440.5</v>
      </c>
      <c r="Y87" s="2"/>
      <c r="Z87" s="7">
        <f t="shared" si="67"/>
        <v>-0.21742349457058244</v>
      </c>
    </row>
    <row r="88" spans="1:26" s="26" customFormat="1" outlineLevel="1" collapsed="1" x14ac:dyDescent="0.25">
      <c r="A88" s="25"/>
      <c r="B88" s="12" t="str">
        <f>CONCATENATE("     ","Training                                          ")</f>
        <v xml:space="preserve">     Training                                          </v>
      </c>
      <c r="C88" s="12"/>
      <c r="D88" s="1">
        <f>SUM(OSRRefD22_13x_0)</f>
        <v>0</v>
      </c>
      <c r="E88" s="1"/>
      <c r="F88" s="5">
        <f t="shared" si="60"/>
        <v>0</v>
      </c>
      <c r="G88" s="1"/>
      <c r="H88" s="1">
        <f>SUM(OSRRefH22_13x_0)</f>
        <v>0</v>
      </c>
      <c r="I88" s="1"/>
      <c r="J88" s="5">
        <f t="shared" si="61"/>
        <v>0</v>
      </c>
      <c r="K88" s="1"/>
      <c r="L88" s="1">
        <f t="shared" si="62"/>
        <v>0</v>
      </c>
      <c r="M88" s="1"/>
      <c r="N88" s="5">
        <f t="shared" si="63"/>
        <v>0</v>
      </c>
      <c r="O88" s="12"/>
      <c r="P88" s="1">
        <f>SUM(OSRRefP22_13x_0)</f>
        <v>0</v>
      </c>
      <c r="Q88" s="1"/>
      <c r="R88" s="5">
        <f t="shared" si="64"/>
        <v>0</v>
      </c>
      <c r="S88" s="1"/>
      <c r="T88" s="1">
        <f>SUM(OSRRefT22_13x_0)</f>
        <v>97.71</v>
      </c>
      <c r="U88" s="1"/>
      <c r="V88" s="5">
        <f t="shared" si="65"/>
        <v>1.9866465067420636E-4</v>
      </c>
      <c r="W88" s="1"/>
      <c r="X88" s="1">
        <f t="shared" si="66"/>
        <v>-97.71</v>
      </c>
      <c r="Y88" s="1"/>
      <c r="Z88" s="5">
        <f t="shared" si="67"/>
        <v>-1</v>
      </c>
    </row>
    <row r="89" spans="1:26" s="23" customFormat="1" hidden="1" outlineLevel="2" x14ac:dyDescent="0.25">
      <c r="A89" s="27"/>
      <c r="B89" s="10" t="str">
        <f>CONCATENATE("          ", "6376", " - ", "TRAINING")</f>
        <v xml:space="preserve">          6376 - TRAINING</v>
      </c>
      <c r="C89" s="10"/>
      <c r="D89" s="6"/>
      <c r="E89" s="2"/>
      <c r="F89" s="7">
        <f t="shared" si="60"/>
        <v>0</v>
      </c>
      <c r="G89" s="2"/>
      <c r="H89" s="6"/>
      <c r="I89" s="2"/>
      <c r="J89" s="7">
        <f t="shared" si="61"/>
        <v>0</v>
      </c>
      <c r="K89" s="2"/>
      <c r="L89" s="6">
        <f t="shared" si="62"/>
        <v>0</v>
      </c>
      <c r="M89" s="2"/>
      <c r="N89" s="7">
        <f t="shared" si="63"/>
        <v>0</v>
      </c>
      <c r="O89" s="10"/>
      <c r="P89" s="6"/>
      <c r="Q89" s="2"/>
      <c r="R89" s="7">
        <f t="shared" si="64"/>
        <v>0</v>
      </c>
      <c r="S89" s="2"/>
      <c r="T89" s="6">
        <v>97.71</v>
      </c>
      <c r="U89" s="2"/>
      <c r="V89" s="7">
        <f t="shared" si="65"/>
        <v>1.9866465067420636E-4</v>
      </c>
      <c r="W89" s="2"/>
      <c r="X89" s="6">
        <f t="shared" si="66"/>
        <v>-97.71</v>
      </c>
      <c r="Y89" s="2"/>
      <c r="Z89" s="7">
        <f t="shared" si="67"/>
        <v>-1</v>
      </c>
    </row>
    <row r="90" spans="1:26" s="26" customFormat="1" outlineLevel="1" collapsed="1" x14ac:dyDescent="0.25">
      <c r="A90" s="25"/>
      <c r="B90" s="12" t="str">
        <f>CONCATENATE("     ","Utilities                                         ")</f>
        <v xml:space="preserve">     Utilities                                         </v>
      </c>
      <c r="C90" s="12"/>
      <c r="D90" s="1">
        <f>SUM(OSRRefD22_14x_0)</f>
        <v>0</v>
      </c>
      <c r="E90" s="1"/>
      <c r="F90" s="5">
        <f t="shared" si="60"/>
        <v>0</v>
      </c>
      <c r="G90" s="1"/>
      <c r="H90" s="1">
        <f>SUM(OSRRefH22_14x_0)</f>
        <v>0</v>
      </c>
      <c r="I90" s="1"/>
      <c r="J90" s="5">
        <f t="shared" si="61"/>
        <v>0</v>
      </c>
      <c r="K90" s="1"/>
      <c r="L90" s="1">
        <f t="shared" si="62"/>
        <v>0</v>
      </c>
      <c r="M90" s="1"/>
      <c r="N90" s="5">
        <f t="shared" si="63"/>
        <v>0</v>
      </c>
      <c r="O90" s="12"/>
      <c r="P90" s="1">
        <f>SUM(OSRRefP22_14x_0)</f>
        <v>15.02</v>
      </c>
      <c r="Q90" s="1"/>
      <c r="R90" s="5">
        <f t="shared" si="64"/>
        <v>1.3095318223207693E-4</v>
      </c>
      <c r="S90" s="1"/>
      <c r="T90" s="1">
        <f>SUM(OSRRefT22_14x_0)</f>
        <v>0</v>
      </c>
      <c r="U90" s="1"/>
      <c r="V90" s="5">
        <f t="shared" si="65"/>
        <v>0</v>
      </c>
      <c r="W90" s="1"/>
      <c r="X90" s="1">
        <f t="shared" si="66"/>
        <v>15.02</v>
      </c>
      <c r="Y90" s="1"/>
      <c r="Z90" s="5">
        <f t="shared" si="67"/>
        <v>0</v>
      </c>
    </row>
    <row r="91" spans="1:26" s="23" customFormat="1" hidden="1" outlineLevel="2" x14ac:dyDescent="0.25">
      <c r="A91" s="27"/>
      <c r="B91" s="10" t="str">
        <f>CONCATENATE("          ", "6274", " - ", "UTILITIES")</f>
        <v xml:space="preserve">          6274 - UTILITIES</v>
      </c>
      <c r="C91" s="10"/>
      <c r="D91" s="6"/>
      <c r="E91" s="2"/>
      <c r="F91" s="7">
        <f t="shared" si="60"/>
        <v>0</v>
      </c>
      <c r="G91" s="2"/>
      <c r="H91" s="6"/>
      <c r="I91" s="2"/>
      <c r="J91" s="7">
        <f t="shared" si="61"/>
        <v>0</v>
      </c>
      <c r="K91" s="2"/>
      <c r="L91" s="6">
        <f t="shared" si="62"/>
        <v>0</v>
      </c>
      <c r="M91" s="2"/>
      <c r="N91" s="7">
        <f t="shared" si="63"/>
        <v>0</v>
      </c>
      <c r="O91" s="10"/>
      <c r="P91" s="6">
        <v>15.02</v>
      </c>
      <c r="Q91" s="2"/>
      <c r="R91" s="7">
        <f t="shared" si="64"/>
        <v>1.3095318223207693E-4</v>
      </c>
      <c r="S91" s="2"/>
      <c r="T91" s="6"/>
      <c r="U91" s="2"/>
      <c r="V91" s="7">
        <f t="shared" si="65"/>
        <v>0</v>
      </c>
      <c r="W91" s="2"/>
      <c r="X91" s="6">
        <f t="shared" si="66"/>
        <v>15.02</v>
      </c>
      <c r="Y91" s="2"/>
      <c r="Z91" s="7">
        <f t="shared" si="67"/>
        <v>0</v>
      </c>
    </row>
    <row r="92" spans="1:26" s="62" customFormat="1" x14ac:dyDescent="0.25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4" customFormat="1" collapsed="1" x14ac:dyDescent="0.25">
      <c r="A93" s="11"/>
      <c r="B93" s="28" t="s">
        <v>292</v>
      </c>
      <c r="C93" s="11"/>
      <c r="D93" s="4">
        <f>SUM(OSRRefD25x_0)</f>
        <v>6782</v>
      </c>
      <c r="E93" s="4"/>
      <c r="F93" s="13">
        <f t="shared" ref="F93:F99" si="68">IF(D$12=0,0,D93/D$12)</f>
        <v>1.8317600507771881</v>
      </c>
      <c r="G93" s="4"/>
      <c r="H93" s="4">
        <f>SUM(OSRRefH25x_0)</f>
        <v>359130.98</v>
      </c>
      <c r="I93" s="4"/>
      <c r="J93" s="13">
        <f t="shared" ref="J93:J99" si="69">IF(H$12=0,0,H93/H$12)</f>
        <v>84.031817490494291</v>
      </c>
      <c r="K93" s="4"/>
      <c r="L93" s="4">
        <f t="shared" ref="L93:L99" si="70">+D93-H93</f>
        <v>-352348.98</v>
      </c>
      <c r="M93" s="4"/>
      <c r="N93" s="13">
        <f t="shared" ref="N93:N99" si="71">IF(H93=0,0,L93/H93)</f>
        <v>-0.98111552503768962</v>
      </c>
      <c r="O93" s="11"/>
      <c r="P93" s="4">
        <f>SUM(OSRRefP25x_0)</f>
        <v>67820</v>
      </c>
      <c r="Q93" s="4"/>
      <c r="R93" s="13">
        <f t="shared" ref="R93:R99" si="72">IF(P$12=0,0,P93/P$12)</f>
        <v>0.59129459513844596</v>
      </c>
      <c r="S93" s="4"/>
      <c r="T93" s="4">
        <f>SUM(OSRRefT25x_0)</f>
        <v>590000.91</v>
      </c>
      <c r="U93" s="4"/>
      <c r="V93" s="13">
        <f t="shared" ref="V93:V99" si="73">IF(T$12=0,0,T93/T$12)</f>
        <v>1.1995939482408544</v>
      </c>
      <c r="W93" s="4"/>
      <c r="X93" s="4">
        <f t="shared" ref="X93:X99" si="74">+P93-T93</f>
        <v>-522180.91000000003</v>
      </c>
      <c r="Y93" s="4"/>
      <c r="Z93" s="13">
        <f t="shared" ref="Z93:Z99" si="75">IF(T93=0,0,X93/T93)</f>
        <v>-0.8850510247518093</v>
      </c>
    </row>
    <row r="94" spans="1:26" s="23" customFormat="1" hidden="1" outlineLevel="1" x14ac:dyDescent="0.25">
      <c r="A94" s="44"/>
      <c r="B94" s="10" t="str">
        <f>CONCATENATE("          ", "4098", " - ", "TAXABLE SALES-GRAD RENTALS")</f>
        <v xml:space="preserve">          4098 - TAXABLE SALES-GRAD RENTALS</v>
      </c>
      <c r="C94" s="10"/>
      <c r="D94" s="2">
        <f t="shared" ref="D94:D96" si="76">0</f>
        <v>0</v>
      </c>
      <c r="E94" s="2"/>
      <c r="F94" s="19">
        <f t="shared" si="68"/>
        <v>0</v>
      </c>
      <c r="G94" s="2"/>
      <c r="H94" s="2">
        <f t="shared" ref="H94:H95" si="77">0</f>
        <v>0</v>
      </c>
      <c r="I94" s="2"/>
      <c r="J94" s="19">
        <f t="shared" si="69"/>
        <v>0</v>
      </c>
      <c r="K94" s="2"/>
      <c r="L94" s="2">
        <f t="shared" si="70"/>
        <v>0</v>
      </c>
      <c r="M94" s="2"/>
      <c r="N94" s="19">
        <f t="shared" si="71"/>
        <v>0</v>
      </c>
      <c r="O94" s="10"/>
      <c r="P94" s="2">
        <f t="shared" ref="P94:P96" si="78">0</f>
        <v>0</v>
      </c>
      <c r="Q94" s="2"/>
      <c r="R94" s="19">
        <f t="shared" si="72"/>
        <v>0</v>
      </c>
      <c r="S94" s="2"/>
      <c r="T94" s="2">
        <f>--2098.85</f>
        <v>2098.85</v>
      </c>
      <c r="U94" s="2"/>
      <c r="V94" s="19">
        <f t="shared" si="73"/>
        <v>4.2673963981942281E-3</v>
      </c>
      <c r="W94" s="2"/>
      <c r="X94" s="2">
        <f t="shared" si="74"/>
        <v>-2098.85</v>
      </c>
      <c r="Y94" s="2"/>
      <c r="Z94" s="19">
        <f t="shared" si="75"/>
        <v>-1</v>
      </c>
    </row>
    <row r="95" spans="1:26" s="23" customFormat="1" hidden="1" outlineLevel="1" x14ac:dyDescent="0.25">
      <c r="A95" s="44"/>
      <c r="B95" s="10" t="str">
        <f>CONCATENATE("          ", "4197", " - ", "NON-TAXABLE SALES-RETURNED CHE")</f>
        <v xml:space="preserve">          4197 - NON-TAXABLE SALES-RETURNED CHE</v>
      </c>
      <c r="C95" s="10"/>
      <c r="D95" s="2">
        <f t="shared" si="76"/>
        <v>0</v>
      </c>
      <c r="E95" s="2"/>
      <c r="F95" s="19">
        <f t="shared" si="68"/>
        <v>0</v>
      </c>
      <c r="G95" s="2"/>
      <c r="H95" s="2">
        <f t="shared" si="77"/>
        <v>0</v>
      </c>
      <c r="I95" s="2"/>
      <c r="J95" s="19">
        <f t="shared" si="69"/>
        <v>0</v>
      </c>
      <c r="K95" s="2"/>
      <c r="L95" s="2">
        <f t="shared" si="70"/>
        <v>0</v>
      </c>
      <c r="M95" s="2"/>
      <c r="N95" s="19">
        <f t="shared" si="71"/>
        <v>0</v>
      </c>
      <c r="O95" s="10"/>
      <c r="P95" s="2">
        <f t="shared" si="78"/>
        <v>0</v>
      </c>
      <c r="Q95" s="2"/>
      <c r="R95" s="19">
        <f t="shared" si="72"/>
        <v>0</v>
      </c>
      <c r="S95" s="2"/>
      <c r="T95" s="2">
        <f>--30</f>
        <v>30</v>
      </c>
      <c r="U95" s="2"/>
      <c r="V95" s="19">
        <f t="shared" si="73"/>
        <v>6.0996208374027136E-5</v>
      </c>
      <c r="W95" s="2"/>
      <c r="X95" s="2">
        <f t="shared" si="74"/>
        <v>-30</v>
      </c>
      <c r="Y95" s="2"/>
      <c r="Z95" s="19">
        <f t="shared" si="75"/>
        <v>-1</v>
      </c>
    </row>
    <row r="96" spans="1:26" s="23" customFormat="1" hidden="1" outlineLevel="1" x14ac:dyDescent="0.25">
      <c r="A96" s="44"/>
      <c r="B96" s="10" t="str">
        <f>CONCATENATE("          ", "4198", " - ", "NON-TAXABLE SALES-GRAD RENTALS")</f>
        <v xml:space="preserve">          4198 - NON-TAXABLE SALES-GRAD RENTALS</v>
      </c>
      <c r="C96" s="10"/>
      <c r="D96" s="2">
        <f t="shared" si="76"/>
        <v>0</v>
      </c>
      <c r="E96" s="2"/>
      <c r="F96" s="19">
        <f t="shared" si="68"/>
        <v>0</v>
      </c>
      <c r="G96" s="2"/>
      <c r="H96" s="2">
        <f>-98.64</f>
        <v>-98.64</v>
      </c>
      <c r="I96" s="2"/>
      <c r="J96" s="19">
        <f t="shared" si="69"/>
        <v>-2.3080432875109681E-2</v>
      </c>
      <c r="K96" s="2"/>
      <c r="L96" s="2">
        <f t="shared" si="70"/>
        <v>98.64</v>
      </c>
      <c r="M96" s="2"/>
      <c r="N96" s="19">
        <f t="shared" si="71"/>
        <v>-1</v>
      </c>
      <c r="O96" s="10"/>
      <c r="P96" s="2">
        <f t="shared" si="78"/>
        <v>0</v>
      </c>
      <c r="Q96" s="2"/>
      <c r="R96" s="19">
        <f t="shared" si="72"/>
        <v>0</v>
      </c>
      <c r="S96" s="2"/>
      <c r="T96" s="2">
        <f>--3633.46</f>
        <v>3633.46</v>
      </c>
      <c r="U96" s="2"/>
      <c r="V96" s="19">
        <f t="shared" si="73"/>
        <v>7.3875761092897542E-3</v>
      </c>
      <c r="W96" s="2"/>
      <c r="X96" s="2">
        <f t="shared" si="74"/>
        <v>-3633.46</v>
      </c>
      <c r="Y96" s="2"/>
      <c r="Z96" s="19">
        <f t="shared" si="75"/>
        <v>-1</v>
      </c>
    </row>
    <row r="97" spans="1:26" s="23" customFormat="1" hidden="1" outlineLevel="1" x14ac:dyDescent="0.25">
      <c r="A97" s="44"/>
      <c r="B97" s="10" t="str">
        <f>CONCATENATE("          ", "9150", " - ", "MISC. INCOME")</f>
        <v xml:space="preserve">          9150 - MISC. INCOME</v>
      </c>
      <c r="C97" s="10"/>
      <c r="D97" s="2">
        <f>--6782</f>
        <v>6782</v>
      </c>
      <c r="E97" s="2"/>
      <c r="F97" s="19">
        <f t="shared" si="68"/>
        <v>1.8317600507771881</v>
      </c>
      <c r="G97" s="2"/>
      <c r="H97" s="2">
        <f>--13269</f>
        <v>13269</v>
      </c>
      <c r="I97" s="2"/>
      <c r="J97" s="19">
        <f t="shared" si="69"/>
        <v>3.1047674758701373</v>
      </c>
      <c r="K97" s="2"/>
      <c r="L97" s="2">
        <f t="shared" si="70"/>
        <v>-6487</v>
      </c>
      <c r="M97" s="2"/>
      <c r="N97" s="19">
        <f t="shared" si="71"/>
        <v>-0.48888386464692141</v>
      </c>
      <c r="O97" s="10"/>
      <c r="P97" s="2">
        <f>--67820</f>
        <v>67820</v>
      </c>
      <c r="Q97" s="2"/>
      <c r="R97" s="19">
        <f t="shared" si="72"/>
        <v>0.59129459513844596</v>
      </c>
      <c r="S97" s="2"/>
      <c r="T97" s="2">
        <f>--131363.1</f>
        <v>131363.1</v>
      </c>
      <c r="U97" s="2"/>
      <c r="V97" s="19">
        <f t="shared" si="73"/>
        <v>0.2670883673419388</v>
      </c>
      <c r="W97" s="2"/>
      <c r="X97" s="2">
        <f t="shared" si="74"/>
        <v>-63543.100000000006</v>
      </c>
      <c r="Y97" s="2"/>
      <c r="Z97" s="19">
        <f t="shared" si="75"/>
        <v>-0.48372107540093073</v>
      </c>
    </row>
    <row r="98" spans="1:26" s="23" customFormat="1" hidden="1" outlineLevel="1" x14ac:dyDescent="0.25">
      <c r="A98" s="44"/>
      <c r="B98" s="10" t="str">
        <f>CONCATENATE("          ", "9160", " - ", "MISC. INCOME")</f>
        <v xml:space="preserve">          9160 - MISC. INCOME</v>
      </c>
      <c r="C98" s="10"/>
      <c r="D98" s="2">
        <f t="shared" ref="D98:D99" si="79">0</f>
        <v>0</v>
      </c>
      <c r="E98" s="2"/>
      <c r="F98" s="19">
        <f t="shared" si="68"/>
        <v>0</v>
      </c>
      <c r="G98" s="2"/>
      <c r="H98" s="2">
        <f>0</f>
        <v>0</v>
      </c>
      <c r="I98" s="2"/>
      <c r="J98" s="19">
        <f t="shared" si="69"/>
        <v>0</v>
      </c>
      <c r="K98" s="2"/>
      <c r="L98" s="2">
        <f t="shared" si="70"/>
        <v>0</v>
      </c>
      <c r="M98" s="2"/>
      <c r="N98" s="19">
        <f t="shared" si="71"/>
        <v>0</v>
      </c>
      <c r="O98" s="10"/>
      <c r="P98" s="2">
        <f t="shared" ref="P98:P99" si="80">0</f>
        <v>0</v>
      </c>
      <c r="Q98" s="2"/>
      <c r="R98" s="19">
        <f t="shared" si="72"/>
        <v>0</v>
      </c>
      <c r="S98" s="2"/>
      <c r="T98" s="2">
        <f>--22475</f>
        <v>22475</v>
      </c>
      <c r="U98" s="2"/>
      <c r="V98" s="19">
        <f t="shared" si="73"/>
        <v>4.569632610687533E-2</v>
      </c>
      <c r="W98" s="2"/>
      <c r="X98" s="2">
        <f t="shared" si="74"/>
        <v>-22475</v>
      </c>
      <c r="Y98" s="2"/>
      <c r="Z98" s="19">
        <f t="shared" si="75"/>
        <v>-1</v>
      </c>
    </row>
    <row r="99" spans="1:26" s="23" customFormat="1" hidden="1" outlineLevel="1" x14ac:dyDescent="0.25">
      <c r="A99" s="44"/>
      <c r="B99" s="10" t="str">
        <f>CONCATENATE("          ", "9163", " - ", "MISC. INCOME")</f>
        <v xml:space="preserve">          9163 - MISC. INCOME</v>
      </c>
      <c r="C99" s="10"/>
      <c r="D99" s="2">
        <f t="shared" si="79"/>
        <v>0</v>
      </c>
      <c r="E99" s="2"/>
      <c r="F99" s="19">
        <f t="shared" si="68"/>
        <v>0</v>
      </c>
      <c r="G99" s="2"/>
      <c r="H99" s="2">
        <f>--345960.62</f>
        <v>345960.62</v>
      </c>
      <c r="I99" s="2"/>
      <c r="J99" s="19">
        <f t="shared" si="69"/>
        <v>80.950130447499262</v>
      </c>
      <c r="K99" s="2"/>
      <c r="L99" s="2">
        <f t="shared" si="70"/>
        <v>-345960.62</v>
      </c>
      <c r="M99" s="2"/>
      <c r="N99" s="19">
        <f t="shared" si="71"/>
        <v>-1</v>
      </c>
      <c r="O99" s="10"/>
      <c r="P99" s="2">
        <f t="shared" si="80"/>
        <v>0</v>
      </c>
      <c r="Q99" s="2"/>
      <c r="R99" s="19">
        <f t="shared" si="72"/>
        <v>0</v>
      </c>
      <c r="S99" s="2"/>
      <c r="T99" s="2">
        <f>--430400.5</f>
        <v>430400.5</v>
      </c>
      <c r="U99" s="2"/>
      <c r="V99" s="19">
        <f t="shared" si="73"/>
        <v>0.8750932860761822</v>
      </c>
      <c r="W99" s="2"/>
      <c r="X99" s="2">
        <f t="shared" si="74"/>
        <v>-430400.5</v>
      </c>
      <c r="Y99" s="2"/>
      <c r="Z99" s="19">
        <f t="shared" si="75"/>
        <v>-1</v>
      </c>
    </row>
    <row r="100" spans="1:26" x14ac:dyDescent="0.25">
      <c r="A100" s="9"/>
      <c r="B100" s="11"/>
      <c r="C100" s="11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1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4" customFormat="1" x14ac:dyDescent="0.25">
      <c r="A101" s="11"/>
      <c r="B101" s="29" t="s">
        <v>276</v>
      </c>
      <c r="C101" s="29"/>
      <c r="D101" s="20">
        <f>+D40-D42+D93</f>
        <v>-4810.41</v>
      </c>
      <c r="E101" s="14"/>
      <c r="F101" s="22">
        <f>IF(D$12=0,0,D101/D$12)</f>
        <v>-1.2992504962929952</v>
      </c>
      <c r="G101" s="14"/>
      <c r="H101" s="20">
        <f>+H40-H42+H93</f>
        <v>328073.18</v>
      </c>
      <c r="I101" s="14"/>
      <c r="J101" s="22">
        <f>IF(H$12=0,0,H101/H$12)</f>
        <v>76.764710149166419</v>
      </c>
      <c r="K101" s="16"/>
      <c r="L101" s="20">
        <f>+D101-H101</f>
        <v>-332883.58999999997</v>
      </c>
      <c r="M101" s="16"/>
      <c r="N101" s="22">
        <f>IF(H101=0,0,L101/H101)</f>
        <v>-1.0146626127743816</v>
      </c>
      <c r="O101" s="28"/>
      <c r="P101" s="20">
        <f>+P40-P42+P93</f>
        <v>-90042.290000000095</v>
      </c>
      <c r="Q101" s="14"/>
      <c r="R101" s="22">
        <f>IF(P$12=0,0,P101/P$12)</f>
        <v>-0.78504157196827773</v>
      </c>
      <c r="S101" s="14"/>
      <c r="T101" s="20">
        <f>+T40-T42+T93</f>
        <v>617298.50999999989</v>
      </c>
      <c r="U101" s="14"/>
      <c r="V101" s="22">
        <f>IF(T$12=0,0,T101/T$12)</f>
        <v>1.255095618164549</v>
      </c>
      <c r="W101" s="16"/>
      <c r="X101" s="20">
        <f>+P101-T101</f>
        <v>-707340.80000000005</v>
      </c>
      <c r="Y101" s="16"/>
      <c r="Z101" s="22">
        <f>IF(T101=0,0,X101/T101)</f>
        <v>-1.1458650693973005</v>
      </c>
    </row>
    <row r="102" spans="1:26" x14ac:dyDescent="0.25">
      <c r="A102" s="9"/>
      <c r="B102" s="11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4" customFormat="1" x14ac:dyDescent="0.25">
      <c r="A103" s="51"/>
      <c r="B103" s="11" t="s">
        <v>127</v>
      </c>
      <c r="C103" s="11"/>
      <c r="D103" s="4">
        <v>1120.05</v>
      </c>
      <c r="E103" s="4"/>
      <c r="F103" s="13">
        <f>IF(D$12=0,0,D103/D$12)</f>
        <v>0.3025159016327027</v>
      </c>
      <c r="G103" s="4"/>
      <c r="H103" s="4">
        <v>3600.97</v>
      </c>
      <c r="I103" s="4"/>
      <c r="J103" s="13">
        <f>IF(H$12=0,0,H103/H$12)</f>
        <v>0.84257853173442521</v>
      </c>
      <c r="K103" s="4"/>
      <c r="L103" s="4">
        <f>+D103-H103</f>
        <v>-2480.92</v>
      </c>
      <c r="M103" s="4"/>
      <c r="N103" s="13">
        <f>IF(H103=0,0,L103/H103)</f>
        <v>-0.68895880832109135</v>
      </c>
      <c r="O103" s="11"/>
      <c r="P103" s="4">
        <v>23995.18</v>
      </c>
      <c r="Q103" s="4"/>
      <c r="R103" s="13">
        <f>IF(P$12=0,0,P103/P$12)</f>
        <v>0.20920407318451983</v>
      </c>
      <c r="S103" s="4"/>
      <c r="T103" s="4">
        <v>55844.22</v>
      </c>
      <c r="U103" s="4"/>
      <c r="V103" s="13">
        <f>IF(T$12=0,0,T103/T$12)</f>
        <v>0.11354285598683378</v>
      </c>
      <c r="W103" s="4"/>
      <c r="X103" s="4">
        <f>+P103-T103</f>
        <v>-31849.040000000001</v>
      </c>
      <c r="Y103" s="4"/>
      <c r="Z103" s="13">
        <f>IF(T103=0,0,X103/T103)</f>
        <v>-0.57031936340054534</v>
      </c>
    </row>
    <row r="104" spans="1:26" x14ac:dyDescent="0.25">
      <c r="A104" s="9"/>
      <c r="B104" s="11"/>
      <c r="C104" s="11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1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4" customFormat="1" ht="15.75" thickBot="1" x14ac:dyDescent="0.3">
      <c r="A105" s="11"/>
      <c r="B105" s="29" t="s">
        <v>125</v>
      </c>
      <c r="C105" s="29"/>
      <c r="D105" s="30">
        <f>+D101-D103</f>
        <v>-5930.46</v>
      </c>
      <c r="E105" s="14"/>
      <c r="F105" s="34">
        <f>IF(D$12=0,0,D105/D$12)</f>
        <v>-1.601766397925698</v>
      </c>
      <c r="G105" s="14"/>
      <c r="H105" s="30">
        <f>+H101-H103</f>
        <v>324472.21000000002</v>
      </c>
      <c r="I105" s="14"/>
      <c r="J105" s="34">
        <f>IF(H$12=0,0,H105/H$12)</f>
        <v>75.922131617432001</v>
      </c>
      <c r="K105" s="16"/>
      <c r="L105" s="30">
        <f>D105-H105</f>
        <v>-330402.67000000004</v>
      </c>
      <c r="M105" s="16"/>
      <c r="N105" s="34">
        <f>IF(H105=0,0,L105/H105)</f>
        <v>-1.0182772509238927</v>
      </c>
      <c r="O105" s="28"/>
      <c r="P105" s="30">
        <f>+P101-P103</f>
        <v>-114037.47000000009</v>
      </c>
      <c r="Q105" s="14"/>
      <c r="R105" s="34">
        <f>IF(P$12=0,0,P105/P$12)</f>
        <v>-0.99424564515279756</v>
      </c>
      <c r="S105" s="14"/>
      <c r="T105" s="30">
        <f>+T101-T103</f>
        <v>561454.28999999992</v>
      </c>
      <c r="U105" s="14"/>
      <c r="V105" s="34">
        <f>IF(T$12=0,0,T105/T$12)</f>
        <v>1.1415527621777151</v>
      </c>
      <c r="W105" s="16"/>
      <c r="X105" s="30">
        <f>P105-T105</f>
        <v>-675491.76</v>
      </c>
      <c r="Y105" s="16"/>
      <c r="Z105" s="34">
        <f>IF(T105=0,0,X105/T105)</f>
        <v>-1.2031108712340592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4" customFormat="1" ht="15.75" thickBot="1" x14ac:dyDescent="0.3">
      <c r="A108" s="11"/>
      <c r="B108" s="29" t="s">
        <v>293</v>
      </c>
      <c r="C108" s="29"/>
      <c r="D108" s="32">
        <f>SUM(D105:D107)</f>
        <v>-5930.46</v>
      </c>
      <c r="E108" s="14"/>
      <c r="F108" s="35">
        <f>IF(D$12=0,0,D108/D$12)</f>
        <v>-1.601766397925698</v>
      </c>
      <c r="G108" s="14"/>
      <c r="H108" s="32">
        <f>SUM(H105:H107)</f>
        <v>324472.21000000002</v>
      </c>
      <c r="I108" s="14"/>
      <c r="J108" s="35">
        <f>IF(H$12=0,0,H108/H$12)</f>
        <v>75.922131617432001</v>
      </c>
      <c r="K108" s="16"/>
      <c r="L108" s="32">
        <f>+D108-H108</f>
        <v>-330402.67000000004</v>
      </c>
      <c r="M108" s="16"/>
      <c r="N108" s="35">
        <f>IF(H108=0,0,L108/H108)</f>
        <v>-1.0182772509238927</v>
      </c>
      <c r="O108" s="28"/>
      <c r="P108" s="32">
        <f>SUM(P105:P107)</f>
        <v>-114037.47000000009</v>
      </c>
      <c r="Q108" s="14"/>
      <c r="R108" s="35">
        <f>IF(P$12=0,0,P108/P$12)</f>
        <v>-0.99424564515279756</v>
      </c>
      <c r="S108" s="14"/>
      <c r="T108" s="32">
        <f>SUM(T105:T107)</f>
        <v>561454.28999999992</v>
      </c>
      <c r="U108" s="14"/>
      <c r="V108" s="35">
        <f>IF(T$12=0,0,T108/T$12)</f>
        <v>1.1415527621777151</v>
      </c>
      <c r="W108" s="16"/>
      <c r="X108" s="32">
        <f>+P108-T108</f>
        <v>-675491.76</v>
      </c>
      <c r="Y108" s="16"/>
      <c r="Z108" s="35">
        <f>IF(T108=0,0,X108/T108)</f>
        <v>-1.2031108712340592</v>
      </c>
    </row>
    <row r="109" spans="1:26" ht="15.75" thickTop="1" x14ac:dyDescent="0.25">
      <c r="A109" s="9"/>
      <c r="C109" s="9"/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A110" s="9"/>
      <c r="B110" s="59">
        <v>44330.008785682869</v>
      </c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25">
      <c r="A111" s="9"/>
      <c r="B111" s="52" t="s">
        <v>56</v>
      </c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A112" s="9"/>
      <c r="B112" s="55"/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4:24" x14ac:dyDescent="0.25"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","316", " - ", "Campus Copy Center")</f>
        <v>Department 316 - Campus Copy Center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3702.45</v>
      </c>
      <c r="E12" s="4"/>
      <c r="F12" s="13"/>
      <c r="G12" s="4"/>
      <c r="H12" s="4">
        <f>SUM(OSRRefH13x_0)</f>
        <v>1059.5999999999999</v>
      </c>
      <c r="I12" s="4"/>
      <c r="J12" s="13"/>
      <c r="K12" s="4"/>
      <c r="L12" s="4">
        <f t="shared" ref="L12:L29" si="0">+D12-H12</f>
        <v>2642.85</v>
      </c>
      <c r="M12" s="4"/>
      <c r="N12" s="13">
        <f t="shared" ref="N12:N29" si="1">IF(H12=0,0,L12/H12)</f>
        <v>2.4941959229898076</v>
      </c>
      <c r="O12" s="11"/>
      <c r="P12" s="4">
        <f>SUM(OSRRefP13x_0)</f>
        <v>114697.48</v>
      </c>
      <c r="Q12" s="4"/>
      <c r="R12" s="13"/>
      <c r="S12" s="4"/>
      <c r="T12" s="4">
        <f>SUM(OSRRefT13x_0)</f>
        <v>470201.87</v>
      </c>
      <c r="U12" s="4"/>
      <c r="V12" s="13"/>
      <c r="W12" s="4"/>
      <c r="X12" s="4">
        <f t="shared" ref="X12:X29" si="2">+P12-T12</f>
        <v>-355504.39</v>
      </c>
      <c r="Y12" s="4"/>
      <c r="Z12" s="13">
        <f t="shared" ref="Z12:Z29" si="3">IF(T12=0,0,X12/T12)</f>
        <v>-0.75606758008001973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-9.28</f>
        <v>-9.2799999999999994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-9.2799999999999994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"4041", " - ", "TAXABLE SALES-LOGO GIFTS")</f>
        <v xml:space="preserve">          4041 - TAXABLE SALES-LOGO GIFTS</v>
      </c>
      <c r="C14" s="10"/>
      <c r="D14" s="2">
        <f>--262.2</f>
        <v>262.2</v>
      </c>
      <c r="E14" s="2"/>
      <c r="F14" s="19"/>
      <c r="G14" s="2"/>
      <c r="H14" s="2">
        <f>--24.7</f>
        <v>24.7</v>
      </c>
      <c r="I14" s="2"/>
      <c r="J14" s="19"/>
      <c r="K14" s="2"/>
      <c r="L14" s="2">
        <f t="shared" si="0"/>
        <v>237.5</v>
      </c>
      <c r="M14" s="2"/>
      <c r="N14" s="19">
        <f t="shared" si="1"/>
        <v>9.615384615384615</v>
      </c>
      <c r="O14" s="10"/>
      <c r="P14" s="2">
        <f>--92920.17</f>
        <v>92920.17</v>
      </c>
      <c r="Q14" s="2"/>
      <c r="R14" s="19"/>
      <c r="S14" s="2"/>
      <c r="T14" s="2">
        <f>--174207.25</f>
        <v>174207.25</v>
      </c>
      <c r="U14" s="2"/>
      <c r="V14" s="19"/>
      <c r="W14" s="2"/>
      <c r="X14" s="2">
        <f t="shared" si="2"/>
        <v>-81287.08</v>
      </c>
      <c r="Y14" s="2"/>
      <c r="Z14" s="19">
        <f t="shared" si="3"/>
        <v>-0.46661134941284016</v>
      </c>
    </row>
    <row r="15" spans="1:26" s="23" customFormat="1" hidden="1" outlineLevel="1" x14ac:dyDescent="0.25">
      <c r="A15" s="44"/>
      <c r="B15" s="10" t="str">
        <f>CONCATENATE("          ", "4042", " - ", "TAXABLE SALES-EVERYDAY GIFTS")</f>
        <v xml:space="preserve">          4042 - TAXABLE SALES-EVERYDAY GIFTS</v>
      </c>
      <c r="C15" s="10"/>
      <c r="D15" s="2">
        <f>--1279.89</f>
        <v>1279.8900000000001</v>
      </c>
      <c r="E15" s="2"/>
      <c r="F15" s="19"/>
      <c r="G15" s="2"/>
      <c r="H15" s="2">
        <f>--262.2</f>
        <v>262.2</v>
      </c>
      <c r="I15" s="2"/>
      <c r="J15" s="19"/>
      <c r="K15" s="2"/>
      <c r="L15" s="2">
        <f t="shared" si="0"/>
        <v>1017.69</v>
      </c>
      <c r="M15" s="2"/>
      <c r="N15" s="19">
        <f t="shared" si="1"/>
        <v>3.8813501144164761</v>
      </c>
      <c r="O15" s="10"/>
      <c r="P15" s="2">
        <f>--17099.84</f>
        <v>17099.84</v>
      </c>
      <c r="Q15" s="2"/>
      <c r="R15" s="19"/>
      <c r="S15" s="2"/>
      <c r="T15" s="2">
        <f>--74446.61</f>
        <v>74446.61</v>
      </c>
      <c r="U15" s="2"/>
      <c r="V15" s="19"/>
      <c r="W15" s="2"/>
      <c r="X15" s="2">
        <f t="shared" si="2"/>
        <v>-57346.770000000004</v>
      </c>
      <c r="Y15" s="2"/>
      <c r="Z15" s="19">
        <f t="shared" si="3"/>
        <v>-0.77030733837309717</v>
      </c>
    </row>
    <row r="16" spans="1:26" s="23" customFormat="1" hidden="1" outlineLevel="1" x14ac:dyDescent="0.25">
      <c r="A16" s="44"/>
      <c r="B16" s="10" t="str">
        <f>CONCATENATE("          ", "4043", " - ", "TAXABLE SALES-CARDS")</f>
        <v xml:space="preserve">          4043 - TAXABLE SALES-CARDS</v>
      </c>
      <c r="C16" s="10"/>
      <c r="D16" s="2">
        <f t="shared" ref="D16:D18" si="4">0</f>
        <v>0</v>
      </c>
      <c r="E16" s="2"/>
      <c r="F16" s="19"/>
      <c r="G16" s="2"/>
      <c r="H16" s="2">
        <f>--651</f>
        <v>651</v>
      </c>
      <c r="I16" s="2"/>
      <c r="J16" s="19"/>
      <c r="K16" s="2"/>
      <c r="L16" s="2">
        <f t="shared" si="0"/>
        <v>-651</v>
      </c>
      <c r="M16" s="2"/>
      <c r="N16" s="19">
        <f t="shared" si="1"/>
        <v>-1</v>
      </c>
      <c r="O16" s="10"/>
      <c r="P16" s="2">
        <f>--52.68</f>
        <v>52.68</v>
      </c>
      <c r="Q16" s="2"/>
      <c r="R16" s="19"/>
      <c r="S16" s="2"/>
      <c r="T16" s="2">
        <f>--921.72</f>
        <v>921.72</v>
      </c>
      <c r="U16" s="2"/>
      <c r="V16" s="19"/>
      <c r="W16" s="2"/>
      <c r="X16" s="2">
        <f t="shared" si="2"/>
        <v>-869.04000000000008</v>
      </c>
      <c r="Y16" s="2"/>
      <c r="Z16" s="19">
        <f t="shared" si="3"/>
        <v>-0.94284598359588601</v>
      </c>
    </row>
    <row r="17" spans="1:26" s="23" customFormat="1" hidden="1" outlineLevel="1" x14ac:dyDescent="0.25">
      <c r="A17" s="44"/>
      <c r="B17" s="10" t="str">
        <f>CONCATENATE("          ", "4044", " - ", "TAXABLE SALES-ACCESSORIES")</f>
        <v xml:space="preserve">          4044 - TAXABLE SALES-ACCESSORIES</v>
      </c>
      <c r="C17" s="10"/>
      <c r="D17" s="2">
        <f t="shared" si="4"/>
        <v>0</v>
      </c>
      <c r="E17" s="2"/>
      <c r="F17" s="19"/>
      <c r="G17" s="2"/>
      <c r="H17" s="2">
        <f t="shared" ref="H17:H21" si="5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ref="P17:P18" si="6">0</f>
        <v>0</v>
      </c>
      <c r="Q17" s="2"/>
      <c r="R17" s="19"/>
      <c r="S17" s="2"/>
      <c r="T17" s="2">
        <f>--235.18</f>
        <v>235.18</v>
      </c>
      <c r="U17" s="2"/>
      <c r="V17" s="19"/>
      <c r="W17" s="2"/>
      <c r="X17" s="2">
        <f t="shared" si="2"/>
        <v>-235.18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"4047", " - ", "TAXABLE SALES-MISC")</f>
        <v xml:space="preserve">          4047 - TAXABLE SALES-MISC</v>
      </c>
      <c r="C18" s="10"/>
      <c r="D18" s="2">
        <f t="shared" si="4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 t="shared" si="6"/>
        <v>0</v>
      </c>
      <c r="Q18" s="2"/>
      <c r="R18" s="19"/>
      <c r="S18" s="2"/>
      <c r="T18" s="2">
        <f>--2676.14</f>
        <v>2676.14</v>
      </c>
      <c r="U18" s="2"/>
      <c r="V18" s="19"/>
      <c r="W18" s="2"/>
      <c r="X18" s="2">
        <f t="shared" si="2"/>
        <v>-2676.14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"4095", " - ", "TAXABLE SALES-CUSTOMER SERVICE")</f>
        <v xml:space="preserve">          4095 - TAXABLE SALES-CUSTOMER SERVICE</v>
      </c>
      <c r="C19" s="10"/>
      <c r="D19" s="2">
        <f>--2119.46</f>
        <v>2119.46</v>
      </c>
      <c r="E19" s="2"/>
      <c r="F19" s="19"/>
      <c r="G19" s="2"/>
      <c r="H19" s="2">
        <f t="shared" si="5"/>
        <v>0</v>
      </c>
      <c r="I19" s="2"/>
      <c r="J19" s="19"/>
      <c r="K19" s="2"/>
      <c r="L19" s="2">
        <f t="shared" si="0"/>
        <v>2119.46</v>
      </c>
      <c r="M19" s="2"/>
      <c r="N19" s="19">
        <f t="shared" si="1"/>
        <v>0</v>
      </c>
      <c r="O19" s="10"/>
      <c r="P19" s="2">
        <f>--3034.59</f>
        <v>3034.59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3034.59</v>
      </c>
      <c r="Y19" s="2"/>
      <c r="Z19" s="19">
        <f t="shared" si="3"/>
        <v>0</v>
      </c>
    </row>
    <row r="20" spans="1:26" s="23" customFormat="1" hidden="1" outlineLevel="1" x14ac:dyDescent="0.25">
      <c r="A20" s="44"/>
      <c r="B20" s="10" t="str">
        <f>CONCATENATE("          ", "4141", " - ", "NON-TAXABLE SALES-LOGO GIFTS")</f>
        <v xml:space="preserve">          4141 - NON-TAXABLE SALES-LOGO GIFTS</v>
      </c>
      <c r="C20" s="10"/>
      <c r="D20" s="2">
        <f>--0.6</f>
        <v>0.6</v>
      </c>
      <c r="E20" s="2"/>
      <c r="F20" s="19"/>
      <c r="G20" s="2"/>
      <c r="H20" s="2">
        <f t="shared" si="5"/>
        <v>0</v>
      </c>
      <c r="I20" s="2"/>
      <c r="J20" s="19"/>
      <c r="K20" s="2"/>
      <c r="L20" s="2">
        <f t="shared" si="0"/>
        <v>0.6</v>
      </c>
      <c r="M20" s="2"/>
      <c r="N20" s="19">
        <f t="shared" si="1"/>
        <v>0</v>
      </c>
      <c r="O20" s="10"/>
      <c r="P20" s="2">
        <f>--1279.24</f>
        <v>1279.24</v>
      </c>
      <c r="Q20" s="2"/>
      <c r="R20" s="19"/>
      <c r="S20" s="2"/>
      <c r="T20" s="2">
        <f>--864.6</f>
        <v>864.6</v>
      </c>
      <c r="U20" s="2"/>
      <c r="V20" s="19"/>
      <c r="W20" s="2"/>
      <c r="X20" s="2">
        <f t="shared" si="2"/>
        <v>414.64</v>
      </c>
      <c r="Y20" s="2"/>
      <c r="Z20" s="19">
        <f t="shared" si="3"/>
        <v>0.47957436965070549</v>
      </c>
    </row>
    <row r="21" spans="1:26" s="23" customFormat="1" hidden="1" outlineLevel="1" x14ac:dyDescent="0.25">
      <c r="A21" s="44"/>
      <c r="B21" s="10" t="str">
        <f>CONCATENATE("          ", "4142", " - ", "NON-TAXABLE SALES-EVERYDAY GIF")</f>
        <v xml:space="preserve">          4142 - NON-TAXABLE SALES-EVERYDAY GIF</v>
      </c>
      <c r="C21" s="10"/>
      <c r="D21" s="2">
        <f>--22.1</f>
        <v>22.1</v>
      </c>
      <c r="E21" s="2"/>
      <c r="F21" s="19"/>
      <c r="G21" s="2"/>
      <c r="H21" s="2">
        <f t="shared" si="5"/>
        <v>0</v>
      </c>
      <c r="I21" s="2"/>
      <c r="J21" s="19"/>
      <c r="K21" s="2"/>
      <c r="L21" s="2">
        <f t="shared" si="0"/>
        <v>22.1</v>
      </c>
      <c r="M21" s="2"/>
      <c r="N21" s="19">
        <f t="shared" si="1"/>
        <v>0</v>
      </c>
      <c r="O21" s="10"/>
      <c r="P21" s="2">
        <f>--1132.69</f>
        <v>1132.69</v>
      </c>
      <c r="Q21" s="2"/>
      <c r="R21" s="19"/>
      <c r="S21" s="2"/>
      <c r="T21" s="2">
        <f>--8924.02</f>
        <v>8924.02</v>
      </c>
      <c r="U21" s="2"/>
      <c r="V21" s="19"/>
      <c r="W21" s="2"/>
      <c r="X21" s="2">
        <f t="shared" si="2"/>
        <v>-7791.33</v>
      </c>
      <c r="Y21" s="2"/>
      <c r="Z21" s="19">
        <f t="shared" si="3"/>
        <v>-0.87307401821152342</v>
      </c>
    </row>
    <row r="22" spans="1:26" s="23" customFormat="1" hidden="1" outlineLevel="1" x14ac:dyDescent="0.25">
      <c r="A22" s="44"/>
      <c r="B22" s="10" t="str">
        <f>CONCATENATE("          ", "4146", " - ", "NON-TAXABLE SALES-COIN OP MACH")</f>
        <v xml:space="preserve">          4146 - NON-TAXABLE SALES-COIN OP MACH</v>
      </c>
      <c r="C22" s="10"/>
      <c r="D22" s="2">
        <f>--30.2</f>
        <v>30.2</v>
      </c>
      <c r="E22" s="2"/>
      <c r="F22" s="19"/>
      <c r="G22" s="2"/>
      <c r="H22" s="2">
        <f>--121.7</f>
        <v>121.7</v>
      </c>
      <c r="I22" s="2"/>
      <c r="J22" s="19"/>
      <c r="K22" s="2"/>
      <c r="L22" s="2">
        <f t="shared" si="0"/>
        <v>-91.5</v>
      </c>
      <c r="M22" s="2"/>
      <c r="N22" s="19">
        <f t="shared" si="1"/>
        <v>-0.75184880854560387</v>
      </c>
      <c r="O22" s="10"/>
      <c r="P22" s="2">
        <f>--329.3</f>
        <v>329.3</v>
      </c>
      <c r="Q22" s="2"/>
      <c r="R22" s="19"/>
      <c r="S22" s="2"/>
      <c r="T22" s="2">
        <f>--205908.65</f>
        <v>205908.65</v>
      </c>
      <c r="U22" s="2"/>
      <c r="V22" s="19"/>
      <c r="W22" s="2"/>
      <c r="X22" s="2">
        <f t="shared" si="2"/>
        <v>-205579.35</v>
      </c>
      <c r="Y22" s="2"/>
      <c r="Z22" s="19">
        <f t="shared" si="3"/>
        <v>-0.99840074712742766</v>
      </c>
    </row>
    <row r="23" spans="1:26" s="23" customFormat="1" hidden="1" outlineLevel="1" x14ac:dyDescent="0.25">
      <c r="A23" s="44"/>
      <c r="B23" s="10" t="str">
        <f>CONCATENATE("          ", "4147", " - ", "NON-TAXABLE SALES-MISC")</f>
        <v xml:space="preserve">          4147 - NON-TAXABLE SALES-MISC</v>
      </c>
      <c r="C23" s="10"/>
      <c r="D23" s="2">
        <f>--11</f>
        <v>11</v>
      </c>
      <c r="E23" s="2"/>
      <c r="F23" s="19"/>
      <c r="G23" s="2"/>
      <c r="H23" s="2">
        <f t="shared" ref="H23:H29" si="7">0</f>
        <v>0</v>
      </c>
      <c r="I23" s="2"/>
      <c r="J23" s="19"/>
      <c r="K23" s="2"/>
      <c r="L23" s="2">
        <f t="shared" si="0"/>
        <v>11</v>
      </c>
      <c r="M23" s="2"/>
      <c r="N23" s="19">
        <f t="shared" si="1"/>
        <v>0</v>
      </c>
      <c r="O23" s="10"/>
      <c r="P23" s="2">
        <f>--154.5</f>
        <v>154.5</v>
      </c>
      <c r="Q23" s="2"/>
      <c r="R23" s="19"/>
      <c r="S23" s="2"/>
      <c r="T23" s="2">
        <f>--3436.37</f>
        <v>3436.37</v>
      </c>
      <c r="U23" s="2"/>
      <c r="V23" s="19"/>
      <c r="W23" s="2"/>
      <c r="X23" s="2">
        <f t="shared" si="2"/>
        <v>-3281.87</v>
      </c>
      <c r="Y23" s="2"/>
      <c r="Z23" s="19">
        <f t="shared" si="3"/>
        <v>-0.95503976579937555</v>
      </c>
    </row>
    <row r="24" spans="1:26" s="23" customFormat="1" hidden="1" outlineLevel="1" x14ac:dyDescent="0.25">
      <c r="A24" s="44"/>
      <c r="B24" s="10" t="str">
        <f>CONCATENATE("          ", "4241", " - ", "SALES RETURN TAXABLE-LOGO GIFT")</f>
        <v xml:space="preserve">          4241 - SALES RETURN TAXABLE-LOGO GIFT</v>
      </c>
      <c r="C24" s="10"/>
      <c r="D24" s="2">
        <f>-23</f>
        <v>-23</v>
      </c>
      <c r="E24" s="2"/>
      <c r="F24" s="19"/>
      <c r="G24" s="2"/>
      <c r="H24" s="2">
        <f t="shared" si="7"/>
        <v>0</v>
      </c>
      <c r="I24" s="2"/>
      <c r="J24" s="19"/>
      <c r="K24" s="2"/>
      <c r="L24" s="2">
        <f t="shared" si="0"/>
        <v>-23</v>
      </c>
      <c r="M24" s="2"/>
      <c r="N24" s="19">
        <f t="shared" si="1"/>
        <v>0</v>
      </c>
      <c r="O24" s="10"/>
      <c r="P24" s="2">
        <f>-1285.05</f>
        <v>-1285.05</v>
      </c>
      <c r="Q24" s="2"/>
      <c r="R24" s="19"/>
      <c r="S24" s="2"/>
      <c r="T24" s="2">
        <f>-1059.4</f>
        <v>-1059.4000000000001</v>
      </c>
      <c r="U24" s="2"/>
      <c r="V24" s="19"/>
      <c r="W24" s="2"/>
      <c r="X24" s="2">
        <f t="shared" si="2"/>
        <v>-225.64999999999986</v>
      </c>
      <c r="Y24" s="2"/>
      <c r="Z24" s="19">
        <f t="shared" si="3"/>
        <v>0.2129979233528411</v>
      </c>
    </row>
    <row r="25" spans="1:26" s="23" customFormat="1" hidden="1" outlineLevel="1" x14ac:dyDescent="0.25">
      <c r="A25" s="44"/>
      <c r="B25" s="10" t="str">
        <f>CONCATENATE("          ", "4242", " - ", "SALES RETURN TAXABLE-EVERYDAY")</f>
        <v xml:space="preserve">          4242 - SALES RETURN TAXABLE-EVERYDAY</v>
      </c>
      <c r="C25" s="10"/>
      <c r="D25" s="2">
        <f t="shared" ref="D25:D29" si="8">0</f>
        <v>0</v>
      </c>
      <c r="E25" s="2"/>
      <c r="F25" s="19"/>
      <c r="G25" s="2"/>
      <c r="H25" s="2">
        <f t="shared" si="7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0"/>
      <c r="P25" s="2">
        <f>0</f>
        <v>0</v>
      </c>
      <c r="Q25" s="2"/>
      <c r="R25" s="19"/>
      <c r="S25" s="2"/>
      <c r="T25" s="2">
        <f>-227.7</f>
        <v>-227.7</v>
      </c>
      <c r="U25" s="2"/>
      <c r="V25" s="19"/>
      <c r="W25" s="2"/>
      <c r="X25" s="2">
        <f t="shared" si="2"/>
        <v>227.7</v>
      </c>
      <c r="Y25" s="2"/>
      <c r="Z25" s="19">
        <f t="shared" si="3"/>
        <v>-1</v>
      </c>
    </row>
    <row r="26" spans="1:26" s="23" customFormat="1" hidden="1" outlineLevel="1" x14ac:dyDescent="0.25">
      <c r="A26" s="44"/>
      <c r="B26" s="10" t="str">
        <f>CONCATENATE("          ", "4341", " - ", "SALES RETURN NON TAXABLE-LOGO")</f>
        <v xml:space="preserve">          4341 - SALES RETURN NON TAXABLE-LOGO</v>
      </c>
      <c r="C26" s="10"/>
      <c r="D26" s="2">
        <f t="shared" si="8"/>
        <v>0</v>
      </c>
      <c r="E26" s="2"/>
      <c r="F26" s="19"/>
      <c r="G26" s="2"/>
      <c r="H26" s="2">
        <f t="shared" si="7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0"/>
      <c r="P26" s="2">
        <f>-11.2</f>
        <v>-11.2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-11.2</v>
      </c>
      <c r="Y26" s="2"/>
      <c r="Z26" s="19">
        <f t="shared" si="3"/>
        <v>0</v>
      </c>
    </row>
    <row r="27" spans="1:26" s="23" customFormat="1" hidden="1" outlineLevel="1" x14ac:dyDescent="0.25">
      <c r="A27" s="44"/>
      <c r="B27" s="10" t="str">
        <f>CONCATENATE("          ", "4342", " - ", "SALES RETURN NON TAXABLE-EVERY")</f>
        <v xml:space="preserve">          4342 - SALES RETURN NON TAXABLE-EVERY</v>
      </c>
      <c r="C27" s="10"/>
      <c r="D27" s="2">
        <f t="shared" si="8"/>
        <v>0</v>
      </c>
      <c r="E27" s="2"/>
      <c r="F27" s="19"/>
      <c r="G27" s="2"/>
      <c r="H27" s="2">
        <f t="shared" si="7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ref="P27:P29" si="9">0</f>
        <v>0</v>
      </c>
      <c r="Q27" s="2"/>
      <c r="R27" s="19"/>
      <c r="S27" s="2"/>
      <c r="T27" s="2">
        <f>-39.42</f>
        <v>-39.42</v>
      </c>
      <c r="U27" s="2"/>
      <c r="V27" s="19"/>
      <c r="W27" s="2"/>
      <c r="X27" s="2">
        <f t="shared" si="2"/>
        <v>39.42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"4346", " - ", "SALES RETURN NON TAXABLE-COIN-")</f>
        <v xml:space="preserve">          4346 - SALES RETURN NON TAXABLE-COIN-</v>
      </c>
      <c r="C28" s="10"/>
      <c r="D28" s="2">
        <f t="shared" si="8"/>
        <v>0</v>
      </c>
      <c r="E28" s="2"/>
      <c r="F28" s="19"/>
      <c r="G28" s="2"/>
      <c r="H28" s="2">
        <f t="shared" si="7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 t="shared" si="9"/>
        <v>0</v>
      </c>
      <c r="Q28" s="2"/>
      <c r="R28" s="19"/>
      <c r="S28" s="2"/>
      <c r="T28" s="2">
        <f>-8.15</f>
        <v>-8.15</v>
      </c>
      <c r="U28" s="2"/>
      <c r="V28" s="19"/>
      <c r="W28" s="2"/>
      <c r="X28" s="2">
        <f t="shared" si="2"/>
        <v>8.15</v>
      </c>
      <c r="Y28" s="2"/>
      <c r="Z28" s="19">
        <f t="shared" si="3"/>
        <v>-1</v>
      </c>
    </row>
    <row r="29" spans="1:26" s="23" customFormat="1" hidden="1" outlineLevel="1" x14ac:dyDescent="0.25">
      <c r="A29" s="44"/>
      <c r="B29" s="10" t="str">
        <f>CONCATENATE("          ", "4347", " - ", "SALES RETURN NON TAXABLE-MISC")</f>
        <v xml:space="preserve">          4347 - SALES RETURN NON TAXABLE-MISC</v>
      </c>
      <c r="C29" s="10"/>
      <c r="D29" s="2">
        <f t="shared" si="8"/>
        <v>0</v>
      </c>
      <c r="E29" s="2"/>
      <c r="F29" s="19"/>
      <c r="G29" s="2"/>
      <c r="H29" s="2">
        <f t="shared" si="7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0"/>
      <c r="P29" s="2">
        <f t="shared" si="9"/>
        <v>0</v>
      </c>
      <c r="Q29" s="2"/>
      <c r="R29" s="19"/>
      <c r="S29" s="2"/>
      <c r="T29" s="2">
        <f>-84</f>
        <v>-84</v>
      </c>
      <c r="U29" s="2"/>
      <c r="V29" s="19"/>
      <c r="W29" s="2"/>
      <c r="X29" s="2">
        <f t="shared" si="2"/>
        <v>84</v>
      </c>
      <c r="Y29" s="2"/>
      <c r="Z29" s="19">
        <f t="shared" si="3"/>
        <v>-1</v>
      </c>
    </row>
    <row r="30" spans="1:26" x14ac:dyDescent="0.25">
      <c r="A30" s="9"/>
      <c r="B30" s="11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x14ac:dyDescent="0.25">
      <c r="A31" s="11"/>
      <c r="B31" s="28" t="s">
        <v>256</v>
      </c>
      <c r="C31" s="11"/>
      <c r="D31" s="4">
        <f>SUM(0)</f>
        <v>0</v>
      </c>
      <c r="E31" s="4"/>
      <c r="F31" s="13">
        <f>IF(D$12=0,0,D31/D$12)</f>
        <v>0</v>
      </c>
      <c r="G31" s="4"/>
      <c r="H31" s="4">
        <f>SUM(0)</f>
        <v>0</v>
      </c>
      <c r="I31" s="4"/>
      <c r="J31" s="13">
        <f>IF(H$12=0,0,H31/H$12)</f>
        <v>0</v>
      </c>
      <c r="K31" s="4"/>
      <c r="L31" s="4">
        <f>+D31-H31</f>
        <v>0</v>
      </c>
      <c r="M31" s="4"/>
      <c r="N31" s="13">
        <f>IF(H31=0,0,L31/H31)</f>
        <v>0</v>
      </c>
      <c r="O31" s="11"/>
      <c r="P31" s="4">
        <f>SUM(0)</f>
        <v>0</v>
      </c>
      <c r="Q31" s="4"/>
      <c r="R31" s="13">
        <f>IF(P$12=0,0,P31/P$12)</f>
        <v>0</v>
      </c>
      <c r="S31" s="4"/>
      <c r="T31" s="4">
        <f>SUM(0)</f>
        <v>0</v>
      </c>
      <c r="U31" s="4"/>
      <c r="V31" s="13">
        <f>IF(T$12=0,0,T31/T$12)</f>
        <v>0</v>
      </c>
      <c r="W31" s="4"/>
      <c r="X31" s="4">
        <f>+P31-T31</f>
        <v>0</v>
      </c>
      <c r="Y31" s="4"/>
      <c r="Z31" s="13">
        <f>IF(T31=0,0,X31/T31)</f>
        <v>0</v>
      </c>
    </row>
    <row r="32" spans="1:26" x14ac:dyDescent="0.25">
      <c r="A32" s="9"/>
      <c r="B32" s="11"/>
      <c r="C32" s="11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1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11"/>
      <c r="B33" s="29" t="s">
        <v>107</v>
      </c>
      <c r="C33" s="29"/>
      <c r="D33" s="20">
        <f>D12-D31</f>
        <v>3702.45</v>
      </c>
      <c r="E33" s="14"/>
      <c r="F33" s="22">
        <f>IF(D$12=0,0,D33/D$12)</f>
        <v>1</v>
      </c>
      <c r="G33" s="14"/>
      <c r="H33" s="20">
        <f>H12-H31</f>
        <v>1059.5999999999999</v>
      </c>
      <c r="I33" s="14"/>
      <c r="J33" s="22">
        <f>IF(H$12=0,0,H33/H$12)</f>
        <v>1</v>
      </c>
      <c r="K33" s="16"/>
      <c r="L33" s="20">
        <f>+D33-H33</f>
        <v>2642.85</v>
      </c>
      <c r="M33" s="16"/>
      <c r="N33" s="22">
        <f>IF(H33=0,0,L33/H33)</f>
        <v>2.4941959229898076</v>
      </c>
      <c r="O33" s="28"/>
      <c r="P33" s="20">
        <f>P12-P31</f>
        <v>114697.48</v>
      </c>
      <c r="Q33" s="14"/>
      <c r="R33" s="22">
        <f>IF(P$12=0,0,P33/P$12)</f>
        <v>1</v>
      </c>
      <c r="S33" s="14"/>
      <c r="T33" s="20">
        <f>T12-T31</f>
        <v>470201.87</v>
      </c>
      <c r="U33" s="14"/>
      <c r="V33" s="22">
        <f>IF(T$12=0,0,T33/T$12)</f>
        <v>1</v>
      </c>
      <c r="W33" s="16"/>
      <c r="X33" s="20">
        <f>+P33-T33</f>
        <v>-355504.39</v>
      </c>
      <c r="Y33" s="16"/>
      <c r="Z33" s="22">
        <f>IF(T33=0,0,X33/T33)</f>
        <v>-0.75606758008001973</v>
      </c>
    </row>
    <row r="34" spans="1:26" x14ac:dyDescent="0.25">
      <c r="A34" s="9"/>
      <c r="B34" s="11"/>
      <c r="C34" s="9"/>
      <c r="D34" s="1"/>
      <c r="E34" s="1"/>
      <c r="F34" s="5"/>
      <c r="G34" s="1"/>
      <c r="H34" s="1"/>
      <c r="I34" s="1"/>
      <c r="J34" s="5"/>
      <c r="K34" s="1"/>
      <c r="L34" s="1"/>
      <c r="M34" s="1"/>
      <c r="N34" s="5"/>
      <c r="O34" s="37"/>
      <c r="P34" s="1"/>
      <c r="Q34" s="1"/>
      <c r="R34" s="5"/>
      <c r="S34" s="1"/>
      <c r="T34" s="1"/>
      <c r="U34" s="1"/>
      <c r="V34" s="5"/>
      <c r="W34" s="1"/>
      <c r="X34" s="1"/>
      <c r="Y34" s="1"/>
      <c r="Z34" s="5"/>
    </row>
    <row r="35" spans="1:26" s="24" customFormat="1" x14ac:dyDescent="0.25">
      <c r="A35" s="11"/>
      <c r="B35" s="28" t="s">
        <v>294</v>
      </c>
      <c r="C35" s="11"/>
      <c r="D35" s="21">
        <f>SUM(OSRRefD22x_0)</f>
        <v>15294.86</v>
      </c>
      <c r="E35" s="21"/>
      <c r="F35" s="31">
        <f t="shared" ref="F35:F44" si="10">IF(D$12=0,0,D35/D$12)</f>
        <v>4.1310105470701837</v>
      </c>
      <c r="G35" s="21"/>
      <c r="H35" s="21">
        <f>SUM(OSRRefH22x_0)</f>
        <v>32595.82</v>
      </c>
      <c r="I35" s="21"/>
      <c r="J35" s="31">
        <f t="shared" ref="J35:J44" si="11">IF(H$12=0,0,H35/H$12)</f>
        <v>30.762382030955081</v>
      </c>
      <c r="K35" s="4"/>
      <c r="L35" s="21">
        <f t="shared" ref="L35:L44" si="12">+D35-H35</f>
        <v>-17300.96</v>
      </c>
      <c r="M35" s="4"/>
      <c r="N35" s="31">
        <f t="shared" ref="N35:N44" si="13">IF(H35=0,0,L35/H35)</f>
        <v>-0.53077235056519512</v>
      </c>
      <c r="O35" s="11"/>
      <c r="P35" s="21">
        <f>SUM(OSRRefP22x_0)</f>
        <v>272559.77000000008</v>
      </c>
      <c r="Q35" s="21"/>
      <c r="R35" s="31">
        <f t="shared" ref="R35:R44" si="14">IF(P$12=0,0,P35/P$12)</f>
        <v>2.3763361671067238</v>
      </c>
      <c r="S35" s="21"/>
      <c r="T35" s="21">
        <f>SUM(OSRRefT22x_0)</f>
        <v>454140.19999999995</v>
      </c>
      <c r="U35" s="21"/>
      <c r="V35" s="31">
        <f t="shared" ref="V35:V44" si="15">IF(T$12=0,0,T35/T$12)</f>
        <v>0.96584090573693371</v>
      </c>
      <c r="W35" s="4"/>
      <c r="X35" s="21">
        <f t="shared" ref="X35:X44" si="16">+P35-T35</f>
        <v>-181580.42999999988</v>
      </c>
      <c r="Y35" s="4"/>
      <c r="Z35" s="31">
        <f t="shared" ref="Z35:Z44" si="17">IF(T35=0,0,X35/T35)</f>
        <v>-0.39983342148525919</v>
      </c>
    </row>
    <row r="36" spans="1:26" s="26" customFormat="1" outlineLevel="1" collapsed="1" x14ac:dyDescent="0.25">
      <c r="A36" s="25"/>
      <c r="B36" s="12" t="str">
        <f>CONCATENATE("     ","*Benefits                                         ")</f>
        <v xml:space="preserve">     *Benefits                                         </v>
      </c>
      <c r="C36" s="12"/>
      <c r="D36" s="1">
        <f>SUM(OSRRefD22_0x_0)</f>
        <v>10512.210000000001</v>
      </c>
      <c r="E36" s="1"/>
      <c r="F36" s="5">
        <f t="shared" si="10"/>
        <v>2.839257788761496</v>
      </c>
      <c r="G36" s="1"/>
      <c r="H36" s="1">
        <f>SUM(OSRRefH22_0x_0)</f>
        <v>7793.3899999999994</v>
      </c>
      <c r="I36" s="1"/>
      <c r="J36" s="5">
        <f t="shared" si="11"/>
        <v>7.3550302000755003</v>
      </c>
      <c r="K36" s="1"/>
      <c r="L36" s="1">
        <f t="shared" si="12"/>
        <v>2718.8200000000015</v>
      </c>
      <c r="M36" s="1"/>
      <c r="N36" s="5">
        <f t="shared" si="13"/>
        <v>0.348862305107277</v>
      </c>
      <c r="O36" s="12"/>
      <c r="P36" s="1">
        <f>SUM(OSRRefP22_0x_0)</f>
        <v>94898.33</v>
      </c>
      <c r="Q36" s="1"/>
      <c r="R36" s="5">
        <f t="shared" si="14"/>
        <v>0.82737938095937247</v>
      </c>
      <c r="S36" s="1"/>
      <c r="T36" s="1">
        <f>SUM(OSRRefT22_0x_0)</f>
        <v>82230.61</v>
      </c>
      <c r="U36" s="1"/>
      <c r="V36" s="5">
        <f t="shared" si="15"/>
        <v>0.17488363030117257</v>
      </c>
      <c r="W36" s="1"/>
      <c r="X36" s="1">
        <f t="shared" si="16"/>
        <v>12667.720000000001</v>
      </c>
      <c r="Y36" s="1"/>
      <c r="Z36" s="5">
        <f t="shared" si="17"/>
        <v>0.15405114956583688</v>
      </c>
    </row>
    <row r="37" spans="1:26" s="23" customFormat="1" hidden="1" outlineLevel="2" x14ac:dyDescent="0.25">
      <c r="A37" s="27"/>
      <c r="B37" s="10" t="str">
        <f>CONCATENATE("          ", "6111", " - ", "F.I.C.A.")</f>
        <v xml:space="preserve">          6111 - F.I.C.A.</v>
      </c>
      <c r="C37" s="10"/>
      <c r="D37" s="6">
        <v>1823.33</v>
      </c>
      <c r="E37" s="2"/>
      <c r="F37" s="7">
        <f t="shared" si="10"/>
        <v>0.49246579967318937</v>
      </c>
      <c r="G37" s="2"/>
      <c r="H37" s="6">
        <v>1307.3499999999999</v>
      </c>
      <c r="I37" s="2"/>
      <c r="J37" s="7">
        <f t="shared" si="11"/>
        <v>1.2338146470366176</v>
      </c>
      <c r="K37" s="2"/>
      <c r="L37" s="6">
        <f t="shared" si="12"/>
        <v>515.98</v>
      </c>
      <c r="M37" s="2"/>
      <c r="N37" s="7">
        <f t="shared" si="13"/>
        <v>0.39467625348988417</v>
      </c>
      <c r="O37" s="10"/>
      <c r="P37" s="6">
        <v>13291.02</v>
      </c>
      <c r="Q37" s="2"/>
      <c r="R37" s="7">
        <f t="shared" si="14"/>
        <v>0.1158789190486138</v>
      </c>
      <c r="S37" s="2"/>
      <c r="T37" s="6">
        <v>12943.52</v>
      </c>
      <c r="U37" s="2"/>
      <c r="V37" s="7">
        <f t="shared" si="15"/>
        <v>2.7527580866490389E-2</v>
      </c>
      <c r="W37" s="2"/>
      <c r="X37" s="6">
        <f t="shared" si="16"/>
        <v>347.5</v>
      </c>
      <c r="Y37" s="2"/>
      <c r="Z37" s="7">
        <f t="shared" si="17"/>
        <v>2.6847410905225161E-2</v>
      </c>
    </row>
    <row r="38" spans="1:26" s="23" customFormat="1" hidden="1" outlineLevel="2" x14ac:dyDescent="0.25">
      <c r="A38" s="27"/>
      <c r="B38" s="10" t="str">
        <f>CONCATENATE("          ", "6112", " - ", "COMPENSATION INSURANCE")</f>
        <v xml:space="preserve">          6112 - COMPENSATION INSURANCE</v>
      </c>
      <c r="C38" s="10"/>
      <c r="D38" s="6">
        <v>306.89</v>
      </c>
      <c r="E38" s="2"/>
      <c r="F38" s="7">
        <f t="shared" si="10"/>
        <v>8.2888357709084523E-2</v>
      </c>
      <c r="G38" s="2"/>
      <c r="H38" s="6">
        <v>216.57</v>
      </c>
      <c r="I38" s="2"/>
      <c r="J38" s="7">
        <f t="shared" si="11"/>
        <v>0.2043884484711212</v>
      </c>
      <c r="K38" s="2"/>
      <c r="L38" s="6">
        <f t="shared" si="12"/>
        <v>90.32</v>
      </c>
      <c r="M38" s="2"/>
      <c r="N38" s="7">
        <f t="shared" si="13"/>
        <v>0.41704760585491985</v>
      </c>
      <c r="O38" s="10"/>
      <c r="P38" s="6">
        <v>3337.15</v>
      </c>
      <c r="Q38" s="2"/>
      <c r="R38" s="7">
        <f t="shared" si="14"/>
        <v>2.9095233827281995E-2</v>
      </c>
      <c r="S38" s="2"/>
      <c r="T38" s="6">
        <v>2094.4299999999998</v>
      </c>
      <c r="U38" s="2"/>
      <c r="V38" s="7">
        <f t="shared" si="15"/>
        <v>4.4543208643555579E-3</v>
      </c>
      <c r="W38" s="2"/>
      <c r="X38" s="6">
        <f t="shared" si="16"/>
        <v>1242.7200000000003</v>
      </c>
      <c r="Y38" s="2"/>
      <c r="Z38" s="7">
        <f t="shared" si="17"/>
        <v>0.59334520609425967</v>
      </c>
    </row>
    <row r="39" spans="1:26" s="23" customFormat="1" hidden="1" outlineLevel="2" x14ac:dyDescent="0.25">
      <c r="A39" s="27"/>
      <c r="B39" s="10" t="str">
        <f>CONCATENATE("          ", "6113", " - ", "GROUP INSURANCE")</f>
        <v xml:space="preserve">          6113 - GROUP INSURANCE</v>
      </c>
      <c r="C39" s="10"/>
      <c r="D39" s="6">
        <v>3421.48</v>
      </c>
      <c r="E39" s="2"/>
      <c r="F39" s="7">
        <f t="shared" si="10"/>
        <v>0.92411241205147943</v>
      </c>
      <c r="G39" s="2"/>
      <c r="H39" s="6">
        <v>2724.48</v>
      </c>
      <c r="I39" s="2"/>
      <c r="J39" s="7">
        <f t="shared" si="11"/>
        <v>2.5712344280860706</v>
      </c>
      <c r="K39" s="2"/>
      <c r="L39" s="6">
        <f t="shared" si="12"/>
        <v>697</v>
      </c>
      <c r="M39" s="2"/>
      <c r="N39" s="7">
        <f t="shared" si="13"/>
        <v>0.25582863518910032</v>
      </c>
      <c r="O39" s="10"/>
      <c r="P39" s="6">
        <v>36057.25</v>
      </c>
      <c r="Q39" s="2"/>
      <c r="R39" s="7">
        <f t="shared" si="14"/>
        <v>0.31436828429011693</v>
      </c>
      <c r="S39" s="2"/>
      <c r="T39" s="6">
        <v>29762.01</v>
      </c>
      <c r="U39" s="2"/>
      <c r="V39" s="7">
        <f t="shared" si="15"/>
        <v>6.3296239123846951E-2</v>
      </c>
      <c r="W39" s="2"/>
      <c r="X39" s="6">
        <f t="shared" si="16"/>
        <v>6295.2400000000016</v>
      </c>
      <c r="Y39" s="2"/>
      <c r="Z39" s="7">
        <f t="shared" si="17"/>
        <v>0.21151931606769844</v>
      </c>
    </row>
    <row r="40" spans="1:26" s="23" customFormat="1" hidden="1" outlineLevel="2" x14ac:dyDescent="0.25">
      <c r="A40" s="27"/>
      <c r="B40" s="10" t="str">
        <f>CONCATENATE("          ", "6114", " - ", "STATE UNEMPLOYMENT INSURANCE")</f>
        <v xml:space="preserve">          6114 - STATE UNEMPLOYMENT INSURANCE</v>
      </c>
      <c r="C40" s="10"/>
      <c r="D40" s="6">
        <v>43.13</v>
      </c>
      <c r="E40" s="2"/>
      <c r="F40" s="7">
        <f t="shared" si="10"/>
        <v>1.1649043201123581E-2</v>
      </c>
      <c r="G40" s="2"/>
      <c r="H40" s="6">
        <v>29.64</v>
      </c>
      <c r="I40" s="2"/>
      <c r="J40" s="7">
        <f t="shared" si="11"/>
        <v>2.7972819932049833E-2</v>
      </c>
      <c r="K40" s="2"/>
      <c r="L40" s="6">
        <f t="shared" si="12"/>
        <v>13.490000000000002</v>
      </c>
      <c r="M40" s="2"/>
      <c r="N40" s="7">
        <f t="shared" si="13"/>
        <v>0.45512820512820518</v>
      </c>
      <c r="O40" s="10"/>
      <c r="P40" s="6">
        <v>468.99</v>
      </c>
      <c r="Q40" s="2"/>
      <c r="R40" s="7">
        <f t="shared" si="14"/>
        <v>4.088930288616629E-3</v>
      </c>
      <c r="S40" s="2"/>
      <c r="T40" s="6">
        <v>479.08</v>
      </c>
      <c r="U40" s="2"/>
      <c r="V40" s="7">
        <f t="shared" si="15"/>
        <v>1.0188815284805227E-3</v>
      </c>
      <c r="W40" s="2"/>
      <c r="X40" s="6">
        <f t="shared" si="16"/>
        <v>-10.089999999999975</v>
      </c>
      <c r="Y40" s="2"/>
      <c r="Z40" s="7">
        <f t="shared" si="17"/>
        <v>-2.1061200634549502E-2</v>
      </c>
    </row>
    <row r="41" spans="1:26" s="23" customFormat="1" hidden="1" outlineLevel="2" x14ac:dyDescent="0.25">
      <c r="A41" s="27"/>
      <c r="B41" s="10" t="str">
        <f>CONCATENATE("          ", "6115", " - ", "P.E.R.S.")</f>
        <v xml:space="preserve">          6115 - P.E.R.S.</v>
      </c>
      <c r="C41" s="10"/>
      <c r="D41" s="6">
        <v>1596.69</v>
      </c>
      <c r="E41" s="2"/>
      <c r="F41" s="7">
        <f t="shared" si="10"/>
        <v>0.43125227889640649</v>
      </c>
      <c r="G41" s="2"/>
      <c r="H41" s="6">
        <v>1166.77</v>
      </c>
      <c r="I41" s="2"/>
      <c r="J41" s="7">
        <f t="shared" si="11"/>
        <v>1.101141940354851</v>
      </c>
      <c r="K41" s="2"/>
      <c r="L41" s="6">
        <f t="shared" si="12"/>
        <v>429.92000000000007</v>
      </c>
      <c r="M41" s="2"/>
      <c r="N41" s="7">
        <f t="shared" si="13"/>
        <v>0.36847022120897871</v>
      </c>
      <c r="O41" s="10"/>
      <c r="P41" s="6">
        <v>17311.48</v>
      </c>
      <c r="Q41" s="2"/>
      <c r="R41" s="7">
        <f t="shared" si="14"/>
        <v>0.15093165080871873</v>
      </c>
      <c r="S41" s="2"/>
      <c r="T41" s="6">
        <v>13085.76</v>
      </c>
      <c r="U41" s="2"/>
      <c r="V41" s="7">
        <f t="shared" si="15"/>
        <v>2.7830089233800794E-2</v>
      </c>
      <c r="W41" s="2"/>
      <c r="X41" s="6">
        <f t="shared" si="16"/>
        <v>4225.7199999999993</v>
      </c>
      <c r="Y41" s="2"/>
      <c r="Z41" s="7">
        <f t="shared" si="17"/>
        <v>0.32292507275083748</v>
      </c>
    </row>
    <row r="42" spans="1:26" s="23" customFormat="1" hidden="1" outlineLevel="2" x14ac:dyDescent="0.25">
      <c r="A42" s="27"/>
      <c r="B42" s="10" t="str">
        <f>CONCATENATE("          ", "6118", " - ", "VACATION")</f>
        <v xml:space="preserve">          6118 - VACATION</v>
      </c>
      <c r="C42" s="10"/>
      <c r="D42" s="6">
        <v>1824.15</v>
      </c>
      <c r="E42" s="2"/>
      <c r="F42" s="7">
        <f t="shared" si="10"/>
        <v>0.49268727464246653</v>
      </c>
      <c r="G42" s="2"/>
      <c r="H42" s="6">
        <v>1558.77</v>
      </c>
      <c r="I42" s="2"/>
      <c r="J42" s="7">
        <f t="shared" si="11"/>
        <v>1.4710928652321631</v>
      </c>
      <c r="K42" s="2"/>
      <c r="L42" s="6">
        <f t="shared" si="12"/>
        <v>265.38000000000011</v>
      </c>
      <c r="M42" s="2"/>
      <c r="N42" s="7">
        <f t="shared" si="13"/>
        <v>0.1702496198926077</v>
      </c>
      <c r="O42" s="10"/>
      <c r="P42" s="6">
        <v>13139.88</v>
      </c>
      <c r="Q42" s="2"/>
      <c r="R42" s="7">
        <f t="shared" si="14"/>
        <v>0.11456119175416932</v>
      </c>
      <c r="S42" s="2"/>
      <c r="T42" s="6">
        <v>13343.1</v>
      </c>
      <c r="U42" s="2"/>
      <c r="V42" s="7">
        <f t="shared" si="15"/>
        <v>2.8377386078877145E-2</v>
      </c>
      <c r="W42" s="2"/>
      <c r="X42" s="6">
        <f t="shared" si="16"/>
        <v>-203.22000000000116</v>
      </c>
      <c r="Y42" s="2"/>
      <c r="Z42" s="7">
        <f t="shared" si="17"/>
        <v>-1.5230343773186227E-2</v>
      </c>
    </row>
    <row r="43" spans="1:26" s="23" customFormat="1" hidden="1" outlineLevel="2" x14ac:dyDescent="0.25">
      <c r="A43" s="27"/>
      <c r="B43" s="10" t="str">
        <f>CONCATENATE("          ", "6119", " - ", "SICK LEAVE")</f>
        <v xml:space="preserve">          6119 - SICK LEAVE</v>
      </c>
      <c r="C43" s="10"/>
      <c r="D43" s="6">
        <v>1107.75</v>
      </c>
      <c r="E43" s="2"/>
      <c r="F43" s="7">
        <f t="shared" si="10"/>
        <v>0.29919377709354616</v>
      </c>
      <c r="G43" s="2"/>
      <c r="H43" s="6">
        <v>789.81</v>
      </c>
      <c r="I43" s="2"/>
      <c r="J43" s="7">
        <f t="shared" si="11"/>
        <v>0.74538505096262742</v>
      </c>
      <c r="K43" s="2"/>
      <c r="L43" s="6">
        <f t="shared" si="12"/>
        <v>317.94000000000005</v>
      </c>
      <c r="M43" s="2"/>
      <c r="N43" s="7">
        <f t="shared" si="13"/>
        <v>0.40255251262961989</v>
      </c>
      <c r="O43" s="10"/>
      <c r="P43" s="6">
        <v>8017.52</v>
      </c>
      <c r="Q43" s="2"/>
      <c r="R43" s="7">
        <f t="shared" si="14"/>
        <v>6.9901448575853634E-2</v>
      </c>
      <c r="S43" s="2"/>
      <c r="T43" s="6">
        <v>8080.2</v>
      </c>
      <c r="U43" s="2"/>
      <c r="V43" s="7">
        <f t="shared" si="15"/>
        <v>1.7184533953469815E-2</v>
      </c>
      <c r="W43" s="2"/>
      <c r="X43" s="6">
        <f t="shared" si="16"/>
        <v>-62.679999999999382</v>
      </c>
      <c r="Y43" s="2"/>
      <c r="Z43" s="7">
        <f t="shared" si="17"/>
        <v>-7.7572337318382442E-3</v>
      </c>
    </row>
    <row r="44" spans="1:26" s="23" customFormat="1" hidden="1" outlineLevel="2" x14ac:dyDescent="0.25">
      <c r="A44" s="27"/>
      <c r="B44" s="10" t="str">
        <f>CONCATENATE("          ", "6156", " - ", "EMPLOYEE MEALS")</f>
        <v xml:space="preserve">          6156 - EMPLOYEE MEALS</v>
      </c>
      <c r="C44" s="10"/>
      <c r="D44" s="6">
        <v>388.79</v>
      </c>
      <c r="E44" s="2"/>
      <c r="F44" s="7">
        <f t="shared" si="10"/>
        <v>0.1050088454941998</v>
      </c>
      <c r="G44" s="2"/>
      <c r="H44" s="6"/>
      <c r="I44" s="2"/>
      <c r="J44" s="7">
        <f t="shared" si="11"/>
        <v>0</v>
      </c>
      <c r="K44" s="2"/>
      <c r="L44" s="6">
        <f t="shared" si="12"/>
        <v>388.79</v>
      </c>
      <c r="M44" s="2"/>
      <c r="N44" s="7">
        <f t="shared" si="13"/>
        <v>0</v>
      </c>
      <c r="O44" s="10"/>
      <c r="P44" s="6">
        <v>3275.04</v>
      </c>
      <c r="Q44" s="2"/>
      <c r="R44" s="7">
        <f t="shared" si="14"/>
        <v>2.8553722366001417E-2</v>
      </c>
      <c r="S44" s="2"/>
      <c r="T44" s="6">
        <v>2442.5100000000002</v>
      </c>
      <c r="U44" s="2"/>
      <c r="V44" s="7">
        <f t="shared" si="15"/>
        <v>5.1945986518513853E-3</v>
      </c>
      <c r="W44" s="2"/>
      <c r="X44" s="6">
        <f t="shared" si="16"/>
        <v>832.52999999999975</v>
      </c>
      <c r="Y44" s="2"/>
      <c r="Z44" s="7">
        <f t="shared" si="17"/>
        <v>0.3408501909920531</v>
      </c>
    </row>
    <row r="45" spans="1:26" s="26" customFormat="1" outlineLevel="1" collapsed="1" x14ac:dyDescent="0.25">
      <c r="A45" s="25"/>
      <c r="B45" s="12" t="str">
        <f>CONCATENATE("     ","*Payroll                                          ")</f>
        <v xml:space="preserve">     *Payroll                                          </v>
      </c>
      <c r="C45" s="12"/>
      <c r="D45" s="1">
        <f>SUM(OSRRefD22_1x_0)</f>
        <v>16035.06</v>
      </c>
      <c r="E45" s="1"/>
      <c r="F45" s="5">
        <f t="shared" ref="F45:F49" si="18">IF(D$12=0,0,D45/D$12)</f>
        <v>4.3309322205566589</v>
      </c>
      <c r="G45" s="1"/>
      <c r="H45" s="1">
        <f>SUM(OSRRefH22_1x_0)</f>
        <v>10574.62</v>
      </c>
      <c r="I45" s="1"/>
      <c r="J45" s="5">
        <f t="shared" ref="J45:J49" si="19">IF(H$12=0,0,H45/H$12)</f>
        <v>9.9798225745564384</v>
      </c>
      <c r="K45" s="1"/>
      <c r="L45" s="1">
        <f t="shared" ref="L45:L49" si="20">+D45-H45</f>
        <v>5460.4399999999987</v>
      </c>
      <c r="M45" s="1"/>
      <c r="N45" s="5">
        <f t="shared" ref="N45:N49" si="21">IF(H45=0,0,L45/H45)</f>
        <v>0.5163722195218361</v>
      </c>
      <c r="O45" s="12"/>
      <c r="P45" s="1">
        <f>SUM(OSRRefP22_1x_0)</f>
        <v>154853.63</v>
      </c>
      <c r="Q45" s="1"/>
      <c r="R45" s="5">
        <f t="shared" ref="R45:R49" si="22">IF(P$12=0,0,P45/P$12)</f>
        <v>1.3501049020431837</v>
      </c>
      <c r="S45" s="1"/>
      <c r="T45" s="1">
        <f>SUM(OSRRefT22_1x_0)</f>
        <v>163885.78</v>
      </c>
      <c r="U45" s="1"/>
      <c r="V45" s="5">
        <f t="shared" ref="V45:V49" si="23">IF(T$12=0,0,T45/T$12)</f>
        <v>0.34854344581828228</v>
      </c>
      <c r="W45" s="1"/>
      <c r="X45" s="1">
        <f t="shared" ref="X45:X49" si="24">+P45-T45</f>
        <v>-9032.1499999999942</v>
      </c>
      <c r="Y45" s="1"/>
      <c r="Z45" s="5">
        <f t="shared" ref="Z45:Z49" si="25">IF(T45=0,0,X45/T45)</f>
        <v>-5.5112469184330659E-2</v>
      </c>
    </row>
    <row r="46" spans="1:26" s="23" customFormat="1" hidden="1" outlineLevel="2" x14ac:dyDescent="0.25">
      <c r="A46" s="27"/>
      <c r="B46" s="10" t="str">
        <f>CONCATENATE("          ", "6002", " - ", "STAFF SALARIES")</f>
        <v xml:space="preserve">          6002 - STAFF SALARIES</v>
      </c>
      <c r="C46" s="10"/>
      <c r="D46" s="6">
        <v>15385.34</v>
      </c>
      <c r="E46" s="2"/>
      <c r="F46" s="7">
        <f t="shared" si="18"/>
        <v>4.1554484192899297</v>
      </c>
      <c r="G46" s="2"/>
      <c r="H46" s="6">
        <v>10574.62</v>
      </c>
      <c r="I46" s="2"/>
      <c r="J46" s="7">
        <f t="shared" si="19"/>
        <v>9.9798225745564384</v>
      </c>
      <c r="K46" s="2"/>
      <c r="L46" s="6">
        <f t="shared" si="20"/>
        <v>4810.7199999999993</v>
      </c>
      <c r="M46" s="2"/>
      <c r="N46" s="7">
        <f t="shared" si="21"/>
        <v>0.45493076819781691</v>
      </c>
      <c r="O46" s="10"/>
      <c r="P46" s="6">
        <v>147857.13</v>
      </c>
      <c r="Q46" s="2"/>
      <c r="R46" s="7">
        <f t="shared" si="22"/>
        <v>1.2891053055394068</v>
      </c>
      <c r="S46" s="2"/>
      <c r="T46" s="6">
        <v>111455.62</v>
      </c>
      <c r="U46" s="2"/>
      <c r="V46" s="7">
        <f t="shared" si="23"/>
        <v>0.23703780676159369</v>
      </c>
      <c r="W46" s="2"/>
      <c r="X46" s="6">
        <f t="shared" si="24"/>
        <v>36401.510000000009</v>
      </c>
      <c r="Y46" s="2"/>
      <c r="Z46" s="7">
        <f t="shared" si="25"/>
        <v>0.32660093766469572</v>
      </c>
    </row>
    <row r="47" spans="1:26" s="23" customFormat="1" hidden="1" outlineLevel="2" x14ac:dyDescent="0.25">
      <c r="A47" s="27"/>
      <c r="B47" s="10" t="str">
        <f>CONCATENATE("          ", "6005", " - ", "TEMPORARY WAGES-HOURLY")</f>
        <v xml:space="preserve">          6005 - TEMPORARY WAGES-HOURLY</v>
      </c>
      <c r="C47" s="10"/>
      <c r="D47" s="6"/>
      <c r="E47" s="2"/>
      <c r="F47" s="7">
        <f t="shared" si="18"/>
        <v>0</v>
      </c>
      <c r="G47" s="2"/>
      <c r="H47" s="6"/>
      <c r="I47" s="2"/>
      <c r="J47" s="7">
        <f t="shared" si="19"/>
        <v>0</v>
      </c>
      <c r="K47" s="2"/>
      <c r="L47" s="6">
        <f t="shared" si="20"/>
        <v>0</v>
      </c>
      <c r="M47" s="2"/>
      <c r="N47" s="7">
        <f t="shared" si="21"/>
        <v>0</v>
      </c>
      <c r="O47" s="10"/>
      <c r="P47" s="6">
        <v>383.25</v>
      </c>
      <c r="Q47" s="2"/>
      <c r="R47" s="7">
        <f t="shared" si="22"/>
        <v>3.3413986078857181E-3</v>
      </c>
      <c r="S47" s="2"/>
      <c r="T47" s="6">
        <v>18111.36</v>
      </c>
      <c r="U47" s="2"/>
      <c r="V47" s="7">
        <f t="shared" si="23"/>
        <v>3.851826450626409E-2</v>
      </c>
      <c r="W47" s="2"/>
      <c r="X47" s="6">
        <f t="shared" si="24"/>
        <v>-17728.11</v>
      </c>
      <c r="Y47" s="2"/>
      <c r="Z47" s="7">
        <f t="shared" si="25"/>
        <v>-0.97883924785328102</v>
      </c>
    </row>
    <row r="48" spans="1:26" s="23" customFormat="1" hidden="1" outlineLevel="2" x14ac:dyDescent="0.25">
      <c r="A48" s="27"/>
      <c r="B48" s="10" t="str">
        <f>CONCATENATE("          ", "6006", " - ", "TEMPORARY PART TIME")</f>
        <v xml:space="preserve">          6006 - TEMPORARY PART TIME</v>
      </c>
      <c r="C48" s="10"/>
      <c r="D48" s="6"/>
      <c r="E48" s="2"/>
      <c r="F48" s="7">
        <f t="shared" si="18"/>
        <v>0</v>
      </c>
      <c r="G48" s="2"/>
      <c r="H48" s="6"/>
      <c r="I48" s="2"/>
      <c r="J48" s="7">
        <f t="shared" si="19"/>
        <v>0</v>
      </c>
      <c r="K48" s="2"/>
      <c r="L48" s="6">
        <f t="shared" si="20"/>
        <v>0</v>
      </c>
      <c r="M48" s="2"/>
      <c r="N48" s="7">
        <f t="shared" si="21"/>
        <v>0</v>
      </c>
      <c r="O48" s="10"/>
      <c r="P48" s="6"/>
      <c r="Q48" s="2"/>
      <c r="R48" s="7">
        <f t="shared" si="22"/>
        <v>0</v>
      </c>
      <c r="S48" s="2"/>
      <c r="T48" s="6">
        <v>2451.21</v>
      </c>
      <c r="U48" s="2"/>
      <c r="V48" s="7">
        <f t="shared" si="23"/>
        <v>5.2131013430465516E-3</v>
      </c>
      <c r="W48" s="2"/>
      <c r="X48" s="6">
        <f t="shared" si="24"/>
        <v>-2451.21</v>
      </c>
      <c r="Y48" s="2"/>
      <c r="Z48" s="7">
        <f t="shared" si="25"/>
        <v>-1</v>
      </c>
    </row>
    <row r="49" spans="1:26" s="23" customFormat="1" hidden="1" outlineLevel="2" x14ac:dyDescent="0.25">
      <c r="A49" s="27"/>
      <c r="B49" s="10" t="str">
        <f>CONCATENATE("          ", "6007", " - ", "STUDENT HOURLY")</f>
        <v xml:space="preserve">          6007 - STUDENT HOURLY</v>
      </c>
      <c r="C49" s="10"/>
      <c r="D49" s="6">
        <v>649.72</v>
      </c>
      <c r="E49" s="2"/>
      <c r="F49" s="7">
        <f t="shared" si="18"/>
        <v>0.1754838012667288</v>
      </c>
      <c r="G49" s="2"/>
      <c r="H49" s="6"/>
      <c r="I49" s="2"/>
      <c r="J49" s="7">
        <f t="shared" si="19"/>
        <v>0</v>
      </c>
      <c r="K49" s="2"/>
      <c r="L49" s="6">
        <f t="shared" si="20"/>
        <v>649.72</v>
      </c>
      <c r="M49" s="2"/>
      <c r="N49" s="7">
        <f t="shared" si="21"/>
        <v>0</v>
      </c>
      <c r="O49" s="10"/>
      <c r="P49" s="6">
        <v>6613.25</v>
      </c>
      <c r="Q49" s="2"/>
      <c r="R49" s="7">
        <f t="shared" si="22"/>
        <v>5.7658197895891002E-2</v>
      </c>
      <c r="S49" s="2"/>
      <c r="T49" s="6">
        <v>31867.59</v>
      </c>
      <c r="U49" s="2"/>
      <c r="V49" s="7">
        <f t="shared" si="23"/>
        <v>6.777427320737793E-2</v>
      </c>
      <c r="W49" s="2"/>
      <c r="X49" s="6">
        <f t="shared" si="24"/>
        <v>-25254.34</v>
      </c>
      <c r="Y49" s="2"/>
      <c r="Z49" s="7">
        <f t="shared" si="25"/>
        <v>-0.79247724725967672</v>
      </c>
    </row>
    <row r="50" spans="1:26" s="26" customFormat="1" outlineLevel="1" collapsed="1" x14ac:dyDescent="0.25">
      <c r="A50" s="25"/>
      <c r="B50" s="12" t="str">
        <f>CONCATENATE("     ","Advertising/Promo                                 ")</f>
        <v xml:space="preserve">     Advertising/Promo                                 </v>
      </c>
      <c r="C50" s="12"/>
      <c r="D50" s="1">
        <f>SUM(OSRRefD22_2x_0)</f>
        <v>0</v>
      </c>
      <c r="E50" s="1"/>
      <c r="F50" s="5">
        <f t="shared" ref="F50:F60" si="26">IF(D$12=0,0,D50/D$12)</f>
        <v>0</v>
      </c>
      <c r="G50" s="1"/>
      <c r="H50" s="1">
        <f>SUM(OSRRefH22_2x_0)</f>
        <v>0</v>
      </c>
      <c r="I50" s="1"/>
      <c r="J50" s="5">
        <f t="shared" ref="J50:J60" si="27">IF(H$12=0,0,H50/H$12)</f>
        <v>0</v>
      </c>
      <c r="K50" s="1"/>
      <c r="L50" s="1">
        <f t="shared" ref="L50:L60" si="28">+D50-H50</f>
        <v>0</v>
      </c>
      <c r="M50" s="1"/>
      <c r="N50" s="5">
        <f t="shared" ref="N50:N60" si="29">IF(H50=0,0,L50/H50)</f>
        <v>0</v>
      </c>
      <c r="O50" s="12"/>
      <c r="P50" s="1">
        <f>SUM(OSRRefP22_2x_0)</f>
        <v>0</v>
      </c>
      <c r="Q50" s="1"/>
      <c r="R50" s="5">
        <f t="shared" ref="R50:R60" si="30">IF(P$12=0,0,P50/P$12)</f>
        <v>0</v>
      </c>
      <c r="S50" s="1"/>
      <c r="T50" s="1">
        <f>SUM(OSRRefT22_2x_0)</f>
        <v>751</v>
      </c>
      <c r="U50" s="1"/>
      <c r="V50" s="5">
        <f t="shared" ref="V50:V60" si="31">IF(T$12=0,0,T50/T$12)</f>
        <v>1.5971863319046349E-3</v>
      </c>
      <c r="W50" s="1"/>
      <c r="X50" s="1">
        <f t="shared" ref="X50:X60" si="32">+P50-T50</f>
        <v>-751</v>
      </c>
      <c r="Y50" s="1"/>
      <c r="Z50" s="5">
        <f t="shared" ref="Z50:Z60" si="33">IF(T50=0,0,X50/T50)</f>
        <v>-1</v>
      </c>
    </row>
    <row r="51" spans="1:26" s="23" customFormat="1" hidden="1" outlineLevel="2" x14ac:dyDescent="0.25">
      <c r="A51" s="27"/>
      <c r="B51" s="10" t="str">
        <f>CONCATENATE("          ", "6362", " - ", "ADVERTISING EXPENSE")</f>
        <v xml:space="preserve">          6362 - ADVERTISING EXPENSE</v>
      </c>
      <c r="C51" s="10"/>
      <c r="D51" s="6"/>
      <c r="E51" s="2"/>
      <c r="F51" s="7">
        <f t="shared" si="26"/>
        <v>0</v>
      </c>
      <c r="G51" s="2"/>
      <c r="H51" s="6"/>
      <c r="I51" s="2"/>
      <c r="J51" s="7">
        <f t="shared" si="27"/>
        <v>0</v>
      </c>
      <c r="K51" s="2"/>
      <c r="L51" s="6">
        <f t="shared" si="28"/>
        <v>0</v>
      </c>
      <c r="M51" s="2"/>
      <c r="N51" s="7">
        <f t="shared" si="29"/>
        <v>0</v>
      </c>
      <c r="O51" s="10"/>
      <c r="P51" s="6"/>
      <c r="Q51" s="2"/>
      <c r="R51" s="7">
        <f t="shared" si="30"/>
        <v>0</v>
      </c>
      <c r="S51" s="2"/>
      <c r="T51" s="6">
        <v>751</v>
      </c>
      <c r="U51" s="2"/>
      <c r="V51" s="7">
        <f t="shared" si="31"/>
        <v>1.5971863319046349E-3</v>
      </c>
      <c r="W51" s="2"/>
      <c r="X51" s="6">
        <f t="shared" si="32"/>
        <v>-751</v>
      </c>
      <c r="Y51" s="2"/>
      <c r="Z51" s="7">
        <f t="shared" si="33"/>
        <v>-1</v>
      </c>
    </row>
    <row r="52" spans="1:26" s="26" customFormat="1" outlineLevel="1" collapsed="1" x14ac:dyDescent="0.25">
      <c r="A52" s="25"/>
      <c r="B52" s="12" t="str">
        <f>CONCATENATE("     ","Depreciation                                      ")</f>
        <v xml:space="preserve">     Depreciation                                      </v>
      </c>
      <c r="C52" s="12"/>
      <c r="D52" s="1">
        <f>SUM(OSRRefD22_3x_0)</f>
        <v>169.88</v>
      </c>
      <c r="E52" s="1"/>
      <c r="F52" s="5">
        <f t="shared" si="26"/>
        <v>4.5883131439992439E-2</v>
      </c>
      <c r="G52" s="1"/>
      <c r="H52" s="1">
        <f>SUM(OSRRefH22_3x_0)</f>
        <v>169.88</v>
      </c>
      <c r="I52" s="1"/>
      <c r="J52" s="5">
        <f t="shared" si="27"/>
        <v>0.16032465081162703</v>
      </c>
      <c r="K52" s="1"/>
      <c r="L52" s="1">
        <f t="shared" si="28"/>
        <v>0</v>
      </c>
      <c r="M52" s="1"/>
      <c r="N52" s="5">
        <f t="shared" si="29"/>
        <v>0</v>
      </c>
      <c r="O52" s="12"/>
      <c r="P52" s="1">
        <f>SUM(OSRRefP22_3x_0)</f>
        <v>1698.8</v>
      </c>
      <c r="Q52" s="1"/>
      <c r="R52" s="5">
        <f t="shared" si="30"/>
        <v>1.4811136216767797E-2</v>
      </c>
      <c r="S52" s="1"/>
      <c r="T52" s="1">
        <f>SUM(OSRRefT22_3x_0)</f>
        <v>849.4</v>
      </c>
      <c r="U52" s="1"/>
      <c r="V52" s="5">
        <f t="shared" si="31"/>
        <v>1.8064581495603155E-3</v>
      </c>
      <c r="W52" s="1"/>
      <c r="X52" s="1">
        <f t="shared" si="32"/>
        <v>849.4</v>
      </c>
      <c r="Y52" s="1"/>
      <c r="Z52" s="5">
        <f t="shared" si="33"/>
        <v>1</v>
      </c>
    </row>
    <row r="53" spans="1:26" s="23" customFormat="1" hidden="1" outlineLevel="2" x14ac:dyDescent="0.25">
      <c r="A53" s="27"/>
      <c r="B53" s="10" t="str">
        <f>CONCATENATE("          ", "6322", " - ", "EQUIPMENT DEPRECIATION EXPENSE")</f>
        <v xml:space="preserve">          6322 - EQUIPMENT DEPRECIATION EXPENSE</v>
      </c>
      <c r="C53" s="10"/>
      <c r="D53" s="6">
        <v>169.88</v>
      </c>
      <c r="E53" s="2"/>
      <c r="F53" s="7">
        <f t="shared" si="26"/>
        <v>4.5883131439992439E-2</v>
      </c>
      <c r="G53" s="2"/>
      <c r="H53" s="6">
        <v>169.88</v>
      </c>
      <c r="I53" s="2"/>
      <c r="J53" s="7">
        <f t="shared" si="27"/>
        <v>0.16032465081162703</v>
      </c>
      <c r="K53" s="2"/>
      <c r="L53" s="6">
        <f t="shared" si="28"/>
        <v>0</v>
      </c>
      <c r="M53" s="2"/>
      <c r="N53" s="7">
        <f t="shared" si="29"/>
        <v>0</v>
      </c>
      <c r="O53" s="10"/>
      <c r="P53" s="6">
        <v>1698.8</v>
      </c>
      <c r="Q53" s="2"/>
      <c r="R53" s="7">
        <f t="shared" si="30"/>
        <v>1.4811136216767797E-2</v>
      </c>
      <c r="S53" s="2"/>
      <c r="T53" s="6">
        <v>849.4</v>
      </c>
      <c r="U53" s="2"/>
      <c r="V53" s="7">
        <f t="shared" si="31"/>
        <v>1.8064581495603155E-3</v>
      </c>
      <c r="W53" s="2"/>
      <c r="X53" s="6">
        <f t="shared" si="32"/>
        <v>849.4</v>
      </c>
      <c r="Y53" s="2"/>
      <c r="Z53" s="7">
        <f t="shared" si="33"/>
        <v>1</v>
      </c>
    </row>
    <row r="54" spans="1:26" s="26" customFormat="1" outlineLevel="1" collapsed="1" x14ac:dyDescent="0.25">
      <c r="A54" s="25"/>
      <c r="B54" s="12" t="str">
        <f>CONCATENATE("     ","Discounts and Markdowns                           ")</f>
        <v xml:space="preserve">     Discounts and Markdowns                           </v>
      </c>
      <c r="C54" s="12"/>
      <c r="D54" s="1">
        <f>SUM(OSRRefD22_4x_0)</f>
        <v>0</v>
      </c>
      <c r="E54" s="1"/>
      <c r="F54" s="5">
        <f t="shared" si="26"/>
        <v>0</v>
      </c>
      <c r="G54" s="1"/>
      <c r="H54" s="1">
        <f>SUM(OSRRefH22_4x_0)</f>
        <v>0</v>
      </c>
      <c r="I54" s="1"/>
      <c r="J54" s="5">
        <f t="shared" si="27"/>
        <v>0</v>
      </c>
      <c r="K54" s="1"/>
      <c r="L54" s="1">
        <f t="shared" si="28"/>
        <v>0</v>
      </c>
      <c r="M54" s="1"/>
      <c r="N54" s="5">
        <f t="shared" si="29"/>
        <v>0</v>
      </c>
      <c r="O54" s="12"/>
      <c r="P54" s="1">
        <f>SUM(OSRRefP22_4x_0)</f>
        <v>0</v>
      </c>
      <c r="Q54" s="1"/>
      <c r="R54" s="5">
        <f t="shared" si="30"/>
        <v>0</v>
      </c>
      <c r="S54" s="1"/>
      <c r="T54" s="1">
        <f>SUM(OSRRefT22_4x_0)</f>
        <v>726.07</v>
      </c>
      <c r="U54" s="1"/>
      <c r="V54" s="5">
        <f t="shared" si="31"/>
        <v>1.5441665512729672E-3</v>
      </c>
      <c r="W54" s="1"/>
      <c r="X54" s="1">
        <f t="shared" si="32"/>
        <v>-726.07</v>
      </c>
      <c r="Y54" s="1"/>
      <c r="Z54" s="5">
        <f t="shared" si="33"/>
        <v>-1</v>
      </c>
    </row>
    <row r="55" spans="1:26" s="23" customFormat="1" hidden="1" outlineLevel="2" x14ac:dyDescent="0.25">
      <c r="A55" s="27"/>
      <c r="B55" s="10" t="str">
        <f>CONCATENATE("          ", "6382", " - ", "DISCOUNTS/MARK DOWNS")</f>
        <v xml:space="preserve">          6382 - DISCOUNTS/MARK DOWNS</v>
      </c>
      <c r="C55" s="10"/>
      <c r="D55" s="6"/>
      <c r="E55" s="2"/>
      <c r="F55" s="7">
        <f t="shared" si="26"/>
        <v>0</v>
      </c>
      <c r="G55" s="2"/>
      <c r="H55" s="6"/>
      <c r="I55" s="2"/>
      <c r="J55" s="7">
        <f t="shared" si="27"/>
        <v>0</v>
      </c>
      <c r="K55" s="2"/>
      <c r="L55" s="6">
        <f t="shared" si="28"/>
        <v>0</v>
      </c>
      <c r="M55" s="2"/>
      <c r="N55" s="7">
        <f t="shared" si="29"/>
        <v>0</v>
      </c>
      <c r="O55" s="10"/>
      <c r="P55" s="6">
        <v>0</v>
      </c>
      <c r="Q55" s="2"/>
      <c r="R55" s="7">
        <f t="shared" si="30"/>
        <v>0</v>
      </c>
      <c r="S55" s="2"/>
      <c r="T55" s="6">
        <v>726.07</v>
      </c>
      <c r="U55" s="2"/>
      <c r="V55" s="7">
        <f t="shared" si="31"/>
        <v>1.5441665512729672E-3</v>
      </c>
      <c r="W55" s="2"/>
      <c r="X55" s="6">
        <f t="shared" si="32"/>
        <v>-726.07</v>
      </c>
      <c r="Y55" s="2"/>
      <c r="Z55" s="7">
        <f t="shared" si="33"/>
        <v>-1</v>
      </c>
    </row>
    <row r="56" spans="1:26" s="26" customFormat="1" outlineLevel="1" collapsed="1" x14ac:dyDescent="0.25">
      <c r="A56" s="25"/>
      <c r="B56" s="12" t="str">
        <f>CONCATENATE("     ","Equipment Rental                                  ")</f>
        <v xml:space="preserve">     Equipment Rental                                  </v>
      </c>
      <c r="C56" s="12"/>
      <c r="D56" s="1">
        <f>SUM(OSRRefD22_5x_0)</f>
        <v>1205.6400000000001</v>
      </c>
      <c r="E56" s="1"/>
      <c r="F56" s="5">
        <f t="shared" si="26"/>
        <v>0.3256330267795649</v>
      </c>
      <c r="G56" s="1"/>
      <c r="H56" s="1">
        <f>SUM(OSRRefH22_5x_0)</f>
        <v>1326.99</v>
      </c>
      <c r="I56" s="1"/>
      <c r="J56" s="5">
        <f t="shared" si="27"/>
        <v>1.2523499433748586</v>
      </c>
      <c r="K56" s="1"/>
      <c r="L56" s="1">
        <f t="shared" si="28"/>
        <v>-121.34999999999991</v>
      </c>
      <c r="M56" s="1"/>
      <c r="N56" s="5">
        <f t="shared" si="29"/>
        <v>-9.1447561775145181E-2</v>
      </c>
      <c r="O56" s="12"/>
      <c r="P56" s="1">
        <f>SUM(OSRRefP22_5x_0)</f>
        <v>12056.4</v>
      </c>
      <c r="Q56" s="1"/>
      <c r="R56" s="5">
        <f t="shared" si="30"/>
        <v>0.10511477671523385</v>
      </c>
      <c r="S56" s="1"/>
      <c r="T56" s="1">
        <f>SUM(OSRRefT22_5x_0)</f>
        <v>14876.07</v>
      </c>
      <c r="U56" s="1"/>
      <c r="V56" s="5">
        <f t="shared" si="31"/>
        <v>3.1637624069848977E-2</v>
      </c>
      <c r="W56" s="1"/>
      <c r="X56" s="1">
        <f t="shared" si="32"/>
        <v>-2819.67</v>
      </c>
      <c r="Y56" s="1"/>
      <c r="Z56" s="5">
        <f t="shared" si="33"/>
        <v>-0.18954401263236864</v>
      </c>
    </row>
    <row r="57" spans="1:26" s="23" customFormat="1" hidden="1" outlineLevel="2" x14ac:dyDescent="0.25">
      <c r="A57" s="27"/>
      <c r="B57" s="10" t="str">
        <f>CONCATENATE("          ", "6351", " - ", "EQUIPMENT RENTAL")</f>
        <v xml:space="preserve">          6351 - EQUIPMENT RENTAL</v>
      </c>
      <c r="C57" s="10"/>
      <c r="D57" s="6">
        <v>1205.6400000000001</v>
      </c>
      <c r="E57" s="2"/>
      <c r="F57" s="7">
        <f t="shared" si="26"/>
        <v>0.3256330267795649</v>
      </c>
      <c r="G57" s="2"/>
      <c r="H57" s="6">
        <v>1326.99</v>
      </c>
      <c r="I57" s="2"/>
      <c r="J57" s="7">
        <f t="shared" si="27"/>
        <v>1.2523499433748586</v>
      </c>
      <c r="K57" s="2"/>
      <c r="L57" s="6">
        <f t="shared" si="28"/>
        <v>-121.34999999999991</v>
      </c>
      <c r="M57" s="2"/>
      <c r="N57" s="7">
        <f t="shared" si="29"/>
        <v>-9.1447561775145181E-2</v>
      </c>
      <c r="O57" s="10"/>
      <c r="P57" s="6">
        <v>12056.4</v>
      </c>
      <c r="Q57" s="2"/>
      <c r="R57" s="7">
        <f t="shared" si="30"/>
        <v>0.10511477671523385</v>
      </c>
      <c r="S57" s="2"/>
      <c r="T57" s="6">
        <v>14876.07</v>
      </c>
      <c r="U57" s="2"/>
      <c r="V57" s="7">
        <f t="shared" si="31"/>
        <v>3.1637624069848977E-2</v>
      </c>
      <c r="W57" s="2"/>
      <c r="X57" s="6">
        <f t="shared" si="32"/>
        <v>-2819.67</v>
      </c>
      <c r="Y57" s="2"/>
      <c r="Z57" s="7">
        <f t="shared" si="33"/>
        <v>-0.18954401263236864</v>
      </c>
    </row>
    <row r="58" spans="1:26" s="26" customFormat="1" outlineLevel="1" collapsed="1" x14ac:dyDescent="0.25">
      <c r="A58" s="25"/>
      <c r="B58" s="12" t="str">
        <f>CONCATENATE("     ","Freight out/Postage                               ")</f>
        <v xml:space="preserve">     Freight out/Postage                               </v>
      </c>
      <c r="C58" s="12"/>
      <c r="D58" s="1">
        <f>SUM(OSRRefD22_6x_0)</f>
        <v>-18667.690000000002</v>
      </c>
      <c r="E58" s="1"/>
      <c r="F58" s="5">
        <f t="shared" si="26"/>
        <v>-5.0419830112493091</v>
      </c>
      <c r="G58" s="1"/>
      <c r="H58" s="1">
        <f>SUM(OSRRefH22_6x_0)</f>
        <v>0</v>
      </c>
      <c r="I58" s="1"/>
      <c r="J58" s="5">
        <f t="shared" si="27"/>
        <v>0</v>
      </c>
      <c r="K58" s="1"/>
      <c r="L58" s="1">
        <f t="shared" si="28"/>
        <v>-18667.690000000002</v>
      </c>
      <c r="M58" s="1"/>
      <c r="N58" s="5">
        <f t="shared" si="29"/>
        <v>0</v>
      </c>
      <c r="O58" s="12"/>
      <c r="P58" s="1">
        <f>SUM(OSRRefP22_6x_0)</f>
        <v>-72673.700000000012</v>
      </c>
      <c r="Q58" s="1"/>
      <c r="R58" s="5">
        <f t="shared" si="30"/>
        <v>-0.63361200263510598</v>
      </c>
      <c r="S58" s="1"/>
      <c r="T58" s="1">
        <f>SUM(OSRRefT22_6x_0)</f>
        <v>15.02</v>
      </c>
      <c r="U58" s="1"/>
      <c r="V58" s="5">
        <f t="shared" si="31"/>
        <v>3.1943726638092696E-5</v>
      </c>
      <c r="W58" s="1"/>
      <c r="X58" s="1">
        <f t="shared" si="32"/>
        <v>-72688.720000000016</v>
      </c>
      <c r="Y58" s="1"/>
      <c r="Z58" s="5">
        <f t="shared" si="33"/>
        <v>-4839.4620505992025</v>
      </c>
    </row>
    <row r="59" spans="1:26" s="23" customFormat="1" hidden="1" outlineLevel="2" x14ac:dyDescent="0.25">
      <c r="A59" s="27"/>
      <c r="B59" s="10" t="str">
        <f>CONCATENATE("          ", "6305", " - ", "FREIGHT OUT")</f>
        <v xml:space="preserve">          6305 - FREIGHT OUT</v>
      </c>
      <c r="C59" s="10"/>
      <c r="D59" s="6">
        <v>16530.71</v>
      </c>
      <c r="E59" s="2"/>
      <c r="F59" s="7">
        <f t="shared" si="26"/>
        <v>4.4648030358276278</v>
      </c>
      <c r="G59" s="2"/>
      <c r="H59" s="6"/>
      <c r="I59" s="2"/>
      <c r="J59" s="7">
        <f t="shared" si="27"/>
        <v>0</v>
      </c>
      <c r="K59" s="2"/>
      <c r="L59" s="6">
        <f t="shared" si="28"/>
        <v>16530.71</v>
      </c>
      <c r="M59" s="2"/>
      <c r="N59" s="7">
        <f t="shared" si="29"/>
        <v>0</v>
      </c>
      <c r="O59" s="10"/>
      <c r="P59" s="6">
        <v>178009.9</v>
      </c>
      <c r="Q59" s="2"/>
      <c r="R59" s="7">
        <f t="shared" si="30"/>
        <v>1.5519948651007851</v>
      </c>
      <c r="S59" s="2"/>
      <c r="T59" s="6">
        <v>15.02</v>
      </c>
      <c r="U59" s="2"/>
      <c r="V59" s="7">
        <f t="shared" si="31"/>
        <v>3.1943726638092696E-5</v>
      </c>
      <c r="W59" s="2"/>
      <c r="X59" s="6">
        <f t="shared" si="32"/>
        <v>177994.88</v>
      </c>
      <c r="Y59" s="2"/>
      <c r="Z59" s="7">
        <f t="shared" si="33"/>
        <v>11850.524633821571</v>
      </c>
    </row>
    <row r="60" spans="1:26" s="23" customFormat="1" hidden="1" outlineLevel="2" x14ac:dyDescent="0.25">
      <c r="A60" s="27"/>
      <c r="B60" s="10" t="str">
        <f>CONCATENATE("          ", "6307", " - ", "POSTAGE")</f>
        <v xml:space="preserve">          6307 - POSTAGE</v>
      </c>
      <c r="C60" s="10"/>
      <c r="D60" s="6">
        <v>-35198.400000000001</v>
      </c>
      <c r="E60" s="2"/>
      <c r="F60" s="7">
        <f t="shared" si="26"/>
        <v>-9.5067860470769361</v>
      </c>
      <c r="G60" s="2"/>
      <c r="H60" s="6"/>
      <c r="I60" s="2"/>
      <c r="J60" s="7">
        <f t="shared" si="27"/>
        <v>0</v>
      </c>
      <c r="K60" s="2"/>
      <c r="L60" s="6">
        <f t="shared" si="28"/>
        <v>-35198.400000000001</v>
      </c>
      <c r="M60" s="2"/>
      <c r="N60" s="7">
        <f t="shared" si="29"/>
        <v>0</v>
      </c>
      <c r="O60" s="10"/>
      <c r="P60" s="6">
        <v>-250683.6</v>
      </c>
      <c r="Q60" s="2"/>
      <c r="R60" s="7">
        <f t="shared" si="30"/>
        <v>-2.1856068677358911</v>
      </c>
      <c r="S60" s="2"/>
      <c r="T60" s="6"/>
      <c r="U60" s="2"/>
      <c r="V60" s="7">
        <f t="shared" si="31"/>
        <v>0</v>
      </c>
      <c r="W60" s="2"/>
      <c r="X60" s="6">
        <f t="shared" si="32"/>
        <v>-250683.6</v>
      </c>
      <c r="Y60" s="2"/>
      <c r="Z60" s="7">
        <f t="shared" si="33"/>
        <v>0</v>
      </c>
    </row>
    <row r="61" spans="1:26" s="26" customFormat="1" outlineLevel="1" collapsed="1" x14ac:dyDescent="0.25">
      <c r="A61" s="25"/>
      <c r="B61" s="12" t="str">
        <f>CONCATENATE("     ","General                                           ")</f>
        <v xml:space="preserve">     General                                           </v>
      </c>
      <c r="C61" s="12"/>
      <c r="D61" s="1">
        <f>SUM(OSRRefD22_7x_0)</f>
        <v>0</v>
      </c>
      <c r="E61" s="1"/>
      <c r="F61" s="5">
        <f t="shared" ref="F61:F66" si="34">IF(D$12=0,0,D61/D$12)</f>
        <v>0</v>
      </c>
      <c r="G61" s="1"/>
      <c r="H61" s="1">
        <f>SUM(OSRRefH22_7x_0)</f>
        <v>0</v>
      </c>
      <c r="I61" s="1"/>
      <c r="J61" s="5">
        <f t="shared" ref="J61:J66" si="35">IF(H$12=0,0,H61/H$12)</f>
        <v>0</v>
      </c>
      <c r="K61" s="1"/>
      <c r="L61" s="1">
        <f t="shared" ref="L61:L66" si="36">+D61-H61</f>
        <v>0</v>
      </c>
      <c r="M61" s="1"/>
      <c r="N61" s="5">
        <f t="shared" ref="N61:N66" si="37">IF(H61=0,0,L61/H61)</f>
        <v>0</v>
      </c>
      <c r="O61" s="12"/>
      <c r="P61" s="1">
        <f>SUM(OSRRefP22_7x_0)</f>
        <v>0</v>
      </c>
      <c r="Q61" s="1"/>
      <c r="R61" s="5">
        <f t="shared" ref="R61:R66" si="38">IF(P$12=0,0,P61/P$12)</f>
        <v>0</v>
      </c>
      <c r="S61" s="1"/>
      <c r="T61" s="1">
        <f>SUM(OSRRefT22_7x_0)</f>
        <v>75</v>
      </c>
      <c r="U61" s="1"/>
      <c r="V61" s="5">
        <f t="shared" ref="V61:V66" si="39">IF(T$12=0,0,T61/T$12)</f>
        <v>1.595059585790248E-4</v>
      </c>
      <c r="W61" s="1"/>
      <c r="X61" s="1">
        <f t="shared" ref="X61:X66" si="40">+P61-T61</f>
        <v>-75</v>
      </c>
      <c r="Y61" s="1"/>
      <c r="Z61" s="5">
        <f t="shared" ref="Z61:Z66" si="41">IF(T61=0,0,X61/T61)</f>
        <v>-1</v>
      </c>
    </row>
    <row r="62" spans="1:26" s="23" customFormat="1" hidden="1" outlineLevel="2" x14ac:dyDescent="0.25">
      <c r="A62" s="27"/>
      <c r="B62" s="10" t="str">
        <f>CONCATENATE("          ", "6279", " - ", "GENERAL EXPENSE")</f>
        <v xml:space="preserve">          6279 - GENERAL EXPENSE</v>
      </c>
      <c r="C62" s="10"/>
      <c r="D62" s="6"/>
      <c r="E62" s="2"/>
      <c r="F62" s="7">
        <f t="shared" si="34"/>
        <v>0</v>
      </c>
      <c r="G62" s="2"/>
      <c r="H62" s="6"/>
      <c r="I62" s="2"/>
      <c r="J62" s="7">
        <f t="shared" si="35"/>
        <v>0</v>
      </c>
      <c r="K62" s="2"/>
      <c r="L62" s="6">
        <f t="shared" si="36"/>
        <v>0</v>
      </c>
      <c r="M62" s="2"/>
      <c r="N62" s="7">
        <f t="shared" si="37"/>
        <v>0</v>
      </c>
      <c r="O62" s="10"/>
      <c r="P62" s="6"/>
      <c r="Q62" s="2"/>
      <c r="R62" s="7">
        <f t="shared" si="38"/>
        <v>0</v>
      </c>
      <c r="S62" s="2"/>
      <c r="T62" s="6">
        <v>75</v>
      </c>
      <c r="U62" s="2"/>
      <c r="V62" s="7">
        <f t="shared" si="39"/>
        <v>1.595059585790248E-4</v>
      </c>
      <c r="W62" s="2"/>
      <c r="X62" s="6">
        <f t="shared" si="40"/>
        <v>-75</v>
      </c>
      <c r="Y62" s="2"/>
      <c r="Z62" s="7">
        <f t="shared" si="41"/>
        <v>-1</v>
      </c>
    </row>
    <row r="63" spans="1:26" s="26" customFormat="1" outlineLevel="1" collapsed="1" x14ac:dyDescent="0.25">
      <c r="A63" s="25"/>
      <c r="B63" s="12" t="str">
        <f>CONCATENATE("     ","Repair and Maintenance                            ")</f>
        <v xml:space="preserve">     Repair and Maintenance                            </v>
      </c>
      <c r="C63" s="12"/>
      <c r="D63" s="1">
        <f>SUM(OSRRefD22_8x_0)</f>
        <v>102.36</v>
      </c>
      <c r="E63" s="1"/>
      <c r="F63" s="5">
        <f t="shared" si="34"/>
        <v>2.7646558360004864E-2</v>
      </c>
      <c r="G63" s="1"/>
      <c r="H63" s="1">
        <f>SUM(OSRRefH22_8x_0)</f>
        <v>5143.9799999999996</v>
      </c>
      <c r="I63" s="1"/>
      <c r="J63" s="5">
        <f t="shared" si="35"/>
        <v>4.8546432616081541</v>
      </c>
      <c r="K63" s="1"/>
      <c r="L63" s="1">
        <f t="shared" si="36"/>
        <v>-5041.62</v>
      </c>
      <c r="M63" s="1"/>
      <c r="N63" s="5">
        <f t="shared" si="37"/>
        <v>-0.98010101127920413</v>
      </c>
      <c r="O63" s="12"/>
      <c r="P63" s="1">
        <f>SUM(OSRRefP22_8x_0)</f>
        <v>31093.699999999997</v>
      </c>
      <c r="Q63" s="1"/>
      <c r="R63" s="5">
        <f t="shared" si="38"/>
        <v>0.27109313997134027</v>
      </c>
      <c r="S63" s="1"/>
      <c r="T63" s="1">
        <f>SUM(OSRRefT22_8x_0)</f>
        <v>65914.31</v>
      </c>
      <c r="U63" s="1"/>
      <c r="V63" s="5">
        <f t="shared" si="39"/>
        <v>0.140183002675</v>
      </c>
      <c r="W63" s="1"/>
      <c r="X63" s="1">
        <f t="shared" si="40"/>
        <v>-34820.61</v>
      </c>
      <c r="Y63" s="1"/>
      <c r="Z63" s="5">
        <f t="shared" si="41"/>
        <v>-0.52827087168173348</v>
      </c>
    </row>
    <row r="64" spans="1:26" s="23" customFormat="1" hidden="1" outlineLevel="2" x14ac:dyDescent="0.25">
      <c r="A64" s="27"/>
      <c r="B64" s="10" t="str">
        <f>CONCATENATE("          ", "6371", " - ", "COMPUTER SOFTWARE MAINTENANCE")</f>
        <v xml:space="preserve">          6371 - COMPUTER SOFTWARE MAINTENANCE</v>
      </c>
      <c r="C64" s="10"/>
      <c r="D64" s="6"/>
      <c r="E64" s="2"/>
      <c r="F64" s="7">
        <f t="shared" si="34"/>
        <v>0</v>
      </c>
      <c r="G64" s="2"/>
      <c r="H64" s="6"/>
      <c r="I64" s="2"/>
      <c r="J64" s="7">
        <f t="shared" si="35"/>
        <v>0</v>
      </c>
      <c r="K64" s="2"/>
      <c r="L64" s="6">
        <f t="shared" si="36"/>
        <v>0</v>
      </c>
      <c r="M64" s="2"/>
      <c r="N64" s="7">
        <f t="shared" si="37"/>
        <v>0</v>
      </c>
      <c r="O64" s="10"/>
      <c r="P64" s="6">
        <v>7.69</v>
      </c>
      <c r="Q64" s="2"/>
      <c r="R64" s="7">
        <f t="shared" si="38"/>
        <v>6.7045936841855644E-5</v>
      </c>
      <c r="S64" s="2"/>
      <c r="T64" s="6"/>
      <c r="U64" s="2"/>
      <c r="V64" s="7">
        <f t="shared" si="39"/>
        <v>0</v>
      </c>
      <c r="W64" s="2"/>
      <c r="X64" s="6">
        <f t="shared" si="40"/>
        <v>7.69</v>
      </c>
      <c r="Y64" s="2"/>
      <c r="Z64" s="7">
        <f t="shared" si="41"/>
        <v>0</v>
      </c>
    </row>
    <row r="65" spans="1:26" s="23" customFormat="1" hidden="1" outlineLevel="2" x14ac:dyDescent="0.25">
      <c r="A65" s="27"/>
      <c r="B65" s="10" t="str">
        <f>CONCATENATE("          ", "6373", " - ", "MAINTENANCE CONTRACTS")</f>
        <v xml:space="preserve">          6373 - MAINTENANCE CONTRACTS</v>
      </c>
      <c r="C65" s="10"/>
      <c r="D65" s="6">
        <v>97.76</v>
      </c>
      <c r="E65" s="2"/>
      <c r="F65" s="7">
        <f t="shared" si="34"/>
        <v>2.640413780064552E-2</v>
      </c>
      <c r="G65" s="2"/>
      <c r="H65" s="6">
        <v>4665.28</v>
      </c>
      <c r="I65" s="2"/>
      <c r="J65" s="7">
        <f t="shared" si="35"/>
        <v>4.4028690071725185</v>
      </c>
      <c r="K65" s="2"/>
      <c r="L65" s="6">
        <f t="shared" si="36"/>
        <v>-4567.5199999999995</v>
      </c>
      <c r="M65" s="2"/>
      <c r="N65" s="7">
        <f t="shared" si="37"/>
        <v>-0.97904520200288081</v>
      </c>
      <c r="O65" s="10"/>
      <c r="P65" s="6">
        <v>31081.41</v>
      </c>
      <c r="Q65" s="2"/>
      <c r="R65" s="7">
        <f t="shared" si="38"/>
        <v>0.27098598853261641</v>
      </c>
      <c r="S65" s="2"/>
      <c r="T65" s="6">
        <v>64512.55</v>
      </c>
      <c r="U65" s="2"/>
      <c r="V65" s="7">
        <f t="shared" si="39"/>
        <v>0.13720181504169687</v>
      </c>
      <c r="W65" s="2"/>
      <c r="X65" s="6">
        <f t="shared" si="40"/>
        <v>-33431.14</v>
      </c>
      <c r="Y65" s="2"/>
      <c r="Z65" s="7">
        <f t="shared" si="41"/>
        <v>-0.51821141777840118</v>
      </c>
    </row>
    <row r="66" spans="1:26" s="23" customFormat="1" hidden="1" outlineLevel="2" x14ac:dyDescent="0.25">
      <c r="A66" s="27"/>
      <c r="B66" s="10" t="str">
        <f>CONCATENATE("          ", "6375", " - ", "OUTSIDE REPAIRS &amp; MAINTENANCE")</f>
        <v xml:space="preserve">          6375 - OUTSIDE REPAIRS &amp; MAINTENANCE</v>
      </c>
      <c r="C66" s="10"/>
      <c r="D66" s="6">
        <v>4.5999999999999996</v>
      </c>
      <c r="E66" s="2"/>
      <c r="F66" s="7">
        <f t="shared" si="34"/>
        <v>1.2424205593593431E-3</v>
      </c>
      <c r="G66" s="2"/>
      <c r="H66" s="6">
        <v>478.7</v>
      </c>
      <c r="I66" s="2"/>
      <c r="J66" s="7">
        <f t="shared" si="35"/>
        <v>0.45177425443563612</v>
      </c>
      <c r="K66" s="2"/>
      <c r="L66" s="6">
        <f t="shared" si="36"/>
        <v>-474.09999999999997</v>
      </c>
      <c r="M66" s="2"/>
      <c r="N66" s="7">
        <f t="shared" si="37"/>
        <v>-0.99039064132024224</v>
      </c>
      <c r="O66" s="10"/>
      <c r="P66" s="6">
        <v>4.5999999999999996</v>
      </c>
      <c r="Q66" s="2"/>
      <c r="R66" s="7">
        <f t="shared" si="38"/>
        <v>4.0105501881994266E-5</v>
      </c>
      <c r="S66" s="2"/>
      <c r="T66" s="6">
        <v>1401.76</v>
      </c>
      <c r="U66" s="2"/>
      <c r="V66" s="7">
        <f t="shared" si="39"/>
        <v>2.9811876333031171E-3</v>
      </c>
      <c r="W66" s="2"/>
      <c r="X66" s="6">
        <f t="shared" si="40"/>
        <v>-1397.16</v>
      </c>
      <c r="Y66" s="2"/>
      <c r="Z66" s="7">
        <f t="shared" si="41"/>
        <v>-0.99671841114028081</v>
      </c>
    </row>
    <row r="67" spans="1:26" s="26" customFormat="1" outlineLevel="1" collapsed="1" x14ac:dyDescent="0.25">
      <c r="A67" s="25"/>
      <c r="B67" s="12" t="str">
        <f>CONCATENATE("     ","Royalty &amp; Commissions                             ")</f>
        <v xml:space="preserve">     Royalty &amp; Commissions                             </v>
      </c>
      <c r="C67" s="12"/>
      <c r="D67" s="1">
        <f>SUM(OSRRefD22_9x_0)</f>
        <v>2570.27</v>
      </c>
      <c r="E67" s="1"/>
      <c r="F67" s="5">
        <f t="shared" ref="F67:F75" si="42">IF(D$12=0,0,D67/D$12)</f>
        <v>0.694207889370552</v>
      </c>
      <c r="G67" s="1"/>
      <c r="H67" s="1">
        <f>SUM(OSRRefH22_9x_0)</f>
        <v>5781.94</v>
      </c>
      <c r="I67" s="1"/>
      <c r="J67" s="5">
        <f t="shared" ref="J67:J75" si="43">IF(H$12=0,0,H67/H$12)</f>
        <v>5.4567195167987919</v>
      </c>
      <c r="K67" s="1"/>
      <c r="L67" s="1">
        <f t="shared" ref="L67:L75" si="44">+D67-H67</f>
        <v>-3211.6699999999996</v>
      </c>
      <c r="M67" s="1"/>
      <c r="N67" s="5">
        <f t="shared" ref="N67:N75" si="45">IF(H67=0,0,L67/H67)</f>
        <v>-0.55546581251275517</v>
      </c>
      <c r="O67" s="12"/>
      <c r="P67" s="1">
        <f>SUM(OSRRefP22_9x_0)</f>
        <v>13233.89</v>
      </c>
      <c r="Q67" s="1"/>
      <c r="R67" s="5">
        <f t="shared" ref="R67:R75" si="46">IF(P$12=0,0,P67/P$12)</f>
        <v>0.11538082615241416</v>
      </c>
      <c r="S67" s="1"/>
      <c r="T67" s="1">
        <f>SUM(OSRRefT22_9x_0)</f>
        <v>82607.740000000005</v>
      </c>
      <c r="U67" s="1"/>
      <c r="V67" s="5">
        <f t="shared" ref="V67:V75" si="47">IF(T$12=0,0,T67/T$12)</f>
        <v>0.17568569006329135</v>
      </c>
      <c r="W67" s="1"/>
      <c r="X67" s="1">
        <f t="shared" ref="X67:X75" si="48">+P67-T67</f>
        <v>-69373.850000000006</v>
      </c>
      <c r="Y67" s="1"/>
      <c r="Z67" s="5">
        <f t="shared" ref="Z67:Z75" si="49">IF(T67=0,0,X67/T67)</f>
        <v>-0.83979842566810325</v>
      </c>
    </row>
    <row r="68" spans="1:26" s="23" customFormat="1" hidden="1" outlineLevel="2" x14ac:dyDescent="0.25">
      <c r="A68" s="27"/>
      <c r="B68" s="10" t="str">
        <f>CONCATENATE("          ", "6259", " - ", "ROYALTY &amp; COMMISSIONS")</f>
        <v xml:space="preserve">          6259 - ROYALTY &amp; COMMISSIONS</v>
      </c>
      <c r="C68" s="10"/>
      <c r="D68" s="6">
        <v>2570.27</v>
      </c>
      <c r="E68" s="2"/>
      <c r="F68" s="7">
        <f t="shared" si="42"/>
        <v>0.694207889370552</v>
      </c>
      <c r="G68" s="2"/>
      <c r="H68" s="6">
        <v>5781.94</v>
      </c>
      <c r="I68" s="2"/>
      <c r="J68" s="7">
        <f t="shared" si="43"/>
        <v>5.4567195167987919</v>
      </c>
      <c r="K68" s="2"/>
      <c r="L68" s="6">
        <f t="shared" si="44"/>
        <v>-3211.6699999999996</v>
      </c>
      <c r="M68" s="2"/>
      <c r="N68" s="7">
        <f t="shared" si="45"/>
        <v>-0.55546581251275517</v>
      </c>
      <c r="O68" s="10"/>
      <c r="P68" s="6">
        <v>13233.89</v>
      </c>
      <c r="Q68" s="2"/>
      <c r="R68" s="7">
        <f t="shared" si="46"/>
        <v>0.11538082615241416</v>
      </c>
      <c r="S68" s="2"/>
      <c r="T68" s="6">
        <v>82607.740000000005</v>
      </c>
      <c r="U68" s="2"/>
      <c r="V68" s="7">
        <f t="shared" si="47"/>
        <v>0.17568569006329135</v>
      </c>
      <c r="W68" s="2"/>
      <c r="X68" s="6">
        <f t="shared" si="48"/>
        <v>-69373.850000000006</v>
      </c>
      <c r="Y68" s="2"/>
      <c r="Z68" s="7">
        <f t="shared" si="49"/>
        <v>-0.83979842566810325</v>
      </c>
    </row>
    <row r="69" spans="1:26" s="26" customFormat="1" outlineLevel="1" collapsed="1" x14ac:dyDescent="0.25">
      <c r="A69" s="25"/>
      <c r="B69" s="12" t="str">
        <f>CONCATENATE("     ","Supplies                                          ")</f>
        <v xml:space="preserve">     Supplies                                          </v>
      </c>
      <c r="C69" s="12"/>
      <c r="D69" s="1">
        <f>SUM(OSRRefD22_10x_0)</f>
        <v>3285.03</v>
      </c>
      <c r="E69" s="1"/>
      <c r="F69" s="5">
        <f t="shared" si="42"/>
        <v>0.88725843698091811</v>
      </c>
      <c r="G69" s="1"/>
      <c r="H69" s="1">
        <f>SUM(OSRRefH22_10x_0)</f>
        <v>1635.92</v>
      </c>
      <c r="I69" s="1"/>
      <c r="J69" s="5">
        <f t="shared" si="43"/>
        <v>1.5439033597583995</v>
      </c>
      <c r="K69" s="1"/>
      <c r="L69" s="1">
        <f t="shared" si="44"/>
        <v>1649.1100000000001</v>
      </c>
      <c r="M69" s="1"/>
      <c r="N69" s="5">
        <f t="shared" si="45"/>
        <v>1.0080627414543499</v>
      </c>
      <c r="O69" s="12"/>
      <c r="P69" s="1">
        <f>SUM(OSRRefP22_10x_0)</f>
        <v>35798.199999999997</v>
      </c>
      <c r="Q69" s="1"/>
      <c r="R69" s="5">
        <f t="shared" si="46"/>
        <v>0.31210973423304506</v>
      </c>
      <c r="S69" s="1"/>
      <c r="T69" s="1">
        <f>SUM(OSRRefT22_10x_0)</f>
        <v>40663.39</v>
      </c>
      <c r="U69" s="1"/>
      <c r="V69" s="5">
        <f t="shared" si="47"/>
        <v>8.6480706680303082E-2</v>
      </c>
      <c r="W69" s="1"/>
      <c r="X69" s="1">
        <f t="shared" si="48"/>
        <v>-4865.1900000000023</v>
      </c>
      <c r="Y69" s="1"/>
      <c r="Z69" s="5">
        <f t="shared" si="49"/>
        <v>-0.11964545995796225</v>
      </c>
    </row>
    <row r="70" spans="1:26" s="23" customFormat="1" hidden="1" outlineLevel="2" x14ac:dyDescent="0.25">
      <c r="A70" s="27"/>
      <c r="B70" s="10" t="str">
        <f>CONCATENATE("          ", "6234", " - ", "EXPENDABLE SUPPLIES &amp; EQUIPMEN")</f>
        <v xml:space="preserve">          6234 - EXPENDABLE SUPPLIES &amp; EQUIPMEN</v>
      </c>
      <c r="C70" s="10"/>
      <c r="D70" s="6"/>
      <c r="E70" s="2"/>
      <c r="F70" s="7">
        <f t="shared" si="42"/>
        <v>0</v>
      </c>
      <c r="G70" s="2"/>
      <c r="H70" s="6"/>
      <c r="I70" s="2"/>
      <c r="J70" s="7">
        <f t="shared" si="43"/>
        <v>0</v>
      </c>
      <c r="K70" s="2"/>
      <c r="L70" s="6">
        <f t="shared" si="44"/>
        <v>0</v>
      </c>
      <c r="M70" s="2"/>
      <c r="N70" s="7">
        <f t="shared" si="45"/>
        <v>0</v>
      </c>
      <c r="O70" s="10"/>
      <c r="P70" s="6"/>
      <c r="Q70" s="2"/>
      <c r="R70" s="7">
        <f t="shared" si="46"/>
        <v>0</v>
      </c>
      <c r="S70" s="2"/>
      <c r="T70" s="6">
        <v>1017.27</v>
      </c>
      <c r="U70" s="2"/>
      <c r="V70" s="7">
        <f t="shared" si="47"/>
        <v>2.1634750197824606E-3</v>
      </c>
      <c r="W70" s="2"/>
      <c r="X70" s="6">
        <f t="shared" si="48"/>
        <v>-1017.27</v>
      </c>
      <c r="Y70" s="2"/>
      <c r="Z70" s="7">
        <f t="shared" si="49"/>
        <v>-1</v>
      </c>
    </row>
    <row r="71" spans="1:26" s="23" customFormat="1" hidden="1" outlineLevel="2" x14ac:dyDescent="0.25">
      <c r="A71" s="27"/>
      <c r="B71" s="10" t="str">
        <f>CONCATENATE("          ", "6235", " - ", "COVID-19 EXPENSES")</f>
        <v xml:space="preserve">          6235 - COVID-19 EXPENSES</v>
      </c>
      <c r="C71" s="10"/>
      <c r="D71" s="6"/>
      <c r="E71" s="2"/>
      <c r="F71" s="7">
        <f t="shared" si="42"/>
        <v>0</v>
      </c>
      <c r="G71" s="2"/>
      <c r="H71" s="6"/>
      <c r="I71" s="2"/>
      <c r="J71" s="7">
        <f t="shared" si="43"/>
        <v>0</v>
      </c>
      <c r="K71" s="2"/>
      <c r="L71" s="6">
        <f t="shared" si="44"/>
        <v>0</v>
      </c>
      <c r="M71" s="2"/>
      <c r="N71" s="7">
        <f t="shared" si="45"/>
        <v>0</v>
      </c>
      <c r="O71" s="10"/>
      <c r="P71" s="6">
        <v>310.91000000000003</v>
      </c>
      <c r="Q71" s="2"/>
      <c r="R71" s="7">
        <f t="shared" si="46"/>
        <v>2.7106959978545303E-3</v>
      </c>
      <c r="S71" s="2"/>
      <c r="T71" s="6"/>
      <c r="U71" s="2"/>
      <c r="V71" s="7">
        <f t="shared" si="47"/>
        <v>0</v>
      </c>
      <c r="W71" s="2"/>
      <c r="X71" s="6">
        <f t="shared" si="48"/>
        <v>310.91000000000003</v>
      </c>
      <c r="Y71" s="2"/>
      <c r="Z71" s="7">
        <f t="shared" si="49"/>
        <v>0</v>
      </c>
    </row>
    <row r="72" spans="1:26" s="23" customFormat="1" hidden="1" outlineLevel="2" x14ac:dyDescent="0.25">
      <c r="A72" s="27"/>
      <c r="B72" s="10" t="str">
        <f>CONCATENATE("          ", "6241", " - ", "OFFICE EXPENSE")</f>
        <v xml:space="preserve">          6241 - OFFICE EXPENSE</v>
      </c>
      <c r="C72" s="10"/>
      <c r="D72" s="6">
        <v>6.55</v>
      </c>
      <c r="E72" s="2"/>
      <c r="F72" s="7">
        <f t="shared" si="42"/>
        <v>1.7690988399573257E-3</v>
      </c>
      <c r="G72" s="2"/>
      <c r="H72" s="6"/>
      <c r="I72" s="2"/>
      <c r="J72" s="7">
        <f t="shared" si="43"/>
        <v>0</v>
      </c>
      <c r="K72" s="2"/>
      <c r="L72" s="6">
        <f t="shared" si="44"/>
        <v>6.55</v>
      </c>
      <c r="M72" s="2"/>
      <c r="N72" s="7">
        <f t="shared" si="45"/>
        <v>0</v>
      </c>
      <c r="O72" s="10"/>
      <c r="P72" s="6">
        <v>4657.76</v>
      </c>
      <c r="Q72" s="2"/>
      <c r="R72" s="7">
        <f t="shared" si="46"/>
        <v>4.0609087488234268E-2</v>
      </c>
      <c r="S72" s="2"/>
      <c r="T72" s="6">
        <v>1578.06</v>
      </c>
      <c r="U72" s="2"/>
      <c r="V72" s="7">
        <f t="shared" si="47"/>
        <v>3.3561329732695448E-3</v>
      </c>
      <c r="W72" s="2"/>
      <c r="X72" s="6">
        <f t="shared" si="48"/>
        <v>3079.7000000000003</v>
      </c>
      <c r="Y72" s="2"/>
      <c r="Z72" s="7">
        <f t="shared" si="49"/>
        <v>1.9515734509460987</v>
      </c>
    </row>
    <row r="73" spans="1:26" s="23" customFormat="1" hidden="1" outlineLevel="2" x14ac:dyDescent="0.25">
      <c r="A73" s="27"/>
      <c r="B73" s="10" t="str">
        <f>CONCATENATE("          ", "6243", " - ", "PAPER SUPPLIES")</f>
        <v xml:space="preserve">          6243 - PAPER SUPPLIES</v>
      </c>
      <c r="C73" s="10"/>
      <c r="D73" s="6">
        <v>199.93</v>
      </c>
      <c r="E73" s="2"/>
      <c r="F73" s="7">
        <f t="shared" si="42"/>
        <v>5.3999378789720325E-2</v>
      </c>
      <c r="G73" s="2"/>
      <c r="H73" s="6">
        <v>791.44</v>
      </c>
      <c r="I73" s="2"/>
      <c r="J73" s="7">
        <f t="shared" si="43"/>
        <v>0.74692336730841835</v>
      </c>
      <c r="K73" s="2"/>
      <c r="L73" s="6">
        <f t="shared" si="44"/>
        <v>-591.51</v>
      </c>
      <c r="M73" s="2"/>
      <c r="N73" s="7">
        <f t="shared" si="45"/>
        <v>-0.74738451430304254</v>
      </c>
      <c r="O73" s="10"/>
      <c r="P73" s="6">
        <v>6682.58</v>
      </c>
      <c r="Q73" s="2"/>
      <c r="R73" s="7">
        <f t="shared" si="46"/>
        <v>5.8262657557951583E-2</v>
      </c>
      <c r="S73" s="2"/>
      <c r="T73" s="6">
        <v>17888.36</v>
      </c>
      <c r="U73" s="2"/>
      <c r="V73" s="7">
        <f t="shared" si="47"/>
        <v>3.8044000122755786E-2</v>
      </c>
      <c r="W73" s="2"/>
      <c r="X73" s="6">
        <f t="shared" si="48"/>
        <v>-11205.78</v>
      </c>
      <c r="Y73" s="2"/>
      <c r="Z73" s="7">
        <f t="shared" si="49"/>
        <v>-0.62642858260902623</v>
      </c>
    </row>
    <row r="74" spans="1:26" s="23" customFormat="1" hidden="1" outlineLevel="2" x14ac:dyDescent="0.25">
      <c r="A74" s="27"/>
      <c r="B74" s="10" t="str">
        <f>CONCATENATE("          ", "6245", " - ", "PRINTING")</f>
        <v xml:space="preserve">          6245 - PRINTING</v>
      </c>
      <c r="C74" s="10"/>
      <c r="D74" s="6">
        <v>1766.38</v>
      </c>
      <c r="E74" s="2"/>
      <c r="F74" s="7">
        <f t="shared" si="42"/>
        <v>0.47708409296546889</v>
      </c>
      <c r="G74" s="2"/>
      <c r="H74" s="6">
        <v>264.60000000000002</v>
      </c>
      <c r="I74" s="2"/>
      <c r="J74" s="7">
        <f t="shared" si="43"/>
        <v>0.24971687429218578</v>
      </c>
      <c r="K74" s="2"/>
      <c r="L74" s="6">
        <f t="shared" si="44"/>
        <v>1501.7800000000002</v>
      </c>
      <c r="M74" s="2"/>
      <c r="N74" s="7">
        <f t="shared" si="45"/>
        <v>5.6756613756613756</v>
      </c>
      <c r="O74" s="10"/>
      <c r="P74" s="6">
        <v>3051.93</v>
      </c>
      <c r="Q74" s="2"/>
      <c r="R74" s="7">
        <f t="shared" si="46"/>
        <v>2.6608518338851035E-2</v>
      </c>
      <c r="S74" s="2"/>
      <c r="T74" s="6">
        <v>5828.02</v>
      </c>
      <c r="U74" s="2"/>
      <c r="V74" s="7">
        <f t="shared" si="47"/>
        <v>1.2394718889569709E-2</v>
      </c>
      <c r="W74" s="2"/>
      <c r="X74" s="6">
        <f t="shared" si="48"/>
        <v>-2776.0900000000006</v>
      </c>
      <c r="Y74" s="2"/>
      <c r="Z74" s="7">
        <f t="shared" si="49"/>
        <v>-0.47633501600886757</v>
      </c>
    </row>
    <row r="75" spans="1:26" s="23" customFormat="1" hidden="1" outlineLevel="2" x14ac:dyDescent="0.25">
      <c r="A75" s="27"/>
      <c r="B75" s="10" t="str">
        <f>CONCATENATE("          ", "6247", " - ", "STORE SUPPLIES")</f>
        <v xml:space="preserve">          6247 - STORE SUPPLIES</v>
      </c>
      <c r="C75" s="10"/>
      <c r="D75" s="6">
        <v>1312.17</v>
      </c>
      <c r="E75" s="2"/>
      <c r="F75" s="7">
        <f t="shared" si="42"/>
        <v>0.3544058663857716</v>
      </c>
      <c r="G75" s="2"/>
      <c r="H75" s="6">
        <v>579.88</v>
      </c>
      <c r="I75" s="2"/>
      <c r="J75" s="7">
        <f t="shared" si="43"/>
        <v>0.54726311815779549</v>
      </c>
      <c r="K75" s="2"/>
      <c r="L75" s="6">
        <f t="shared" si="44"/>
        <v>732.29000000000008</v>
      </c>
      <c r="M75" s="2"/>
      <c r="N75" s="7">
        <f t="shared" si="45"/>
        <v>1.2628302407394634</v>
      </c>
      <c r="O75" s="10"/>
      <c r="P75" s="6">
        <v>21095.02</v>
      </c>
      <c r="Q75" s="2"/>
      <c r="R75" s="7">
        <f t="shared" si="46"/>
        <v>0.18391877485015365</v>
      </c>
      <c r="S75" s="2"/>
      <c r="T75" s="6">
        <v>14351.68</v>
      </c>
      <c r="U75" s="2"/>
      <c r="V75" s="7">
        <f t="shared" si="47"/>
        <v>3.0522379674925583E-2</v>
      </c>
      <c r="W75" s="2"/>
      <c r="X75" s="6">
        <f t="shared" si="48"/>
        <v>6743.34</v>
      </c>
      <c r="Y75" s="2"/>
      <c r="Z75" s="7">
        <f t="shared" si="49"/>
        <v>0.46986415527659481</v>
      </c>
    </row>
    <row r="76" spans="1:26" s="26" customFormat="1" outlineLevel="1" collapsed="1" x14ac:dyDescent="0.25">
      <c r="A76" s="25"/>
      <c r="B76" s="12" t="str">
        <f>CONCATENATE("     ","Telephone/Data Lines                              ")</f>
        <v xml:space="preserve">     Telephone/Data Lines                              </v>
      </c>
      <c r="C76" s="12"/>
      <c r="D76" s="1">
        <f>SUM(OSRRefD22_11x_0)</f>
        <v>82.1</v>
      </c>
      <c r="E76" s="1"/>
      <c r="F76" s="5">
        <f t="shared" ref="F76:F81" si="50">IF(D$12=0,0,D76/D$12)</f>
        <v>2.2174506070304797E-2</v>
      </c>
      <c r="G76" s="1"/>
      <c r="H76" s="1">
        <f>SUM(OSRRefH22_11x_0)</f>
        <v>169.1</v>
      </c>
      <c r="I76" s="1"/>
      <c r="J76" s="5">
        <f t="shared" ref="J76:J81" si="51">IF(H$12=0,0,H76/H$12)</f>
        <v>0.15958852397130993</v>
      </c>
      <c r="K76" s="1"/>
      <c r="L76" s="1">
        <f t="shared" ref="L76:L81" si="52">+D76-H76</f>
        <v>-87</v>
      </c>
      <c r="M76" s="1"/>
      <c r="N76" s="5">
        <f t="shared" ref="N76:N81" si="53">IF(H76=0,0,L76/H76)</f>
        <v>-0.51448846836191608</v>
      </c>
      <c r="O76" s="12"/>
      <c r="P76" s="1">
        <f>SUM(OSRRefP22_11x_0)</f>
        <v>1585.5</v>
      </c>
      <c r="Q76" s="1"/>
      <c r="R76" s="5">
        <f t="shared" ref="R76:R81" si="54">IF(P$12=0,0,P76/P$12)</f>
        <v>1.3823320268239547E-2</v>
      </c>
      <c r="S76" s="1"/>
      <c r="T76" s="1">
        <f>SUM(OSRRefT22_11x_0)</f>
        <v>1448.1</v>
      </c>
      <c r="U76" s="1"/>
      <c r="V76" s="5">
        <f t="shared" ref="V76:V81" si="55">IF(T$12=0,0,T76/T$12)</f>
        <v>3.0797410482438104E-3</v>
      </c>
      <c r="W76" s="1"/>
      <c r="X76" s="1">
        <f t="shared" ref="X76:X81" si="56">+P76-T76</f>
        <v>137.40000000000009</v>
      </c>
      <c r="Y76" s="1"/>
      <c r="Z76" s="5">
        <f t="shared" ref="Z76:Z81" si="57">IF(T76=0,0,X76/T76)</f>
        <v>9.4882950072508868E-2</v>
      </c>
    </row>
    <row r="77" spans="1:26" s="23" customFormat="1" hidden="1" outlineLevel="2" x14ac:dyDescent="0.25">
      <c r="A77" s="27"/>
      <c r="B77" s="10" t="str">
        <f>CONCATENATE("          ", "6309", " - ", "TELEPHONE")</f>
        <v xml:space="preserve">          6309 - TELEPHONE</v>
      </c>
      <c r="C77" s="10"/>
      <c r="D77" s="6">
        <v>82.1</v>
      </c>
      <c r="E77" s="2"/>
      <c r="F77" s="7">
        <f t="shared" si="50"/>
        <v>2.2174506070304797E-2</v>
      </c>
      <c r="G77" s="2"/>
      <c r="H77" s="6">
        <v>169.1</v>
      </c>
      <c r="I77" s="2"/>
      <c r="J77" s="7">
        <f t="shared" si="51"/>
        <v>0.15958852397130993</v>
      </c>
      <c r="K77" s="2"/>
      <c r="L77" s="6">
        <f t="shared" si="52"/>
        <v>-87</v>
      </c>
      <c r="M77" s="2"/>
      <c r="N77" s="7">
        <f t="shared" si="53"/>
        <v>-0.51448846836191608</v>
      </c>
      <c r="O77" s="10"/>
      <c r="P77" s="6">
        <v>1585.5</v>
      </c>
      <c r="Q77" s="2"/>
      <c r="R77" s="7">
        <f t="shared" si="54"/>
        <v>1.3823320268239547E-2</v>
      </c>
      <c r="S77" s="2"/>
      <c r="T77" s="6">
        <v>1448.1</v>
      </c>
      <c r="U77" s="2"/>
      <c r="V77" s="7">
        <f t="shared" si="55"/>
        <v>3.0797410482438104E-3</v>
      </c>
      <c r="W77" s="2"/>
      <c r="X77" s="6">
        <f t="shared" si="56"/>
        <v>137.40000000000009</v>
      </c>
      <c r="Y77" s="2"/>
      <c r="Z77" s="7">
        <f t="shared" si="57"/>
        <v>9.4882950072508868E-2</v>
      </c>
    </row>
    <row r="78" spans="1:26" s="26" customFormat="1" outlineLevel="1" collapsed="1" x14ac:dyDescent="0.25">
      <c r="A78" s="25"/>
      <c r="B78" s="12" t="str">
        <f>CONCATENATE("     ","Training                                          ")</f>
        <v xml:space="preserve">     Training                                          </v>
      </c>
      <c r="C78" s="12"/>
      <c r="D78" s="1">
        <f>SUM(OSRRefD22_12x_0)</f>
        <v>0</v>
      </c>
      <c r="E78" s="1"/>
      <c r="F78" s="5">
        <f t="shared" si="50"/>
        <v>0</v>
      </c>
      <c r="G78" s="1"/>
      <c r="H78" s="1">
        <f>SUM(OSRRefH22_12x_0)</f>
        <v>0</v>
      </c>
      <c r="I78" s="1"/>
      <c r="J78" s="5">
        <f t="shared" si="51"/>
        <v>0</v>
      </c>
      <c r="K78" s="1"/>
      <c r="L78" s="1">
        <f t="shared" si="52"/>
        <v>0</v>
      </c>
      <c r="M78" s="1"/>
      <c r="N78" s="5">
        <f t="shared" si="53"/>
        <v>0</v>
      </c>
      <c r="O78" s="12"/>
      <c r="P78" s="1">
        <f>SUM(OSRRefP22_12x_0)</f>
        <v>0</v>
      </c>
      <c r="Q78" s="1"/>
      <c r="R78" s="5">
        <f t="shared" si="54"/>
        <v>0</v>
      </c>
      <c r="S78" s="1"/>
      <c r="T78" s="1">
        <f>SUM(OSRRefT22_12x_0)</f>
        <v>97.71</v>
      </c>
      <c r="U78" s="1"/>
      <c r="V78" s="5">
        <f t="shared" si="55"/>
        <v>2.078043628367535E-4</v>
      </c>
      <c r="W78" s="1"/>
      <c r="X78" s="1">
        <f t="shared" si="56"/>
        <v>-97.71</v>
      </c>
      <c r="Y78" s="1"/>
      <c r="Z78" s="5">
        <f t="shared" si="57"/>
        <v>-1</v>
      </c>
    </row>
    <row r="79" spans="1:26" s="23" customFormat="1" hidden="1" outlineLevel="2" x14ac:dyDescent="0.25">
      <c r="A79" s="27"/>
      <c r="B79" s="10" t="str">
        <f>CONCATENATE("          ", "6376", " - ", "TRAINING")</f>
        <v xml:space="preserve">          6376 - TRAINING</v>
      </c>
      <c r="C79" s="10"/>
      <c r="D79" s="6"/>
      <c r="E79" s="2"/>
      <c r="F79" s="7">
        <f t="shared" si="50"/>
        <v>0</v>
      </c>
      <c r="G79" s="2"/>
      <c r="H79" s="6"/>
      <c r="I79" s="2"/>
      <c r="J79" s="7">
        <f t="shared" si="51"/>
        <v>0</v>
      </c>
      <c r="K79" s="2"/>
      <c r="L79" s="6">
        <f t="shared" si="52"/>
        <v>0</v>
      </c>
      <c r="M79" s="2"/>
      <c r="N79" s="7">
        <f t="shared" si="53"/>
        <v>0</v>
      </c>
      <c r="O79" s="10"/>
      <c r="P79" s="6"/>
      <c r="Q79" s="2"/>
      <c r="R79" s="7">
        <f t="shared" si="54"/>
        <v>0</v>
      </c>
      <c r="S79" s="2"/>
      <c r="T79" s="6">
        <v>97.71</v>
      </c>
      <c r="U79" s="2"/>
      <c r="V79" s="7">
        <f t="shared" si="55"/>
        <v>2.078043628367535E-4</v>
      </c>
      <c r="W79" s="2"/>
      <c r="X79" s="6">
        <f t="shared" si="56"/>
        <v>-97.71</v>
      </c>
      <c r="Y79" s="2"/>
      <c r="Z79" s="7">
        <f t="shared" si="57"/>
        <v>-1</v>
      </c>
    </row>
    <row r="80" spans="1:26" s="26" customFormat="1" outlineLevel="1" collapsed="1" x14ac:dyDescent="0.25">
      <c r="A80" s="25"/>
      <c r="B80" s="12" t="str">
        <f>CONCATENATE("     ","Utilities                                         ")</f>
        <v xml:space="preserve">     Utilities                                         </v>
      </c>
      <c r="C80" s="12"/>
      <c r="D80" s="1">
        <f>SUM(OSRRefD22_13x_0)</f>
        <v>0</v>
      </c>
      <c r="E80" s="1"/>
      <c r="F80" s="5">
        <f t="shared" si="50"/>
        <v>0</v>
      </c>
      <c r="G80" s="1"/>
      <c r="H80" s="1">
        <f>SUM(OSRRefH22_13x_0)</f>
        <v>0</v>
      </c>
      <c r="I80" s="1"/>
      <c r="J80" s="5">
        <f t="shared" si="51"/>
        <v>0</v>
      </c>
      <c r="K80" s="1"/>
      <c r="L80" s="1">
        <f t="shared" si="52"/>
        <v>0</v>
      </c>
      <c r="M80" s="1"/>
      <c r="N80" s="5">
        <f t="shared" si="53"/>
        <v>0</v>
      </c>
      <c r="O80" s="12"/>
      <c r="P80" s="1">
        <f>SUM(OSRRefP22_13x_0)</f>
        <v>15.02</v>
      </c>
      <c r="Q80" s="1"/>
      <c r="R80" s="5">
        <f t="shared" si="54"/>
        <v>1.3095318223207693E-4</v>
      </c>
      <c r="S80" s="1"/>
      <c r="T80" s="1">
        <f>SUM(OSRRefT22_13x_0)</f>
        <v>0</v>
      </c>
      <c r="U80" s="1"/>
      <c r="V80" s="5">
        <f t="shared" si="55"/>
        <v>0</v>
      </c>
      <c r="W80" s="1"/>
      <c r="X80" s="1">
        <f t="shared" si="56"/>
        <v>15.02</v>
      </c>
      <c r="Y80" s="1"/>
      <c r="Z80" s="5">
        <f t="shared" si="57"/>
        <v>0</v>
      </c>
    </row>
    <row r="81" spans="1:26" s="23" customFormat="1" hidden="1" outlineLevel="2" x14ac:dyDescent="0.25">
      <c r="A81" s="27"/>
      <c r="B81" s="10" t="str">
        <f>CONCATENATE("          ", "6274", " - ", "UTILITIES")</f>
        <v xml:space="preserve">          6274 - UTILITIES</v>
      </c>
      <c r="C81" s="10"/>
      <c r="D81" s="6"/>
      <c r="E81" s="2"/>
      <c r="F81" s="7">
        <f t="shared" si="50"/>
        <v>0</v>
      </c>
      <c r="G81" s="2"/>
      <c r="H81" s="6"/>
      <c r="I81" s="2"/>
      <c r="J81" s="7">
        <f t="shared" si="51"/>
        <v>0</v>
      </c>
      <c r="K81" s="2"/>
      <c r="L81" s="6">
        <f t="shared" si="52"/>
        <v>0</v>
      </c>
      <c r="M81" s="2"/>
      <c r="N81" s="7">
        <f t="shared" si="53"/>
        <v>0</v>
      </c>
      <c r="O81" s="10"/>
      <c r="P81" s="6">
        <v>15.02</v>
      </c>
      <c r="Q81" s="2"/>
      <c r="R81" s="7">
        <f t="shared" si="54"/>
        <v>1.3095318223207693E-4</v>
      </c>
      <c r="S81" s="2"/>
      <c r="T81" s="6"/>
      <c r="U81" s="2"/>
      <c r="V81" s="7">
        <f t="shared" si="55"/>
        <v>0</v>
      </c>
      <c r="W81" s="2"/>
      <c r="X81" s="6">
        <f t="shared" si="56"/>
        <v>15.02</v>
      </c>
      <c r="Y81" s="2"/>
      <c r="Z81" s="7">
        <f t="shared" si="57"/>
        <v>0</v>
      </c>
    </row>
    <row r="82" spans="1:26" s="62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4" customFormat="1" collapsed="1" x14ac:dyDescent="0.25">
      <c r="A83" s="11"/>
      <c r="B83" s="28" t="s">
        <v>292</v>
      </c>
      <c r="C83" s="11"/>
      <c r="D83" s="4">
        <f>SUM(OSRRefD25x_0)</f>
        <v>6782</v>
      </c>
      <c r="E83" s="4"/>
      <c r="F83" s="13">
        <f t="shared" ref="F83:F84" si="58">IF(D$12=0,0,D83/D$12)</f>
        <v>1.8317600507771881</v>
      </c>
      <c r="G83" s="4"/>
      <c r="H83" s="4">
        <f>SUM(OSRRefH25x_0)</f>
        <v>13269</v>
      </c>
      <c r="I83" s="4"/>
      <c r="J83" s="13">
        <f t="shared" ref="J83:J84" si="59">IF(H$12=0,0,H83/H$12)</f>
        <v>12.522650056625142</v>
      </c>
      <c r="K83" s="4"/>
      <c r="L83" s="4">
        <f t="shared" ref="L83:L84" si="60">+D83-H83</f>
        <v>-6487</v>
      </c>
      <c r="M83" s="4"/>
      <c r="N83" s="13">
        <f t="shared" ref="N83:N84" si="61">IF(H83=0,0,L83/H83)</f>
        <v>-0.48888386464692141</v>
      </c>
      <c r="O83" s="11"/>
      <c r="P83" s="4">
        <f>SUM(OSRRefP25x_0)</f>
        <v>67820</v>
      </c>
      <c r="Q83" s="4"/>
      <c r="R83" s="13">
        <f t="shared" ref="R83:R84" si="62">IF(P$12=0,0,P83/P$12)</f>
        <v>0.59129459513844596</v>
      </c>
      <c r="S83" s="4"/>
      <c r="T83" s="4">
        <f>SUM(OSRRefT25x_0)</f>
        <v>131363.1</v>
      </c>
      <c r="U83" s="4"/>
      <c r="V83" s="13">
        <f t="shared" ref="V83:V84" si="63">IF(T$12=0,0,T83/T$12)</f>
        <v>0.27937596249883057</v>
      </c>
      <c r="W83" s="4"/>
      <c r="X83" s="4">
        <f t="shared" ref="X83:X84" si="64">+P83-T83</f>
        <v>-63543.100000000006</v>
      </c>
      <c r="Y83" s="4"/>
      <c r="Z83" s="13">
        <f t="shared" ref="Z83:Z84" si="65">IF(T83=0,0,X83/T83)</f>
        <v>-0.48372107540093073</v>
      </c>
    </row>
    <row r="84" spans="1:26" s="23" customFormat="1" hidden="1" outlineLevel="1" x14ac:dyDescent="0.25">
      <c r="A84" s="44"/>
      <c r="B84" s="10" t="str">
        <f>CONCATENATE("          ", "9150", " - ", "MISC. INCOME")</f>
        <v xml:space="preserve">          9150 - MISC. INCOME</v>
      </c>
      <c r="C84" s="10"/>
      <c r="D84" s="2">
        <f>--6782</f>
        <v>6782</v>
      </c>
      <c r="E84" s="2"/>
      <c r="F84" s="19">
        <f t="shared" si="58"/>
        <v>1.8317600507771881</v>
      </c>
      <c r="G84" s="2"/>
      <c r="H84" s="2">
        <f>--13269</f>
        <v>13269</v>
      </c>
      <c r="I84" s="2"/>
      <c r="J84" s="19">
        <f t="shared" si="59"/>
        <v>12.522650056625142</v>
      </c>
      <c r="K84" s="2"/>
      <c r="L84" s="2">
        <f t="shared" si="60"/>
        <v>-6487</v>
      </c>
      <c r="M84" s="2"/>
      <c r="N84" s="19">
        <f t="shared" si="61"/>
        <v>-0.48888386464692141</v>
      </c>
      <c r="O84" s="10"/>
      <c r="P84" s="2">
        <f>--67820</f>
        <v>67820</v>
      </c>
      <c r="Q84" s="2"/>
      <c r="R84" s="19">
        <f t="shared" si="62"/>
        <v>0.59129459513844596</v>
      </c>
      <c r="S84" s="2"/>
      <c r="T84" s="2">
        <f>--131363.1</f>
        <v>131363.1</v>
      </c>
      <c r="U84" s="2"/>
      <c r="V84" s="19">
        <f t="shared" si="63"/>
        <v>0.27937596249883057</v>
      </c>
      <c r="W84" s="2"/>
      <c r="X84" s="2">
        <f t="shared" si="64"/>
        <v>-63543.100000000006</v>
      </c>
      <c r="Y84" s="2"/>
      <c r="Z84" s="19">
        <f t="shared" si="65"/>
        <v>-0.48372107540093073</v>
      </c>
    </row>
    <row r="85" spans="1:26" x14ac:dyDescent="0.25">
      <c r="A85" s="9"/>
      <c r="B85" s="11"/>
      <c r="C85" s="11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1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4" customFormat="1" x14ac:dyDescent="0.25">
      <c r="A86" s="11"/>
      <c r="B86" s="29" t="s">
        <v>276</v>
      </c>
      <c r="C86" s="29"/>
      <c r="D86" s="20">
        <f>+D33-D35+D83</f>
        <v>-4810.41</v>
      </c>
      <c r="E86" s="14"/>
      <c r="F86" s="22">
        <f>IF(D$12=0,0,D86/D$12)</f>
        <v>-1.2992504962929952</v>
      </c>
      <c r="G86" s="14"/>
      <c r="H86" s="20">
        <f>+H33-H35+H83</f>
        <v>-18267.22</v>
      </c>
      <c r="I86" s="14"/>
      <c r="J86" s="22">
        <f>IF(H$12=0,0,H86/H$12)</f>
        <v>-17.239731974329938</v>
      </c>
      <c r="K86" s="16"/>
      <c r="L86" s="20">
        <f>+D86-H86</f>
        <v>13456.810000000001</v>
      </c>
      <c r="M86" s="16"/>
      <c r="N86" s="22">
        <f>IF(H86=0,0,L86/H86)</f>
        <v>-0.73666436381671652</v>
      </c>
      <c r="O86" s="28"/>
      <c r="P86" s="20">
        <f>+P33-P35+P83</f>
        <v>-90042.290000000095</v>
      </c>
      <c r="Q86" s="14"/>
      <c r="R86" s="22">
        <f>IF(P$12=0,0,P86/P$12)</f>
        <v>-0.78504157196827773</v>
      </c>
      <c r="S86" s="14"/>
      <c r="T86" s="20">
        <f>+T33-T35+T83</f>
        <v>147424.77000000005</v>
      </c>
      <c r="U86" s="14"/>
      <c r="V86" s="22">
        <f>IF(T$12=0,0,T86/T$12)</f>
        <v>0.31353505676189686</v>
      </c>
      <c r="W86" s="16"/>
      <c r="X86" s="20">
        <f>+P86-T86</f>
        <v>-237467.06000000014</v>
      </c>
      <c r="Y86" s="16"/>
      <c r="Z86" s="22">
        <f>IF(T86=0,0,X86/T86)</f>
        <v>-1.6107677156287921</v>
      </c>
    </row>
    <row r="87" spans="1:26" x14ac:dyDescent="0.25">
      <c r="A87" s="9"/>
      <c r="B87" s="11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4" customFormat="1" x14ac:dyDescent="0.25">
      <c r="A88" s="51"/>
      <c r="B88" s="11" t="s">
        <v>127</v>
      </c>
      <c r="C88" s="11"/>
      <c r="D88" s="4">
        <v>1120.05</v>
      </c>
      <c r="E88" s="4"/>
      <c r="F88" s="13">
        <f>IF(D$12=0,0,D88/D$12)</f>
        <v>0.3025159016327027</v>
      </c>
      <c r="G88" s="4"/>
      <c r="H88" s="4">
        <v>3118.33</v>
      </c>
      <c r="I88" s="4"/>
      <c r="J88" s="13">
        <f>IF(H$12=0,0,H88/H$12)</f>
        <v>2.9429312948282371</v>
      </c>
      <c r="K88" s="4"/>
      <c r="L88" s="4">
        <f>+D88-H88</f>
        <v>-1998.28</v>
      </c>
      <c r="M88" s="4"/>
      <c r="N88" s="13">
        <f>IF(H88=0,0,L88/H88)</f>
        <v>-0.64081736057441008</v>
      </c>
      <c r="O88" s="11"/>
      <c r="P88" s="4">
        <v>23995.18</v>
      </c>
      <c r="Q88" s="4"/>
      <c r="R88" s="13">
        <f>IF(P$12=0,0,P88/P$12)</f>
        <v>0.20920407318451983</v>
      </c>
      <c r="S88" s="4"/>
      <c r="T88" s="4">
        <v>53388.06</v>
      </c>
      <c r="U88" s="4"/>
      <c r="V88" s="13">
        <f>IF(T$12=0,0,T88/T$12)</f>
        <v>0.11354284915965987</v>
      </c>
      <c r="W88" s="4"/>
      <c r="X88" s="4">
        <f>+P88-T88</f>
        <v>-29392.879999999997</v>
      </c>
      <c r="Y88" s="4"/>
      <c r="Z88" s="13">
        <f>IF(T88=0,0,X88/T88)</f>
        <v>-0.55055156527508209</v>
      </c>
    </row>
    <row r="89" spans="1:26" x14ac:dyDescent="0.25">
      <c r="A89" s="9"/>
      <c r="B89" s="11"/>
      <c r="C89" s="11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1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ht="15.75" thickBot="1" x14ac:dyDescent="0.3">
      <c r="A90" s="11"/>
      <c r="B90" s="29" t="s">
        <v>125</v>
      </c>
      <c r="C90" s="29"/>
      <c r="D90" s="30">
        <f>+D86-D88</f>
        <v>-5930.46</v>
      </c>
      <c r="E90" s="14"/>
      <c r="F90" s="34">
        <f>IF(D$12=0,0,D90/D$12)</f>
        <v>-1.601766397925698</v>
      </c>
      <c r="G90" s="14"/>
      <c r="H90" s="30">
        <f>+H86-H88</f>
        <v>-21385.550000000003</v>
      </c>
      <c r="I90" s="14"/>
      <c r="J90" s="34">
        <f>IF(H$12=0,0,H90/H$12)</f>
        <v>-20.182663269158176</v>
      </c>
      <c r="K90" s="16"/>
      <c r="L90" s="30">
        <f>D90-H90</f>
        <v>15455.090000000004</v>
      </c>
      <c r="M90" s="16"/>
      <c r="N90" s="34">
        <f>IF(H90=0,0,L90/H90)</f>
        <v>-0.72268845084648292</v>
      </c>
      <c r="O90" s="28"/>
      <c r="P90" s="30">
        <f>+P86-P88</f>
        <v>-114037.47000000009</v>
      </c>
      <c r="Q90" s="14"/>
      <c r="R90" s="34">
        <f>IF(P$12=0,0,P90/P$12)</f>
        <v>-0.99424564515279756</v>
      </c>
      <c r="S90" s="14"/>
      <c r="T90" s="30">
        <f>+T86-T88</f>
        <v>94036.71000000005</v>
      </c>
      <c r="U90" s="14"/>
      <c r="V90" s="34">
        <f>IF(T$12=0,0,T90/T$12)</f>
        <v>0.19999220760223699</v>
      </c>
      <c r="W90" s="16"/>
      <c r="X90" s="30">
        <f>P90-T90</f>
        <v>-208074.18000000014</v>
      </c>
      <c r="Y90" s="16"/>
      <c r="Z90" s="34">
        <f>IF(T90=0,0,X90/T90)</f>
        <v>-2.2126909799375163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4" customFormat="1" ht="15.75" thickBot="1" x14ac:dyDescent="0.3">
      <c r="A93" s="11"/>
      <c r="B93" s="29" t="s">
        <v>293</v>
      </c>
      <c r="C93" s="29"/>
      <c r="D93" s="32">
        <f>SUM(D90:D92)</f>
        <v>-5930.46</v>
      </c>
      <c r="E93" s="14"/>
      <c r="F93" s="35">
        <f>IF(D$12=0,0,D93/D$12)</f>
        <v>-1.601766397925698</v>
      </c>
      <c r="G93" s="14"/>
      <c r="H93" s="32">
        <f>SUM(H90:H92)</f>
        <v>-21385.550000000003</v>
      </c>
      <c r="I93" s="14"/>
      <c r="J93" s="35">
        <f>IF(H$12=0,0,H93/H$12)</f>
        <v>-20.182663269158176</v>
      </c>
      <c r="K93" s="16"/>
      <c r="L93" s="32">
        <f>+D93-H93</f>
        <v>15455.090000000004</v>
      </c>
      <c r="M93" s="16"/>
      <c r="N93" s="35">
        <f>IF(H93=0,0,L93/H93)</f>
        <v>-0.72268845084648292</v>
      </c>
      <c r="O93" s="28"/>
      <c r="P93" s="32">
        <f>SUM(P90:P92)</f>
        <v>-114037.47000000009</v>
      </c>
      <c r="Q93" s="14"/>
      <c r="R93" s="35">
        <f>IF(P$12=0,0,P93/P$12)</f>
        <v>-0.99424564515279756</v>
      </c>
      <c r="S93" s="14"/>
      <c r="T93" s="32">
        <f>SUM(T90:T92)</f>
        <v>94036.71000000005</v>
      </c>
      <c r="U93" s="14"/>
      <c r="V93" s="35">
        <f>IF(T$12=0,0,T93/T$12)</f>
        <v>0.19999220760223699</v>
      </c>
      <c r="W93" s="16"/>
      <c r="X93" s="32">
        <f>+P93-T93</f>
        <v>-208074.18000000014</v>
      </c>
      <c r="Y93" s="16"/>
      <c r="Z93" s="35">
        <f>IF(T93=0,0,X93/T93)</f>
        <v>-2.2126909799375163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9">
        <v>44330.00886898148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2" t="s">
        <v>56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5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","320", " - ", "Customer Service (old)")</f>
        <v>Department 320 - Customer Service (old)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3214.15</v>
      </c>
      <c r="I12" s="4"/>
      <c r="J12" s="13"/>
      <c r="K12" s="4"/>
      <c r="L12" s="4">
        <f t="shared" ref="L12:L15" si="0">+D12-H12</f>
        <v>-3214.15</v>
      </c>
      <c r="M12" s="4"/>
      <c r="N12" s="13">
        <f t="shared" ref="N12:N15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21631.98</v>
      </c>
      <c r="U12" s="4"/>
      <c r="V12" s="13"/>
      <c r="W12" s="4"/>
      <c r="X12" s="4">
        <f t="shared" ref="X12:X15" si="2">+P12-T12</f>
        <v>-21631.98</v>
      </c>
      <c r="Y12" s="4"/>
      <c r="Z12" s="13">
        <f t="shared" ref="Z12:Z15" si="3">IF(T12=0,0,X12/T12)</f>
        <v>-1</v>
      </c>
    </row>
    <row r="13" spans="1:26" s="23" customFormat="1" hidden="1" outlineLevel="1" x14ac:dyDescent="0.25">
      <c r="A13" s="44"/>
      <c r="B13" s="10" t="str">
        <f>CONCATENATE("          ", "4092", " - ", "TAXABLE SALES-GRAD MERCH")</f>
        <v xml:space="preserve">          4092 - TAXABLE SALES-GRAD MERCH</v>
      </c>
      <c r="C13" s="10"/>
      <c r="D13" s="2">
        <f t="shared" ref="D13:D15" si="4">0</f>
        <v>0</v>
      </c>
      <c r="E13" s="2"/>
      <c r="F13" s="19"/>
      <c r="G13" s="2"/>
      <c r="H13" s="2">
        <f>--3214.15</f>
        <v>3214.15</v>
      </c>
      <c r="I13" s="2"/>
      <c r="J13" s="19"/>
      <c r="K13" s="2"/>
      <c r="L13" s="2">
        <f t="shared" si="0"/>
        <v>-3214.15</v>
      </c>
      <c r="M13" s="2"/>
      <c r="N13" s="19">
        <f t="shared" si="1"/>
        <v>-1</v>
      </c>
      <c r="O13" s="10"/>
      <c r="P13" s="2">
        <f t="shared" ref="P13:P15" si="5">0</f>
        <v>0</v>
      </c>
      <c r="Q13" s="2"/>
      <c r="R13" s="19"/>
      <c r="S13" s="2"/>
      <c r="T13" s="2">
        <f>--21866.37</f>
        <v>21866.37</v>
      </c>
      <c r="U13" s="2"/>
      <c r="V13" s="19"/>
      <c r="W13" s="2"/>
      <c r="X13" s="2">
        <f t="shared" si="2"/>
        <v>-21866.37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"4095", " - ", "TAXABLE SALES-CUSTOMER SERVICE")</f>
        <v xml:space="preserve">          4095 - TAXABLE SALES-CUSTOMER SERVICE</v>
      </c>
      <c r="C14" s="10"/>
      <c r="D14" s="2">
        <f t="shared" si="4"/>
        <v>0</v>
      </c>
      <c r="E14" s="2"/>
      <c r="F14" s="19"/>
      <c r="G14" s="2"/>
      <c r="H14" s="2">
        <f t="shared" ref="H14:H15" si="6"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5"/>
        <v>0</v>
      </c>
      <c r="Q14" s="2"/>
      <c r="R14" s="19"/>
      <c r="S14" s="2"/>
      <c r="T14" s="2">
        <f>--279.56</f>
        <v>279.56</v>
      </c>
      <c r="U14" s="2"/>
      <c r="V14" s="19"/>
      <c r="W14" s="2"/>
      <c r="X14" s="2">
        <f t="shared" si="2"/>
        <v>-279.56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"4292", " - ", "SALES RETURN TAXABLE-GRAD MERC")</f>
        <v xml:space="preserve">          4292 - SALES RETURN TAXABLE-GRAD MERC</v>
      </c>
      <c r="C15" s="10"/>
      <c r="D15" s="2">
        <f t="shared" si="4"/>
        <v>0</v>
      </c>
      <c r="E15" s="2"/>
      <c r="F15" s="19"/>
      <c r="G15" s="2"/>
      <c r="H15" s="2">
        <f t="shared" si="6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5"/>
        <v>0</v>
      </c>
      <c r="Q15" s="2"/>
      <c r="R15" s="19"/>
      <c r="S15" s="2"/>
      <c r="T15" s="2">
        <f>-513.95</f>
        <v>-513.95000000000005</v>
      </c>
      <c r="U15" s="2"/>
      <c r="V15" s="19"/>
      <c r="W15" s="2"/>
      <c r="X15" s="2">
        <f t="shared" si="2"/>
        <v>513.95000000000005</v>
      </c>
      <c r="Y15" s="2"/>
      <c r="Z15" s="19">
        <f t="shared" si="3"/>
        <v>-1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8" t="s">
        <v>256</v>
      </c>
      <c r="C17" s="11"/>
      <c r="D17" s="4">
        <f>SUM(OSRRefD16x_0)</f>
        <v>0</v>
      </c>
      <c r="E17" s="4"/>
      <c r="F17" s="13">
        <f t="shared" ref="F17:F22" si="7">IF(D$12=0,0,D17/D$12)</f>
        <v>0</v>
      </c>
      <c r="G17" s="4"/>
      <c r="H17" s="4">
        <f>SUM(OSRRefH16x_0)</f>
        <v>1050.3500000000004</v>
      </c>
      <c r="I17" s="4"/>
      <c r="J17" s="13">
        <f t="shared" ref="J17:J22" si="8">IF(H$12=0,0,H17/H$12)</f>
        <v>0.32678935332825176</v>
      </c>
      <c r="K17" s="4"/>
      <c r="L17" s="4">
        <f t="shared" ref="L17:L22" si="9">+D17-H17</f>
        <v>-1050.3500000000004</v>
      </c>
      <c r="M17" s="4"/>
      <c r="N17" s="13">
        <f t="shared" ref="N17:N22" si="10">IF(H17=0,0,L17/H17)</f>
        <v>-1</v>
      </c>
      <c r="O17" s="11"/>
      <c r="P17" s="4">
        <f>SUM(OSRRefP16x_0)</f>
        <v>0</v>
      </c>
      <c r="Q17" s="4"/>
      <c r="R17" s="13">
        <f t="shared" ref="R17:R22" si="11">IF(P$12=0,0,P17/P$12)</f>
        <v>0</v>
      </c>
      <c r="S17" s="4"/>
      <c r="T17" s="4">
        <f>SUM(OSRRefT16x_0)</f>
        <v>9471.41</v>
      </c>
      <c r="U17" s="4"/>
      <c r="V17" s="13">
        <f t="shared" ref="V17:V22" si="12">IF(T$12=0,0,T17/T$12)</f>
        <v>0.43784295288734548</v>
      </c>
      <c r="W17" s="4"/>
      <c r="X17" s="4">
        <f t="shared" ref="X17:X22" si="13">+P17-T17</f>
        <v>-9471.41</v>
      </c>
      <c r="Y17" s="4"/>
      <c r="Z17" s="13">
        <f t="shared" ref="Z17:Z22" si="14">IF(T17=0,0,X17/T17)</f>
        <v>-1</v>
      </c>
    </row>
    <row r="18" spans="1:26" s="23" customFormat="1" hidden="1" outlineLevel="1" x14ac:dyDescent="0.25">
      <c r="A18" s="44"/>
      <c r="B18" s="10" t="str">
        <f>CONCATENATE("          ", "5092", " - ", "PURCHASES @ COST-GRAD MERCH")</f>
        <v xml:space="preserve">          5092 - PURCHASES @ COST-GRAD MERCH</v>
      </c>
      <c r="C18" s="10"/>
      <c r="D18" s="2"/>
      <c r="E18" s="2"/>
      <c r="F18" s="19">
        <f t="shared" si="7"/>
        <v>0</v>
      </c>
      <c r="G18" s="2"/>
      <c r="H18" s="2">
        <v>5539.35</v>
      </c>
      <c r="I18" s="2"/>
      <c r="J18" s="19">
        <f t="shared" si="8"/>
        <v>1.7234261002131201</v>
      </c>
      <c r="K18" s="2"/>
      <c r="L18" s="2">
        <f t="shared" si="9"/>
        <v>-5539.35</v>
      </c>
      <c r="M18" s="2"/>
      <c r="N18" s="19">
        <f t="shared" si="10"/>
        <v>-1</v>
      </c>
      <c r="O18" s="10"/>
      <c r="P18" s="2">
        <v>0</v>
      </c>
      <c r="Q18" s="2"/>
      <c r="R18" s="19">
        <f t="shared" si="11"/>
        <v>0</v>
      </c>
      <c r="S18" s="2"/>
      <c r="T18" s="2">
        <v>8545.83</v>
      </c>
      <c r="U18" s="2"/>
      <c r="V18" s="19">
        <f t="shared" si="12"/>
        <v>0.39505537634557725</v>
      </c>
      <c r="W18" s="2"/>
      <c r="X18" s="2">
        <f t="shared" si="13"/>
        <v>-8545.83</v>
      </c>
      <c r="Y18" s="2"/>
      <c r="Z18" s="19">
        <f t="shared" si="14"/>
        <v>-1</v>
      </c>
    </row>
    <row r="19" spans="1:26" s="23" customFormat="1" hidden="1" outlineLevel="1" x14ac:dyDescent="0.25">
      <c r="A19" s="44"/>
      <c r="B19" s="10" t="str">
        <f>CONCATENATE("          ", "5095", " - ", "PURCHASES @ COST-CUSTOMER SERV")</f>
        <v xml:space="preserve">          5095 - PURCHASES @ COST-CUSTOMER SERV</v>
      </c>
      <c r="C19" s="10"/>
      <c r="D19" s="2"/>
      <c r="E19" s="2"/>
      <c r="F19" s="19">
        <f t="shared" si="7"/>
        <v>0</v>
      </c>
      <c r="G19" s="2"/>
      <c r="H19" s="2"/>
      <c r="I19" s="2"/>
      <c r="J19" s="19">
        <f t="shared" si="8"/>
        <v>0</v>
      </c>
      <c r="K19" s="2"/>
      <c r="L19" s="2">
        <f t="shared" si="9"/>
        <v>0</v>
      </c>
      <c r="M19" s="2"/>
      <c r="N19" s="19">
        <f t="shared" si="10"/>
        <v>0</v>
      </c>
      <c r="O19" s="10"/>
      <c r="P19" s="2"/>
      <c r="Q19" s="2"/>
      <c r="R19" s="19">
        <f t="shared" si="11"/>
        <v>0</v>
      </c>
      <c r="S19" s="2"/>
      <c r="T19" s="2">
        <v>11.85</v>
      </c>
      <c r="U19" s="2"/>
      <c r="V19" s="19">
        <f t="shared" si="12"/>
        <v>5.4780006268496917E-4</v>
      </c>
      <c r="W19" s="2"/>
      <c r="X19" s="2">
        <f t="shared" si="13"/>
        <v>-11.85</v>
      </c>
      <c r="Y19" s="2"/>
      <c r="Z19" s="19">
        <f t="shared" si="14"/>
        <v>-1</v>
      </c>
    </row>
    <row r="20" spans="1:26" s="23" customFormat="1" hidden="1" outlineLevel="1" x14ac:dyDescent="0.25">
      <c r="A20" s="44"/>
      <c r="B20" s="10" t="str">
        <f>CONCATENATE("          ", "5200", " - ", "PURCHASES OFFSET")</f>
        <v xml:space="preserve">          5200 - PURCHASES OFFSET</v>
      </c>
      <c r="C20" s="10"/>
      <c r="D20" s="2"/>
      <c r="E20" s="2"/>
      <c r="F20" s="19">
        <f t="shared" si="7"/>
        <v>0</v>
      </c>
      <c r="G20" s="2"/>
      <c r="H20" s="2">
        <v>-5539</v>
      </c>
      <c r="I20" s="2"/>
      <c r="J20" s="19">
        <f t="shared" si="8"/>
        <v>-1.7233172067265061</v>
      </c>
      <c r="K20" s="2"/>
      <c r="L20" s="2">
        <f t="shared" si="9"/>
        <v>5539</v>
      </c>
      <c r="M20" s="2"/>
      <c r="N20" s="19">
        <f t="shared" si="10"/>
        <v>-1</v>
      </c>
      <c r="O20" s="10"/>
      <c r="P20" s="2"/>
      <c r="Q20" s="2"/>
      <c r="R20" s="19">
        <f t="shared" si="11"/>
        <v>0</v>
      </c>
      <c r="S20" s="2"/>
      <c r="T20" s="2">
        <v>-8677</v>
      </c>
      <c r="U20" s="2"/>
      <c r="V20" s="19">
        <f t="shared" si="12"/>
        <v>-0.40111908387489265</v>
      </c>
      <c r="W20" s="2"/>
      <c r="X20" s="2">
        <f t="shared" si="13"/>
        <v>8677</v>
      </c>
      <c r="Y20" s="2"/>
      <c r="Z20" s="19">
        <f t="shared" si="14"/>
        <v>-1</v>
      </c>
    </row>
    <row r="21" spans="1:26" s="23" customFormat="1" hidden="1" outlineLevel="1" x14ac:dyDescent="0.25">
      <c r="A21" s="44"/>
      <c r="B21" s="10" t="str">
        <f>CONCATENATE("          ", "5300", " - ", "COG$ OFFSET")</f>
        <v xml:space="preserve">          5300 - COG$ OFFSET</v>
      </c>
      <c r="C21" s="10"/>
      <c r="D21" s="2"/>
      <c r="E21" s="2"/>
      <c r="F21" s="19">
        <f t="shared" si="7"/>
        <v>0</v>
      </c>
      <c r="G21" s="2"/>
      <c r="H21" s="2">
        <v>1050</v>
      </c>
      <c r="I21" s="2"/>
      <c r="J21" s="19">
        <f t="shared" si="8"/>
        <v>0.32668045984163774</v>
      </c>
      <c r="K21" s="2"/>
      <c r="L21" s="2">
        <f t="shared" si="9"/>
        <v>-1050</v>
      </c>
      <c r="M21" s="2"/>
      <c r="N21" s="19">
        <f t="shared" si="10"/>
        <v>-1</v>
      </c>
      <c r="O21" s="10"/>
      <c r="P21" s="2"/>
      <c r="Q21" s="2"/>
      <c r="R21" s="19">
        <f t="shared" si="11"/>
        <v>0</v>
      </c>
      <c r="S21" s="2"/>
      <c r="T21" s="2">
        <v>9472</v>
      </c>
      <c r="U21" s="2"/>
      <c r="V21" s="19">
        <f t="shared" si="12"/>
        <v>0.43787022732084629</v>
      </c>
      <c r="W21" s="2"/>
      <c r="X21" s="2">
        <f t="shared" si="13"/>
        <v>-9472</v>
      </c>
      <c r="Y21" s="2"/>
      <c r="Z21" s="19">
        <f t="shared" si="14"/>
        <v>-1</v>
      </c>
    </row>
    <row r="22" spans="1:26" s="23" customFormat="1" hidden="1" outlineLevel="1" x14ac:dyDescent="0.25">
      <c r="A22" s="44"/>
      <c r="B22" s="10" t="str">
        <f>CONCATENATE("          ", "5592", " - ", "FREIGHT-IN-GRAD MERCH")</f>
        <v xml:space="preserve">          5592 - FREIGHT-IN-GRAD MERCH</v>
      </c>
      <c r="C22" s="10"/>
      <c r="D22" s="2"/>
      <c r="E22" s="2"/>
      <c r="F22" s="19">
        <f t="shared" si="7"/>
        <v>0</v>
      </c>
      <c r="G22" s="2"/>
      <c r="H22" s="2"/>
      <c r="I22" s="2"/>
      <c r="J22" s="19">
        <f t="shared" si="8"/>
        <v>0</v>
      </c>
      <c r="K22" s="2"/>
      <c r="L22" s="2">
        <f t="shared" si="9"/>
        <v>0</v>
      </c>
      <c r="M22" s="2"/>
      <c r="N22" s="19">
        <f t="shared" si="10"/>
        <v>0</v>
      </c>
      <c r="O22" s="10"/>
      <c r="P22" s="2">
        <v>0</v>
      </c>
      <c r="Q22" s="2"/>
      <c r="R22" s="19">
        <f t="shared" si="11"/>
        <v>0</v>
      </c>
      <c r="S22" s="2"/>
      <c r="T22" s="2">
        <v>118.73</v>
      </c>
      <c r="U22" s="2"/>
      <c r="V22" s="19">
        <f t="shared" si="12"/>
        <v>5.4886330331296541E-3</v>
      </c>
      <c r="W22" s="2"/>
      <c r="X22" s="2">
        <f t="shared" si="13"/>
        <v>-118.73</v>
      </c>
      <c r="Y22" s="2"/>
      <c r="Z22" s="19">
        <f t="shared" si="14"/>
        <v>-1</v>
      </c>
    </row>
    <row r="23" spans="1:26" x14ac:dyDescent="0.25">
      <c r="A23" s="9"/>
      <c r="B23" s="11"/>
      <c r="C23" s="11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1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x14ac:dyDescent="0.25">
      <c r="A24" s="11"/>
      <c r="B24" s="29" t="s">
        <v>107</v>
      </c>
      <c r="C24" s="29"/>
      <c r="D24" s="20">
        <f>D12-D17</f>
        <v>0</v>
      </c>
      <c r="E24" s="14"/>
      <c r="F24" s="22">
        <f>IF(D$12=0,0,D24/D$12)</f>
        <v>0</v>
      </c>
      <c r="G24" s="14"/>
      <c r="H24" s="20">
        <f>H12-H17</f>
        <v>2163.7999999999997</v>
      </c>
      <c r="I24" s="14"/>
      <c r="J24" s="22">
        <f>IF(H$12=0,0,H24/H$12)</f>
        <v>0.67321064667174824</v>
      </c>
      <c r="K24" s="16"/>
      <c r="L24" s="20">
        <f>+D24-H24</f>
        <v>-2163.7999999999997</v>
      </c>
      <c r="M24" s="16"/>
      <c r="N24" s="22">
        <f>IF(H24=0,0,L24/H24)</f>
        <v>-1</v>
      </c>
      <c r="O24" s="28"/>
      <c r="P24" s="20">
        <f>P12-P17</f>
        <v>0</v>
      </c>
      <c r="Q24" s="14"/>
      <c r="R24" s="22">
        <f>IF(P$12=0,0,P24/P$12)</f>
        <v>0</v>
      </c>
      <c r="S24" s="14"/>
      <c r="T24" s="20">
        <f>T12-T17</f>
        <v>12160.57</v>
      </c>
      <c r="U24" s="14"/>
      <c r="V24" s="22">
        <f>IF(T$12=0,0,T24/T$12)</f>
        <v>0.56215704711265446</v>
      </c>
      <c r="W24" s="16"/>
      <c r="X24" s="20">
        <f>+P24-T24</f>
        <v>-12160.57</v>
      </c>
      <c r="Y24" s="16"/>
      <c r="Z24" s="22">
        <f>IF(T24=0,0,X24/T24)</f>
        <v>-1</v>
      </c>
    </row>
    <row r="25" spans="1:26" x14ac:dyDescent="0.25">
      <c r="A25" s="9"/>
      <c r="B25" s="11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4" customFormat="1" x14ac:dyDescent="0.25">
      <c r="A26" s="11"/>
      <c r="B26" s="28" t="s">
        <v>294</v>
      </c>
      <c r="C26" s="11"/>
      <c r="D26" s="21">
        <f>SUM(OSRRefD22x_0)</f>
        <v>0</v>
      </c>
      <c r="E26" s="21"/>
      <c r="F26" s="31">
        <f t="shared" ref="F26:F34" si="15">IF(D$12=0,0,D26/D$12)</f>
        <v>0</v>
      </c>
      <c r="G26" s="21"/>
      <c r="H26" s="21">
        <f>SUM(OSRRefH22x_0)</f>
        <v>1685.38</v>
      </c>
      <c r="I26" s="21"/>
      <c r="J26" s="31">
        <f t="shared" ref="J26:J34" si="16">IF(H$12=0,0,H26/H$12)</f>
        <v>0.52436258419799953</v>
      </c>
      <c r="K26" s="4"/>
      <c r="L26" s="21">
        <f t="shared" ref="L26:L34" si="17">+D26-H26</f>
        <v>-1685.38</v>
      </c>
      <c r="M26" s="4"/>
      <c r="N26" s="31">
        <f t="shared" ref="N26:N34" si="18">IF(H26=0,0,L26/H26)</f>
        <v>-1</v>
      </c>
      <c r="O26" s="11"/>
      <c r="P26" s="21">
        <f>SUM(OSRRefP22x_0)</f>
        <v>0</v>
      </c>
      <c r="Q26" s="21"/>
      <c r="R26" s="31">
        <f t="shared" ref="R26:R34" si="19">IF(P$12=0,0,P26/P$12)</f>
        <v>0</v>
      </c>
      <c r="S26" s="21"/>
      <c r="T26" s="21">
        <f>SUM(OSRRefT22x_0)</f>
        <v>924.64000000000158</v>
      </c>
      <c r="U26" s="21"/>
      <c r="V26" s="31">
        <f t="shared" ref="V26:V34" si="20">IF(T$12=0,0,T26/T$12)</f>
        <v>4.2744122359580659E-2</v>
      </c>
      <c r="W26" s="4"/>
      <c r="X26" s="21">
        <f t="shared" ref="X26:X34" si="21">+P26-T26</f>
        <v>-924.64000000000158</v>
      </c>
      <c r="Y26" s="4"/>
      <c r="Z26" s="31">
        <f t="shared" ref="Z26:Z34" si="22">IF(T26=0,0,X26/T26)</f>
        <v>-1</v>
      </c>
    </row>
    <row r="27" spans="1:26" s="26" customFormat="1" outlineLevel="1" collapsed="1" x14ac:dyDescent="0.25">
      <c r="A27" s="25"/>
      <c r="B27" s="12" t="str">
        <f>CONCATENATE("     ","*Benefits                                         ")</f>
        <v xml:space="preserve">     *Benefits                                         </v>
      </c>
      <c r="C27" s="12"/>
      <c r="D27" s="1">
        <f>SUM(OSRRefD22_0x_0)</f>
        <v>0</v>
      </c>
      <c r="E27" s="1"/>
      <c r="F27" s="5">
        <f t="shared" si="15"/>
        <v>0</v>
      </c>
      <c r="G27" s="1"/>
      <c r="H27" s="1">
        <f>SUM(OSRRefH22_0x_0)</f>
        <v>0</v>
      </c>
      <c r="I27" s="1"/>
      <c r="J27" s="5">
        <f t="shared" si="16"/>
        <v>0</v>
      </c>
      <c r="K27" s="1"/>
      <c r="L27" s="1">
        <f t="shared" si="17"/>
        <v>0</v>
      </c>
      <c r="M27" s="1"/>
      <c r="N27" s="5">
        <f t="shared" si="18"/>
        <v>0</v>
      </c>
      <c r="O27" s="12"/>
      <c r="P27" s="1">
        <f>SUM(OSRRefP22_0x_0)</f>
        <v>0</v>
      </c>
      <c r="Q27" s="1"/>
      <c r="R27" s="5">
        <f t="shared" si="19"/>
        <v>0</v>
      </c>
      <c r="S27" s="1"/>
      <c r="T27" s="1">
        <f>SUM(OSRRefT22_0x_0)</f>
        <v>874.44</v>
      </c>
      <c r="U27" s="1"/>
      <c r="V27" s="5">
        <f t="shared" si="20"/>
        <v>4.0423484119345529E-2</v>
      </c>
      <c r="W27" s="1"/>
      <c r="X27" s="1">
        <f t="shared" si="21"/>
        <v>-874.44</v>
      </c>
      <c r="Y27" s="1"/>
      <c r="Z27" s="5">
        <f t="shared" si="22"/>
        <v>-1</v>
      </c>
    </row>
    <row r="28" spans="1:26" s="23" customFormat="1" hidden="1" outlineLevel="2" x14ac:dyDescent="0.25">
      <c r="A28" s="27"/>
      <c r="B28" s="10" t="str">
        <f>CONCATENATE("          ", "6111", " - ", "F.I.C.A.")</f>
        <v xml:space="preserve">          6111 - F.I.C.A.</v>
      </c>
      <c r="C28" s="10"/>
      <c r="D28" s="6"/>
      <c r="E28" s="2"/>
      <c r="F28" s="7">
        <f t="shared" si="15"/>
        <v>0</v>
      </c>
      <c r="G28" s="2"/>
      <c r="H28" s="6"/>
      <c r="I28" s="2"/>
      <c r="J28" s="7">
        <f t="shared" si="16"/>
        <v>0</v>
      </c>
      <c r="K28" s="2"/>
      <c r="L28" s="6">
        <f t="shared" si="17"/>
        <v>0</v>
      </c>
      <c r="M28" s="2"/>
      <c r="N28" s="7">
        <f t="shared" si="18"/>
        <v>0</v>
      </c>
      <c r="O28" s="10"/>
      <c r="P28" s="6"/>
      <c r="Q28" s="2"/>
      <c r="R28" s="7">
        <f t="shared" si="19"/>
        <v>0</v>
      </c>
      <c r="S28" s="2"/>
      <c r="T28" s="6">
        <v>208.81</v>
      </c>
      <c r="U28" s="2"/>
      <c r="V28" s="7">
        <f t="shared" si="20"/>
        <v>9.6528380666032424E-3</v>
      </c>
      <c r="W28" s="2"/>
      <c r="X28" s="6">
        <f t="shared" si="21"/>
        <v>-208.81</v>
      </c>
      <c r="Y28" s="2"/>
      <c r="Z28" s="7">
        <f t="shared" si="22"/>
        <v>-1</v>
      </c>
    </row>
    <row r="29" spans="1:26" s="23" customFormat="1" hidden="1" outlineLevel="2" x14ac:dyDescent="0.25">
      <c r="A29" s="27"/>
      <c r="B29" s="10" t="str">
        <f>CONCATENATE("          ", "6112", " - ", "COMPENSATION INSURANCE")</f>
        <v xml:space="preserve">          6112 - COMPENSATION INSURANCE</v>
      </c>
      <c r="C29" s="10"/>
      <c r="D29" s="6"/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0</v>
      </c>
      <c r="M29" s="2"/>
      <c r="N29" s="7">
        <f t="shared" si="18"/>
        <v>0</v>
      </c>
      <c r="O29" s="10"/>
      <c r="P29" s="6"/>
      <c r="Q29" s="2"/>
      <c r="R29" s="7">
        <f t="shared" si="19"/>
        <v>0</v>
      </c>
      <c r="S29" s="2"/>
      <c r="T29" s="6">
        <v>22.05</v>
      </c>
      <c r="U29" s="2"/>
      <c r="V29" s="7">
        <f t="shared" si="20"/>
        <v>1.019324167274563E-3</v>
      </c>
      <c r="W29" s="2"/>
      <c r="X29" s="6">
        <f t="shared" si="21"/>
        <v>-22.05</v>
      </c>
      <c r="Y29" s="2"/>
      <c r="Z29" s="7">
        <f t="shared" si="22"/>
        <v>-1</v>
      </c>
    </row>
    <row r="30" spans="1:26" s="23" customFormat="1" hidden="1" outlineLevel="2" x14ac:dyDescent="0.25">
      <c r="A30" s="27"/>
      <c r="B30" s="10" t="str">
        <f>CONCATENATE("          ", "6113", " - ", "GROUP INSURANCE")</f>
        <v xml:space="preserve">          6113 - GROUP INSURANCE</v>
      </c>
      <c r="C30" s="10"/>
      <c r="D30" s="6"/>
      <c r="E30" s="2"/>
      <c r="F30" s="7">
        <f t="shared" si="15"/>
        <v>0</v>
      </c>
      <c r="G30" s="2"/>
      <c r="H30" s="6"/>
      <c r="I30" s="2"/>
      <c r="J30" s="7">
        <f t="shared" si="16"/>
        <v>0</v>
      </c>
      <c r="K30" s="2"/>
      <c r="L30" s="6">
        <f t="shared" si="17"/>
        <v>0</v>
      </c>
      <c r="M30" s="2"/>
      <c r="N30" s="7">
        <f t="shared" si="18"/>
        <v>0</v>
      </c>
      <c r="O30" s="10"/>
      <c r="P30" s="6"/>
      <c r="Q30" s="2"/>
      <c r="R30" s="7">
        <f t="shared" si="19"/>
        <v>0</v>
      </c>
      <c r="S30" s="2"/>
      <c r="T30" s="6">
        <v>305.26</v>
      </c>
      <c r="U30" s="2"/>
      <c r="V30" s="7">
        <f t="shared" si="20"/>
        <v>1.411151452617837E-2</v>
      </c>
      <c r="W30" s="2"/>
      <c r="X30" s="6">
        <f t="shared" si="21"/>
        <v>-305.26</v>
      </c>
      <c r="Y30" s="2"/>
      <c r="Z30" s="7">
        <f t="shared" si="22"/>
        <v>-1</v>
      </c>
    </row>
    <row r="31" spans="1:26" s="23" customFormat="1" hidden="1" outlineLevel="2" x14ac:dyDescent="0.25">
      <c r="A31" s="27"/>
      <c r="B31" s="10" t="str">
        <f>CONCATENATE("          ", "6114", " - ", "STATE UNEMPLOYMENT INSURANCE")</f>
        <v xml:space="preserve">          6114 - STATE UNEMPLOYMENT INSURANCE</v>
      </c>
      <c r="C31" s="10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0"/>
      <c r="P31" s="6"/>
      <c r="Q31" s="2"/>
      <c r="R31" s="7">
        <f t="shared" si="19"/>
        <v>0</v>
      </c>
      <c r="S31" s="2"/>
      <c r="T31" s="6">
        <v>5</v>
      </c>
      <c r="U31" s="2"/>
      <c r="V31" s="7">
        <f t="shared" si="20"/>
        <v>2.3113926695568322E-4</v>
      </c>
      <c r="W31" s="2"/>
      <c r="X31" s="6">
        <f t="shared" si="21"/>
        <v>-5</v>
      </c>
      <c r="Y31" s="2"/>
      <c r="Z31" s="7">
        <f t="shared" si="22"/>
        <v>-1</v>
      </c>
    </row>
    <row r="32" spans="1:26" s="23" customFormat="1" hidden="1" outlineLevel="2" x14ac:dyDescent="0.25">
      <c r="A32" s="27"/>
      <c r="B32" s="10" t="str">
        <f>CONCATENATE("          ", "6115", " - ", "P.E.R.S.")</f>
        <v xml:space="preserve">          6115 - P.E.R.S.</v>
      </c>
      <c r="C32" s="10"/>
      <c r="D32" s="6"/>
      <c r="E32" s="2"/>
      <c r="F32" s="7">
        <f t="shared" si="15"/>
        <v>0</v>
      </c>
      <c r="G32" s="2"/>
      <c r="H32" s="6"/>
      <c r="I32" s="2"/>
      <c r="J32" s="7">
        <f t="shared" si="16"/>
        <v>0</v>
      </c>
      <c r="K32" s="2"/>
      <c r="L32" s="6">
        <f t="shared" si="17"/>
        <v>0</v>
      </c>
      <c r="M32" s="2"/>
      <c r="N32" s="7">
        <f t="shared" si="18"/>
        <v>0</v>
      </c>
      <c r="O32" s="10"/>
      <c r="P32" s="6"/>
      <c r="Q32" s="2"/>
      <c r="R32" s="7">
        <f t="shared" si="19"/>
        <v>0</v>
      </c>
      <c r="S32" s="2"/>
      <c r="T32" s="6">
        <v>134.12</v>
      </c>
      <c r="U32" s="2"/>
      <c r="V32" s="7">
        <f t="shared" si="20"/>
        <v>6.2000796968192462E-3</v>
      </c>
      <c r="W32" s="2"/>
      <c r="X32" s="6">
        <f t="shared" si="21"/>
        <v>-134.12</v>
      </c>
      <c r="Y32" s="2"/>
      <c r="Z32" s="7">
        <f t="shared" si="22"/>
        <v>-1</v>
      </c>
    </row>
    <row r="33" spans="1:26" s="23" customFormat="1" hidden="1" outlineLevel="2" x14ac:dyDescent="0.25">
      <c r="A33" s="27"/>
      <c r="B33" s="10" t="str">
        <f>CONCATENATE("          ", "6118", " - ", "VACATION")</f>
        <v xml:space="preserve">          6118 - VACATION</v>
      </c>
      <c r="C33" s="10"/>
      <c r="D33" s="6"/>
      <c r="E33" s="2"/>
      <c r="F33" s="7">
        <f t="shared" si="15"/>
        <v>0</v>
      </c>
      <c r="G33" s="2"/>
      <c r="H33" s="6"/>
      <c r="I33" s="2"/>
      <c r="J33" s="7">
        <f t="shared" si="16"/>
        <v>0</v>
      </c>
      <c r="K33" s="2"/>
      <c r="L33" s="6">
        <f t="shared" si="17"/>
        <v>0</v>
      </c>
      <c r="M33" s="2"/>
      <c r="N33" s="7">
        <f t="shared" si="18"/>
        <v>0</v>
      </c>
      <c r="O33" s="10"/>
      <c r="P33" s="6"/>
      <c r="Q33" s="2"/>
      <c r="R33" s="7">
        <f t="shared" si="19"/>
        <v>0</v>
      </c>
      <c r="S33" s="2"/>
      <c r="T33" s="6">
        <v>110.64</v>
      </c>
      <c r="U33" s="2"/>
      <c r="V33" s="7">
        <f t="shared" si="20"/>
        <v>5.1146496991953585E-3</v>
      </c>
      <c r="W33" s="2"/>
      <c r="X33" s="6">
        <f t="shared" si="21"/>
        <v>-110.64</v>
      </c>
      <c r="Y33" s="2"/>
      <c r="Z33" s="7">
        <f t="shared" si="22"/>
        <v>-1</v>
      </c>
    </row>
    <row r="34" spans="1:26" s="23" customFormat="1" hidden="1" outlineLevel="2" x14ac:dyDescent="0.25">
      <c r="A34" s="27"/>
      <c r="B34" s="10" t="str">
        <f>CONCATENATE("          ", "6119", " - ", "SICK LEAVE")</f>
        <v xml:space="preserve">          6119 - SICK LEAVE</v>
      </c>
      <c r="C34" s="10"/>
      <c r="D34" s="6"/>
      <c r="E34" s="2"/>
      <c r="F34" s="7">
        <f t="shared" si="15"/>
        <v>0</v>
      </c>
      <c r="G34" s="2"/>
      <c r="H34" s="6"/>
      <c r="I34" s="2"/>
      <c r="J34" s="7">
        <f t="shared" si="16"/>
        <v>0</v>
      </c>
      <c r="K34" s="2"/>
      <c r="L34" s="6">
        <f t="shared" si="17"/>
        <v>0</v>
      </c>
      <c r="M34" s="2"/>
      <c r="N34" s="7">
        <f t="shared" si="18"/>
        <v>0</v>
      </c>
      <c r="O34" s="10"/>
      <c r="P34" s="6"/>
      <c r="Q34" s="2"/>
      <c r="R34" s="7">
        <f t="shared" si="19"/>
        <v>0</v>
      </c>
      <c r="S34" s="2"/>
      <c r="T34" s="6">
        <v>88.56</v>
      </c>
      <c r="U34" s="2"/>
      <c r="V34" s="7">
        <f t="shared" si="20"/>
        <v>4.0939386963190615E-3</v>
      </c>
      <c r="W34" s="2"/>
      <c r="X34" s="6">
        <f t="shared" si="21"/>
        <v>-88.56</v>
      </c>
      <c r="Y34" s="2"/>
      <c r="Z34" s="7">
        <f t="shared" si="22"/>
        <v>-1</v>
      </c>
    </row>
    <row r="35" spans="1:26" s="26" customFormat="1" outlineLevel="1" collapsed="1" x14ac:dyDescent="0.25">
      <c r="A35" s="25"/>
      <c r="B35" s="12" t="str">
        <f>CONCATENATE("     ","*Payroll                                          ")</f>
        <v xml:space="preserve">     *Payroll                                          </v>
      </c>
      <c r="C35" s="12"/>
      <c r="D35" s="1">
        <f>SUM(OSRRefD22_1x_0)</f>
        <v>0</v>
      </c>
      <c r="E35" s="1"/>
      <c r="F35" s="5">
        <f t="shared" ref="F35:F40" si="23">IF(D$12=0,0,D35/D$12)</f>
        <v>0</v>
      </c>
      <c r="G35" s="1"/>
      <c r="H35" s="1">
        <f>SUM(OSRRefH22_1x_0)</f>
        <v>0</v>
      </c>
      <c r="I35" s="1"/>
      <c r="J35" s="5">
        <f t="shared" ref="J35:J40" si="24">IF(H$12=0,0,H35/H$12)</f>
        <v>0</v>
      </c>
      <c r="K35" s="1"/>
      <c r="L35" s="1">
        <f t="shared" ref="L35:L40" si="25">+D35-H35</f>
        <v>0</v>
      </c>
      <c r="M35" s="1"/>
      <c r="N35" s="5">
        <f t="shared" ref="N35:N40" si="26">IF(H35=0,0,L35/H35)</f>
        <v>0</v>
      </c>
      <c r="O35" s="12"/>
      <c r="P35" s="1">
        <f>SUM(OSRRefP22_1x_0)</f>
        <v>0</v>
      </c>
      <c r="Q35" s="1"/>
      <c r="R35" s="5">
        <f t="shared" ref="R35:R40" si="27">IF(P$12=0,0,P35/P$12)</f>
        <v>0</v>
      </c>
      <c r="S35" s="1"/>
      <c r="T35" s="1">
        <f>SUM(OSRRefT22_1x_0)</f>
        <v>6103</v>
      </c>
      <c r="U35" s="1"/>
      <c r="V35" s="5">
        <f t="shared" ref="V35:V40" si="28">IF(T$12=0,0,T35/T$12)</f>
        <v>0.28212858924610695</v>
      </c>
      <c r="W35" s="1"/>
      <c r="X35" s="1">
        <f t="shared" ref="X35:X40" si="29">+P35-T35</f>
        <v>-6103</v>
      </c>
      <c r="Y35" s="1"/>
      <c r="Z35" s="5">
        <f t="shared" ref="Z35:Z40" si="30">IF(T35=0,0,X35/T35)</f>
        <v>-1</v>
      </c>
    </row>
    <row r="36" spans="1:26" s="23" customFormat="1" hidden="1" outlineLevel="2" x14ac:dyDescent="0.25">
      <c r="A36" s="27"/>
      <c r="B36" s="10" t="str">
        <f>CONCATENATE("          ", "6002", " - ", "STAFF SALARIES")</f>
        <v xml:space="preserve">          6002 - STAFF SALARIES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1872</v>
      </c>
      <c r="U36" s="2"/>
      <c r="V36" s="7">
        <f t="shared" si="28"/>
        <v>8.6538541548207795E-2</v>
      </c>
      <c r="W36" s="2"/>
      <c r="X36" s="6">
        <f t="shared" si="29"/>
        <v>-1872</v>
      </c>
      <c r="Y36" s="2"/>
      <c r="Z36" s="7">
        <f t="shared" si="30"/>
        <v>-1</v>
      </c>
    </row>
    <row r="37" spans="1:26" s="23" customFormat="1" hidden="1" outlineLevel="2" x14ac:dyDescent="0.25">
      <c r="A37" s="27"/>
      <c r="B37" s="10" t="str">
        <f>CONCATENATE("          ", "6004", " - ", "STAFF HOURLY")</f>
        <v xml:space="preserve">          6004 - STAFF HOURLY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491.67</v>
      </c>
      <c r="U37" s="2"/>
      <c r="V37" s="7">
        <f t="shared" si="28"/>
        <v>2.2728848676820155E-2</v>
      </c>
      <c r="W37" s="2"/>
      <c r="X37" s="6">
        <f t="shared" si="29"/>
        <v>-491.67</v>
      </c>
      <c r="Y37" s="2"/>
      <c r="Z37" s="7">
        <f t="shared" si="30"/>
        <v>-1</v>
      </c>
    </row>
    <row r="38" spans="1:26" s="23" customFormat="1" hidden="1" outlineLevel="2" x14ac:dyDescent="0.25">
      <c r="A38" s="27"/>
      <c r="B38" s="10" t="str">
        <f>CONCATENATE("          ", "6005", " - ", "TEMPORARY WAGES-HOURLY")</f>
        <v xml:space="preserve">          6005 - TEMPORARY WAGES-HOURLY</v>
      </c>
      <c r="C38" s="10"/>
      <c r="D38" s="6"/>
      <c r="E38" s="2"/>
      <c r="F38" s="7">
        <f t="shared" si="23"/>
        <v>0</v>
      </c>
      <c r="G38" s="2"/>
      <c r="H38" s="6"/>
      <c r="I38" s="2"/>
      <c r="J38" s="7">
        <f t="shared" si="24"/>
        <v>0</v>
      </c>
      <c r="K38" s="2"/>
      <c r="L38" s="6">
        <f t="shared" si="25"/>
        <v>0</v>
      </c>
      <c r="M38" s="2"/>
      <c r="N38" s="7">
        <f t="shared" si="26"/>
        <v>0</v>
      </c>
      <c r="O38" s="10"/>
      <c r="P38" s="6"/>
      <c r="Q38" s="2"/>
      <c r="R38" s="7">
        <f t="shared" si="27"/>
        <v>0</v>
      </c>
      <c r="S38" s="2"/>
      <c r="T38" s="6">
        <v>140.61000000000001</v>
      </c>
      <c r="U38" s="2"/>
      <c r="V38" s="7">
        <f t="shared" si="28"/>
        <v>6.5000984653277236E-3</v>
      </c>
      <c r="W38" s="2"/>
      <c r="X38" s="6">
        <f t="shared" si="29"/>
        <v>-140.61000000000001</v>
      </c>
      <c r="Y38" s="2"/>
      <c r="Z38" s="7">
        <f t="shared" si="30"/>
        <v>-1</v>
      </c>
    </row>
    <row r="39" spans="1:26" s="23" customFormat="1" hidden="1" outlineLevel="2" x14ac:dyDescent="0.25">
      <c r="A39" s="27"/>
      <c r="B39" s="10" t="str">
        <f>CONCATENATE("          ", "6006", " - ", "TEMPORARY PART TIME")</f>
        <v xml:space="preserve">          6006 - TEMPORARY PART TIME</v>
      </c>
      <c r="C39" s="10"/>
      <c r="D39" s="6"/>
      <c r="E39" s="2"/>
      <c r="F39" s="7">
        <f t="shared" si="23"/>
        <v>0</v>
      </c>
      <c r="G39" s="2"/>
      <c r="H39" s="6"/>
      <c r="I39" s="2"/>
      <c r="J39" s="7">
        <f t="shared" si="24"/>
        <v>0</v>
      </c>
      <c r="K39" s="2"/>
      <c r="L39" s="6">
        <f t="shared" si="25"/>
        <v>0</v>
      </c>
      <c r="M39" s="2"/>
      <c r="N39" s="7">
        <f t="shared" si="26"/>
        <v>0</v>
      </c>
      <c r="O39" s="10"/>
      <c r="P39" s="6"/>
      <c r="Q39" s="2"/>
      <c r="R39" s="7">
        <f t="shared" si="27"/>
        <v>0</v>
      </c>
      <c r="S39" s="2"/>
      <c r="T39" s="6">
        <v>120.35</v>
      </c>
      <c r="U39" s="2"/>
      <c r="V39" s="7">
        <f t="shared" si="28"/>
        <v>5.5635221556232942E-3</v>
      </c>
      <c r="W39" s="2"/>
      <c r="X39" s="6">
        <f t="shared" si="29"/>
        <v>-120.35</v>
      </c>
      <c r="Y39" s="2"/>
      <c r="Z39" s="7">
        <f t="shared" si="30"/>
        <v>-1</v>
      </c>
    </row>
    <row r="40" spans="1:26" s="23" customFormat="1" hidden="1" outlineLevel="2" x14ac:dyDescent="0.25">
      <c r="A40" s="27"/>
      <c r="B40" s="10" t="str">
        <f>CONCATENATE("          ", "6007", " - ", "STUDENT HOURLY")</f>
        <v xml:space="preserve">          6007 - STUDENT HOURLY</v>
      </c>
      <c r="C40" s="10"/>
      <c r="D40" s="6"/>
      <c r="E40" s="2"/>
      <c r="F40" s="7">
        <f t="shared" si="23"/>
        <v>0</v>
      </c>
      <c r="G40" s="2"/>
      <c r="H40" s="6"/>
      <c r="I40" s="2"/>
      <c r="J40" s="7">
        <f t="shared" si="24"/>
        <v>0</v>
      </c>
      <c r="K40" s="2"/>
      <c r="L40" s="6">
        <f t="shared" si="25"/>
        <v>0</v>
      </c>
      <c r="M40" s="2"/>
      <c r="N40" s="7">
        <f t="shared" si="26"/>
        <v>0</v>
      </c>
      <c r="O40" s="10"/>
      <c r="P40" s="6"/>
      <c r="Q40" s="2"/>
      <c r="R40" s="7">
        <f t="shared" si="27"/>
        <v>0</v>
      </c>
      <c r="S40" s="2"/>
      <c r="T40" s="6">
        <v>3478.37</v>
      </c>
      <c r="U40" s="2"/>
      <c r="V40" s="7">
        <f t="shared" si="28"/>
        <v>0.16079757840012796</v>
      </c>
      <c r="W40" s="2"/>
      <c r="X40" s="6">
        <f t="shared" si="29"/>
        <v>-3478.37</v>
      </c>
      <c r="Y40" s="2"/>
      <c r="Z40" s="7">
        <f t="shared" si="30"/>
        <v>-1</v>
      </c>
    </row>
    <row r="41" spans="1:26" s="26" customFormat="1" outlineLevel="1" collapsed="1" x14ac:dyDescent="0.25">
      <c r="A41" s="25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47" si="31">IF(D$12=0,0,D41/D$12)</f>
        <v>0</v>
      </c>
      <c r="G41" s="1"/>
      <c r="H41" s="1">
        <f>SUM(OSRRefH22_2x_0)</f>
        <v>0</v>
      </c>
      <c r="I41" s="1"/>
      <c r="J41" s="5">
        <f t="shared" ref="J41:J47" si="32">IF(H$12=0,0,H41/H$12)</f>
        <v>0</v>
      </c>
      <c r="K41" s="1"/>
      <c r="L41" s="1">
        <f t="shared" ref="L41:L47" si="33">+D41-H41</f>
        <v>0</v>
      </c>
      <c r="M41" s="1"/>
      <c r="N41" s="5">
        <f t="shared" ref="N41:N47" si="34">IF(H41=0,0,L41/H41)</f>
        <v>0</v>
      </c>
      <c r="O41" s="12"/>
      <c r="P41" s="1">
        <f>SUM(OSRRefP22_2x_0)</f>
        <v>0</v>
      </c>
      <c r="Q41" s="1"/>
      <c r="R41" s="5">
        <f t="shared" ref="R41:R47" si="35">IF(P$12=0,0,P41/P$12)</f>
        <v>0</v>
      </c>
      <c r="S41" s="1"/>
      <c r="T41" s="1">
        <f>SUM(OSRRefT22_2x_0)</f>
        <v>1164.77</v>
      </c>
      <c r="U41" s="1"/>
      <c r="V41" s="5">
        <f t="shared" ref="V41:V47" si="36">IF(T$12=0,0,T41/T$12)</f>
        <v>5.3844816794394228E-2</v>
      </c>
      <c r="W41" s="1"/>
      <c r="X41" s="1">
        <f t="shared" ref="X41:X47" si="37">+P41-T41</f>
        <v>-1164.77</v>
      </c>
      <c r="Y41" s="1"/>
      <c r="Z41" s="5">
        <f t="shared" ref="Z41:Z47" si="38">IF(T41=0,0,X41/T41)</f>
        <v>-1</v>
      </c>
    </row>
    <row r="42" spans="1:26" s="23" customFormat="1" hidden="1" outlineLevel="2" x14ac:dyDescent="0.25">
      <c r="A42" s="27"/>
      <c r="B42" s="10" t="str">
        <f>CONCATENATE("          ", "6362", " - ", "ADVERTISING EXPENSE")</f>
        <v xml:space="preserve">          6362 - ADVERTISING EXPENSE</v>
      </c>
      <c r="C42" s="10"/>
      <c r="D42" s="6"/>
      <c r="E42" s="2"/>
      <c r="F42" s="7">
        <f t="shared" si="31"/>
        <v>0</v>
      </c>
      <c r="G42" s="2"/>
      <c r="H42" s="6"/>
      <c r="I42" s="2"/>
      <c r="J42" s="7">
        <f t="shared" si="32"/>
        <v>0</v>
      </c>
      <c r="K42" s="2"/>
      <c r="L42" s="6">
        <f t="shared" si="33"/>
        <v>0</v>
      </c>
      <c r="M42" s="2"/>
      <c r="N42" s="7">
        <f t="shared" si="34"/>
        <v>0</v>
      </c>
      <c r="O42" s="10"/>
      <c r="P42" s="6"/>
      <c r="Q42" s="2"/>
      <c r="R42" s="7">
        <f t="shared" si="35"/>
        <v>0</v>
      </c>
      <c r="S42" s="2"/>
      <c r="T42" s="6">
        <v>1164.77</v>
      </c>
      <c r="U42" s="2"/>
      <c r="V42" s="7">
        <f t="shared" si="36"/>
        <v>5.3844816794394228E-2</v>
      </c>
      <c r="W42" s="2"/>
      <c r="X42" s="6">
        <f t="shared" si="37"/>
        <v>-1164.77</v>
      </c>
      <c r="Y42" s="2"/>
      <c r="Z42" s="7">
        <f t="shared" si="38"/>
        <v>-1</v>
      </c>
    </row>
    <row r="43" spans="1:26" s="26" customFormat="1" outlineLevel="1" collapsed="1" x14ac:dyDescent="0.25">
      <c r="A43" s="25"/>
      <c r="B43" s="12" t="str">
        <f>CONCATENATE("     ","Discounts and Markdowns                           ")</f>
        <v xml:space="preserve">     Discounts and Markdowns                           </v>
      </c>
      <c r="C43" s="12"/>
      <c r="D43" s="1">
        <f>SUM(OSRRefD22_3x_0)</f>
        <v>0</v>
      </c>
      <c r="E43" s="1"/>
      <c r="F43" s="5">
        <f t="shared" si="31"/>
        <v>0</v>
      </c>
      <c r="G43" s="1"/>
      <c r="H43" s="1">
        <f>SUM(OSRRefH22_3x_0)</f>
        <v>154.86000000000001</v>
      </c>
      <c r="I43" s="1"/>
      <c r="J43" s="5">
        <f t="shared" si="32"/>
        <v>4.8180700962929549E-2</v>
      </c>
      <c r="K43" s="1"/>
      <c r="L43" s="1">
        <f t="shared" si="33"/>
        <v>-154.86000000000001</v>
      </c>
      <c r="M43" s="1"/>
      <c r="N43" s="5">
        <f t="shared" si="34"/>
        <v>-1</v>
      </c>
      <c r="O43" s="12"/>
      <c r="P43" s="1">
        <f>SUM(OSRRefP22_3x_0)</f>
        <v>0</v>
      </c>
      <c r="Q43" s="1"/>
      <c r="R43" s="5">
        <f t="shared" si="35"/>
        <v>0</v>
      </c>
      <c r="S43" s="1"/>
      <c r="T43" s="1">
        <f>SUM(OSRRefT22_3x_0)</f>
        <v>555.12</v>
      </c>
      <c r="U43" s="1"/>
      <c r="V43" s="5">
        <f t="shared" si="36"/>
        <v>2.5662005974487773E-2</v>
      </c>
      <c r="W43" s="1"/>
      <c r="X43" s="1">
        <f t="shared" si="37"/>
        <v>-555.12</v>
      </c>
      <c r="Y43" s="1"/>
      <c r="Z43" s="5">
        <f t="shared" si="38"/>
        <v>-1</v>
      </c>
    </row>
    <row r="44" spans="1:26" s="23" customFormat="1" hidden="1" outlineLevel="2" x14ac:dyDescent="0.25">
      <c r="A44" s="27"/>
      <c r="B44" s="10" t="str">
        <f>CONCATENATE("          ", "6382", " - ", "DISCOUNTS/MARK DOWNS")</f>
        <v xml:space="preserve">          6382 - DISCOUNTS/MARK DOWNS</v>
      </c>
      <c r="C44" s="10"/>
      <c r="D44" s="6"/>
      <c r="E44" s="2"/>
      <c r="F44" s="7">
        <f t="shared" si="31"/>
        <v>0</v>
      </c>
      <c r="G44" s="2"/>
      <c r="H44" s="6">
        <v>154.86000000000001</v>
      </c>
      <c r="I44" s="2"/>
      <c r="J44" s="7">
        <f t="shared" si="32"/>
        <v>4.8180700962929549E-2</v>
      </c>
      <c r="K44" s="2"/>
      <c r="L44" s="6">
        <f t="shared" si="33"/>
        <v>-154.86000000000001</v>
      </c>
      <c r="M44" s="2"/>
      <c r="N44" s="7">
        <f t="shared" si="34"/>
        <v>-1</v>
      </c>
      <c r="O44" s="10"/>
      <c r="P44" s="6"/>
      <c r="Q44" s="2"/>
      <c r="R44" s="7">
        <f t="shared" si="35"/>
        <v>0</v>
      </c>
      <c r="S44" s="2"/>
      <c r="T44" s="6">
        <v>555.12</v>
      </c>
      <c r="U44" s="2"/>
      <c r="V44" s="7">
        <f t="shared" si="36"/>
        <v>2.5662005974487773E-2</v>
      </c>
      <c r="W44" s="2"/>
      <c r="X44" s="6">
        <f t="shared" si="37"/>
        <v>-555.12</v>
      </c>
      <c r="Y44" s="2"/>
      <c r="Z44" s="7">
        <f t="shared" si="38"/>
        <v>-1</v>
      </c>
    </row>
    <row r="45" spans="1:26" s="26" customFormat="1" outlineLevel="1" collapsed="1" x14ac:dyDescent="0.25">
      <c r="A45" s="25"/>
      <c r="B45" s="12" t="str">
        <f>CONCATENATE("     ","Freight out/Postage                               ")</f>
        <v xml:space="preserve">     Freight out/Postage                               </v>
      </c>
      <c r="C45" s="12"/>
      <c r="D45" s="1">
        <f>SUM(OSRRefD22_4x_0)</f>
        <v>0</v>
      </c>
      <c r="E45" s="1"/>
      <c r="F45" s="5">
        <f t="shared" si="31"/>
        <v>0</v>
      </c>
      <c r="G45" s="1"/>
      <c r="H45" s="1">
        <f>SUM(OSRRefH22_4x_0)</f>
        <v>1051.3899999999999</v>
      </c>
      <c r="I45" s="1"/>
      <c r="J45" s="5">
        <f t="shared" si="32"/>
        <v>0.32711292254561852</v>
      </c>
      <c r="K45" s="1"/>
      <c r="L45" s="1">
        <f t="shared" si="33"/>
        <v>-1051.3899999999999</v>
      </c>
      <c r="M45" s="1"/>
      <c r="N45" s="5">
        <f t="shared" si="34"/>
        <v>-1</v>
      </c>
      <c r="O45" s="12"/>
      <c r="P45" s="1">
        <f>SUM(OSRRefP22_4x_0)</f>
        <v>0</v>
      </c>
      <c r="Q45" s="1"/>
      <c r="R45" s="5">
        <f t="shared" si="35"/>
        <v>0</v>
      </c>
      <c r="S45" s="1"/>
      <c r="T45" s="1">
        <f>SUM(OSRRefT22_4x_0)</f>
        <v>-17264.54</v>
      </c>
      <c r="U45" s="1"/>
      <c r="V45" s="5">
        <f t="shared" si="36"/>
        <v>-0.79810262398541421</v>
      </c>
      <c r="W45" s="1"/>
      <c r="X45" s="1">
        <f t="shared" si="37"/>
        <v>17264.54</v>
      </c>
      <c r="Y45" s="1"/>
      <c r="Z45" s="5">
        <f t="shared" si="38"/>
        <v>-1</v>
      </c>
    </row>
    <row r="46" spans="1:26" s="23" customFormat="1" hidden="1" outlineLevel="2" x14ac:dyDescent="0.25">
      <c r="A46" s="27"/>
      <c r="B46" s="10" t="str">
        <f>CONCATENATE("          ", "6305", " - ", "FREIGHT OUT")</f>
        <v xml:space="preserve">          6305 - FREIGHT OUT</v>
      </c>
      <c r="C46" s="10"/>
      <c r="D46" s="6"/>
      <c r="E46" s="2"/>
      <c r="F46" s="7">
        <f t="shared" si="31"/>
        <v>0</v>
      </c>
      <c r="G46" s="2"/>
      <c r="H46" s="6">
        <v>3027.18</v>
      </c>
      <c r="I46" s="2"/>
      <c r="J46" s="7">
        <f t="shared" si="32"/>
        <v>0.94182909945086568</v>
      </c>
      <c r="K46" s="2"/>
      <c r="L46" s="6">
        <f t="shared" si="33"/>
        <v>-3027.18</v>
      </c>
      <c r="M46" s="2"/>
      <c r="N46" s="7">
        <f t="shared" si="34"/>
        <v>-1</v>
      </c>
      <c r="O46" s="10"/>
      <c r="P46" s="6">
        <v>0</v>
      </c>
      <c r="Q46" s="2"/>
      <c r="R46" s="7">
        <f t="shared" si="35"/>
        <v>0</v>
      </c>
      <c r="S46" s="2"/>
      <c r="T46" s="6">
        <v>39411.699999999997</v>
      </c>
      <c r="U46" s="2"/>
      <c r="V46" s="7">
        <f t="shared" si="36"/>
        <v>1.82191828949546</v>
      </c>
      <c r="W46" s="2"/>
      <c r="X46" s="6">
        <f t="shared" si="37"/>
        <v>-39411.699999999997</v>
      </c>
      <c r="Y46" s="2"/>
      <c r="Z46" s="7">
        <f t="shared" si="38"/>
        <v>-1</v>
      </c>
    </row>
    <row r="47" spans="1:26" s="23" customFormat="1" hidden="1" outlineLevel="2" x14ac:dyDescent="0.25">
      <c r="A47" s="27"/>
      <c r="B47" s="10" t="str">
        <f>CONCATENATE("          ", "6307", " - ", "POSTAGE")</f>
        <v xml:space="preserve">          6307 - POSTAGE</v>
      </c>
      <c r="C47" s="10"/>
      <c r="D47" s="6"/>
      <c r="E47" s="2"/>
      <c r="F47" s="7">
        <f t="shared" si="31"/>
        <v>0</v>
      </c>
      <c r="G47" s="2"/>
      <c r="H47" s="6">
        <v>-1975.79</v>
      </c>
      <c r="I47" s="2"/>
      <c r="J47" s="7">
        <f t="shared" si="32"/>
        <v>-0.61471617690524705</v>
      </c>
      <c r="K47" s="2"/>
      <c r="L47" s="6">
        <f t="shared" si="33"/>
        <v>1975.79</v>
      </c>
      <c r="M47" s="2"/>
      <c r="N47" s="7">
        <f t="shared" si="34"/>
        <v>-1</v>
      </c>
      <c r="O47" s="10"/>
      <c r="P47" s="6">
        <v>0</v>
      </c>
      <c r="Q47" s="2"/>
      <c r="R47" s="7">
        <f t="shared" si="35"/>
        <v>0</v>
      </c>
      <c r="S47" s="2"/>
      <c r="T47" s="6">
        <v>-56676.24</v>
      </c>
      <c r="U47" s="2"/>
      <c r="V47" s="7">
        <f t="shared" si="36"/>
        <v>-2.6200209134808743</v>
      </c>
      <c r="W47" s="2"/>
      <c r="X47" s="6">
        <f t="shared" si="37"/>
        <v>56676.24</v>
      </c>
      <c r="Y47" s="2"/>
      <c r="Z47" s="7">
        <f t="shared" si="38"/>
        <v>-1</v>
      </c>
    </row>
    <row r="48" spans="1:26" s="26" customFormat="1" outlineLevel="1" collapsed="1" x14ac:dyDescent="0.25">
      <c r="A48" s="25"/>
      <c r="B48" s="12" t="str">
        <f>CONCATENATE("     ","General                                           ")</f>
        <v xml:space="preserve">     General                                           </v>
      </c>
      <c r="C48" s="12"/>
      <c r="D48" s="1">
        <f>SUM(OSRRefD22_5x_0)</f>
        <v>0</v>
      </c>
      <c r="E48" s="1"/>
      <c r="F48" s="5">
        <f t="shared" ref="F48:F54" si="39">IF(D$12=0,0,D48/D$12)</f>
        <v>0</v>
      </c>
      <c r="G48" s="1"/>
      <c r="H48" s="1">
        <f>SUM(OSRRefH22_5x_0)</f>
        <v>0</v>
      </c>
      <c r="I48" s="1"/>
      <c r="J48" s="5">
        <f t="shared" ref="J48:J54" si="40">IF(H$12=0,0,H48/H$12)</f>
        <v>0</v>
      </c>
      <c r="K48" s="1"/>
      <c r="L48" s="1">
        <f t="shared" ref="L48:L54" si="41">+D48-H48</f>
        <v>0</v>
      </c>
      <c r="M48" s="1"/>
      <c r="N48" s="5">
        <f t="shared" ref="N48:N54" si="42">IF(H48=0,0,L48/H48)</f>
        <v>0</v>
      </c>
      <c r="O48" s="12"/>
      <c r="P48" s="1">
        <f>SUM(OSRRefP22_5x_0)</f>
        <v>0</v>
      </c>
      <c r="Q48" s="1"/>
      <c r="R48" s="5">
        <f t="shared" ref="R48:R54" si="43">IF(P$12=0,0,P48/P$12)</f>
        <v>0</v>
      </c>
      <c r="S48" s="1"/>
      <c r="T48" s="1">
        <f>SUM(OSRRefT22_5x_0)</f>
        <v>80.17</v>
      </c>
      <c r="U48" s="1"/>
      <c r="V48" s="5">
        <f t="shared" ref="V48:V54" si="44">IF(T$12=0,0,T48/T$12)</f>
        <v>3.7060870063674247E-3</v>
      </c>
      <c r="W48" s="1"/>
      <c r="X48" s="1">
        <f t="shared" ref="X48:X54" si="45">+P48-T48</f>
        <v>-80.17</v>
      </c>
      <c r="Y48" s="1"/>
      <c r="Z48" s="5">
        <f t="shared" ref="Z48:Z54" si="46">IF(T48=0,0,X48/T48)</f>
        <v>-1</v>
      </c>
    </row>
    <row r="49" spans="1:26" s="23" customFormat="1" hidden="1" outlineLevel="2" x14ac:dyDescent="0.25">
      <c r="A49" s="27"/>
      <c r="B49" s="10" t="str">
        <f>CONCATENATE("          ", "6279", " - ", "GENERAL EXPENSE")</f>
        <v xml:space="preserve">          6279 - GENERAL EXPENSE</v>
      </c>
      <c r="C49" s="10"/>
      <c r="D49" s="6"/>
      <c r="E49" s="2"/>
      <c r="F49" s="7">
        <f t="shared" si="39"/>
        <v>0</v>
      </c>
      <c r="G49" s="2"/>
      <c r="H49" s="6"/>
      <c r="I49" s="2"/>
      <c r="J49" s="7">
        <f t="shared" si="40"/>
        <v>0</v>
      </c>
      <c r="K49" s="2"/>
      <c r="L49" s="6">
        <f t="shared" si="41"/>
        <v>0</v>
      </c>
      <c r="M49" s="2"/>
      <c r="N49" s="7">
        <f t="shared" si="42"/>
        <v>0</v>
      </c>
      <c r="O49" s="10"/>
      <c r="P49" s="6"/>
      <c r="Q49" s="2"/>
      <c r="R49" s="7">
        <f t="shared" si="43"/>
        <v>0</v>
      </c>
      <c r="S49" s="2"/>
      <c r="T49" s="6">
        <v>80.17</v>
      </c>
      <c r="U49" s="2"/>
      <c r="V49" s="7">
        <f t="shared" si="44"/>
        <v>3.7060870063674247E-3</v>
      </c>
      <c r="W49" s="2"/>
      <c r="X49" s="6">
        <f t="shared" si="45"/>
        <v>-80.17</v>
      </c>
      <c r="Y49" s="2"/>
      <c r="Z49" s="7">
        <f t="shared" si="46"/>
        <v>-1</v>
      </c>
    </row>
    <row r="50" spans="1:26" s="26" customFormat="1" outlineLevel="1" collapsed="1" x14ac:dyDescent="0.25">
      <c r="A50" s="25"/>
      <c r="B50" s="12" t="str">
        <f>CONCATENATE("     ","Inventory Adjustment                              ")</f>
        <v xml:space="preserve">     Inventory Adjustment                              </v>
      </c>
      <c r="C50" s="12"/>
      <c r="D50" s="1">
        <f>SUM(OSRRefD22_6x_0)</f>
        <v>0</v>
      </c>
      <c r="E50" s="1"/>
      <c r="F50" s="5">
        <f t="shared" si="39"/>
        <v>0</v>
      </c>
      <c r="G50" s="1"/>
      <c r="H50" s="1">
        <f>SUM(OSRRefH22_6x_0)</f>
        <v>100</v>
      </c>
      <c r="I50" s="1"/>
      <c r="J50" s="5">
        <f t="shared" si="40"/>
        <v>3.1112424746822642E-2</v>
      </c>
      <c r="K50" s="1"/>
      <c r="L50" s="1">
        <f t="shared" si="41"/>
        <v>-100</v>
      </c>
      <c r="M50" s="1"/>
      <c r="N50" s="5">
        <f t="shared" si="42"/>
        <v>-1</v>
      </c>
      <c r="O50" s="12"/>
      <c r="P50" s="1">
        <f>SUM(OSRRefP22_6x_0)</f>
        <v>0</v>
      </c>
      <c r="Q50" s="1"/>
      <c r="R50" s="5">
        <f t="shared" si="43"/>
        <v>0</v>
      </c>
      <c r="S50" s="1"/>
      <c r="T50" s="1">
        <f>SUM(OSRRefT22_6x_0)</f>
        <v>900</v>
      </c>
      <c r="U50" s="1"/>
      <c r="V50" s="5">
        <f t="shared" si="44"/>
        <v>4.1605068052022978E-2</v>
      </c>
      <c r="W50" s="1"/>
      <c r="X50" s="1">
        <f t="shared" si="45"/>
        <v>-900</v>
      </c>
      <c r="Y50" s="1"/>
      <c r="Z50" s="5">
        <f t="shared" si="46"/>
        <v>-1</v>
      </c>
    </row>
    <row r="51" spans="1:26" s="23" customFormat="1" hidden="1" outlineLevel="2" x14ac:dyDescent="0.25">
      <c r="A51" s="27"/>
      <c r="B51" s="10" t="str">
        <f>CONCATENATE("          ", "6408", " - ", "INVENTORY ADJUSTMENT")</f>
        <v xml:space="preserve">          6408 - INVENTORY ADJUSTMENT</v>
      </c>
      <c r="C51" s="10"/>
      <c r="D51" s="6"/>
      <c r="E51" s="2"/>
      <c r="F51" s="7">
        <f t="shared" si="39"/>
        <v>0</v>
      </c>
      <c r="G51" s="2"/>
      <c r="H51" s="6">
        <v>100</v>
      </c>
      <c r="I51" s="2"/>
      <c r="J51" s="7">
        <f t="shared" si="40"/>
        <v>3.1112424746822642E-2</v>
      </c>
      <c r="K51" s="2"/>
      <c r="L51" s="6">
        <f t="shared" si="41"/>
        <v>-100</v>
      </c>
      <c r="M51" s="2"/>
      <c r="N51" s="7">
        <f t="shared" si="42"/>
        <v>-1</v>
      </c>
      <c r="O51" s="10"/>
      <c r="P51" s="6"/>
      <c r="Q51" s="2"/>
      <c r="R51" s="7">
        <f t="shared" si="43"/>
        <v>0</v>
      </c>
      <c r="S51" s="2"/>
      <c r="T51" s="6">
        <v>900</v>
      </c>
      <c r="U51" s="2"/>
      <c r="V51" s="7">
        <f t="shared" si="44"/>
        <v>4.1605068052022978E-2</v>
      </c>
      <c r="W51" s="2"/>
      <c r="X51" s="6">
        <f t="shared" si="45"/>
        <v>-900</v>
      </c>
      <c r="Y51" s="2"/>
      <c r="Z51" s="7">
        <f t="shared" si="46"/>
        <v>-1</v>
      </c>
    </row>
    <row r="52" spans="1:26" s="26" customFormat="1" outlineLevel="1" collapsed="1" x14ac:dyDescent="0.25">
      <c r="A52" s="25"/>
      <c r="B52" s="12" t="str">
        <f>CONCATENATE("     ","Supplies                                          ")</f>
        <v xml:space="preserve">     Supplies                                          </v>
      </c>
      <c r="C52" s="12"/>
      <c r="D52" s="1">
        <f>SUM(OSRRefD22_7x_0)</f>
        <v>0</v>
      </c>
      <c r="E52" s="1"/>
      <c r="F52" s="5">
        <f t="shared" si="39"/>
        <v>0</v>
      </c>
      <c r="G52" s="1"/>
      <c r="H52" s="1">
        <f>SUM(OSRRefH22_7x_0)</f>
        <v>342.38</v>
      </c>
      <c r="I52" s="1"/>
      <c r="J52" s="5">
        <f t="shared" si="40"/>
        <v>0.10652271984817137</v>
      </c>
      <c r="K52" s="1"/>
      <c r="L52" s="1">
        <f t="shared" si="41"/>
        <v>-342.38</v>
      </c>
      <c r="M52" s="1"/>
      <c r="N52" s="5">
        <f t="shared" si="42"/>
        <v>-1</v>
      </c>
      <c r="O52" s="12"/>
      <c r="P52" s="1">
        <f>SUM(OSRRefP22_7x_0)</f>
        <v>0</v>
      </c>
      <c r="Q52" s="1"/>
      <c r="R52" s="5">
        <f t="shared" si="43"/>
        <v>0</v>
      </c>
      <c r="S52" s="1"/>
      <c r="T52" s="1">
        <f>SUM(OSRRefT22_7x_0)</f>
        <v>7933.7800000000007</v>
      </c>
      <c r="U52" s="1"/>
      <c r="V52" s="5">
        <f t="shared" si="44"/>
        <v>0.3667616186775321</v>
      </c>
      <c r="W52" s="1"/>
      <c r="X52" s="1">
        <f t="shared" si="45"/>
        <v>-7933.7800000000007</v>
      </c>
      <c r="Y52" s="1"/>
      <c r="Z52" s="5">
        <f t="shared" si="46"/>
        <v>-1</v>
      </c>
    </row>
    <row r="53" spans="1:26" s="23" customFormat="1" hidden="1" outlineLevel="2" x14ac:dyDescent="0.25">
      <c r="A53" s="27"/>
      <c r="B53" s="10" t="str">
        <f>CONCATENATE("          ", "6241", " - ", "OFFICE EXPENSE")</f>
        <v xml:space="preserve">          6241 - OFFICE EXPENSE</v>
      </c>
      <c r="C53" s="10"/>
      <c r="D53" s="6"/>
      <c r="E53" s="2"/>
      <c r="F53" s="7">
        <f t="shared" si="39"/>
        <v>0</v>
      </c>
      <c r="G53" s="2"/>
      <c r="H53" s="6"/>
      <c r="I53" s="2"/>
      <c r="J53" s="7">
        <f t="shared" si="40"/>
        <v>0</v>
      </c>
      <c r="K53" s="2"/>
      <c r="L53" s="6">
        <f t="shared" si="41"/>
        <v>0</v>
      </c>
      <c r="M53" s="2"/>
      <c r="N53" s="7">
        <f t="shared" si="42"/>
        <v>0</v>
      </c>
      <c r="O53" s="10"/>
      <c r="P53" s="6"/>
      <c r="Q53" s="2"/>
      <c r="R53" s="7">
        <f t="shared" si="43"/>
        <v>0</v>
      </c>
      <c r="S53" s="2"/>
      <c r="T53" s="6">
        <v>135.26</v>
      </c>
      <c r="U53" s="2"/>
      <c r="V53" s="7">
        <f t="shared" si="44"/>
        <v>6.2527794496851415E-3</v>
      </c>
      <c r="W53" s="2"/>
      <c r="X53" s="6">
        <f t="shared" si="45"/>
        <v>-135.26</v>
      </c>
      <c r="Y53" s="2"/>
      <c r="Z53" s="7">
        <f t="shared" si="46"/>
        <v>-1</v>
      </c>
    </row>
    <row r="54" spans="1:26" s="23" customFormat="1" hidden="1" outlineLevel="2" x14ac:dyDescent="0.25">
      <c r="A54" s="27"/>
      <c r="B54" s="10" t="str">
        <f>CONCATENATE("          ", "6247", " - ", "STORE SUPPLIES")</f>
        <v xml:space="preserve">          6247 - STORE SUPPLIES</v>
      </c>
      <c r="C54" s="10"/>
      <c r="D54" s="6"/>
      <c r="E54" s="2"/>
      <c r="F54" s="7">
        <f t="shared" si="39"/>
        <v>0</v>
      </c>
      <c r="G54" s="2"/>
      <c r="H54" s="6">
        <v>342.38</v>
      </c>
      <c r="I54" s="2"/>
      <c r="J54" s="7">
        <f t="shared" si="40"/>
        <v>0.10652271984817137</v>
      </c>
      <c r="K54" s="2"/>
      <c r="L54" s="6">
        <f t="shared" si="41"/>
        <v>-342.38</v>
      </c>
      <c r="M54" s="2"/>
      <c r="N54" s="7">
        <f t="shared" si="42"/>
        <v>-1</v>
      </c>
      <c r="O54" s="10"/>
      <c r="P54" s="6">
        <v>0</v>
      </c>
      <c r="Q54" s="2"/>
      <c r="R54" s="7">
        <f t="shared" si="43"/>
        <v>0</v>
      </c>
      <c r="S54" s="2"/>
      <c r="T54" s="6">
        <v>7798.52</v>
      </c>
      <c r="U54" s="2"/>
      <c r="V54" s="7">
        <f t="shared" si="44"/>
        <v>0.36050883922784693</v>
      </c>
      <c r="W54" s="2"/>
      <c r="X54" s="6">
        <f t="shared" si="45"/>
        <v>-7798.52</v>
      </c>
      <c r="Y54" s="2"/>
      <c r="Z54" s="7">
        <f t="shared" si="46"/>
        <v>-1</v>
      </c>
    </row>
    <row r="55" spans="1:26" s="26" customFormat="1" outlineLevel="1" collapsed="1" x14ac:dyDescent="0.25">
      <c r="A55" s="25"/>
      <c r="B55" s="12" t="str">
        <f>CONCATENATE("     ","Telephone/Data Lines                              ")</f>
        <v xml:space="preserve">     Telephone/Data Lines                              </v>
      </c>
      <c r="C55" s="12"/>
      <c r="D55" s="1">
        <f>SUM(OSRRefD22_8x_0)</f>
        <v>0</v>
      </c>
      <c r="E55" s="1"/>
      <c r="F55" s="5">
        <f t="shared" ref="F55:F56" si="47">IF(D$12=0,0,D55/D$12)</f>
        <v>0</v>
      </c>
      <c r="G55" s="1"/>
      <c r="H55" s="1">
        <f>SUM(OSRRefH22_8x_0)</f>
        <v>36.75</v>
      </c>
      <c r="I55" s="1"/>
      <c r="J55" s="5">
        <f t="shared" ref="J55:J56" si="48">IF(H$12=0,0,H55/H$12)</f>
        <v>1.1433816094457322E-2</v>
      </c>
      <c r="K55" s="1"/>
      <c r="L55" s="1">
        <f t="shared" ref="L55:L56" si="49">+D55-H55</f>
        <v>-36.75</v>
      </c>
      <c r="M55" s="1"/>
      <c r="N55" s="5">
        <f t="shared" ref="N55:N56" si="50">IF(H55=0,0,L55/H55)</f>
        <v>-1</v>
      </c>
      <c r="O55" s="12"/>
      <c r="P55" s="1">
        <f>SUM(OSRRefP22_8x_0)</f>
        <v>0</v>
      </c>
      <c r="Q55" s="1"/>
      <c r="R55" s="5">
        <f t="shared" ref="R55:R56" si="51">IF(P$12=0,0,P55/P$12)</f>
        <v>0</v>
      </c>
      <c r="S55" s="1"/>
      <c r="T55" s="1">
        <f>SUM(OSRRefT22_8x_0)</f>
        <v>577.9</v>
      </c>
      <c r="U55" s="1"/>
      <c r="V55" s="5">
        <f t="shared" ref="V55:V56" si="52">IF(T$12=0,0,T55/T$12)</f>
        <v>2.6715076474737864E-2</v>
      </c>
      <c r="W55" s="1"/>
      <c r="X55" s="1">
        <f t="shared" ref="X55:X56" si="53">+P55-T55</f>
        <v>-577.9</v>
      </c>
      <c r="Y55" s="1"/>
      <c r="Z55" s="5">
        <f t="shared" ref="Z55:Z56" si="54">IF(T55=0,0,X55/T55)</f>
        <v>-1</v>
      </c>
    </row>
    <row r="56" spans="1:26" s="23" customFormat="1" hidden="1" outlineLevel="2" x14ac:dyDescent="0.25">
      <c r="A56" s="27"/>
      <c r="B56" s="10" t="str">
        <f>CONCATENATE("          ", "6309", " - ", "TELEPHONE")</f>
        <v xml:space="preserve">          6309 - TELEPHONE</v>
      </c>
      <c r="C56" s="10"/>
      <c r="D56" s="6"/>
      <c r="E56" s="2"/>
      <c r="F56" s="7">
        <f t="shared" si="47"/>
        <v>0</v>
      </c>
      <c r="G56" s="2"/>
      <c r="H56" s="6">
        <v>36.75</v>
      </c>
      <c r="I56" s="2"/>
      <c r="J56" s="7">
        <f t="shared" si="48"/>
        <v>1.1433816094457322E-2</v>
      </c>
      <c r="K56" s="2"/>
      <c r="L56" s="6">
        <f t="shared" si="49"/>
        <v>-36.75</v>
      </c>
      <c r="M56" s="2"/>
      <c r="N56" s="7">
        <f t="shared" si="50"/>
        <v>-1</v>
      </c>
      <c r="O56" s="10"/>
      <c r="P56" s="6">
        <v>0</v>
      </c>
      <c r="Q56" s="2"/>
      <c r="R56" s="7">
        <f t="shared" si="51"/>
        <v>0</v>
      </c>
      <c r="S56" s="2"/>
      <c r="T56" s="6">
        <v>577.9</v>
      </c>
      <c r="U56" s="2"/>
      <c r="V56" s="7">
        <f t="shared" si="52"/>
        <v>2.6715076474737864E-2</v>
      </c>
      <c r="W56" s="2"/>
      <c r="X56" s="6">
        <f t="shared" si="53"/>
        <v>-577.9</v>
      </c>
      <c r="Y56" s="2"/>
      <c r="Z56" s="7">
        <f t="shared" si="54"/>
        <v>-1</v>
      </c>
    </row>
    <row r="57" spans="1:26" s="62" customFormat="1" x14ac:dyDescent="0.25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4" customFormat="1" collapsed="1" x14ac:dyDescent="0.25">
      <c r="A58" s="11"/>
      <c r="B58" s="28" t="s">
        <v>292</v>
      </c>
      <c r="C58" s="11"/>
      <c r="D58" s="4">
        <f>SUM(OSRRefD25x_0)</f>
        <v>0</v>
      </c>
      <c r="E58" s="4"/>
      <c r="F58" s="13">
        <f t="shared" ref="F58:F63" si="55">IF(D$12=0,0,D58/D$12)</f>
        <v>0</v>
      </c>
      <c r="G58" s="4"/>
      <c r="H58" s="4">
        <f>SUM(OSRRefH25x_0)</f>
        <v>345861.98</v>
      </c>
      <c r="I58" s="4"/>
      <c r="J58" s="13">
        <f t="shared" ref="J58:J63" si="56">IF(H$12=0,0,H58/H$12)</f>
        <v>107.60604825537078</v>
      </c>
      <c r="K58" s="4"/>
      <c r="L58" s="4">
        <f t="shared" ref="L58:L63" si="57">+D58-H58</f>
        <v>-345861.98</v>
      </c>
      <c r="M58" s="4"/>
      <c r="N58" s="13">
        <f t="shared" ref="N58:N63" si="58">IF(H58=0,0,L58/H58)</f>
        <v>-1</v>
      </c>
      <c r="O58" s="11"/>
      <c r="P58" s="4">
        <f>SUM(OSRRefP25x_0)</f>
        <v>0</v>
      </c>
      <c r="Q58" s="4"/>
      <c r="R58" s="13">
        <f t="shared" ref="R58:R63" si="59">IF(P$12=0,0,P58/P$12)</f>
        <v>0</v>
      </c>
      <c r="S58" s="4"/>
      <c r="T58" s="4">
        <f>SUM(OSRRefT25x_0)</f>
        <v>458637.81</v>
      </c>
      <c r="U58" s="4"/>
      <c r="V58" s="13">
        <f t="shared" ref="V58:V63" si="60">IF(T$12=0,0,T58/T$12)</f>
        <v>21.201841440311984</v>
      </c>
      <c r="W58" s="4"/>
      <c r="X58" s="4">
        <f t="shared" ref="X58:X63" si="61">+P58-T58</f>
        <v>-458637.81</v>
      </c>
      <c r="Y58" s="4"/>
      <c r="Z58" s="13">
        <f t="shared" ref="Z58:Z63" si="62">IF(T58=0,0,X58/T58)</f>
        <v>-1</v>
      </c>
    </row>
    <row r="59" spans="1:26" s="23" customFormat="1" hidden="1" outlineLevel="1" x14ac:dyDescent="0.25">
      <c r="A59" s="44"/>
      <c r="B59" s="10" t="str">
        <f>CONCATENATE("          ", "4098", " - ", "TAXABLE SALES-GRAD RENTALS")</f>
        <v xml:space="preserve">          4098 - TAXABLE SALES-GRAD RENTALS</v>
      </c>
      <c r="C59" s="10"/>
      <c r="D59" s="2">
        <f t="shared" ref="D59:D63" si="63">0</f>
        <v>0</v>
      </c>
      <c r="E59" s="2"/>
      <c r="F59" s="19">
        <f t="shared" si="55"/>
        <v>0</v>
      </c>
      <c r="G59" s="2"/>
      <c r="H59" s="2">
        <f t="shared" ref="H59:H60" si="64">0</f>
        <v>0</v>
      </c>
      <c r="I59" s="2"/>
      <c r="J59" s="19">
        <f t="shared" si="56"/>
        <v>0</v>
      </c>
      <c r="K59" s="2"/>
      <c r="L59" s="2">
        <f t="shared" si="57"/>
        <v>0</v>
      </c>
      <c r="M59" s="2"/>
      <c r="N59" s="19">
        <f t="shared" si="58"/>
        <v>0</v>
      </c>
      <c r="O59" s="10"/>
      <c r="P59" s="2">
        <f t="shared" ref="P59:P63" si="65">0</f>
        <v>0</v>
      </c>
      <c r="Q59" s="2"/>
      <c r="R59" s="19">
        <f t="shared" si="59"/>
        <v>0</v>
      </c>
      <c r="S59" s="2"/>
      <c r="T59" s="2">
        <f>--2098.85</f>
        <v>2098.85</v>
      </c>
      <c r="U59" s="2"/>
      <c r="V59" s="19">
        <f t="shared" si="60"/>
        <v>9.7025330089987136E-2</v>
      </c>
      <c r="W59" s="2"/>
      <c r="X59" s="2">
        <f t="shared" si="61"/>
        <v>-2098.85</v>
      </c>
      <c r="Y59" s="2"/>
      <c r="Z59" s="19">
        <f t="shared" si="62"/>
        <v>-1</v>
      </c>
    </row>
    <row r="60" spans="1:26" s="23" customFormat="1" hidden="1" outlineLevel="1" x14ac:dyDescent="0.25">
      <c r="A60" s="44"/>
      <c r="B60" s="10" t="str">
        <f>CONCATENATE("          ", "4197", " - ", "NON-TAXABLE SALES-RETURNED CHE")</f>
        <v xml:space="preserve">          4197 - NON-TAXABLE SALES-RETURNED CHE</v>
      </c>
      <c r="C60" s="10"/>
      <c r="D60" s="2">
        <f t="shared" si="63"/>
        <v>0</v>
      </c>
      <c r="E60" s="2"/>
      <c r="F60" s="19">
        <f t="shared" si="55"/>
        <v>0</v>
      </c>
      <c r="G60" s="2"/>
      <c r="H60" s="2">
        <f t="shared" si="64"/>
        <v>0</v>
      </c>
      <c r="I60" s="2"/>
      <c r="J60" s="19">
        <f t="shared" si="56"/>
        <v>0</v>
      </c>
      <c r="K60" s="2"/>
      <c r="L60" s="2">
        <f t="shared" si="57"/>
        <v>0</v>
      </c>
      <c r="M60" s="2"/>
      <c r="N60" s="19">
        <f t="shared" si="58"/>
        <v>0</v>
      </c>
      <c r="O60" s="10"/>
      <c r="P60" s="2">
        <f t="shared" si="65"/>
        <v>0</v>
      </c>
      <c r="Q60" s="2"/>
      <c r="R60" s="19">
        <f t="shared" si="59"/>
        <v>0</v>
      </c>
      <c r="S60" s="2"/>
      <c r="T60" s="2">
        <f>--30</f>
        <v>30</v>
      </c>
      <c r="U60" s="2"/>
      <c r="V60" s="19">
        <f t="shared" si="60"/>
        <v>1.3868356017340993E-3</v>
      </c>
      <c r="W60" s="2"/>
      <c r="X60" s="2">
        <f t="shared" si="61"/>
        <v>-30</v>
      </c>
      <c r="Y60" s="2"/>
      <c r="Z60" s="19">
        <f t="shared" si="62"/>
        <v>-1</v>
      </c>
    </row>
    <row r="61" spans="1:26" s="23" customFormat="1" hidden="1" outlineLevel="1" x14ac:dyDescent="0.25">
      <c r="A61" s="44"/>
      <c r="B61" s="10" t="str">
        <f>CONCATENATE("          ", "4198", " - ", "NON-TAXABLE SALES-GRAD RENTALS")</f>
        <v xml:space="preserve">          4198 - NON-TAXABLE SALES-GRAD RENTALS</v>
      </c>
      <c r="C61" s="10"/>
      <c r="D61" s="2">
        <f t="shared" si="63"/>
        <v>0</v>
      </c>
      <c r="E61" s="2"/>
      <c r="F61" s="19">
        <f t="shared" si="55"/>
        <v>0</v>
      </c>
      <c r="G61" s="2"/>
      <c r="H61" s="2">
        <f>-98.64</f>
        <v>-98.64</v>
      </c>
      <c r="I61" s="2"/>
      <c r="J61" s="19">
        <f t="shared" si="56"/>
        <v>-3.0689295770265856E-2</v>
      </c>
      <c r="K61" s="2"/>
      <c r="L61" s="2">
        <f t="shared" si="57"/>
        <v>98.64</v>
      </c>
      <c r="M61" s="2"/>
      <c r="N61" s="19">
        <f t="shared" si="58"/>
        <v>-1</v>
      </c>
      <c r="O61" s="10"/>
      <c r="P61" s="2">
        <f t="shared" si="65"/>
        <v>0</v>
      </c>
      <c r="Q61" s="2"/>
      <c r="R61" s="19">
        <f t="shared" si="59"/>
        <v>0</v>
      </c>
      <c r="S61" s="2"/>
      <c r="T61" s="2">
        <f>--3633.46</f>
        <v>3633.46</v>
      </c>
      <c r="U61" s="2"/>
      <c r="V61" s="19">
        <f t="shared" si="60"/>
        <v>0.16796705618255933</v>
      </c>
      <c r="W61" s="2"/>
      <c r="X61" s="2">
        <f t="shared" si="61"/>
        <v>-3633.46</v>
      </c>
      <c r="Y61" s="2"/>
      <c r="Z61" s="19">
        <f t="shared" si="62"/>
        <v>-1</v>
      </c>
    </row>
    <row r="62" spans="1:26" s="23" customFormat="1" hidden="1" outlineLevel="1" x14ac:dyDescent="0.25">
      <c r="A62" s="44"/>
      <c r="B62" s="10" t="str">
        <f>CONCATENATE("          ", "9160", " - ", "MISC. INCOME")</f>
        <v xml:space="preserve">          9160 - MISC. INCOME</v>
      </c>
      <c r="C62" s="10"/>
      <c r="D62" s="2">
        <f t="shared" si="63"/>
        <v>0</v>
      </c>
      <c r="E62" s="2"/>
      <c r="F62" s="19">
        <f t="shared" si="55"/>
        <v>0</v>
      </c>
      <c r="G62" s="2"/>
      <c r="H62" s="2">
        <f>0</f>
        <v>0</v>
      </c>
      <c r="I62" s="2"/>
      <c r="J62" s="19">
        <f t="shared" si="56"/>
        <v>0</v>
      </c>
      <c r="K62" s="2"/>
      <c r="L62" s="2">
        <f t="shared" si="57"/>
        <v>0</v>
      </c>
      <c r="M62" s="2"/>
      <c r="N62" s="19">
        <f t="shared" si="58"/>
        <v>0</v>
      </c>
      <c r="O62" s="10"/>
      <c r="P62" s="2">
        <f t="shared" si="65"/>
        <v>0</v>
      </c>
      <c r="Q62" s="2"/>
      <c r="R62" s="19">
        <f t="shared" si="59"/>
        <v>0</v>
      </c>
      <c r="S62" s="2"/>
      <c r="T62" s="2">
        <f>--22475</f>
        <v>22475</v>
      </c>
      <c r="U62" s="2"/>
      <c r="V62" s="19">
        <f t="shared" si="60"/>
        <v>1.0389710049657961</v>
      </c>
      <c r="W62" s="2"/>
      <c r="X62" s="2">
        <f t="shared" si="61"/>
        <v>-22475</v>
      </c>
      <c r="Y62" s="2"/>
      <c r="Z62" s="19">
        <f t="shared" si="62"/>
        <v>-1</v>
      </c>
    </row>
    <row r="63" spans="1:26" s="23" customFormat="1" hidden="1" outlineLevel="1" x14ac:dyDescent="0.25">
      <c r="A63" s="44"/>
      <c r="B63" s="10" t="str">
        <f>CONCATENATE("          ", "9163", " - ", "MISC. INCOME")</f>
        <v xml:space="preserve">          9163 - MISC. INCOME</v>
      </c>
      <c r="C63" s="10"/>
      <c r="D63" s="2">
        <f t="shared" si="63"/>
        <v>0</v>
      </c>
      <c r="E63" s="2"/>
      <c r="F63" s="19">
        <f t="shared" si="55"/>
        <v>0</v>
      </c>
      <c r="G63" s="2"/>
      <c r="H63" s="2">
        <f>--345960.62</f>
        <v>345960.62</v>
      </c>
      <c r="I63" s="2"/>
      <c r="J63" s="19">
        <f t="shared" si="56"/>
        <v>107.63673755114104</v>
      </c>
      <c r="K63" s="2"/>
      <c r="L63" s="2">
        <f t="shared" si="57"/>
        <v>-345960.62</v>
      </c>
      <c r="M63" s="2"/>
      <c r="N63" s="19">
        <f t="shared" si="58"/>
        <v>-1</v>
      </c>
      <c r="O63" s="10"/>
      <c r="P63" s="2">
        <f t="shared" si="65"/>
        <v>0</v>
      </c>
      <c r="Q63" s="2"/>
      <c r="R63" s="19">
        <f t="shared" si="59"/>
        <v>0</v>
      </c>
      <c r="S63" s="2"/>
      <c r="T63" s="2">
        <f>--430400.5</f>
        <v>430400.5</v>
      </c>
      <c r="U63" s="2"/>
      <c r="V63" s="19">
        <f t="shared" si="60"/>
        <v>19.896491213471908</v>
      </c>
      <c r="W63" s="2"/>
      <c r="X63" s="2">
        <f t="shared" si="61"/>
        <v>-430400.5</v>
      </c>
      <c r="Y63" s="2"/>
      <c r="Z63" s="19">
        <f t="shared" si="62"/>
        <v>-1</v>
      </c>
    </row>
    <row r="64" spans="1:26" x14ac:dyDescent="0.25">
      <c r="A64" s="9"/>
      <c r="B64" s="11"/>
      <c r="C64" s="11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1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4" customFormat="1" x14ac:dyDescent="0.25">
      <c r="A65" s="11"/>
      <c r="B65" s="29" t="s">
        <v>276</v>
      </c>
      <c r="C65" s="29"/>
      <c r="D65" s="20">
        <f>+D24-D26+D58</f>
        <v>0</v>
      </c>
      <c r="E65" s="14"/>
      <c r="F65" s="22">
        <f>IF(D$12=0,0,D65/D$12)</f>
        <v>0</v>
      </c>
      <c r="G65" s="14"/>
      <c r="H65" s="20">
        <f>+H24-H26+H58</f>
        <v>346340.39999999997</v>
      </c>
      <c r="I65" s="14"/>
      <c r="J65" s="22">
        <f>IF(H$12=0,0,H65/H$12)</f>
        <v>107.75489631784451</v>
      </c>
      <c r="K65" s="16"/>
      <c r="L65" s="20">
        <f>+D65-H65</f>
        <v>-346340.39999999997</v>
      </c>
      <c r="M65" s="16"/>
      <c r="N65" s="22">
        <f>IF(H65=0,0,L65/H65)</f>
        <v>-1</v>
      </c>
      <c r="O65" s="28"/>
      <c r="P65" s="20">
        <f>+P24-P26+P58</f>
        <v>0</v>
      </c>
      <c r="Q65" s="14"/>
      <c r="R65" s="22">
        <f>IF(P$12=0,0,P65/P$12)</f>
        <v>0</v>
      </c>
      <c r="S65" s="14"/>
      <c r="T65" s="20">
        <f>+T24-T26+T58</f>
        <v>469873.74</v>
      </c>
      <c r="U65" s="14"/>
      <c r="V65" s="22">
        <f>IF(T$12=0,0,T65/T$12)</f>
        <v>21.721254365065057</v>
      </c>
      <c r="W65" s="16"/>
      <c r="X65" s="20">
        <f>+P65-T65</f>
        <v>-469873.74</v>
      </c>
      <c r="Y65" s="16"/>
      <c r="Z65" s="22">
        <f>IF(T65=0,0,X65/T65)</f>
        <v>-1</v>
      </c>
    </row>
    <row r="66" spans="1:26" x14ac:dyDescent="0.25">
      <c r="A66" s="9"/>
      <c r="B66" s="11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4" customFormat="1" x14ac:dyDescent="0.25">
      <c r="A67" s="51"/>
      <c r="B67" s="11" t="s">
        <v>127</v>
      </c>
      <c r="C67" s="11"/>
      <c r="D67" s="4"/>
      <c r="E67" s="4"/>
      <c r="F67" s="13">
        <f>IF(D$12=0,0,D67/D$12)</f>
        <v>0</v>
      </c>
      <c r="G67" s="4"/>
      <c r="H67" s="4">
        <v>482.64</v>
      </c>
      <c r="I67" s="4"/>
      <c r="J67" s="13">
        <f>IF(H$12=0,0,H67/H$12)</f>
        <v>0.15016100679806479</v>
      </c>
      <c r="K67" s="4"/>
      <c r="L67" s="4">
        <f>+D67-H67</f>
        <v>-482.64</v>
      </c>
      <c r="M67" s="4"/>
      <c r="N67" s="13">
        <f>IF(H67=0,0,L67/H67)</f>
        <v>-1</v>
      </c>
      <c r="O67" s="11"/>
      <c r="P67" s="4"/>
      <c r="Q67" s="4"/>
      <c r="R67" s="13">
        <f>IF(P$12=0,0,P67/P$12)</f>
        <v>0</v>
      </c>
      <c r="S67" s="4"/>
      <c r="T67" s="4">
        <v>2456.16</v>
      </c>
      <c r="U67" s="4"/>
      <c r="V67" s="13">
        <f>IF(T$12=0,0,T67/T$12)</f>
        <v>0.11354300438517417</v>
      </c>
      <c r="W67" s="4"/>
      <c r="X67" s="4">
        <f>+P67-T67</f>
        <v>-2456.16</v>
      </c>
      <c r="Y67" s="4"/>
      <c r="Z67" s="13">
        <f>IF(T67=0,0,X67/T67)</f>
        <v>-1</v>
      </c>
    </row>
    <row r="68" spans="1:26" x14ac:dyDescent="0.25">
      <c r="A68" s="9"/>
      <c r="B68" s="11"/>
      <c r="C68" s="11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1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4" customFormat="1" ht="15.75" thickBot="1" x14ac:dyDescent="0.3">
      <c r="A69" s="11"/>
      <c r="B69" s="29" t="s">
        <v>125</v>
      </c>
      <c r="C69" s="29"/>
      <c r="D69" s="30">
        <f>+D65-D67</f>
        <v>0</v>
      </c>
      <c r="E69" s="14"/>
      <c r="F69" s="34">
        <f>IF(D$12=0,0,D69/D$12)</f>
        <v>0</v>
      </c>
      <c r="G69" s="14"/>
      <c r="H69" s="30">
        <f>+H65-H67</f>
        <v>345857.75999999995</v>
      </c>
      <c r="I69" s="14"/>
      <c r="J69" s="34">
        <f>IF(H$12=0,0,H69/H$12)</f>
        <v>107.60473531104645</v>
      </c>
      <c r="K69" s="16"/>
      <c r="L69" s="30">
        <f>D69-H69</f>
        <v>-345857.75999999995</v>
      </c>
      <c r="M69" s="16"/>
      <c r="N69" s="34">
        <f>IF(H69=0,0,L69/H69)</f>
        <v>-1</v>
      </c>
      <c r="O69" s="28"/>
      <c r="P69" s="30">
        <f>+P65-P67</f>
        <v>0</v>
      </c>
      <c r="Q69" s="14"/>
      <c r="R69" s="34">
        <f>IF(P$12=0,0,P69/P$12)</f>
        <v>0</v>
      </c>
      <c r="S69" s="14"/>
      <c r="T69" s="30">
        <f>+T65-T67</f>
        <v>467417.58</v>
      </c>
      <c r="U69" s="14"/>
      <c r="V69" s="34">
        <f>IF(T$12=0,0,T69/T$12)</f>
        <v>21.607711360679883</v>
      </c>
      <c r="W69" s="16"/>
      <c r="X69" s="30">
        <f>P69-T69</f>
        <v>-467417.58</v>
      </c>
      <c r="Y69" s="16"/>
      <c r="Z69" s="34">
        <f>IF(T69=0,0,X69/T69)</f>
        <v>-1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4" customFormat="1" ht="15.75" thickBot="1" x14ac:dyDescent="0.3">
      <c r="A72" s="11"/>
      <c r="B72" s="29" t="s">
        <v>293</v>
      </c>
      <c r="C72" s="29"/>
      <c r="D72" s="32">
        <f>SUM(D69:D71)</f>
        <v>0</v>
      </c>
      <c r="E72" s="14"/>
      <c r="F72" s="35">
        <f>IF(D$12=0,0,D72/D$12)</f>
        <v>0</v>
      </c>
      <c r="G72" s="14"/>
      <c r="H72" s="32">
        <f>SUM(H69:H71)</f>
        <v>345857.75999999995</v>
      </c>
      <c r="I72" s="14"/>
      <c r="J72" s="35">
        <f>IF(H$12=0,0,H72/H$12)</f>
        <v>107.60473531104645</v>
      </c>
      <c r="K72" s="16"/>
      <c r="L72" s="32">
        <f>+D72-H72</f>
        <v>-345857.75999999995</v>
      </c>
      <c r="M72" s="16"/>
      <c r="N72" s="35">
        <f>IF(H72=0,0,L72/H72)</f>
        <v>-1</v>
      </c>
      <c r="O72" s="28"/>
      <c r="P72" s="32">
        <f>SUM(P69:P71)</f>
        <v>0</v>
      </c>
      <c r="Q72" s="14"/>
      <c r="R72" s="35">
        <f>IF(P$12=0,0,P72/P$12)</f>
        <v>0</v>
      </c>
      <c r="S72" s="14"/>
      <c r="T72" s="32">
        <f>SUM(T69:T71)</f>
        <v>467417.58</v>
      </c>
      <c r="U72" s="14"/>
      <c r="V72" s="35">
        <f>IF(T$12=0,0,T72/T$12)</f>
        <v>21.607711360679883</v>
      </c>
      <c r="W72" s="16"/>
      <c r="X72" s="32">
        <f>+P72-T72</f>
        <v>-467417.58</v>
      </c>
      <c r="Y72" s="16"/>
      <c r="Z72" s="35">
        <f>IF(T72=0,0,X72/T72)</f>
        <v>-1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A74" s="9"/>
      <c r="B74" s="59">
        <v>44330.00886898148</v>
      </c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25">
      <c r="A75" s="9"/>
      <c r="B75" s="52" t="s">
        <v>56</v>
      </c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25">
      <c r="A76" s="9"/>
      <c r="B76" s="55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25"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218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403227.43999999994</v>
      </c>
      <c r="E12" s="4"/>
      <c r="F12" s="13"/>
      <c r="G12" s="4"/>
      <c r="H12" s="4">
        <f>SUM(OSRRefH13x_0)</f>
        <v>303589.27999999991</v>
      </c>
      <c r="I12" s="4"/>
      <c r="J12" s="13"/>
      <c r="K12" s="4"/>
      <c r="L12" s="4">
        <f t="shared" ref="L12:L37" si="0">+D12-H12</f>
        <v>99638.160000000033</v>
      </c>
      <c r="M12" s="4"/>
      <c r="N12" s="13">
        <f t="shared" ref="N12:N37" si="1">IF(H12=0,0,L12/H12)</f>
        <v>0.32820052144133699</v>
      </c>
      <c r="O12" s="11"/>
      <c r="P12" s="4">
        <f>SUM(OSRRefP13x_0)</f>
        <v>2422783.8999999994</v>
      </c>
      <c r="Q12" s="4"/>
      <c r="R12" s="13"/>
      <c r="S12" s="4"/>
      <c r="T12" s="4">
        <f>SUM(OSRRefT13x_0)</f>
        <v>2341923.7299999995</v>
      </c>
      <c r="U12" s="4"/>
      <c r="V12" s="13"/>
      <c r="W12" s="4"/>
      <c r="X12" s="4">
        <f t="shared" ref="X12:X37" si="2">+P12-T12</f>
        <v>80860.169999999925</v>
      </c>
      <c r="Y12" s="4"/>
      <c r="Z12" s="13">
        <f t="shared" ref="Z12:Z37" si="3">IF(T12=0,0,X12/T12)</f>
        <v>3.4527243122473482E-2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-174.96</f>
        <v>-174.96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-174.96</v>
      </c>
      <c r="M13" s="2"/>
      <c r="N13" s="19">
        <f t="shared" si="1"/>
        <v>0</v>
      </c>
      <c r="O13" s="10"/>
      <c r="P13" s="2">
        <f>-2908.11</f>
        <v>-2908.11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-2908.11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"4081", " - ", "TAXABLE SALES-ELECTRONICS")</f>
        <v xml:space="preserve">          4081 - TAXABLE SALES-ELECTRONICS</v>
      </c>
      <c r="C14" s="10"/>
      <c r="D14" s="2">
        <f>--1628.82</f>
        <v>1628.82</v>
      </c>
      <c r="E14" s="2"/>
      <c r="F14" s="19"/>
      <c r="G14" s="2"/>
      <c r="H14" s="2">
        <f>--705.97</f>
        <v>705.97</v>
      </c>
      <c r="I14" s="2"/>
      <c r="J14" s="19"/>
      <c r="K14" s="2"/>
      <c r="L14" s="2">
        <f t="shared" si="0"/>
        <v>922.84999999999991</v>
      </c>
      <c r="M14" s="2"/>
      <c r="N14" s="19">
        <f t="shared" si="1"/>
        <v>1.3072085216085667</v>
      </c>
      <c r="O14" s="10"/>
      <c r="P14" s="2">
        <f>--62096.07</f>
        <v>62096.07</v>
      </c>
      <c r="Q14" s="2"/>
      <c r="R14" s="19"/>
      <c r="S14" s="2"/>
      <c r="T14" s="2">
        <f>--311903.09</f>
        <v>311903.09000000003</v>
      </c>
      <c r="U14" s="2"/>
      <c r="V14" s="19"/>
      <c r="W14" s="2"/>
      <c r="X14" s="2">
        <f t="shared" si="2"/>
        <v>-249807.02000000002</v>
      </c>
      <c r="Y14" s="2"/>
      <c r="Z14" s="19">
        <f t="shared" si="3"/>
        <v>-0.80091229618789606</v>
      </c>
    </row>
    <row r="15" spans="1:26" s="23" customFormat="1" hidden="1" outlineLevel="1" x14ac:dyDescent="0.25">
      <c r="A15" s="44"/>
      <c r="B15" s="10" t="str">
        <f>CONCATENATE("          ", "4082", " - ", "TAXABLE SALES-COMPUTER HARDWAR")</f>
        <v xml:space="preserve">          4082 - TAXABLE SALES-COMPUTER HARDWAR</v>
      </c>
      <c r="C15" s="10"/>
      <c r="D15" s="2">
        <f>--354181.27</f>
        <v>354181.27</v>
      </c>
      <c r="E15" s="2"/>
      <c r="F15" s="19"/>
      <c r="G15" s="2"/>
      <c r="H15" s="2">
        <f>--265200.65</f>
        <v>265200.65000000002</v>
      </c>
      <c r="I15" s="2"/>
      <c r="J15" s="19"/>
      <c r="K15" s="2"/>
      <c r="L15" s="2">
        <f t="shared" si="0"/>
        <v>88980.62</v>
      </c>
      <c r="M15" s="2"/>
      <c r="N15" s="19">
        <f t="shared" si="1"/>
        <v>0.33552187749162754</v>
      </c>
      <c r="O15" s="10"/>
      <c r="P15" s="2">
        <f>--2012047.63</f>
        <v>2012047.63</v>
      </c>
      <c r="Q15" s="2"/>
      <c r="R15" s="19"/>
      <c r="S15" s="2"/>
      <c r="T15" s="2">
        <f>--1926309.68</f>
        <v>1926309.68</v>
      </c>
      <c r="U15" s="2"/>
      <c r="V15" s="19"/>
      <c r="W15" s="2"/>
      <c r="X15" s="2">
        <f t="shared" si="2"/>
        <v>85737.949999999953</v>
      </c>
      <c r="Y15" s="2"/>
      <c r="Z15" s="19">
        <f t="shared" si="3"/>
        <v>4.4508913021711005E-2</v>
      </c>
    </row>
    <row r="16" spans="1:26" s="23" customFormat="1" hidden="1" outlineLevel="1" x14ac:dyDescent="0.25">
      <c r="A16" s="44"/>
      <c r="B16" s="10" t="str">
        <f>CONCATENATE("          ", "4083", " - ", "TAXABLE SALES-COMPUTER EQUIPME")</f>
        <v xml:space="preserve">          4083 - TAXABLE SALES-COMPUTER EQUIPME</v>
      </c>
      <c r="C16" s="10"/>
      <c r="D16" s="2">
        <f>--7273.67</f>
        <v>7273.67</v>
      </c>
      <c r="E16" s="2"/>
      <c r="F16" s="19"/>
      <c r="G16" s="2"/>
      <c r="H16" s="2">
        <f>--2895.75</f>
        <v>2895.75</v>
      </c>
      <c r="I16" s="2"/>
      <c r="J16" s="19"/>
      <c r="K16" s="2"/>
      <c r="L16" s="2">
        <f t="shared" si="0"/>
        <v>4377.92</v>
      </c>
      <c r="M16" s="2"/>
      <c r="N16" s="19">
        <f t="shared" si="1"/>
        <v>1.5118432185098851</v>
      </c>
      <c r="O16" s="10"/>
      <c r="P16" s="2">
        <f>--126932.94</f>
        <v>126932.94</v>
      </c>
      <c r="Q16" s="2"/>
      <c r="R16" s="19"/>
      <c r="S16" s="2"/>
      <c r="T16" s="2">
        <f>--102864.07</f>
        <v>102864.07</v>
      </c>
      <c r="U16" s="2"/>
      <c r="V16" s="19"/>
      <c r="W16" s="2"/>
      <c r="X16" s="2">
        <f t="shared" si="2"/>
        <v>24068.869999999995</v>
      </c>
      <c r="Y16" s="2"/>
      <c r="Z16" s="19">
        <f t="shared" si="3"/>
        <v>0.2339871443935671</v>
      </c>
    </row>
    <row r="17" spans="1:26" s="23" customFormat="1" hidden="1" outlineLevel="1" x14ac:dyDescent="0.25">
      <c r="A17" s="44"/>
      <c r="B17" s="10" t="str">
        <f>CONCATENATE("          ", "4084", " - ", "TAXABLE SALES-SOFTWARE LICENSE")</f>
        <v xml:space="preserve">          4084 - TAXABLE SALES-SOFTWARE LICENSE</v>
      </c>
      <c r="C17" s="10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"4085", " - ", "TAXABLE SALES-SOFTWARE")</f>
        <v xml:space="preserve">          4085 - TAXABLE SALES-SOFTWARE</v>
      </c>
      <c r="C18" s="10"/>
      <c r="D18" s="2">
        <f>--1771.88</f>
        <v>1771.88</v>
      </c>
      <c r="E18" s="2"/>
      <c r="F18" s="19"/>
      <c r="G18" s="2"/>
      <c r="H18" s="2">
        <f>--10</f>
        <v>10</v>
      </c>
      <c r="I18" s="2"/>
      <c r="J18" s="19"/>
      <c r="K18" s="2"/>
      <c r="L18" s="2">
        <f t="shared" si="0"/>
        <v>1761.88</v>
      </c>
      <c r="M18" s="2"/>
      <c r="N18" s="19">
        <f t="shared" si="1"/>
        <v>176.18800000000002</v>
      </c>
      <c r="O18" s="10"/>
      <c r="P18" s="2">
        <f>--4870.79</f>
        <v>4870.79</v>
      </c>
      <c r="Q18" s="2"/>
      <c r="R18" s="19"/>
      <c r="S18" s="2"/>
      <c r="T18" s="2">
        <f>--4567.93</f>
        <v>4567.93</v>
      </c>
      <c r="U18" s="2"/>
      <c r="V18" s="19"/>
      <c r="W18" s="2"/>
      <c r="X18" s="2">
        <f t="shared" si="2"/>
        <v>302.85999999999967</v>
      </c>
      <c r="Y18" s="2"/>
      <c r="Z18" s="19">
        <f t="shared" si="3"/>
        <v>6.6301366264369124E-2</v>
      </c>
    </row>
    <row r="19" spans="1:26" s="23" customFormat="1" hidden="1" outlineLevel="1" x14ac:dyDescent="0.25">
      <c r="A19" s="44"/>
      <c r="B19" s="10" t="str">
        <f>CONCATENATE("          ", "4086", " - ", "TAXABLE SALES-COMPUTER SUPPLIE")</f>
        <v xml:space="preserve">          4086 - TAXABLE SALES-COMPUTER SUPPLIE</v>
      </c>
      <c r="C19" s="10"/>
      <c r="D19" s="2">
        <f>--5818.73</f>
        <v>5818.73</v>
      </c>
      <c r="E19" s="2"/>
      <c r="F19" s="19"/>
      <c r="G19" s="2"/>
      <c r="H19" s="2">
        <f>--91.96</f>
        <v>91.96</v>
      </c>
      <c r="I19" s="2"/>
      <c r="J19" s="19"/>
      <c r="K19" s="2"/>
      <c r="L19" s="2">
        <f t="shared" si="0"/>
        <v>5726.7699999999995</v>
      </c>
      <c r="M19" s="2"/>
      <c r="N19" s="19">
        <f t="shared" si="1"/>
        <v>62.274575902566333</v>
      </c>
      <c r="O19" s="10"/>
      <c r="P19" s="2">
        <f>--65269.63</f>
        <v>65269.63</v>
      </c>
      <c r="Q19" s="2"/>
      <c r="R19" s="19"/>
      <c r="S19" s="2"/>
      <c r="T19" s="2">
        <f>--48358.28</f>
        <v>48358.28</v>
      </c>
      <c r="U19" s="2"/>
      <c r="V19" s="19"/>
      <c r="W19" s="2"/>
      <c r="X19" s="2">
        <f t="shared" si="2"/>
        <v>16911.349999999999</v>
      </c>
      <c r="Y19" s="2"/>
      <c r="Z19" s="19">
        <f t="shared" si="3"/>
        <v>0.3497095016613494</v>
      </c>
    </row>
    <row r="20" spans="1:26" s="23" customFormat="1" hidden="1" outlineLevel="1" x14ac:dyDescent="0.25">
      <c r="A20" s="44"/>
      <c r="B20" s="10" t="str">
        <f>CONCATENATE("          ", "4088", " - ", "TAXABLE SALES-MUSIC")</f>
        <v xml:space="preserve">          4088 - TAXABLE SALES-MUSIC</v>
      </c>
      <c r="C20" s="10"/>
      <c r="D20" s="2">
        <f>0</f>
        <v>0</v>
      </c>
      <c r="E20" s="2"/>
      <c r="F20" s="19"/>
      <c r="G20" s="2"/>
      <c r="H20" s="2">
        <f>--379.98</f>
        <v>379.98</v>
      </c>
      <c r="I20" s="2"/>
      <c r="J20" s="19"/>
      <c r="K20" s="2"/>
      <c r="L20" s="2">
        <f t="shared" si="0"/>
        <v>-379.98</v>
      </c>
      <c r="M20" s="2"/>
      <c r="N20" s="19">
        <f t="shared" si="1"/>
        <v>-1</v>
      </c>
      <c r="O20" s="10"/>
      <c r="P20" s="2">
        <f>0</f>
        <v>0</v>
      </c>
      <c r="Q20" s="2"/>
      <c r="R20" s="19"/>
      <c r="S20" s="2"/>
      <c r="T20" s="2">
        <f>--1674.81</f>
        <v>1674.81</v>
      </c>
      <c r="U20" s="2"/>
      <c r="V20" s="19"/>
      <c r="W20" s="2"/>
      <c r="X20" s="2">
        <f t="shared" si="2"/>
        <v>-1674.81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"4181", " - ", "NON-TAXABLE SALES-ELECTRONICS")</f>
        <v xml:space="preserve">          4181 - NON-TAXABLE SALES-ELECTRONICS</v>
      </c>
      <c r="C21" s="10"/>
      <c r="D21" s="2">
        <f>--29.99</f>
        <v>29.99</v>
      </c>
      <c r="E21" s="2"/>
      <c r="F21" s="19"/>
      <c r="G21" s="2"/>
      <c r="H21" s="2">
        <f>--154.96</f>
        <v>154.96</v>
      </c>
      <c r="I21" s="2"/>
      <c r="J21" s="19"/>
      <c r="K21" s="2"/>
      <c r="L21" s="2">
        <f t="shared" si="0"/>
        <v>-124.97000000000001</v>
      </c>
      <c r="M21" s="2"/>
      <c r="N21" s="19">
        <f t="shared" si="1"/>
        <v>-0.80646618482188959</v>
      </c>
      <c r="O21" s="10"/>
      <c r="P21" s="2">
        <f>--12508.62</f>
        <v>12508.62</v>
      </c>
      <c r="Q21" s="2"/>
      <c r="R21" s="19"/>
      <c r="S21" s="2"/>
      <c r="T21" s="2">
        <f>--2233.33</f>
        <v>2233.33</v>
      </c>
      <c r="U21" s="2"/>
      <c r="V21" s="19"/>
      <c r="W21" s="2"/>
      <c r="X21" s="2">
        <f t="shared" si="2"/>
        <v>10275.290000000001</v>
      </c>
      <c r="Y21" s="2"/>
      <c r="Z21" s="19">
        <f t="shared" si="3"/>
        <v>4.6008829863925174</v>
      </c>
    </row>
    <row r="22" spans="1:26" s="23" customFormat="1" hidden="1" outlineLevel="1" x14ac:dyDescent="0.25">
      <c r="A22" s="44"/>
      <c r="B22" s="10" t="str">
        <f>CONCATENATE("          ", "4182", " - ", "NON-TAXABLE SALES-COMPUTER HAR")</f>
        <v xml:space="preserve">          4182 - NON-TAXABLE SALES-COMPUTER HAR</v>
      </c>
      <c r="C22" s="10"/>
      <c r="D22" s="2">
        <f>--61075.64</f>
        <v>61075.64</v>
      </c>
      <c r="E22" s="2"/>
      <c r="F22" s="19"/>
      <c r="G22" s="2"/>
      <c r="H22" s="2">
        <f>--30055.98</f>
        <v>30055.98</v>
      </c>
      <c r="I22" s="2"/>
      <c r="J22" s="19"/>
      <c r="K22" s="2"/>
      <c r="L22" s="2">
        <f t="shared" si="0"/>
        <v>31019.66</v>
      </c>
      <c r="M22" s="2"/>
      <c r="N22" s="19">
        <f t="shared" si="1"/>
        <v>1.0320628374120557</v>
      </c>
      <c r="O22" s="10"/>
      <c r="P22" s="2">
        <f>--314490.47</f>
        <v>314490.46999999997</v>
      </c>
      <c r="Q22" s="2"/>
      <c r="R22" s="19"/>
      <c r="S22" s="2"/>
      <c r="T22" s="2">
        <f>--148066.94</f>
        <v>148066.94</v>
      </c>
      <c r="U22" s="2"/>
      <c r="V22" s="19"/>
      <c r="W22" s="2"/>
      <c r="X22" s="2">
        <f t="shared" si="2"/>
        <v>166423.52999999997</v>
      </c>
      <c r="Y22" s="2"/>
      <c r="Z22" s="19">
        <f t="shared" si="3"/>
        <v>1.1239749399832262</v>
      </c>
    </row>
    <row r="23" spans="1:26" s="23" customFormat="1" hidden="1" outlineLevel="1" x14ac:dyDescent="0.25">
      <c r="A23" s="44"/>
      <c r="B23" s="10" t="str">
        <f>CONCATENATE("          ", "4183", " - ", "NON-TAXABLE SALES-COMPUTER EQU")</f>
        <v xml:space="preserve">          4183 - NON-TAXABLE SALES-COMPUTER EQU</v>
      </c>
      <c r="C23" s="10"/>
      <c r="D23" s="2">
        <f>--2879.59</f>
        <v>2879.59</v>
      </c>
      <c r="E23" s="2"/>
      <c r="F23" s="19"/>
      <c r="G23" s="2"/>
      <c r="H23" s="2">
        <f>--2769.8</f>
        <v>2769.8</v>
      </c>
      <c r="I23" s="2"/>
      <c r="J23" s="19"/>
      <c r="K23" s="2"/>
      <c r="L23" s="2">
        <f t="shared" si="0"/>
        <v>109.78999999999996</v>
      </c>
      <c r="M23" s="2"/>
      <c r="N23" s="19">
        <f t="shared" si="1"/>
        <v>3.9638241028233066E-2</v>
      </c>
      <c r="O23" s="10"/>
      <c r="P23" s="2">
        <f>--19486.02</f>
        <v>19486.02</v>
      </c>
      <c r="Q23" s="2"/>
      <c r="R23" s="19"/>
      <c r="S23" s="2"/>
      <c r="T23" s="2">
        <f>--9532.02</f>
        <v>9532.02</v>
      </c>
      <c r="U23" s="2"/>
      <c r="V23" s="19"/>
      <c r="W23" s="2"/>
      <c r="X23" s="2">
        <f t="shared" si="2"/>
        <v>9954</v>
      </c>
      <c r="Y23" s="2"/>
      <c r="Z23" s="19">
        <f t="shared" si="3"/>
        <v>1.0442697350614034</v>
      </c>
    </row>
    <row r="24" spans="1:26" s="23" customFormat="1" hidden="1" outlineLevel="1" x14ac:dyDescent="0.25">
      <c r="A24" s="44"/>
      <c r="B24" s="10" t="str">
        <f>CONCATENATE("          ", "4184", " - ", "NON-TAXABLE SALES-SOFTWARE LIC")</f>
        <v xml:space="preserve">          4184 - NON-TAXABLE SALES-SOFTWARE LIC</v>
      </c>
      <c r="C24" s="10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>0</f>
        <v>0</v>
      </c>
      <c r="Q24" s="2"/>
      <c r="R24" s="19"/>
      <c r="S24" s="2"/>
      <c r="T24" s="2">
        <f>--2728</f>
        <v>2728</v>
      </c>
      <c r="U24" s="2"/>
      <c r="V24" s="19"/>
      <c r="W24" s="2"/>
      <c r="X24" s="2">
        <f t="shared" si="2"/>
        <v>-2728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"4185", " - ", "NON-TAXABLE SALES-SOFTWARE")</f>
        <v xml:space="preserve">          4185 - NON-TAXABLE SALES-SOFTWARE</v>
      </c>
      <c r="C25" s="10"/>
      <c r="D25" s="2">
        <f>--11345.61</f>
        <v>11345.61</v>
      </c>
      <c r="E25" s="2"/>
      <c r="F25" s="19"/>
      <c r="G25" s="2"/>
      <c r="H25" s="2">
        <f>--3224.87</f>
        <v>3224.87</v>
      </c>
      <c r="I25" s="2"/>
      <c r="J25" s="19"/>
      <c r="K25" s="2"/>
      <c r="L25" s="2">
        <f t="shared" si="0"/>
        <v>8120.7400000000007</v>
      </c>
      <c r="M25" s="2"/>
      <c r="N25" s="19">
        <f t="shared" si="1"/>
        <v>2.5181604219704985</v>
      </c>
      <c r="O25" s="10"/>
      <c r="P25" s="2">
        <f>--50032.39</f>
        <v>50032.39</v>
      </c>
      <c r="Q25" s="2"/>
      <c r="R25" s="19"/>
      <c r="S25" s="2"/>
      <c r="T25" s="2">
        <f>--16347.61</f>
        <v>16347.61</v>
      </c>
      <c r="U25" s="2"/>
      <c r="V25" s="19"/>
      <c r="W25" s="2"/>
      <c r="X25" s="2">
        <f t="shared" si="2"/>
        <v>33684.78</v>
      </c>
      <c r="Y25" s="2"/>
      <c r="Z25" s="19">
        <f t="shared" si="3"/>
        <v>2.0605323958670412</v>
      </c>
    </row>
    <row r="26" spans="1:26" s="23" customFormat="1" hidden="1" outlineLevel="1" x14ac:dyDescent="0.25">
      <c r="A26" s="44"/>
      <c r="B26" s="10" t="str">
        <f>CONCATENATE("          ", "4186", " - ", "NON-TAXABLE SALES-COMPUTER SUP")</f>
        <v xml:space="preserve">          4186 - NON-TAXABLE SALES-COMPUTER SUP</v>
      </c>
      <c r="C26" s="10"/>
      <c r="D26" s="2">
        <f>--89.97</f>
        <v>89.97</v>
      </c>
      <c r="E26" s="2"/>
      <c r="F26" s="19"/>
      <c r="G26" s="2"/>
      <c r="H26" s="2">
        <f>--189.97</f>
        <v>189.97</v>
      </c>
      <c r="I26" s="2"/>
      <c r="J26" s="19"/>
      <c r="K26" s="2"/>
      <c r="L26" s="2">
        <f t="shared" si="0"/>
        <v>-100</v>
      </c>
      <c r="M26" s="2"/>
      <c r="N26" s="19">
        <f t="shared" si="1"/>
        <v>-0.52639890509027742</v>
      </c>
      <c r="O26" s="10"/>
      <c r="P26" s="2">
        <f>--3345.17</f>
        <v>3345.17</v>
      </c>
      <c r="Q26" s="2"/>
      <c r="R26" s="19"/>
      <c r="S26" s="2"/>
      <c r="T26" s="2">
        <f>--2840.13</f>
        <v>2840.13</v>
      </c>
      <c r="U26" s="2"/>
      <c r="V26" s="19"/>
      <c r="W26" s="2"/>
      <c r="X26" s="2">
        <f t="shared" si="2"/>
        <v>505.03999999999996</v>
      </c>
      <c r="Y26" s="2"/>
      <c r="Z26" s="19">
        <f t="shared" si="3"/>
        <v>0.17782284613732469</v>
      </c>
    </row>
    <row r="27" spans="1:26" s="23" customFormat="1" hidden="1" outlineLevel="1" x14ac:dyDescent="0.25">
      <c r="A27" s="44"/>
      <c r="B27" s="10" t="str">
        <f>CONCATENATE("          ", "4188", " - ", "NON-TAXABLE SALES-MUSIC")</f>
        <v xml:space="preserve">          4188 - NON-TAXABLE SALES-MUSIC</v>
      </c>
      <c r="C27" s="10"/>
      <c r="D27" s="2">
        <f t="shared" ref="D27:D28" si="4">0</f>
        <v>0</v>
      </c>
      <c r="E27" s="2"/>
      <c r="F27" s="19"/>
      <c r="G27" s="2"/>
      <c r="H27" s="2">
        <f t="shared" ref="H27:H28" si="5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>0</f>
        <v>0</v>
      </c>
      <c r="Q27" s="2"/>
      <c r="R27" s="19"/>
      <c r="S27" s="2"/>
      <c r="T27" s="2">
        <f>--219.96</f>
        <v>219.96</v>
      </c>
      <c r="U27" s="2"/>
      <c r="V27" s="19"/>
      <c r="W27" s="2"/>
      <c r="X27" s="2">
        <f t="shared" si="2"/>
        <v>-219.96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"4281", " - ", "SALES RETURN TAXABLE-ELECTRONI")</f>
        <v xml:space="preserve">          4281 - SALES RETURN TAXABLE-ELECTRONI</v>
      </c>
      <c r="C28" s="10"/>
      <c r="D28" s="2">
        <f t="shared" si="4"/>
        <v>0</v>
      </c>
      <c r="E28" s="2"/>
      <c r="F28" s="19"/>
      <c r="G28" s="2"/>
      <c r="H28" s="2">
        <f t="shared" si="5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>-14762.14</f>
        <v>-14762.14</v>
      </c>
      <c r="Q28" s="2"/>
      <c r="R28" s="19"/>
      <c r="S28" s="2"/>
      <c r="T28" s="2">
        <f>-7781.7</f>
        <v>-7781.7</v>
      </c>
      <c r="U28" s="2"/>
      <c r="V28" s="19"/>
      <c r="W28" s="2"/>
      <c r="X28" s="2">
        <f t="shared" si="2"/>
        <v>-6980.44</v>
      </c>
      <c r="Y28" s="2"/>
      <c r="Z28" s="19">
        <f t="shared" si="3"/>
        <v>0.8970327820399141</v>
      </c>
    </row>
    <row r="29" spans="1:26" s="23" customFormat="1" hidden="1" outlineLevel="1" x14ac:dyDescent="0.25">
      <c r="A29" s="44"/>
      <c r="B29" s="10" t="str">
        <f>CONCATENATE("          ", "4282", " - ", "SALES RETURN TAXABLE-COMPUTER")</f>
        <v xml:space="preserve">          4282 - SALES RETURN TAXABLE-COMPUTER</v>
      </c>
      <c r="C29" s="10"/>
      <c r="D29" s="2">
        <f>-42380</f>
        <v>-42380</v>
      </c>
      <c r="E29" s="2"/>
      <c r="F29" s="19"/>
      <c r="G29" s="2"/>
      <c r="H29" s="2">
        <f>-1954.65</f>
        <v>-1954.65</v>
      </c>
      <c r="I29" s="2"/>
      <c r="J29" s="19"/>
      <c r="K29" s="2"/>
      <c r="L29" s="2">
        <f t="shared" si="0"/>
        <v>-40425.35</v>
      </c>
      <c r="M29" s="2"/>
      <c r="N29" s="19">
        <f t="shared" si="1"/>
        <v>20.681630982528841</v>
      </c>
      <c r="O29" s="10"/>
      <c r="P29" s="2">
        <f>-215145.16</f>
        <v>-215145.16</v>
      </c>
      <c r="Q29" s="2"/>
      <c r="R29" s="19"/>
      <c r="S29" s="2"/>
      <c r="T29" s="2">
        <f>-215445.8</f>
        <v>-215445.8</v>
      </c>
      <c r="U29" s="2"/>
      <c r="V29" s="19"/>
      <c r="W29" s="2"/>
      <c r="X29" s="2">
        <f t="shared" si="2"/>
        <v>300.63999999998487</v>
      </c>
      <c r="Y29" s="2"/>
      <c r="Z29" s="19">
        <f t="shared" si="3"/>
        <v>-1.3954321690187736E-3</v>
      </c>
    </row>
    <row r="30" spans="1:26" s="23" customFormat="1" hidden="1" outlineLevel="1" x14ac:dyDescent="0.25">
      <c r="A30" s="44"/>
      <c r="B30" s="10" t="str">
        <f>CONCATENATE("          ", "4283", " - ", "SALES RETURN TAXABLE-COMPUTER")</f>
        <v xml:space="preserve">          4283 - SALES RETURN TAXABLE-COMPUTER</v>
      </c>
      <c r="C30" s="10"/>
      <c r="D30" s="2">
        <f>-197.95</f>
        <v>-197.95</v>
      </c>
      <c r="E30" s="2"/>
      <c r="F30" s="19"/>
      <c r="G30" s="2"/>
      <c r="H30" s="2">
        <f>-135.96</f>
        <v>-135.96</v>
      </c>
      <c r="I30" s="2"/>
      <c r="J30" s="19"/>
      <c r="K30" s="2"/>
      <c r="L30" s="2">
        <f t="shared" si="0"/>
        <v>-61.989999999999981</v>
      </c>
      <c r="M30" s="2"/>
      <c r="N30" s="19">
        <f t="shared" si="1"/>
        <v>0.45594292438952616</v>
      </c>
      <c r="O30" s="10"/>
      <c r="P30" s="2">
        <f>-3947.2</f>
        <v>-3947.2</v>
      </c>
      <c r="Q30" s="2"/>
      <c r="R30" s="19"/>
      <c r="S30" s="2"/>
      <c r="T30" s="2">
        <f>-6589.02</f>
        <v>-6589.02</v>
      </c>
      <c r="U30" s="2"/>
      <c r="V30" s="19"/>
      <c r="W30" s="2"/>
      <c r="X30" s="2">
        <f t="shared" si="2"/>
        <v>2641.8200000000006</v>
      </c>
      <c r="Y30" s="2"/>
      <c r="Z30" s="19">
        <f t="shared" si="3"/>
        <v>-0.40094278056524346</v>
      </c>
    </row>
    <row r="31" spans="1:26" s="23" customFormat="1" hidden="1" outlineLevel="1" x14ac:dyDescent="0.25">
      <c r="A31" s="44"/>
      <c r="B31" s="10" t="str">
        <f>CONCATENATE("          ", "4284", " - ", "SALES RETURN TAXABLE-SOFTWARE")</f>
        <v xml:space="preserve">          4284 - SALES RETURN TAXABLE-SOFTWARE</v>
      </c>
      <c r="C31" s="10"/>
      <c r="D31" s="2">
        <f>0</f>
        <v>0</v>
      </c>
      <c r="E31" s="2"/>
      <c r="F31" s="19"/>
      <c r="G31" s="2"/>
      <c r="H31" s="2">
        <f t="shared" ref="H31:H37" si="6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"4285", " - ", "SALES RETURN TAXABLE-SOFTWARE")</f>
        <v xml:space="preserve">          4285 - SALES RETURN TAXABLE-SOFTWARE</v>
      </c>
      <c r="C32" s="10"/>
      <c r="D32" s="2">
        <f>-99.83</f>
        <v>-99.83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-99.83</v>
      </c>
      <c r="M32" s="2"/>
      <c r="N32" s="19">
        <f t="shared" si="1"/>
        <v>0</v>
      </c>
      <c r="O32" s="10"/>
      <c r="P32" s="2">
        <f>-1091.79</f>
        <v>-1091.79</v>
      </c>
      <c r="Q32" s="2"/>
      <c r="R32" s="19"/>
      <c r="S32" s="2"/>
      <c r="T32" s="2">
        <f>-805.97</f>
        <v>-805.97</v>
      </c>
      <c r="U32" s="2"/>
      <c r="V32" s="19"/>
      <c r="W32" s="2"/>
      <c r="X32" s="2">
        <f t="shared" si="2"/>
        <v>-285.81999999999994</v>
      </c>
      <c r="Y32" s="2"/>
      <c r="Z32" s="19">
        <f t="shared" si="3"/>
        <v>0.35462858419047844</v>
      </c>
    </row>
    <row r="33" spans="1:26" s="23" customFormat="1" hidden="1" outlineLevel="1" x14ac:dyDescent="0.25">
      <c r="A33" s="44"/>
      <c r="B33" s="10" t="str">
        <f>CONCATENATE("          ", "4286", " - ", "SALES RETURN TAXABLE-COMPUTER")</f>
        <v xml:space="preserve">          4286 - SALES RETURN TAXABLE-COMPUTER</v>
      </c>
      <c r="C33" s="10"/>
      <c r="D33" s="2">
        <f t="shared" ref="D33:D35" si="7">0</f>
        <v>0</v>
      </c>
      <c r="E33" s="2"/>
      <c r="F33" s="19"/>
      <c r="G33" s="2"/>
      <c r="H33" s="2">
        <f t="shared" si="6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>-4802.29</f>
        <v>-4802.29</v>
      </c>
      <c r="Q33" s="2"/>
      <c r="R33" s="19"/>
      <c r="S33" s="2"/>
      <c r="T33" s="2">
        <f>-3660.86</f>
        <v>-3660.86</v>
      </c>
      <c r="U33" s="2"/>
      <c r="V33" s="19"/>
      <c r="W33" s="2"/>
      <c r="X33" s="2">
        <f t="shared" si="2"/>
        <v>-1141.4299999999998</v>
      </c>
      <c r="Y33" s="2"/>
      <c r="Z33" s="19">
        <f t="shared" si="3"/>
        <v>0.31179285741601692</v>
      </c>
    </row>
    <row r="34" spans="1:26" s="23" customFormat="1" hidden="1" outlineLevel="1" x14ac:dyDescent="0.25">
      <c r="A34" s="44"/>
      <c r="B34" s="10" t="str">
        <f>CONCATENATE("          ", "4288", " - ", "TAXABLE SALES RETURN-MUSIC")</f>
        <v xml:space="preserve">          4288 - TAXABLE SALES RETURN-MUSIC</v>
      </c>
      <c r="C34" s="10"/>
      <c r="D34" s="2">
        <f t="shared" si="7"/>
        <v>0</v>
      </c>
      <c r="E34" s="2"/>
      <c r="F34" s="19"/>
      <c r="G34" s="2"/>
      <c r="H34" s="2">
        <f t="shared" si="6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>0</f>
        <v>0</v>
      </c>
      <c r="Q34" s="2"/>
      <c r="R34" s="19"/>
      <c r="S34" s="2"/>
      <c r="T34" s="2">
        <f>-3.99</f>
        <v>-3.99</v>
      </c>
      <c r="U34" s="2"/>
      <c r="V34" s="19"/>
      <c r="W34" s="2"/>
      <c r="X34" s="2">
        <f t="shared" si="2"/>
        <v>3.99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"4381", " - ", "SALES RETURN NON TAXABLE-ELECT")</f>
        <v xml:space="preserve">          4381 - SALES RETURN NON TAXABLE-ELECT</v>
      </c>
      <c r="C35" s="10"/>
      <c r="D35" s="2">
        <f t="shared" si="7"/>
        <v>0</v>
      </c>
      <c r="E35" s="2"/>
      <c r="F35" s="19"/>
      <c r="G35" s="2"/>
      <c r="H35" s="2">
        <f t="shared" si="6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-5624.15</f>
        <v>-5624.15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-4344.3099999999995</v>
      </c>
      <c r="Y35" s="2"/>
      <c r="Z35" s="19">
        <f t="shared" si="3"/>
        <v>3.3944164895611948</v>
      </c>
    </row>
    <row r="36" spans="1:26" s="23" customFormat="1" hidden="1" outlineLevel="1" x14ac:dyDescent="0.25">
      <c r="A36" s="44"/>
      <c r="B36" s="10" t="str">
        <f>CONCATENATE("          ", "4383", " - ", "SALES RETURN NON TAXABLE-COMPU")</f>
        <v xml:space="preserve">          4383 - SALES RETURN NON TAXABLE-COMPU</v>
      </c>
      <c r="C36" s="10"/>
      <c r="D36" s="2">
        <f>-14.99</f>
        <v>-14.99</v>
      </c>
      <c r="E36" s="2"/>
      <c r="F36" s="19"/>
      <c r="G36" s="2"/>
      <c r="H36" s="2">
        <f t="shared" si="6"/>
        <v>0</v>
      </c>
      <c r="I36" s="2"/>
      <c r="J36" s="19"/>
      <c r="K36" s="2"/>
      <c r="L36" s="2">
        <f t="shared" si="0"/>
        <v>-14.99</v>
      </c>
      <c r="M36" s="2"/>
      <c r="N36" s="19">
        <f t="shared" si="1"/>
        <v>0</v>
      </c>
      <c r="O36" s="10"/>
      <c r="P36" s="2">
        <f>-14.99</f>
        <v>-14.99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34.989999999999995</v>
      </c>
      <c r="Y36" s="2"/>
      <c r="Z36" s="19">
        <f t="shared" si="3"/>
        <v>-0.70008003201280511</v>
      </c>
    </row>
    <row r="37" spans="1:26" s="23" customFormat="1" hidden="1" outlineLevel="1" x14ac:dyDescent="0.25">
      <c r="A37" s="44"/>
      <c r="B37" s="10" t="str">
        <f>CONCATENATE("          ", "4386", " - ", "SALES RETURN NON TAXABLE-COMPU")</f>
        <v xml:space="preserve">          4386 - SALES RETURN NON TAXABLE-COMPU</v>
      </c>
      <c r="C37" s="10"/>
      <c r="D37" s="2">
        <f>0</f>
        <v>0</v>
      </c>
      <c r="E37" s="2"/>
      <c r="F37" s="19"/>
      <c r="G37" s="2"/>
      <c r="H37" s="2">
        <f t="shared" si="6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0"/>
      <c r="P37" s="2">
        <f>0</f>
        <v>0</v>
      </c>
      <c r="Q37" s="2"/>
      <c r="R37" s="19"/>
      <c r="S37" s="2"/>
      <c r="T37" s="2">
        <f>-104.96</f>
        <v>-104.96</v>
      </c>
      <c r="U37" s="2"/>
      <c r="V37" s="19"/>
      <c r="W37" s="2"/>
      <c r="X37" s="2">
        <f t="shared" si="2"/>
        <v>104.96</v>
      </c>
      <c r="Y37" s="2"/>
      <c r="Z37" s="19">
        <f t="shared" si="3"/>
        <v>-1</v>
      </c>
    </row>
    <row r="38" spans="1:26" x14ac:dyDescent="0.25">
      <c r="A38" s="9"/>
      <c r="B38" s="11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4" customFormat="1" collapsed="1" x14ac:dyDescent="0.25">
      <c r="A39" s="11"/>
      <c r="B39" s="28" t="s">
        <v>256</v>
      </c>
      <c r="C39" s="11"/>
      <c r="D39" s="4">
        <f>SUM(OSRRefD16x_0)</f>
        <v>369412.99999999994</v>
      </c>
      <c r="E39" s="4"/>
      <c r="F39" s="13">
        <f t="shared" ref="F39:F55" si="8">IF(D$12=0,0,D39/D$12)</f>
        <v>0.91614052853149075</v>
      </c>
      <c r="G39" s="4"/>
      <c r="H39" s="4">
        <f>SUM(OSRRefH16x_0)</f>
        <v>255853.70999999996</v>
      </c>
      <c r="I39" s="4"/>
      <c r="J39" s="13">
        <f t="shared" ref="J39:J55" si="9">IF(H$12=0,0,H39/H$12)</f>
        <v>0.84276266276595813</v>
      </c>
      <c r="K39" s="4"/>
      <c r="L39" s="4">
        <f t="shared" ref="L39:L55" si="10">+D39-H39</f>
        <v>113559.28999999998</v>
      </c>
      <c r="M39" s="4"/>
      <c r="N39" s="13">
        <f t="shared" ref="N39:N55" si="11">IF(H39=0,0,L39/H39)</f>
        <v>0.44384460948406806</v>
      </c>
      <c r="O39" s="11"/>
      <c r="P39" s="4">
        <f>SUM(OSRRefP16x_0)</f>
        <v>2233934.84</v>
      </c>
      <c r="Q39" s="4"/>
      <c r="R39" s="13">
        <f t="shared" ref="R39:R55" si="12">IF(P$12=0,0,P39/P$12)</f>
        <v>0.92205286653919083</v>
      </c>
      <c r="S39" s="4"/>
      <c r="T39" s="4">
        <f>SUM(OSRRefT16x_0)</f>
        <v>2032294.2500000002</v>
      </c>
      <c r="U39" s="4"/>
      <c r="V39" s="13">
        <f t="shared" ref="V39:V55" si="13">IF(T$12=0,0,T39/T$12)</f>
        <v>0.86778840146087965</v>
      </c>
      <c r="W39" s="4"/>
      <c r="X39" s="4">
        <f t="shared" ref="X39:X55" si="14">+P39-T39</f>
        <v>201640.58999999962</v>
      </c>
      <c r="Y39" s="4"/>
      <c r="Z39" s="13">
        <f t="shared" ref="Z39:Z55" si="15">IF(T39=0,0,X39/T39)</f>
        <v>9.9218206221859659E-2</v>
      </c>
    </row>
    <row r="40" spans="1:26" s="23" customFormat="1" hidden="1" outlineLevel="1" x14ac:dyDescent="0.25">
      <c r="A40" s="44"/>
      <c r="B40" s="10" t="str">
        <f>CONCATENATE("          ", "5000", " - ", "PURCHASES @ COST")</f>
        <v xml:space="preserve">          5000 - PURCHASES @ COST</v>
      </c>
      <c r="C40" s="10"/>
      <c r="D40" s="2"/>
      <c r="E40" s="2"/>
      <c r="F40" s="19">
        <f t="shared" si="8"/>
        <v>0</v>
      </c>
      <c r="G40" s="2"/>
      <c r="H40" s="2">
        <v>0</v>
      </c>
      <c r="I40" s="2"/>
      <c r="J40" s="19">
        <f t="shared" si="9"/>
        <v>0</v>
      </c>
      <c r="K40" s="2"/>
      <c r="L40" s="2">
        <f t="shared" si="10"/>
        <v>0</v>
      </c>
      <c r="M40" s="2"/>
      <c r="N40" s="19">
        <f t="shared" si="11"/>
        <v>0</v>
      </c>
      <c r="O40" s="10"/>
      <c r="P40" s="2">
        <v>0</v>
      </c>
      <c r="Q40" s="2"/>
      <c r="R40" s="19">
        <f t="shared" si="12"/>
        <v>0</v>
      </c>
      <c r="S40" s="2"/>
      <c r="T40" s="2">
        <v>0</v>
      </c>
      <c r="U40" s="2"/>
      <c r="V40" s="19">
        <f t="shared" si="13"/>
        <v>0</v>
      </c>
      <c r="W40" s="2"/>
      <c r="X40" s="2">
        <f t="shared" si="14"/>
        <v>0</v>
      </c>
      <c r="Y40" s="2"/>
      <c r="Z40" s="19">
        <f t="shared" si="15"/>
        <v>0</v>
      </c>
    </row>
    <row r="41" spans="1:26" s="23" customFormat="1" hidden="1" outlineLevel="1" x14ac:dyDescent="0.25">
      <c r="A41" s="44"/>
      <c r="B41" s="10" t="str">
        <f>CONCATENATE("          ", "5081", " - ", "PURCHASES @ COST-ELECTRONICS")</f>
        <v xml:space="preserve">          5081 - PURCHASES @ COST-ELECTRONICS</v>
      </c>
      <c r="C41" s="10"/>
      <c r="D41" s="2">
        <v>-19.5</v>
      </c>
      <c r="E41" s="2"/>
      <c r="F41" s="19">
        <f t="shared" si="8"/>
        <v>-4.8359804084761701E-5</v>
      </c>
      <c r="G41" s="2"/>
      <c r="H41" s="2">
        <v>-6200.47</v>
      </c>
      <c r="I41" s="2"/>
      <c r="J41" s="19">
        <f t="shared" si="9"/>
        <v>-2.0423876627000803E-2</v>
      </c>
      <c r="K41" s="2"/>
      <c r="L41" s="2">
        <f t="shared" si="10"/>
        <v>6180.97</v>
      </c>
      <c r="M41" s="2"/>
      <c r="N41" s="19">
        <f t="shared" si="11"/>
        <v>-0.99685507711512189</v>
      </c>
      <c r="O41" s="10"/>
      <c r="P41" s="2">
        <v>32448.37</v>
      </c>
      <c r="Q41" s="2"/>
      <c r="R41" s="19">
        <f t="shared" si="12"/>
        <v>1.3393010412525858E-2</v>
      </c>
      <c r="S41" s="2"/>
      <c r="T41" s="2">
        <v>256824.14</v>
      </c>
      <c r="U41" s="2"/>
      <c r="V41" s="19">
        <f t="shared" si="13"/>
        <v>0.10966375066364782</v>
      </c>
      <c r="W41" s="2"/>
      <c r="X41" s="2">
        <f t="shared" si="14"/>
        <v>-224375.77000000002</v>
      </c>
      <c r="Y41" s="2"/>
      <c r="Z41" s="19">
        <f t="shared" si="15"/>
        <v>-0.87365529579890744</v>
      </c>
    </row>
    <row r="42" spans="1:26" s="23" customFormat="1" hidden="1" outlineLevel="1" x14ac:dyDescent="0.25">
      <c r="A42" s="44"/>
      <c r="B42" s="10" t="str">
        <f>CONCATENATE("          ", "5082", " - ", "PURCHASES @ COST-COMPUTER HARD")</f>
        <v xml:space="preserve">          5082 - PURCHASES @ COST-COMPUTER HARD</v>
      </c>
      <c r="C42" s="10"/>
      <c r="D42" s="2">
        <v>277047.03999999998</v>
      </c>
      <c r="E42" s="2"/>
      <c r="F42" s="19">
        <f t="shared" si="8"/>
        <v>0.68707387572631473</v>
      </c>
      <c r="G42" s="2"/>
      <c r="H42" s="2">
        <v>119657.48</v>
      </c>
      <c r="I42" s="2"/>
      <c r="J42" s="19">
        <f t="shared" si="9"/>
        <v>0.39414263902862456</v>
      </c>
      <c r="K42" s="2"/>
      <c r="L42" s="2">
        <f t="shared" si="10"/>
        <v>157389.56</v>
      </c>
      <c r="M42" s="2"/>
      <c r="N42" s="19">
        <f t="shared" si="11"/>
        <v>1.315334068542978</v>
      </c>
      <c r="O42" s="10"/>
      <c r="P42" s="2">
        <v>1673340.8</v>
      </c>
      <c r="Q42" s="2"/>
      <c r="R42" s="19">
        <f t="shared" si="12"/>
        <v>0.69066861472870134</v>
      </c>
      <c r="S42" s="2"/>
      <c r="T42" s="2">
        <v>1500482.27</v>
      </c>
      <c r="U42" s="2"/>
      <c r="V42" s="19">
        <f t="shared" si="13"/>
        <v>0.64070501134552338</v>
      </c>
      <c r="W42" s="2"/>
      <c r="X42" s="2">
        <f t="shared" si="14"/>
        <v>172858.53000000003</v>
      </c>
      <c r="Y42" s="2"/>
      <c r="Z42" s="19">
        <f t="shared" si="15"/>
        <v>0.11520198102707339</v>
      </c>
    </row>
    <row r="43" spans="1:26" s="23" customFormat="1" hidden="1" outlineLevel="1" x14ac:dyDescent="0.25">
      <c r="A43" s="44"/>
      <c r="B43" s="10" t="str">
        <f>CONCATENATE("          ", "5083", " - ", "PURCHASES @ COST-COMPUTER EQUI")</f>
        <v xml:space="preserve">          5083 - PURCHASES @ COST-COMPUTER EQUI</v>
      </c>
      <c r="C43" s="10"/>
      <c r="D43" s="2">
        <v>14312.16</v>
      </c>
      <c r="E43" s="2"/>
      <c r="F43" s="19">
        <f t="shared" si="8"/>
        <v>3.5494013006654515E-2</v>
      </c>
      <c r="G43" s="2"/>
      <c r="H43" s="2">
        <v>2539.54</v>
      </c>
      <c r="I43" s="2"/>
      <c r="J43" s="19">
        <f t="shared" si="9"/>
        <v>8.3650516250112668E-3</v>
      </c>
      <c r="K43" s="2"/>
      <c r="L43" s="2">
        <f t="shared" si="10"/>
        <v>11772.619999999999</v>
      </c>
      <c r="M43" s="2"/>
      <c r="N43" s="19">
        <f t="shared" si="11"/>
        <v>4.6357293053072599</v>
      </c>
      <c r="O43" s="10"/>
      <c r="P43" s="2">
        <v>119515.49</v>
      </c>
      <c r="Q43" s="2"/>
      <c r="R43" s="19">
        <f t="shared" si="12"/>
        <v>4.9329818478651782E-2</v>
      </c>
      <c r="S43" s="2"/>
      <c r="T43" s="2">
        <v>80017.27</v>
      </c>
      <c r="U43" s="2"/>
      <c r="V43" s="19">
        <f t="shared" si="13"/>
        <v>3.4167325338131327E-2</v>
      </c>
      <c r="W43" s="2"/>
      <c r="X43" s="2">
        <f t="shared" si="14"/>
        <v>39498.22</v>
      </c>
      <c r="Y43" s="2"/>
      <c r="Z43" s="19">
        <f t="shared" si="15"/>
        <v>0.4936211895257111</v>
      </c>
    </row>
    <row r="44" spans="1:26" s="23" customFormat="1" hidden="1" outlineLevel="1" x14ac:dyDescent="0.25">
      <c r="A44" s="44"/>
      <c r="B44" s="10" t="str">
        <f>CONCATENATE("          ", "5084", " - ", "PURCHASES @ COST-SOFTWARE LICE")</f>
        <v xml:space="preserve">          5084 - PURCHASES @ COST-SOFTWARE LICE</v>
      </c>
      <c r="C44" s="10"/>
      <c r="D44" s="2"/>
      <c r="E44" s="2"/>
      <c r="F44" s="19">
        <f t="shared" si="8"/>
        <v>0</v>
      </c>
      <c r="G44" s="2"/>
      <c r="H44" s="2"/>
      <c r="I44" s="2"/>
      <c r="J44" s="19">
        <f t="shared" si="9"/>
        <v>0</v>
      </c>
      <c r="K44" s="2"/>
      <c r="L44" s="2">
        <f t="shared" si="10"/>
        <v>0</v>
      </c>
      <c r="M44" s="2"/>
      <c r="N44" s="19">
        <f t="shared" si="11"/>
        <v>0</v>
      </c>
      <c r="O44" s="10"/>
      <c r="P44" s="2"/>
      <c r="Q44" s="2"/>
      <c r="R44" s="19">
        <f t="shared" si="12"/>
        <v>0</v>
      </c>
      <c r="S44" s="2"/>
      <c r="T44" s="2">
        <v>2728</v>
      </c>
      <c r="U44" s="2"/>
      <c r="V44" s="19">
        <f t="shared" si="13"/>
        <v>1.1648543311015514E-3</v>
      </c>
      <c r="W44" s="2"/>
      <c r="X44" s="2">
        <f t="shared" si="14"/>
        <v>-2728</v>
      </c>
      <c r="Y44" s="2"/>
      <c r="Z44" s="19">
        <f t="shared" si="15"/>
        <v>-1</v>
      </c>
    </row>
    <row r="45" spans="1:26" s="23" customFormat="1" hidden="1" outlineLevel="1" x14ac:dyDescent="0.25">
      <c r="A45" s="44"/>
      <c r="B45" s="10" t="str">
        <f>CONCATENATE("          ", "5085", " - ", "PURCHASES @ COST-SOFTWARE")</f>
        <v xml:space="preserve">          5085 - PURCHASES @ COST-SOFTWARE</v>
      </c>
      <c r="C45" s="10"/>
      <c r="D45" s="2">
        <v>4012.17</v>
      </c>
      <c r="E45" s="2"/>
      <c r="F45" s="19">
        <f t="shared" si="8"/>
        <v>9.9501412899876077E-3</v>
      </c>
      <c r="G45" s="2"/>
      <c r="H45" s="2">
        <v>2504.11</v>
      </c>
      <c r="I45" s="2"/>
      <c r="J45" s="19">
        <f t="shared" si="9"/>
        <v>8.2483478995042277E-3</v>
      </c>
      <c r="K45" s="2"/>
      <c r="L45" s="2">
        <f t="shared" si="10"/>
        <v>1508.06</v>
      </c>
      <c r="M45" s="2"/>
      <c r="N45" s="19">
        <f t="shared" si="11"/>
        <v>0.60223392742331605</v>
      </c>
      <c r="O45" s="10"/>
      <c r="P45" s="2">
        <v>37910.879999999997</v>
      </c>
      <c r="Q45" s="2"/>
      <c r="R45" s="19">
        <f t="shared" si="12"/>
        <v>1.5647652273073138E-2</v>
      </c>
      <c r="S45" s="2"/>
      <c r="T45" s="2">
        <v>11666.5</v>
      </c>
      <c r="U45" s="2"/>
      <c r="V45" s="19">
        <f t="shared" si="13"/>
        <v>4.9815883628285375E-3</v>
      </c>
      <c r="W45" s="2"/>
      <c r="X45" s="2">
        <f t="shared" si="14"/>
        <v>26244.379999999997</v>
      </c>
      <c r="Y45" s="2"/>
      <c r="Z45" s="19">
        <f t="shared" si="15"/>
        <v>2.2495504221488876</v>
      </c>
    </row>
    <row r="46" spans="1:26" s="23" customFormat="1" hidden="1" outlineLevel="1" x14ac:dyDescent="0.25">
      <c r="A46" s="44"/>
      <c r="B46" s="10" t="str">
        <f>CONCATENATE("          ", "5086", " - ", "PURCHASES @ COST-COMPUTER SUPP")</f>
        <v xml:space="preserve">          5086 - PURCHASES @ COST-COMPUTER SUPP</v>
      </c>
      <c r="C46" s="10"/>
      <c r="D46" s="2">
        <v>28.4</v>
      </c>
      <c r="E46" s="2"/>
      <c r="F46" s="19">
        <f t="shared" si="8"/>
        <v>7.0431714667037548E-5</v>
      </c>
      <c r="G46" s="2"/>
      <c r="H46" s="2">
        <v>0</v>
      </c>
      <c r="I46" s="2"/>
      <c r="J46" s="19">
        <f t="shared" si="9"/>
        <v>0</v>
      </c>
      <c r="K46" s="2"/>
      <c r="L46" s="2">
        <f t="shared" si="10"/>
        <v>28.4</v>
      </c>
      <c r="M46" s="2"/>
      <c r="N46" s="19">
        <f t="shared" si="11"/>
        <v>0</v>
      </c>
      <c r="O46" s="10"/>
      <c r="P46" s="2">
        <v>23679.39</v>
      </c>
      <c r="Q46" s="2"/>
      <c r="R46" s="19">
        <f t="shared" si="12"/>
        <v>9.7736285931238048E-3</v>
      </c>
      <c r="S46" s="2"/>
      <c r="T46" s="2">
        <v>29950.55</v>
      </c>
      <c r="U46" s="2"/>
      <c r="V46" s="19">
        <f t="shared" si="13"/>
        <v>1.278886652726304E-2</v>
      </c>
      <c r="W46" s="2"/>
      <c r="X46" s="2">
        <f t="shared" si="14"/>
        <v>-6271.16</v>
      </c>
      <c r="Y46" s="2"/>
      <c r="Z46" s="19">
        <f t="shared" si="15"/>
        <v>-0.20938380096525774</v>
      </c>
    </row>
    <row r="47" spans="1:26" s="23" customFormat="1" hidden="1" outlineLevel="1" x14ac:dyDescent="0.25">
      <c r="A47" s="44"/>
      <c r="B47" s="10" t="str">
        <f>CONCATENATE("          ", "5088", " - ", "PURCHASES @ COST-MUSIC")</f>
        <v xml:space="preserve">          5088 - PURCHASES @ COST-MUSIC</v>
      </c>
      <c r="C47" s="10"/>
      <c r="D47" s="2"/>
      <c r="E47" s="2"/>
      <c r="F47" s="19">
        <f t="shared" si="8"/>
        <v>0</v>
      </c>
      <c r="G47" s="2"/>
      <c r="H47" s="2"/>
      <c r="I47" s="2"/>
      <c r="J47" s="19">
        <f t="shared" si="9"/>
        <v>0</v>
      </c>
      <c r="K47" s="2"/>
      <c r="L47" s="2">
        <f t="shared" si="10"/>
        <v>0</v>
      </c>
      <c r="M47" s="2"/>
      <c r="N47" s="19">
        <f t="shared" si="11"/>
        <v>0</v>
      </c>
      <c r="O47" s="10"/>
      <c r="P47" s="2"/>
      <c r="Q47" s="2"/>
      <c r="R47" s="19">
        <f t="shared" si="12"/>
        <v>0</v>
      </c>
      <c r="S47" s="2"/>
      <c r="T47" s="2">
        <v>95.65</v>
      </c>
      <c r="U47" s="2"/>
      <c r="V47" s="19">
        <f t="shared" si="13"/>
        <v>4.0842491484554037E-5</v>
      </c>
      <c r="W47" s="2"/>
      <c r="X47" s="2">
        <f t="shared" si="14"/>
        <v>-95.65</v>
      </c>
      <c r="Y47" s="2"/>
      <c r="Z47" s="19">
        <f t="shared" si="15"/>
        <v>-1</v>
      </c>
    </row>
    <row r="48" spans="1:26" s="23" customFormat="1" hidden="1" outlineLevel="1" x14ac:dyDescent="0.25">
      <c r="A48" s="44"/>
      <c r="B48" s="10" t="str">
        <f>CONCATENATE("          ", "5200", " - ", "PURCHASES OFFSET")</f>
        <v xml:space="preserve">          5200 - PURCHASES OFFSET</v>
      </c>
      <c r="C48" s="10"/>
      <c r="D48" s="2">
        <v>-295380.27</v>
      </c>
      <c r="E48" s="2"/>
      <c r="F48" s="19">
        <f t="shared" si="8"/>
        <v>-0.73254010193353924</v>
      </c>
      <c r="G48" s="2"/>
      <c r="H48" s="2">
        <v>-118540</v>
      </c>
      <c r="I48" s="2"/>
      <c r="J48" s="19">
        <f t="shared" si="9"/>
        <v>-0.39046174489428626</v>
      </c>
      <c r="K48" s="2"/>
      <c r="L48" s="2">
        <f t="shared" si="10"/>
        <v>-176840.27000000002</v>
      </c>
      <c r="M48" s="2"/>
      <c r="N48" s="19">
        <f t="shared" si="11"/>
        <v>1.4918193858613127</v>
      </c>
      <c r="O48" s="10"/>
      <c r="P48" s="2">
        <v>-1883381.08</v>
      </c>
      <c r="Q48" s="2"/>
      <c r="R48" s="19">
        <f t="shared" si="12"/>
        <v>-0.77736238877928832</v>
      </c>
      <c r="S48" s="2"/>
      <c r="T48" s="2">
        <v>-1882420</v>
      </c>
      <c r="U48" s="2"/>
      <c r="V48" s="19">
        <f t="shared" si="13"/>
        <v>-0.80379218839889388</v>
      </c>
      <c r="W48" s="2"/>
      <c r="X48" s="2">
        <f t="shared" si="14"/>
        <v>-961.08000000007451</v>
      </c>
      <c r="Y48" s="2"/>
      <c r="Z48" s="19">
        <f t="shared" si="15"/>
        <v>5.1055556145816262E-4</v>
      </c>
    </row>
    <row r="49" spans="1:26" s="23" customFormat="1" hidden="1" outlineLevel="1" x14ac:dyDescent="0.25">
      <c r="A49" s="44"/>
      <c r="B49" s="10" t="str">
        <f>CONCATENATE("          ", "5300", " - ", "COG$ OFFSET")</f>
        <v xml:space="preserve">          5300 - COG$ OFFSET</v>
      </c>
      <c r="C49" s="10"/>
      <c r="D49" s="2">
        <v>369413</v>
      </c>
      <c r="E49" s="2"/>
      <c r="F49" s="19">
        <f t="shared" si="8"/>
        <v>0.91614052853149097</v>
      </c>
      <c r="G49" s="2"/>
      <c r="H49" s="2">
        <v>255854</v>
      </c>
      <c r="I49" s="2"/>
      <c r="J49" s="19">
        <f t="shared" si="9"/>
        <v>0.84276361800390343</v>
      </c>
      <c r="K49" s="2"/>
      <c r="L49" s="2">
        <f t="shared" si="10"/>
        <v>113559</v>
      </c>
      <c r="M49" s="2"/>
      <c r="N49" s="19">
        <f t="shared" si="11"/>
        <v>0.44384297294550801</v>
      </c>
      <c r="O49" s="10"/>
      <c r="P49" s="2">
        <v>2229989</v>
      </c>
      <c r="Q49" s="2"/>
      <c r="R49" s="19">
        <f t="shared" si="12"/>
        <v>0.92042422768287357</v>
      </c>
      <c r="S49" s="2"/>
      <c r="T49" s="2">
        <v>2032292</v>
      </c>
      <c r="U49" s="2"/>
      <c r="V49" s="19">
        <f t="shared" si="13"/>
        <v>0.867787440712256</v>
      </c>
      <c r="W49" s="2"/>
      <c r="X49" s="2">
        <f t="shared" si="14"/>
        <v>197697</v>
      </c>
      <c r="Y49" s="2"/>
      <c r="Z49" s="19">
        <f t="shared" si="15"/>
        <v>9.727785180476034E-2</v>
      </c>
    </row>
    <row r="50" spans="1:26" s="23" customFormat="1" hidden="1" outlineLevel="1" x14ac:dyDescent="0.25">
      <c r="A50" s="44"/>
      <c r="B50" s="10" t="str">
        <f>CONCATENATE("          ", "5500", " - ", "FREIGHT-IN")</f>
        <v xml:space="preserve">          5500 - FREIGHT-IN</v>
      </c>
      <c r="C50" s="10"/>
      <c r="D50" s="2"/>
      <c r="E50" s="2"/>
      <c r="F50" s="19">
        <f t="shared" si="8"/>
        <v>0</v>
      </c>
      <c r="G50" s="2"/>
      <c r="H50" s="2"/>
      <c r="I50" s="2"/>
      <c r="J50" s="19">
        <f t="shared" si="9"/>
        <v>0</v>
      </c>
      <c r="K50" s="2"/>
      <c r="L50" s="2">
        <f t="shared" si="10"/>
        <v>0</v>
      </c>
      <c r="M50" s="2"/>
      <c r="N50" s="19">
        <f t="shared" si="11"/>
        <v>0</v>
      </c>
      <c r="O50" s="10"/>
      <c r="P50" s="2">
        <v>0</v>
      </c>
      <c r="Q50" s="2"/>
      <c r="R50" s="19">
        <f t="shared" si="12"/>
        <v>0</v>
      </c>
      <c r="S50" s="2"/>
      <c r="T50" s="2">
        <v>0</v>
      </c>
      <c r="U50" s="2"/>
      <c r="V50" s="19">
        <f t="shared" si="13"/>
        <v>0</v>
      </c>
      <c r="W50" s="2"/>
      <c r="X50" s="2">
        <f t="shared" si="14"/>
        <v>0</v>
      </c>
      <c r="Y50" s="2"/>
      <c r="Z50" s="19">
        <f t="shared" si="15"/>
        <v>0</v>
      </c>
    </row>
    <row r="51" spans="1:26" s="23" customFormat="1" hidden="1" outlineLevel="1" x14ac:dyDescent="0.25">
      <c r="A51" s="44"/>
      <c r="B51" s="10" t="str">
        <f>CONCATENATE("          ", "5581", " - ", "FREIGHT-IN-ELECTRONICS")</f>
        <v xml:space="preserve">          5581 - FREIGHT-IN-ELECTRONICS</v>
      </c>
      <c r="C51" s="10"/>
      <c r="D51" s="2"/>
      <c r="E51" s="2"/>
      <c r="F51" s="19">
        <f t="shared" si="8"/>
        <v>0</v>
      </c>
      <c r="G51" s="2"/>
      <c r="H51" s="2"/>
      <c r="I51" s="2"/>
      <c r="J51" s="19">
        <f t="shared" si="9"/>
        <v>0</v>
      </c>
      <c r="K51" s="2"/>
      <c r="L51" s="2">
        <f t="shared" si="10"/>
        <v>0</v>
      </c>
      <c r="M51" s="2"/>
      <c r="N51" s="19">
        <f t="shared" si="11"/>
        <v>0</v>
      </c>
      <c r="O51" s="10"/>
      <c r="P51" s="2">
        <v>31</v>
      </c>
      <c r="Q51" s="2"/>
      <c r="R51" s="19">
        <f t="shared" si="12"/>
        <v>1.2795198118990309E-5</v>
      </c>
      <c r="S51" s="2"/>
      <c r="T51" s="2">
        <v>105.75</v>
      </c>
      <c r="U51" s="2"/>
      <c r="V51" s="19">
        <f t="shared" si="13"/>
        <v>4.5155185305714469E-5</v>
      </c>
      <c r="W51" s="2"/>
      <c r="X51" s="2">
        <f t="shared" si="14"/>
        <v>-74.75</v>
      </c>
      <c r="Y51" s="2"/>
      <c r="Z51" s="19">
        <f t="shared" si="15"/>
        <v>-0.70685579196217496</v>
      </c>
    </row>
    <row r="52" spans="1:26" s="23" customFormat="1" hidden="1" outlineLevel="1" x14ac:dyDescent="0.25">
      <c r="A52" s="44"/>
      <c r="B52" s="10" t="str">
        <f>CONCATENATE("          ", "5582", " - ", "FREIGHT-IN-COMPUTER HARDWARE")</f>
        <v xml:space="preserve">          5582 - FREIGHT-IN-COMPUTER HARDWARE</v>
      </c>
      <c r="C52" s="10"/>
      <c r="D52" s="2"/>
      <c r="E52" s="2"/>
      <c r="F52" s="19">
        <f t="shared" si="8"/>
        <v>0</v>
      </c>
      <c r="G52" s="2"/>
      <c r="H52" s="2"/>
      <c r="I52" s="2"/>
      <c r="J52" s="19">
        <f t="shared" si="9"/>
        <v>0</v>
      </c>
      <c r="K52" s="2"/>
      <c r="L52" s="2">
        <f t="shared" si="10"/>
        <v>0</v>
      </c>
      <c r="M52" s="2"/>
      <c r="N52" s="19">
        <f t="shared" si="11"/>
        <v>0</v>
      </c>
      <c r="O52" s="10"/>
      <c r="P52" s="2">
        <v>125</v>
      </c>
      <c r="Q52" s="2"/>
      <c r="R52" s="19">
        <f t="shared" si="12"/>
        <v>5.159354080238028E-5</v>
      </c>
      <c r="S52" s="2"/>
      <c r="T52" s="2">
        <v>154.30000000000001</v>
      </c>
      <c r="U52" s="2"/>
      <c r="V52" s="19">
        <f t="shared" si="13"/>
        <v>6.5886005604460932E-5</v>
      </c>
      <c r="W52" s="2"/>
      <c r="X52" s="2">
        <f t="shared" si="14"/>
        <v>-29.300000000000011</v>
      </c>
      <c r="Y52" s="2"/>
      <c r="Z52" s="19">
        <f t="shared" si="15"/>
        <v>-0.18988982501620227</v>
      </c>
    </row>
    <row r="53" spans="1:26" s="23" customFormat="1" hidden="1" outlineLevel="1" x14ac:dyDescent="0.25">
      <c r="A53" s="44"/>
      <c r="B53" s="10" t="str">
        <f>CONCATENATE("          ", "5583", " - ", "FREIGHT-IN-COMPUTER EQUIPMENT")</f>
        <v xml:space="preserve">          5583 - FREIGHT-IN-COMPUTER EQUIPMENT</v>
      </c>
      <c r="C53" s="10"/>
      <c r="D53" s="2"/>
      <c r="E53" s="2"/>
      <c r="F53" s="19">
        <f t="shared" si="8"/>
        <v>0</v>
      </c>
      <c r="G53" s="2"/>
      <c r="H53" s="2">
        <v>39.049999999999997</v>
      </c>
      <c r="I53" s="2"/>
      <c r="J53" s="19">
        <f t="shared" si="9"/>
        <v>1.2862773020180427E-4</v>
      </c>
      <c r="K53" s="2"/>
      <c r="L53" s="2">
        <f t="shared" si="10"/>
        <v>-39.049999999999997</v>
      </c>
      <c r="M53" s="2"/>
      <c r="N53" s="19">
        <f t="shared" si="11"/>
        <v>-1</v>
      </c>
      <c r="O53" s="10"/>
      <c r="P53" s="2">
        <v>242.46</v>
      </c>
      <c r="Q53" s="2"/>
      <c r="R53" s="19">
        <f t="shared" si="12"/>
        <v>1.0007495922356099E-4</v>
      </c>
      <c r="S53" s="2"/>
      <c r="T53" s="2">
        <v>96.55</v>
      </c>
      <c r="U53" s="2"/>
      <c r="V53" s="19">
        <f t="shared" si="13"/>
        <v>4.1226790933964368E-5</v>
      </c>
      <c r="W53" s="2"/>
      <c r="X53" s="2">
        <f t="shared" si="14"/>
        <v>145.91000000000003</v>
      </c>
      <c r="Y53" s="2"/>
      <c r="Z53" s="19">
        <f t="shared" si="15"/>
        <v>1.5112377006732267</v>
      </c>
    </row>
    <row r="54" spans="1:26" s="23" customFormat="1" hidden="1" outlineLevel="1" x14ac:dyDescent="0.25">
      <c r="A54" s="44"/>
      <c r="B54" s="10" t="str">
        <f>CONCATENATE("          ", "5585", " - ", "FREIGHT-IN-SOFTWARE")</f>
        <v xml:space="preserve">          5585 - FREIGHT-IN-SOFTWARE</v>
      </c>
      <c r="C54" s="10"/>
      <c r="D54" s="2"/>
      <c r="E54" s="2"/>
      <c r="F54" s="19">
        <f t="shared" si="8"/>
        <v>0</v>
      </c>
      <c r="G54" s="2"/>
      <c r="H54" s="2"/>
      <c r="I54" s="2"/>
      <c r="J54" s="19">
        <f t="shared" si="9"/>
        <v>0</v>
      </c>
      <c r="K54" s="2"/>
      <c r="L54" s="2">
        <f t="shared" si="10"/>
        <v>0</v>
      </c>
      <c r="M54" s="2"/>
      <c r="N54" s="19">
        <f t="shared" si="11"/>
        <v>0</v>
      </c>
      <c r="O54" s="10"/>
      <c r="P54" s="2">
        <v>9.41</v>
      </c>
      <c r="Q54" s="2"/>
      <c r="R54" s="19">
        <f t="shared" si="12"/>
        <v>3.8839617516031877E-6</v>
      </c>
      <c r="S54" s="2"/>
      <c r="T54" s="2"/>
      <c r="U54" s="2"/>
      <c r="V54" s="19">
        <f t="shared" si="13"/>
        <v>0</v>
      </c>
      <c r="W54" s="2"/>
      <c r="X54" s="2">
        <f t="shared" si="14"/>
        <v>9.41</v>
      </c>
      <c r="Y54" s="2"/>
      <c r="Z54" s="19">
        <f t="shared" si="15"/>
        <v>0</v>
      </c>
    </row>
    <row r="55" spans="1:26" s="23" customFormat="1" hidden="1" outlineLevel="1" x14ac:dyDescent="0.25">
      <c r="A55" s="44"/>
      <c r="B55" s="10" t="str">
        <f>CONCATENATE("          ", "5586", " - ", "FREIGHT-IN-COMPUTER SUPPLIES")</f>
        <v xml:space="preserve">          5586 - FREIGHT-IN-COMPUTER SUPPLIES</v>
      </c>
      <c r="C55" s="10"/>
      <c r="D55" s="2"/>
      <c r="E55" s="2"/>
      <c r="F55" s="19">
        <f t="shared" si="8"/>
        <v>0</v>
      </c>
      <c r="G55" s="2"/>
      <c r="H55" s="2"/>
      <c r="I55" s="2"/>
      <c r="J55" s="19">
        <f t="shared" si="9"/>
        <v>0</v>
      </c>
      <c r="K55" s="2"/>
      <c r="L55" s="2">
        <f t="shared" si="10"/>
        <v>0</v>
      </c>
      <c r="M55" s="2"/>
      <c r="N55" s="19">
        <f t="shared" si="11"/>
        <v>0</v>
      </c>
      <c r="O55" s="10"/>
      <c r="P55" s="2">
        <v>24.12</v>
      </c>
      <c r="Q55" s="2"/>
      <c r="R55" s="19">
        <f t="shared" si="12"/>
        <v>9.9554896332272994E-6</v>
      </c>
      <c r="S55" s="2"/>
      <c r="T55" s="2">
        <v>301.27</v>
      </c>
      <c r="U55" s="2"/>
      <c r="V55" s="19">
        <f t="shared" si="13"/>
        <v>1.2864210569316878E-4</v>
      </c>
      <c r="W55" s="2"/>
      <c r="X55" s="2">
        <f t="shared" si="14"/>
        <v>-277.14999999999998</v>
      </c>
      <c r="Y55" s="2"/>
      <c r="Z55" s="19">
        <f t="shared" si="15"/>
        <v>-0.91993892521658316</v>
      </c>
    </row>
    <row r="56" spans="1:26" x14ac:dyDescent="0.25">
      <c r="A56" s="9"/>
      <c r="B56" s="11"/>
      <c r="C56" s="11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1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4" customFormat="1" x14ac:dyDescent="0.25">
      <c r="A57" s="11"/>
      <c r="B57" s="29" t="s">
        <v>107</v>
      </c>
      <c r="C57" s="29"/>
      <c r="D57" s="20">
        <f>D12-D39</f>
        <v>33814.44</v>
      </c>
      <c r="E57" s="14"/>
      <c r="F57" s="22">
        <f>IF(D$12=0,0,D57/D$12)</f>
        <v>8.3859471468509209E-2</v>
      </c>
      <c r="G57" s="14"/>
      <c r="H57" s="20">
        <f>H12-H39</f>
        <v>47735.569999999949</v>
      </c>
      <c r="I57" s="14"/>
      <c r="J57" s="22">
        <f>IF(H$12=0,0,H57/H$12)</f>
        <v>0.15723733723404187</v>
      </c>
      <c r="K57" s="16"/>
      <c r="L57" s="20">
        <f>+D57-H57</f>
        <v>-13921.129999999946</v>
      </c>
      <c r="M57" s="16"/>
      <c r="N57" s="22">
        <f>IF(H57=0,0,L57/H57)</f>
        <v>-0.29163011984564052</v>
      </c>
      <c r="O57" s="28"/>
      <c r="P57" s="20">
        <f>P12-P39</f>
        <v>188849.05999999959</v>
      </c>
      <c r="Q57" s="14"/>
      <c r="R57" s="22">
        <f>IF(P$12=0,0,P57/P$12)</f>
        <v>7.7947133460809129E-2</v>
      </c>
      <c r="S57" s="14"/>
      <c r="T57" s="20">
        <f>T12-T39</f>
        <v>309629.47999999928</v>
      </c>
      <c r="U57" s="14"/>
      <c r="V57" s="22">
        <f>IF(T$12=0,0,T57/T$12)</f>
        <v>0.13221159853912037</v>
      </c>
      <c r="W57" s="16"/>
      <c r="X57" s="20">
        <f>+P57-T57</f>
        <v>-120780.41999999969</v>
      </c>
      <c r="Y57" s="16"/>
      <c r="Z57" s="22">
        <f>IF(T57=0,0,X57/T57)</f>
        <v>-0.39008049233554881</v>
      </c>
    </row>
    <row r="58" spans="1:26" x14ac:dyDescent="0.25">
      <c r="A58" s="9"/>
      <c r="B58" s="11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4" customFormat="1" x14ac:dyDescent="0.25">
      <c r="A59" s="11"/>
      <c r="B59" s="28" t="s">
        <v>294</v>
      </c>
      <c r="C59" s="11"/>
      <c r="D59" s="21">
        <f>SUM(OSRRefD22x_0)</f>
        <v>13637.129999999997</v>
      </c>
      <c r="E59" s="21"/>
      <c r="F59" s="31">
        <f t="shared" ref="F59:F69" si="16">IF(D$12=0,0,D59/D$12)</f>
        <v>3.3819945388637238E-2</v>
      </c>
      <c r="G59" s="21"/>
      <c r="H59" s="21">
        <f>SUM(OSRRefH22x_0)</f>
        <v>23202.999999999996</v>
      </c>
      <c r="I59" s="21"/>
      <c r="J59" s="31">
        <f t="shared" ref="J59:J69" si="17">IF(H$12=0,0,H59/H$12)</f>
        <v>7.6428917384698175E-2</v>
      </c>
      <c r="K59" s="4"/>
      <c r="L59" s="21">
        <f t="shared" ref="L59:L69" si="18">+D59-H59</f>
        <v>-9565.869999999999</v>
      </c>
      <c r="M59" s="4"/>
      <c r="N59" s="31">
        <f t="shared" ref="N59:N69" si="19">IF(H59=0,0,L59/H59)</f>
        <v>-0.41226867215446278</v>
      </c>
      <c r="O59" s="11"/>
      <c r="P59" s="21">
        <f>SUM(OSRRefP22x_0)</f>
        <v>137695.78</v>
      </c>
      <c r="Q59" s="21"/>
      <c r="R59" s="31">
        <f t="shared" ref="R59:R69" si="20">IF(P$12=0,0,P59/P$12)</f>
        <v>5.6833702749964632E-2</v>
      </c>
      <c r="S59" s="21"/>
      <c r="T59" s="21">
        <f>SUM(OSRRefT22x_0)</f>
        <v>198003.15000000002</v>
      </c>
      <c r="U59" s="21"/>
      <c r="V59" s="31">
        <f t="shared" ref="V59:V69" si="21">IF(T$12=0,0,T59/T$12)</f>
        <v>8.4547223918346848E-2</v>
      </c>
      <c r="W59" s="4"/>
      <c r="X59" s="21">
        <f t="shared" ref="X59:X69" si="22">+P59-T59</f>
        <v>-60307.370000000024</v>
      </c>
      <c r="Y59" s="4"/>
      <c r="Z59" s="31">
        <f t="shared" ref="Z59:Z69" si="23">IF(T59=0,0,X59/T59)</f>
        <v>-0.30457783121127124</v>
      </c>
    </row>
    <row r="60" spans="1:26" s="26" customFormat="1" outlineLevel="1" collapsed="1" x14ac:dyDescent="0.25">
      <c r="A60" s="25"/>
      <c r="B60" s="12" t="str">
        <f>CONCATENATE("     ","*Benefits                                         ")</f>
        <v xml:space="preserve">     *Benefits                                         </v>
      </c>
      <c r="C60" s="12"/>
      <c r="D60" s="1">
        <f>SUM(OSRRefD22_0x_0)</f>
        <v>3356.18</v>
      </c>
      <c r="E60" s="1"/>
      <c r="F60" s="5">
        <f t="shared" si="16"/>
        <v>8.3232926806766933E-3</v>
      </c>
      <c r="G60" s="1"/>
      <c r="H60" s="1">
        <f>SUM(OSRRefH22_0x_0)</f>
        <v>3072.29</v>
      </c>
      <c r="I60" s="1"/>
      <c r="J60" s="5">
        <f t="shared" si="17"/>
        <v>1.0119889608750352E-2</v>
      </c>
      <c r="K60" s="1"/>
      <c r="L60" s="1">
        <f t="shared" si="18"/>
        <v>283.88999999999987</v>
      </c>
      <c r="M60" s="1"/>
      <c r="N60" s="5">
        <f t="shared" si="19"/>
        <v>9.2403386399070364E-2</v>
      </c>
      <c r="O60" s="12"/>
      <c r="P60" s="1">
        <f>SUM(OSRRefP22_0x_0)</f>
        <v>29578.5</v>
      </c>
      <c r="Q60" s="1"/>
      <c r="R60" s="5">
        <f t="shared" si="20"/>
        <v>1.2208476372985642E-2</v>
      </c>
      <c r="S60" s="1"/>
      <c r="T60" s="1">
        <f>SUM(OSRRefT22_0x_0)</f>
        <v>24408.78</v>
      </c>
      <c r="U60" s="1"/>
      <c r="V60" s="5">
        <f t="shared" si="21"/>
        <v>1.0422534127531132E-2</v>
      </c>
      <c r="W60" s="1"/>
      <c r="X60" s="1">
        <f t="shared" si="22"/>
        <v>5169.7200000000012</v>
      </c>
      <c r="Y60" s="1"/>
      <c r="Z60" s="5">
        <f t="shared" si="23"/>
        <v>0.21179755809180145</v>
      </c>
    </row>
    <row r="61" spans="1:26" s="23" customFormat="1" hidden="1" outlineLevel="2" x14ac:dyDescent="0.25">
      <c r="A61" s="27"/>
      <c r="B61" s="10" t="str">
        <f>CONCATENATE("          ", "6111", " - ", "F.I.C.A.")</f>
        <v xml:space="preserve">          6111 - F.I.C.A.</v>
      </c>
      <c r="C61" s="10"/>
      <c r="D61" s="6">
        <v>675.75</v>
      </c>
      <c r="E61" s="2"/>
      <c r="F61" s="7">
        <f t="shared" si="16"/>
        <v>1.6758532107834726E-3</v>
      </c>
      <c r="G61" s="2"/>
      <c r="H61" s="6">
        <v>522.94000000000005</v>
      </c>
      <c r="I61" s="2"/>
      <c r="J61" s="7">
        <f t="shared" si="17"/>
        <v>1.7225245898010635E-3</v>
      </c>
      <c r="K61" s="2"/>
      <c r="L61" s="6">
        <f t="shared" si="18"/>
        <v>152.80999999999995</v>
      </c>
      <c r="M61" s="2"/>
      <c r="N61" s="7">
        <f t="shared" si="19"/>
        <v>0.29221325582284763</v>
      </c>
      <c r="O61" s="10"/>
      <c r="P61" s="6">
        <v>5413.83</v>
      </c>
      <c r="Q61" s="2"/>
      <c r="R61" s="7">
        <f t="shared" si="20"/>
        <v>2.2345492720172036E-3</v>
      </c>
      <c r="S61" s="2"/>
      <c r="T61" s="6">
        <v>7203.39</v>
      </c>
      <c r="U61" s="2"/>
      <c r="V61" s="7">
        <f t="shared" si="21"/>
        <v>3.0758431232087999E-3</v>
      </c>
      <c r="W61" s="2"/>
      <c r="X61" s="6">
        <f t="shared" si="22"/>
        <v>-1789.5600000000004</v>
      </c>
      <c r="Y61" s="2"/>
      <c r="Z61" s="7">
        <f t="shared" si="23"/>
        <v>-0.24843302944863466</v>
      </c>
    </row>
    <row r="62" spans="1:26" s="23" customFormat="1" hidden="1" outlineLevel="2" x14ac:dyDescent="0.25">
      <c r="A62" s="27"/>
      <c r="B62" s="10" t="str">
        <f>CONCATENATE("          ", "6112", " - ", "COMPENSATION INSURANCE")</f>
        <v xml:space="preserve">          6112 - COMPENSATION INSURANCE</v>
      </c>
      <c r="C62" s="10"/>
      <c r="D62" s="6">
        <v>175.68</v>
      </c>
      <c r="E62" s="2"/>
      <c r="F62" s="7">
        <f t="shared" si="16"/>
        <v>4.3568463495440696E-4</v>
      </c>
      <c r="G62" s="2"/>
      <c r="H62" s="6">
        <v>51.53</v>
      </c>
      <c r="I62" s="2"/>
      <c r="J62" s="7">
        <f t="shared" si="17"/>
        <v>1.6973590108320037E-4</v>
      </c>
      <c r="K62" s="2"/>
      <c r="L62" s="6">
        <f t="shared" si="18"/>
        <v>124.15</v>
      </c>
      <c r="M62" s="2"/>
      <c r="N62" s="7">
        <f t="shared" si="19"/>
        <v>2.4092761498156414</v>
      </c>
      <c r="O62" s="10"/>
      <c r="P62" s="6">
        <v>1534.43</v>
      </c>
      <c r="Q62" s="2"/>
      <c r="R62" s="7">
        <f t="shared" si="20"/>
        <v>6.3333341450717102E-4</v>
      </c>
      <c r="S62" s="2"/>
      <c r="T62" s="6">
        <v>1916.71</v>
      </c>
      <c r="U62" s="2"/>
      <c r="V62" s="7">
        <f t="shared" si="21"/>
        <v>8.1843399742142771E-4</v>
      </c>
      <c r="W62" s="2"/>
      <c r="X62" s="6">
        <f t="shared" si="22"/>
        <v>-382.28</v>
      </c>
      <c r="Y62" s="2"/>
      <c r="Z62" s="7">
        <f t="shared" si="23"/>
        <v>-0.19944592557037838</v>
      </c>
    </row>
    <row r="63" spans="1:26" s="23" customFormat="1" hidden="1" outlineLevel="2" x14ac:dyDescent="0.25">
      <c r="A63" s="27"/>
      <c r="B63" s="10" t="str">
        <f>CONCATENATE("          ", "6113", " - ", "GROUP INSURANCE")</f>
        <v xml:space="preserve">          6113 - GROUP INSURANCE</v>
      </c>
      <c r="C63" s="10"/>
      <c r="D63" s="6">
        <v>1053.8499999999999</v>
      </c>
      <c r="E63" s="2"/>
      <c r="F63" s="7">
        <f t="shared" si="16"/>
        <v>2.6135374120372363E-3</v>
      </c>
      <c r="G63" s="2"/>
      <c r="H63" s="6">
        <v>1035.69</v>
      </c>
      <c r="I63" s="2"/>
      <c r="J63" s="7">
        <f t="shared" si="17"/>
        <v>3.4114840945635508E-3</v>
      </c>
      <c r="K63" s="2"/>
      <c r="L63" s="6">
        <f t="shared" si="18"/>
        <v>18.159999999999854</v>
      </c>
      <c r="M63" s="2"/>
      <c r="N63" s="7">
        <f t="shared" si="19"/>
        <v>1.7534204250306419E-2</v>
      </c>
      <c r="O63" s="10"/>
      <c r="P63" s="6">
        <v>10430.18</v>
      </c>
      <c r="Q63" s="2"/>
      <c r="R63" s="7">
        <f t="shared" si="20"/>
        <v>4.3050393392493665E-3</v>
      </c>
      <c r="S63" s="2"/>
      <c r="T63" s="6">
        <v>11556</v>
      </c>
      <c r="U63" s="2"/>
      <c r="V63" s="7">
        <f t="shared" si="21"/>
        <v>4.9344049304287131E-3</v>
      </c>
      <c r="W63" s="2"/>
      <c r="X63" s="6">
        <f t="shared" si="22"/>
        <v>-1125.8199999999997</v>
      </c>
      <c r="Y63" s="2"/>
      <c r="Z63" s="7">
        <f t="shared" si="23"/>
        <v>-9.7422983731394922E-2</v>
      </c>
    </row>
    <row r="64" spans="1:26" s="23" customFormat="1" hidden="1" outlineLevel="2" x14ac:dyDescent="0.25">
      <c r="A64" s="27"/>
      <c r="B64" s="10" t="str">
        <f>CONCATENATE("          ", "6114", " - ", "STATE UNEMPLOYMENT INSURANCE")</f>
        <v xml:space="preserve">          6114 - STATE UNEMPLOYMENT INSURANCE</v>
      </c>
      <c r="C64" s="10"/>
      <c r="D64" s="6">
        <v>24.69</v>
      </c>
      <c r="E64" s="2"/>
      <c r="F64" s="7">
        <f t="shared" si="16"/>
        <v>6.1230951941167503E-5</v>
      </c>
      <c r="G64" s="2"/>
      <c r="H64" s="6">
        <v>12.18</v>
      </c>
      <c r="I64" s="2"/>
      <c r="J64" s="7">
        <f t="shared" si="17"/>
        <v>4.011999369674714E-5</v>
      </c>
      <c r="K64" s="2"/>
      <c r="L64" s="6">
        <f t="shared" si="18"/>
        <v>12.510000000000002</v>
      </c>
      <c r="M64" s="2"/>
      <c r="N64" s="7">
        <f t="shared" si="19"/>
        <v>1.0270935960591134</v>
      </c>
      <c r="O64" s="10"/>
      <c r="P64" s="6">
        <v>230.35</v>
      </c>
      <c r="Q64" s="2"/>
      <c r="R64" s="7">
        <f t="shared" si="20"/>
        <v>9.5076576990626375E-5</v>
      </c>
      <c r="S64" s="2"/>
      <c r="T64" s="6">
        <v>302.77</v>
      </c>
      <c r="U64" s="2"/>
      <c r="V64" s="7">
        <f t="shared" si="21"/>
        <v>1.2928260477551934E-4</v>
      </c>
      <c r="W64" s="2"/>
      <c r="X64" s="6">
        <f t="shared" si="22"/>
        <v>-72.419999999999987</v>
      </c>
      <c r="Y64" s="2"/>
      <c r="Z64" s="7">
        <f t="shared" si="23"/>
        <v>-0.23919146546883771</v>
      </c>
    </row>
    <row r="65" spans="1:26" s="23" customFormat="1" hidden="1" outlineLevel="2" x14ac:dyDescent="0.25">
      <c r="A65" s="27"/>
      <c r="B65" s="10" t="str">
        <f>CONCATENATE("          ", "6115", " - ", "P.E.R.S.")</f>
        <v xml:space="preserve">          6115 - P.E.R.S.</v>
      </c>
      <c r="C65" s="10"/>
      <c r="D65" s="6">
        <v>176.42</v>
      </c>
      <c r="E65" s="2"/>
      <c r="F65" s="7">
        <f t="shared" si="16"/>
        <v>4.3751982751967478E-4</v>
      </c>
      <c r="G65" s="2"/>
      <c r="H65" s="6">
        <v>159.41999999999999</v>
      </c>
      <c r="I65" s="2"/>
      <c r="J65" s="7">
        <f t="shared" si="17"/>
        <v>5.2511735592244903E-4</v>
      </c>
      <c r="K65" s="2"/>
      <c r="L65" s="6">
        <f t="shared" si="18"/>
        <v>17</v>
      </c>
      <c r="M65" s="2"/>
      <c r="N65" s="7">
        <f t="shared" si="19"/>
        <v>0.10663655752101368</v>
      </c>
      <c r="O65" s="10"/>
      <c r="P65" s="6">
        <v>1940.62</v>
      </c>
      <c r="Q65" s="2"/>
      <c r="R65" s="7">
        <f t="shared" si="20"/>
        <v>8.0098765721532174E-4</v>
      </c>
      <c r="S65" s="2"/>
      <c r="T65" s="6">
        <v>2488.86</v>
      </c>
      <c r="U65" s="2"/>
      <c r="V65" s="7">
        <f t="shared" si="21"/>
        <v>1.062741697399343E-3</v>
      </c>
      <c r="W65" s="2"/>
      <c r="X65" s="6">
        <f t="shared" si="22"/>
        <v>-548.24000000000024</v>
      </c>
      <c r="Y65" s="2"/>
      <c r="Z65" s="7">
        <f t="shared" si="23"/>
        <v>-0.22027755679307001</v>
      </c>
    </row>
    <row r="66" spans="1:26" s="23" customFormat="1" hidden="1" outlineLevel="2" x14ac:dyDescent="0.25">
      <c r="A66" s="27"/>
      <c r="B66" s="10" t="str">
        <f>CONCATENATE("          ", "6117", " - ", "RETIREMENT STAFF HOURLY")</f>
        <v xml:space="preserve">          6117 - RETIREMENT STAFF HOURLY</v>
      </c>
      <c r="C66" s="10"/>
      <c r="D66" s="6">
        <v>174.9</v>
      </c>
      <c r="E66" s="2"/>
      <c r="F66" s="7">
        <f t="shared" si="16"/>
        <v>4.3375024279101646E-4</v>
      </c>
      <c r="G66" s="2"/>
      <c r="H66" s="6">
        <v>382.31</v>
      </c>
      <c r="I66" s="2"/>
      <c r="J66" s="7">
        <f t="shared" si="17"/>
        <v>1.2593000648771265E-3</v>
      </c>
      <c r="K66" s="2"/>
      <c r="L66" s="6">
        <f t="shared" si="18"/>
        <v>-207.41</v>
      </c>
      <c r="M66" s="2"/>
      <c r="N66" s="7">
        <f t="shared" si="19"/>
        <v>-0.54251785200491742</v>
      </c>
      <c r="O66" s="10"/>
      <c r="P66" s="6">
        <v>1895.94</v>
      </c>
      <c r="Q66" s="2"/>
      <c r="R66" s="7">
        <f t="shared" si="20"/>
        <v>7.8254606199091897E-4</v>
      </c>
      <c r="S66" s="2"/>
      <c r="T66" s="6">
        <v>1773.79</v>
      </c>
      <c r="U66" s="2"/>
      <c r="V66" s="7">
        <f t="shared" si="21"/>
        <v>7.5740724485506632E-4</v>
      </c>
      <c r="W66" s="2"/>
      <c r="X66" s="6">
        <f t="shared" si="22"/>
        <v>122.15000000000009</v>
      </c>
      <c r="Y66" s="2"/>
      <c r="Z66" s="7">
        <f t="shared" si="23"/>
        <v>6.8863845212792998E-2</v>
      </c>
    </row>
    <row r="67" spans="1:26" s="23" customFormat="1" hidden="1" outlineLevel="2" x14ac:dyDescent="0.25">
      <c r="A67" s="27"/>
      <c r="B67" s="10" t="str">
        <f>CONCATENATE("          ", "6118", " - ", "VACATION")</f>
        <v xml:space="preserve">          6118 - VACATION</v>
      </c>
      <c r="C67" s="10"/>
      <c r="D67" s="6">
        <v>400.56</v>
      </c>
      <c r="E67" s="2"/>
      <c r="F67" s="7">
        <f t="shared" si="16"/>
        <v>9.9338477559959728E-4</v>
      </c>
      <c r="G67" s="2"/>
      <c r="H67" s="6">
        <v>386.7</v>
      </c>
      <c r="I67" s="2"/>
      <c r="J67" s="7">
        <f t="shared" si="17"/>
        <v>1.2737603910124894E-3</v>
      </c>
      <c r="K67" s="2"/>
      <c r="L67" s="6">
        <f t="shared" si="18"/>
        <v>13.860000000000014</v>
      </c>
      <c r="M67" s="2"/>
      <c r="N67" s="7">
        <f t="shared" si="19"/>
        <v>3.5841737781225791E-2</v>
      </c>
      <c r="O67" s="10"/>
      <c r="P67" s="6">
        <v>2891.22</v>
      </c>
      <c r="Q67" s="2"/>
      <c r="R67" s="7">
        <f t="shared" si="20"/>
        <v>1.1933462163092633E-3</v>
      </c>
      <c r="S67" s="2"/>
      <c r="T67" s="6">
        <v>2787.55</v>
      </c>
      <c r="U67" s="2"/>
      <c r="V67" s="7">
        <f t="shared" si="21"/>
        <v>1.1902821446708688E-3</v>
      </c>
      <c r="W67" s="2"/>
      <c r="X67" s="6">
        <f t="shared" si="22"/>
        <v>103.66999999999962</v>
      </c>
      <c r="Y67" s="2"/>
      <c r="Z67" s="7">
        <f t="shared" si="23"/>
        <v>3.7190364298398094E-2</v>
      </c>
    </row>
    <row r="68" spans="1:26" s="23" customFormat="1" hidden="1" outlineLevel="2" x14ac:dyDescent="0.25">
      <c r="A68" s="27"/>
      <c r="B68" s="10" t="str">
        <f>CONCATENATE("          ", "6119", " - ", "SICK LEAVE")</f>
        <v xml:space="preserve">          6119 - SICK LEAVE</v>
      </c>
      <c r="C68" s="10"/>
      <c r="D68" s="6">
        <v>401.45</v>
      </c>
      <c r="E68" s="2"/>
      <c r="F68" s="7">
        <f t="shared" si="16"/>
        <v>9.9559196665782485E-4</v>
      </c>
      <c r="G68" s="2"/>
      <c r="H68" s="6">
        <v>384.86</v>
      </c>
      <c r="I68" s="2"/>
      <c r="J68" s="7">
        <f t="shared" si="17"/>
        <v>1.2676995709466426E-3</v>
      </c>
      <c r="K68" s="2"/>
      <c r="L68" s="6">
        <f t="shared" si="18"/>
        <v>16.589999999999975</v>
      </c>
      <c r="M68" s="2"/>
      <c r="N68" s="7">
        <f t="shared" si="19"/>
        <v>4.3106584212440818E-2</v>
      </c>
      <c r="O68" s="10"/>
      <c r="P68" s="6">
        <v>2888.63</v>
      </c>
      <c r="Q68" s="2"/>
      <c r="R68" s="7">
        <f t="shared" si="20"/>
        <v>1.192277198143838E-3</v>
      </c>
      <c r="S68" s="2"/>
      <c r="T68" s="6">
        <v>-5346.7</v>
      </c>
      <c r="U68" s="2"/>
      <c r="V68" s="7">
        <f t="shared" si="21"/>
        <v>-2.2830376290691587E-3</v>
      </c>
      <c r="W68" s="2"/>
      <c r="X68" s="6">
        <f t="shared" si="22"/>
        <v>8235.33</v>
      </c>
      <c r="Y68" s="2"/>
      <c r="Z68" s="7">
        <f t="shared" si="23"/>
        <v>-1.5402640881291265</v>
      </c>
    </row>
    <row r="69" spans="1:26" s="23" customFormat="1" hidden="1" outlineLevel="2" x14ac:dyDescent="0.25">
      <c r="A69" s="27"/>
      <c r="B69" s="10" t="str">
        <f>CONCATENATE("          ", "6156", " - ", "EMPLOYEE MEALS")</f>
        <v xml:space="preserve">          6156 - EMPLOYEE MEALS</v>
      </c>
      <c r="C69" s="10"/>
      <c r="D69" s="6">
        <v>272.88</v>
      </c>
      <c r="E69" s="2"/>
      <c r="F69" s="7">
        <f t="shared" si="16"/>
        <v>6.7673965839229596E-4</v>
      </c>
      <c r="G69" s="2"/>
      <c r="H69" s="6">
        <v>136.66</v>
      </c>
      <c r="I69" s="2"/>
      <c r="J69" s="7">
        <f t="shared" si="17"/>
        <v>4.5014764684708249E-4</v>
      </c>
      <c r="K69" s="2"/>
      <c r="L69" s="6">
        <f t="shared" si="18"/>
        <v>136.22</v>
      </c>
      <c r="M69" s="2"/>
      <c r="N69" s="7">
        <f t="shared" si="19"/>
        <v>0.99678033074784134</v>
      </c>
      <c r="O69" s="10"/>
      <c r="P69" s="6">
        <v>2353.3000000000002</v>
      </c>
      <c r="Q69" s="2"/>
      <c r="R69" s="7">
        <f t="shared" si="20"/>
        <v>9.713206365619322E-4</v>
      </c>
      <c r="S69" s="2"/>
      <c r="T69" s="6">
        <v>1726.41</v>
      </c>
      <c r="U69" s="2"/>
      <c r="V69" s="7">
        <f t="shared" si="21"/>
        <v>7.3717601384055335E-4</v>
      </c>
      <c r="W69" s="2"/>
      <c r="X69" s="6">
        <f t="shared" si="22"/>
        <v>626.8900000000001</v>
      </c>
      <c r="Y69" s="2"/>
      <c r="Z69" s="7">
        <f t="shared" si="23"/>
        <v>0.36311768351666179</v>
      </c>
    </row>
    <row r="70" spans="1:26" s="26" customFormat="1" outlineLevel="1" collapsed="1" x14ac:dyDescent="0.25">
      <c r="A70" s="25"/>
      <c r="B70" s="12" t="str">
        <f>CONCATENATE("     ","*Payroll                                          ")</f>
        <v xml:space="preserve">     *Payroll                                          </v>
      </c>
      <c r="C70" s="12"/>
      <c r="D70" s="1">
        <f>SUM(OSRRefD22_1x_0)</f>
        <v>8263.98</v>
      </c>
      <c r="E70" s="1"/>
      <c r="F70" s="5">
        <f t="shared" ref="F70:F75" si="24">IF(D$12=0,0,D70/D$12)</f>
        <v>2.0494587372327639E-2</v>
      </c>
      <c r="G70" s="1"/>
      <c r="H70" s="1">
        <f>SUM(OSRRefH22_1x_0)</f>
        <v>4242.6400000000003</v>
      </c>
      <c r="I70" s="1"/>
      <c r="J70" s="5">
        <f t="shared" ref="J70:J75" si="25">IF(H$12=0,0,H70/H$12)</f>
        <v>1.3974933502263327E-2</v>
      </c>
      <c r="K70" s="1"/>
      <c r="L70" s="1">
        <f t="shared" ref="L70:L75" si="26">+D70-H70</f>
        <v>4021.3399999999992</v>
      </c>
      <c r="M70" s="1"/>
      <c r="N70" s="5">
        <f t="shared" ref="N70:N75" si="27">IF(H70=0,0,L70/H70)</f>
        <v>0.9478390813267209</v>
      </c>
      <c r="O70" s="12"/>
      <c r="P70" s="1">
        <f>SUM(OSRRefP22_1x_0)</f>
        <v>82074.94</v>
      </c>
      <c r="Q70" s="1"/>
      <c r="R70" s="5">
        <f t="shared" ref="R70:R75" si="28">IF(P$12=0,0,P70/P$12)</f>
        <v>3.3876294125943306E-2</v>
      </c>
      <c r="S70" s="1"/>
      <c r="T70" s="1">
        <f>SUM(OSRRefT22_1x_0)</f>
        <v>96222.13</v>
      </c>
      <c r="U70" s="1"/>
      <c r="V70" s="5">
        <f t="shared" ref="V70:V75" si="29">IF(T$12=0,0,T70/T$12)</f>
        <v>4.1086790644544187E-2</v>
      </c>
      <c r="W70" s="1"/>
      <c r="X70" s="1">
        <f t="shared" ref="X70:X75" si="30">+P70-T70</f>
        <v>-14147.190000000002</v>
      </c>
      <c r="Y70" s="1"/>
      <c r="Z70" s="5">
        <f t="shared" ref="Z70:Z75" si="31">IF(T70=0,0,X70/T70)</f>
        <v>-0.1470263649328902</v>
      </c>
    </row>
    <row r="71" spans="1:26" s="23" customFormat="1" hidden="1" outlineLevel="2" x14ac:dyDescent="0.25">
      <c r="A71" s="27"/>
      <c r="B71" s="10" t="str">
        <f>CONCATENATE("          ", "6002", " - ", "STAFF SALARIES")</f>
        <v xml:space="preserve">          6002 - STAFF SALARIES</v>
      </c>
      <c r="C71" s="10"/>
      <c r="D71" s="6">
        <v>2395.9899999999998</v>
      </c>
      <c r="E71" s="2"/>
      <c r="F71" s="7">
        <f t="shared" si="24"/>
        <v>5.942031127643496E-3</v>
      </c>
      <c r="G71" s="2"/>
      <c r="H71" s="6">
        <v>1825.41</v>
      </c>
      <c r="I71" s="2"/>
      <c r="J71" s="7">
        <f t="shared" si="25"/>
        <v>6.0127617154334323E-3</v>
      </c>
      <c r="K71" s="2"/>
      <c r="L71" s="6">
        <f t="shared" si="26"/>
        <v>570.5799999999997</v>
      </c>
      <c r="M71" s="2"/>
      <c r="N71" s="7">
        <f t="shared" si="27"/>
        <v>0.312576352709802</v>
      </c>
      <c r="O71" s="10"/>
      <c r="P71" s="6">
        <v>23276.240000000002</v>
      </c>
      <c r="Q71" s="2"/>
      <c r="R71" s="7">
        <f t="shared" si="28"/>
        <v>9.6072291053279687E-3</v>
      </c>
      <c r="S71" s="2"/>
      <c r="T71" s="6">
        <v>32397.73</v>
      </c>
      <c r="U71" s="2"/>
      <c r="V71" s="7">
        <f t="shared" si="29"/>
        <v>1.3833810890160803E-2</v>
      </c>
      <c r="W71" s="2"/>
      <c r="X71" s="6">
        <f t="shared" si="30"/>
        <v>-9121.489999999998</v>
      </c>
      <c r="Y71" s="2"/>
      <c r="Z71" s="7">
        <f t="shared" si="31"/>
        <v>-0.28154719481889623</v>
      </c>
    </row>
    <row r="72" spans="1:26" s="23" customFormat="1" hidden="1" outlineLevel="2" x14ac:dyDescent="0.25">
      <c r="A72" s="27"/>
      <c r="B72" s="10" t="str">
        <f>CONCATENATE("          ", "6004", " - ", "STAFF HOURLY")</f>
        <v xml:space="preserve">          6004 - STAFF HOURLY</v>
      </c>
      <c r="C72" s="10"/>
      <c r="D72" s="6">
        <v>4790.5</v>
      </c>
      <c r="E72" s="2"/>
      <c r="F72" s="7">
        <f t="shared" si="24"/>
        <v>1.1880391870156458E-2</v>
      </c>
      <c r="G72" s="2"/>
      <c r="H72" s="6">
        <v>3412.23</v>
      </c>
      <c r="I72" s="2"/>
      <c r="J72" s="7">
        <f t="shared" si="25"/>
        <v>1.1239626115915559E-2</v>
      </c>
      <c r="K72" s="2"/>
      <c r="L72" s="6">
        <f t="shared" si="26"/>
        <v>1378.27</v>
      </c>
      <c r="M72" s="2"/>
      <c r="N72" s="7">
        <f t="shared" si="27"/>
        <v>0.40392060324186824</v>
      </c>
      <c r="O72" s="10"/>
      <c r="P72" s="6">
        <v>36510.660000000003</v>
      </c>
      <c r="Q72" s="2"/>
      <c r="R72" s="7">
        <f t="shared" si="28"/>
        <v>1.5069713811454671E-2</v>
      </c>
      <c r="S72" s="2"/>
      <c r="T72" s="6">
        <v>5831.85</v>
      </c>
      <c r="U72" s="2"/>
      <c r="V72" s="7">
        <f t="shared" si="29"/>
        <v>2.4901963822707416E-3</v>
      </c>
      <c r="W72" s="2"/>
      <c r="X72" s="6">
        <f t="shared" si="30"/>
        <v>30678.810000000005</v>
      </c>
      <c r="Y72" s="2"/>
      <c r="Z72" s="7">
        <f t="shared" si="31"/>
        <v>5.2605622572597035</v>
      </c>
    </row>
    <row r="73" spans="1:26" s="23" customFormat="1" hidden="1" outlineLevel="2" x14ac:dyDescent="0.25">
      <c r="A73" s="27"/>
      <c r="B73" s="10" t="str">
        <f>CONCATENATE("          ", "6005", " - ", "TEMPORARY WAGES-HOURLY")</f>
        <v xml:space="preserve">          6005 - TEMPORARY WAGES-HOURLY</v>
      </c>
      <c r="C73" s="10"/>
      <c r="D73" s="6"/>
      <c r="E73" s="2"/>
      <c r="F73" s="7">
        <f t="shared" si="24"/>
        <v>0</v>
      </c>
      <c r="G73" s="2"/>
      <c r="H73" s="6"/>
      <c r="I73" s="2"/>
      <c r="J73" s="7">
        <f t="shared" si="25"/>
        <v>0</v>
      </c>
      <c r="K73" s="2"/>
      <c r="L73" s="6">
        <f t="shared" si="26"/>
        <v>0</v>
      </c>
      <c r="M73" s="2"/>
      <c r="N73" s="7">
        <f t="shared" si="27"/>
        <v>0</v>
      </c>
      <c r="O73" s="10"/>
      <c r="P73" s="6"/>
      <c r="Q73" s="2"/>
      <c r="R73" s="7">
        <f t="shared" si="28"/>
        <v>0</v>
      </c>
      <c r="S73" s="2"/>
      <c r="T73" s="6">
        <v>29960.57</v>
      </c>
      <c r="U73" s="2"/>
      <c r="V73" s="7">
        <f t="shared" si="29"/>
        <v>1.2793145061133143E-2</v>
      </c>
      <c r="W73" s="2"/>
      <c r="X73" s="6">
        <f t="shared" si="30"/>
        <v>-29960.57</v>
      </c>
      <c r="Y73" s="2"/>
      <c r="Z73" s="7">
        <f t="shared" si="31"/>
        <v>-1</v>
      </c>
    </row>
    <row r="74" spans="1:26" s="23" customFormat="1" hidden="1" outlineLevel="2" x14ac:dyDescent="0.25">
      <c r="A74" s="27"/>
      <c r="B74" s="10" t="str">
        <f>CONCATENATE("          ", "6006", " - ", "TEMPORARY PART TIME")</f>
        <v xml:space="preserve">          6006 - TEMPORARY PART TIME</v>
      </c>
      <c r="C74" s="10"/>
      <c r="D74" s="6"/>
      <c r="E74" s="2"/>
      <c r="F74" s="7">
        <f t="shared" si="24"/>
        <v>0</v>
      </c>
      <c r="G74" s="2"/>
      <c r="H74" s="6"/>
      <c r="I74" s="2"/>
      <c r="J74" s="7">
        <f t="shared" si="25"/>
        <v>0</v>
      </c>
      <c r="K74" s="2"/>
      <c r="L74" s="6">
        <f t="shared" si="26"/>
        <v>0</v>
      </c>
      <c r="M74" s="2"/>
      <c r="N74" s="7">
        <f t="shared" si="27"/>
        <v>0</v>
      </c>
      <c r="O74" s="10"/>
      <c r="P74" s="6"/>
      <c r="Q74" s="2"/>
      <c r="R74" s="7">
        <f t="shared" si="28"/>
        <v>0</v>
      </c>
      <c r="S74" s="2"/>
      <c r="T74" s="6">
        <v>9008.99</v>
      </c>
      <c r="U74" s="2"/>
      <c r="V74" s="7">
        <f t="shared" si="29"/>
        <v>3.8468332186035801E-3</v>
      </c>
      <c r="W74" s="2"/>
      <c r="X74" s="6">
        <f t="shared" si="30"/>
        <v>-9008.99</v>
      </c>
      <c r="Y74" s="2"/>
      <c r="Z74" s="7">
        <f t="shared" si="31"/>
        <v>-1</v>
      </c>
    </row>
    <row r="75" spans="1:26" s="23" customFormat="1" hidden="1" outlineLevel="2" x14ac:dyDescent="0.25">
      <c r="A75" s="27"/>
      <c r="B75" s="10" t="str">
        <f>CONCATENATE("          ", "6007", " - ", "STUDENT HOURLY")</f>
        <v xml:space="preserve">          6007 - STUDENT HOURLY</v>
      </c>
      <c r="C75" s="10"/>
      <c r="D75" s="6">
        <v>1077.49</v>
      </c>
      <c r="E75" s="2"/>
      <c r="F75" s="7">
        <f t="shared" si="24"/>
        <v>2.6721643745276865E-3</v>
      </c>
      <c r="G75" s="2"/>
      <c r="H75" s="6">
        <v>-995</v>
      </c>
      <c r="I75" s="2"/>
      <c r="J75" s="7">
        <f t="shared" si="25"/>
        <v>-3.2774543290856658E-3</v>
      </c>
      <c r="K75" s="2"/>
      <c r="L75" s="6">
        <f t="shared" si="26"/>
        <v>2072.4899999999998</v>
      </c>
      <c r="M75" s="2"/>
      <c r="N75" s="7">
        <f t="shared" si="27"/>
        <v>-2.0829045226130649</v>
      </c>
      <c r="O75" s="10"/>
      <c r="P75" s="6">
        <v>22288.04</v>
      </c>
      <c r="Q75" s="2"/>
      <c r="R75" s="7">
        <f t="shared" si="28"/>
        <v>9.1993512091606711E-3</v>
      </c>
      <c r="S75" s="2"/>
      <c r="T75" s="6">
        <v>19022.990000000002</v>
      </c>
      <c r="U75" s="2"/>
      <c r="V75" s="7">
        <f t="shared" si="29"/>
        <v>8.122805092375918E-3</v>
      </c>
      <c r="W75" s="2"/>
      <c r="X75" s="6">
        <f t="shared" si="30"/>
        <v>3265.0499999999993</v>
      </c>
      <c r="Y75" s="2"/>
      <c r="Z75" s="7">
        <f t="shared" si="31"/>
        <v>0.17163705600433996</v>
      </c>
    </row>
    <row r="76" spans="1:26" s="26" customFormat="1" outlineLevel="1" collapsed="1" x14ac:dyDescent="0.25">
      <c r="A76" s="25"/>
      <c r="B76" s="12" t="str">
        <f>CONCATENATE("     ","Advertising/Promo                                 ")</f>
        <v xml:space="preserve">     Advertising/Promo                                 </v>
      </c>
      <c r="C76" s="12"/>
      <c r="D76" s="1">
        <f>SUM(OSRRefD22_2x_0)</f>
        <v>26.46</v>
      </c>
      <c r="E76" s="1"/>
      <c r="F76" s="5">
        <f t="shared" ref="F76:F84" si="32">IF(D$12=0,0,D76/D$12)</f>
        <v>6.5620534158092024E-5</v>
      </c>
      <c r="G76" s="1"/>
      <c r="H76" s="1">
        <f>SUM(OSRRefH22_2x_0)</f>
        <v>0</v>
      </c>
      <c r="I76" s="1"/>
      <c r="J76" s="5">
        <f t="shared" ref="J76:J84" si="33">IF(H$12=0,0,H76/H$12)</f>
        <v>0</v>
      </c>
      <c r="K76" s="1"/>
      <c r="L76" s="1">
        <f t="shared" ref="L76:L84" si="34">+D76-H76</f>
        <v>26.46</v>
      </c>
      <c r="M76" s="1"/>
      <c r="N76" s="5">
        <f t="shared" ref="N76:N84" si="35">IF(H76=0,0,L76/H76)</f>
        <v>0</v>
      </c>
      <c r="O76" s="12"/>
      <c r="P76" s="1">
        <f>SUM(OSRRefP22_2x_0)</f>
        <v>625.39</v>
      </c>
      <c r="Q76" s="1"/>
      <c r="R76" s="5">
        <f t="shared" ref="R76:R84" si="36">IF(P$12=0,0,P76/P$12)</f>
        <v>2.5812867585920486E-4</v>
      </c>
      <c r="S76" s="1"/>
      <c r="T76" s="1">
        <f>SUM(OSRRefT22_2x_0)</f>
        <v>1745.92</v>
      </c>
      <c r="U76" s="1"/>
      <c r="V76" s="5">
        <f t="shared" ref="V76:V84" si="37">IF(T$12=0,0,T76/T$12)</f>
        <v>7.45506771904993E-4</v>
      </c>
      <c r="W76" s="1"/>
      <c r="X76" s="1">
        <f t="shared" ref="X76:X84" si="38">+P76-T76</f>
        <v>-1120.5300000000002</v>
      </c>
      <c r="Y76" s="1"/>
      <c r="Z76" s="5">
        <f t="shared" ref="Z76:Z84" si="39">IF(T76=0,0,X76/T76)</f>
        <v>-0.64179916605571852</v>
      </c>
    </row>
    <row r="77" spans="1:26" s="23" customFormat="1" hidden="1" outlineLevel="2" x14ac:dyDescent="0.25">
      <c r="A77" s="27"/>
      <c r="B77" s="10" t="str">
        <f>CONCATENATE("          ", "6362", " - ", "ADVERTISING EXPENSE")</f>
        <v xml:space="preserve">          6362 - ADVERTISING EXPENSE</v>
      </c>
      <c r="C77" s="10"/>
      <c r="D77" s="6">
        <v>26.46</v>
      </c>
      <c r="E77" s="2"/>
      <c r="F77" s="7">
        <f t="shared" si="32"/>
        <v>6.5620534158092024E-5</v>
      </c>
      <c r="G77" s="2"/>
      <c r="H77" s="6"/>
      <c r="I77" s="2"/>
      <c r="J77" s="7">
        <f t="shared" si="33"/>
        <v>0</v>
      </c>
      <c r="K77" s="2"/>
      <c r="L77" s="6">
        <f t="shared" si="34"/>
        <v>26.46</v>
      </c>
      <c r="M77" s="2"/>
      <c r="N77" s="7">
        <f t="shared" si="35"/>
        <v>0</v>
      </c>
      <c r="O77" s="10"/>
      <c r="P77" s="6">
        <v>625.39</v>
      </c>
      <c r="Q77" s="2"/>
      <c r="R77" s="7">
        <f t="shared" si="36"/>
        <v>2.5812867585920486E-4</v>
      </c>
      <c r="S77" s="2"/>
      <c r="T77" s="6">
        <v>1745.92</v>
      </c>
      <c r="U77" s="2"/>
      <c r="V77" s="7">
        <f t="shared" si="37"/>
        <v>7.45506771904993E-4</v>
      </c>
      <c r="W77" s="2"/>
      <c r="X77" s="6">
        <f t="shared" si="38"/>
        <v>-1120.5300000000002</v>
      </c>
      <c r="Y77" s="2"/>
      <c r="Z77" s="7">
        <f t="shared" si="39"/>
        <v>-0.64179916605571852</v>
      </c>
    </row>
    <row r="78" spans="1:26" s="26" customFormat="1" outlineLevel="1" collapsed="1" x14ac:dyDescent="0.25">
      <c r="A78" s="25"/>
      <c r="B78" s="12" t="str">
        <f>CONCATENATE("     ","Depreciation                                      ")</f>
        <v xml:space="preserve">     Depreciation                                      </v>
      </c>
      <c r="C78" s="12"/>
      <c r="D78" s="1">
        <f>SUM(OSRRefD22_3x_0)</f>
        <v>280.44</v>
      </c>
      <c r="E78" s="1"/>
      <c r="F78" s="5">
        <f t="shared" si="32"/>
        <v>6.9548838243746513E-4</v>
      </c>
      <c r="G78" s="1"/>
      <c r="H78" s="1">
        <f>SUM(OSRRefH22_3x_0)</f>
        <v>280.44</v>
      </c>
      <c r="I78" s="1"/>
      <c r="J78" s="5">
        <f t="shared" si="33"/>
        <v>9.2374803220983328E-4</v>
      </c>
      <c r="K78" s="1"/>
      <c r="L78" s="1">
        <f t="shared" si="34"/>
        <v>0</v>
      </c>
      <c r="M78" s="1"/>
      <c r="N78" s="5">
        <f t="shared" si="35"/>
        <v>0</v>
      </c>
      <c r="O78" s="12"/>
      <c r="P78" s="1">
        <f>SUM(OSRRefP22_3x_0)</f>
        <v>2804.4</v>
      </c>
      <c r="Q78" s="1"/>
      <c r="R78" s="5">
        <f t="shared" si="36"/>
        <v>1.1575114066095622E-3</v>
      </c>
      <c r="S78" s="1"/>
      <c r="T78" s="1">
        <f>SUM(OSRRefT22_3x_0)</f>
        <v>2804.4</v>
      </c>
      <c r="U78" s="1"/>
      <c r="V78" s="5">
        <f t="shared" si="37"/>
        <v>1.1974770843626067E-3</v>
      </c>
      <c r="W78" s="1"/>
      <c r="X78" s="1">
        <f t="shared" si="38"/>
        <v>0</v>
      </c>
      <c r="Y78" s="1"/>
      <c r="Z78" s="5">
        <f t="shared" si="39"/>
        <v>0</v>
      </c>
    </row>
    <row r="79" spans="1:26" s="23" customFormat="1" hidden="1" outlineLevel="2" x14ac:dyDescent="0.25">
      <c r="A79" s="27"/>
      <c r="B79" s="10" t="str">
        <f>CONCATENATE("          ", "6322", " - ", "EQUIPMENT DEPRECIATION EXPENSE")</f>
        <v xml:space="preserve">          6322 - EQUIPMENT DEPRECIATION EXPENSE</v>
      </c>
      <c r="C79" s="10"/>
      <c r="D79" s="6">
        <v>280.44</v>
      </c>
      <c r="E79" s="2"/>
      <c r="F79" s="7">
        <f t="shared" si="32"/>
        <v>6.9548838243746513E-4</v>
      </c>
      <c r="G79" s="2"/>
      <c r="H79" s="6">
        <v>280.44</v>
      </c>
      <c r="I79" s="2"/>
      <c r="J79" s="7">
        <f t="shared" si="33"/>
        <v>9.2374803220983328E-4</v>
      </c>
      <c r="K79" s="2"/>
      <c r="L79" s="6">
        <f t="shared" si="34"/>
        <v>0</v>
      </c>
      <c r="M79" s="2"/>
      <c r="N79" s="7">
        <f t="shared" si="35"/>
        <v>0</v>
      </c>
      <c r="O79" s="10"/>
      <c r="P79" s="6">
        <v>2804.4</v>
      </c>
      <c r="Q79" s="2"/>
      <c r="R79" s="7">
        <f t="shared" si="36"/>
        <v>1.1575114066095622E-3</v>
      </c>
      <c r="S79" s="2"/>
      <c r="T79" s="6">
        <v>2804.4</v>
      </c>
      <c r="U79" s="2"/>
      <c r="V79" s="7">
        <f t="shared" si="37"/>
        <v>1.1974770843626067E-3</v>
      </c>
      <c r="W79" s="2"/>
      <c r="X79" s="6">
        <f t="shared" si="38"/>
        <v>0</v>
      </c>
      <c r="Y79" s="2"/>
      <c r="Z79" s="7">
        <f t="shared" si="39"/>
        <v>0</v>
      </c>
    </row>
    <row r="80" spans="1:26" s="26" customFormat="1" outlineLevel="1" collapsed="1" x14ac:dyDescent="0.25">
      <c r="A80" s="25"/>
      <c r="B80" s="12" t="str">
        <f>CONCATENATE("     ","Discounts and Markdowns                           ")</f>
        <v xml:space="preserve">     Discounts and Markdowns                           </v>
      </c>
      <c r="C80" s="12"/>
      <c r="D80" s="1">
        <f>SUM(OSRRefD22_4x_0)</f>
        <v>0</v>
      </c>
      <c r="E80" s="1"/>
      <c r="F80" s="5">
        <f t="shared" si="32"/>
        <v>0</v>
      </c>
      <c r="G80" s="1"/>
      <c r="H80" s="1">
        <f>SUM(OSRRefH22_4x_0)</f>
        <v>15043.91</v>
      </c>
      <c r="I80" s="1"/>
      <c r="J80" s="5">
        <f t="shared" si="33"/>
        <v>4.9553495433040336E-2</v>
      </c>
      <c r="K80" s="1"/>
      <c r="L80" s="1">
        <f t="shared" si="34"/>
        <v>-15043.91</v>
      </c>
      <c r="M80" s="1"/>
      <c r="N80" s="5">
        <f t="shared" si="35"/>
        <v>-1</v>
      </c>
      <c r="O80" s="12"/>
      <c r="P80" s="1">
        <f>SUM(OSRRefP22_4x_0)</f>
        <v>0</v>
      </c>
      <c r="Q80" s="1"/>
      <c r="R80" s="5">
        <f t="shared" si="36"/>
        <v>0</v>
      </c>
      <c r="S80" s="1"/>
      <c r="T80" s="1">
        <f>SUM(OSRRefT22_4x_0)</f>
        <v>69760.240000000005</v>
      </c>
      <c r="U80" s="1"/>
      <c r="V80" s="5">
        <f t="shared" si="37"/>
        <v>2.9787579803036549E-2</v>
      </c>
      <c r="W80" s="1"/>
      <c r="X80" s="1">
        <f t="shared" si="38"/>
        <v>-69760.240000000005</v>
      </c>
      <c r="Y80" s="1"/>
      <c r="Z80" s="5">
        <f t="shared" si="39"/>
        <v>-1</v>
      </c>
    </row>
    <row r="81" spans="1:26" s="23" customFormat="1" hidden="1" outlineLevel="2" x14ac:dyDescent="0.25">
      <c r="A81" s="27"/>
      <c r="B81" s="10" t="str">
        <f>CONCATENATE("          ", "6382", " - ", "DISCOUNTS/MARK DOWNS")</f>
        <v xml:space="preserve">          6382 - DISCOUNTS/MARK DOWNS</v>
      </c>
      <c r="C81" s="10"/>
      <c r="D81" s="6">
        <v>0</v>
      </c>
      <c r="E81" s="2"/>
      <c r="F81" s="7">
        <f t="shared" si="32"/>
        <v>0</v>
      </c>
      <c r="G81" s="2"/>
      <c r="H81" s="6">
        <v>15043.91</v>
      </c>
      <c r="I81" s="2"/>
      <c r="J81" s="7">
        <f t="shared" si="33"/>
        <v>4.9553495433040336E-2</v>
      </c>
      <c r="K81" s="2"/>
      <c r="L81" s="6">
        <f t="shared" si="34"/>
        <v>-15043.91</v>
      </c>
      <c r="M81" s="2"/>
      <c r="N81" s="7">
        <f t="shared" si="35"/>
        <v>-1</v>
      </c>
      <c r="O81" s="10"/>
      <c r="P81" s="6">
        <v>0</v>
      </c>
      <c r="Q81" s="2"/>
      <c r="R81" s="7">
        <f t="shared" si="36"/>
        <v>0</v>
      </c>
      <c r="S81" s="2"/>
      <c r="T81" s="6">
        <v>69760.240000000005</v>
      </c>
      <c r="U81" s="2"/>
      <c r="V81" s="7">
        <f t="shared" si="37"/>
        <v>2.9787579803036549E-2</v>
      </c>
      <c r="W81" s="2"/>
      <c r="X81" s="6">
        <f t="shared" si="38"/>
        <v>-69760.240000000005</v>
      </c>
      <c r="Y81" s="2"/>
      <c r="Z81" s="7">
        <f t="shared" si="39"/>
        <v>-1</v>
      </c>
    </row>
    <row r="82" spans="1:26" s="26" customFormat="1" outlineLevel="1" collapsed="1" x14ac:dyDescent="0.25">
      <c r="A82" s="25"/>
      <c r="B82" s="12" t="str">
        <f>CONCATENATE("     ","Freight out/Postage                               ")</f>
        <v xml:space="preserve">     Freight out/Postage                               </v>
      </c>
      <c r="C82" s="12"/>
      <c r="D82" s="1">
        <f>SUM(OSRRefD22_5x_0)</f>
        <v>26.99</v>
      </c>
      <c r="E82" s="1"/>
      <c r="F82" s="5">
        <f t="shared" si="32"/>
        <v>6.693492883321632E-5</v>
      </c>
      <c r="G82" s="1"/>
      <c r="H82" s="1">
        <f>SUM(OSRRefH22_5x_0)</f>
        <v>70.87</v>
      </c>
      <c r="I82" s="1"/>
      <c r="J82" s="5">
        <f t="shared" si="33"/>
        <v>2.3344039025356898E-4</v>
      </c>
      <c r="K82" s="1"/>
      <c r="L82" s="1">
        <f t="shared" si="34"/>
        <v>-43.88000000000001</v>
      </c>
      <c r="M82" s="1"/>
      <c r="N82" s="5">
        <f t="shared" si="35"/>
        <v>-0.61916184563284893</v>
      </c>
      <c r="O82" s="12"/>
      <c r="P82" s="1">
        <f>SUM(OSRRefP22_5x_0)</f>
        <v>1641.28</v>
      </c>
      <c r="Q82" s="1"/>
      <c r="R82" s="5">
        <f t="shared" si="36"/>
        <v>6.7743557318504565E-4</v>
      </c>
      <c r="S82" s="1"/>
      <c r="T82" s="1">
        <f>SUM(OSRRefT22_5x_0)</f>
        <v>120.59</v>
      </c>
      <c r="U82" s="1"/>
      <c r="V82" s="5">
        <f t="shared" si="37"/>
        <v>5.149185622710268E-5</v>
      </c>
      <c r="W82" s="1"/>
      <c r="X82" s="1">
        <f t="shared" si="38"/>
        <v>1520.69</v>
      </c>
      <c r="Y82" s="1"/>
      <c r="Z82" s="5">
        <f t="shared" si="39"/>
        <v>12.610415457334771</v>
      </c>
    </row>
    <row r="83" spans="1:26" s="23" customFormat="1" hidden="1" outlineLevel="2" x14ac:dyDescent="0.25">
      <c r="A83" s="27"/>
      <c r="B83" s="10" t="str">
        <f>CONCATENATE("          ", "6305", " - ", "FREIGHT OUT")</f>
        <v xml:space="preserve">          6305 - FREIGHT OUT</v>
      </c>
      <c r="C83" s="10"/>
      <c r="D83" s="6">
        <v>26.99</v>
      </c>
      <c r="E83" s="2"/>
      <c r="F83" s="7">
        <f t="shared" si="32"/>
        <v>6.693492883321632E-5</v>
      </c>
      <c r="G83" s="2"/>
      <c r="H83" s="6">
        <v>70.87</v>
      </c>
      <c r="I83" s="2"/>
      <c r="J83" s="7">
        <f t="shared" si="33"/>
        <v>2.3344039025356898E-4</v>
      </c>
      <c r="K83" s="2"/>
      <c r="L83" s="6">
        <f t="shared" si="34"/>
        <v>-43.88000000000001</v>
      </c>
      <c r="M83" s="2"/>
      <c r="N83" s="7">
        <f t="shared" si="35"/>
        <v>-0.61916184563284893</v>
      </c>
      <c r="O83" s="10"/>
      <c r="P83" s="6">
        <v>1628.68</v>
      </c>
      <c r="Q83" s="2"/>
      <c r="R83" s="7">
        <f t="shared" si="36"/>
        <v>6.7223494427216574E-4</v>
      </c>
      <c r="S83" s="2"/>
      <c r="T83" s="6">
        <v>120.59</v>
      </c>
      <c r="U83" s="2"/>
      <c r="V83" s="7">
        <f t="shared" si="37"/>
        <v>5.149185622710268E-5</v>
      </c>
      <c r="W83" s="2"/>
      <c r="X83" s="6">
        <f t="shared" si="38"/>
        <v>1508.0900000000001</v>
      </c>
      <c r="Y83" s="2"/>
      <c r="Z83" s="7">
        <f t="shared" si="39"/>
        <v>12.505929181524174</v>
      </c>
    </row>
    <row r="84" spans="1:26" s="23" customFormat="1" hidden="1" outlineLevel="2" x14ac:dyDescent="0.25">
      <c r="A84" s="27"/>
      <c r="B84" s="10" t="str">
        <f>CONCATENATE("          ", "6307", " - ", "POSTAGE")</f>
        <v xml:space="preserve">          6307 - POSTAGE</v>
      </c>
      <c r="C84" s="10"/>
      <c r="D84" s="6"/>
      <c r="E84" s="2"/>
      <c r="F84" s="7">
        <f t="shared" si="32"/>
        <v>0</v>
      </c>
      <c r="G84" s="2"/>
      <c r="H84" s="6"/>
      <c r="I84" s="2"/>
      <c r="J84" s="7">
        <f t="shared" si="33"/>
        <v>0</v>
      </c>
      <c r="K84" s="2"/>
      <c r="L84" s="6">
        <f t="shared" si="34"/>
        <v>0</v>
      </c>
      <c r="M84" s="2"/>
      <c r="N84" s="7">
        <f t="shared" si="35"/>
        <v>0</v>
      </c>
      <c r="O84" s="10"/>
      <c r="P84" s="6">
        <v>12.6</v>
      </c>
      <c r="Q84" s="2"/>
      <c r="R84" s="7">
        <f t="shared" si="36"/>
        <v>5.2006289128799322E-6</v>
      </c>
      <c r="S84" s="2"/>
      <c r="T84" s="6"/>
      <c r="U84" s="2"/>
      <c r="V84" s="7">
        <f t="shared" si="37"/>
        <v>0</v>
      </c>
      <c r="W84" s="2"/>
      <c r="X84" s="6">
        <f t="shared" si="38"/>
        <v>12.6</v>
      </c>
      <c r="Y84" s="2"/>
      <c r="Z84" s="7">
        <f t="shared" si="39"/>
        <v>0</v>
      </c>
    </row>
    <row r="85" spans="1:26" s="26" customFormat="1" outlineLevel="1" collapsed="1" x14ac:dyDescent="0.25">
      <c r="A85" s="25"/>
      <c r="B85" s="12" t="str">
        <f>CONCATENATE("     ","General                                           ")</f>
        <v xml:space="preserve">     General                                           </v>
      </c>
      <c r="C85" s="12"/>
      <c r="D85" s="1">
        <f>SUM(OSRRefD22_6x_0)</f>
        <v>0</v>
      </c>
      <c r="E85" s="1"/>
      <c r="F85" s="5">
        <f t="shared" ref="F85:F91" si="40">IF(D$12=0,0,D85/D$12)</f>
        <v>0</v>
      </c>
      <c r="G85" s="1"/>
      <c r="H85" s="1">
        <f>SUM(OSRRefH22_6x_0)</f>
        <v>285</v>
      </c>
      <c r="I85" s="1"/>
      <c r="J85" s="5">
        <f t="shared" ref="J85:J91" si="41">IF(H$12=0,0,H85/H$12)</f>
        <v>9.3876832541649722E-4</v>
      </c>
      <c r="K85" s="1"/>
      <c r="L85" s="1">
        <f t="shared" ref="L85:L91" si="42">+D85-H85</f>
        <v>-285</v>
      </c>
      <c r="M85" s="1"/>
      <c r="N85" s="5">
        <f t="shared" ref="N85:N91" si="43">IF(H85=0,0,L85/H85)</f>
        <v>-1</v>
      </c>
      <c r="O85" s="12"/>
      <c r="P85" s="1">
        <f>SUM(OSRRefP22_6x_0)</f>
        <v>-30.15</v>
      </c>
      <c r="Q85" s="1"/>
      <c r="R85" s="5">
        <f t="shared" ref="R85:R91" si="44">IF(P$12=0,0,P85/P$12)</f>
        <v>-1.2444362041534123E-5</v>
      </c>
      <c r="S85" s="1"/>
      <c r="T85" s="1">
        <f>SUM(OSRRefT22_6x_0)</f>
        <v>285</v>
      </c>
      <c r="U85" s="1"/>
      <c r="V85" s="5">
        <f t="shared" ref="V85:V91" si="45">IF(T$12=0,0,T85/T$12)</f>
        <v>1.2169482564660637E-4</v>
      </c>
      <c r="W85" s="1"/>
      <c r="X85" s="1">
        <f t="shared" ref="X85:X91" si="46">+P85-T85</f>
        <v>-315.14999999999998</v>
      </c>
      <c r="Y85" s="1"/>
      <c r="Z85" s="5">
        <f t="shared" ref="Z85:Z91" si="47">IF(T85=0,0,X85/T85)</f>
        <v>-1.1057894736842104</v>
      </c>
    </row>
    <row r="86" spans="1:26" s="23" customFormat="1" hidden="1" outlineLevel="2" x14ac:dyDescent="0.25">
      <c r="A86" s="27"/>
      <c r="B86" s="10" t="str">
        <f>CONCATENATE("          ", "6279", " - ", "GENERAL EXPENSE")</f>
        <v xml:space="preserve">          6279 - GENERAL EXPENSE</v>
      </c>
      <c r="C86" s="10"/>
      <c r="D86" s="6"/>
      <c r="E86" s="2"/>
      <c r="F86" s="7">
        <f t="shared" si="40"/>
        <v>0</v>
      </c>
      <c r="G86" s="2"/>
      <c r="H86" s="6">
        <v>285</v>
      </c>
      <c r="I86" s="2"/>
      <c r="J86" s="7">
        <f t="shared" si="41"/>
        <v>9.3876832541649722E-4</v>
      </c>
      <c r="K86" s="2"/>
      <c r="L86" s="6">
        <f t="shared" si="42"/>
        <v>-285</v>
      </c>
      <c r="M86" s="2"/>
      <c r="N86" s="7">
        <f t="shared" si="43"/>
        <v>-1</v>
      </c>
      <c r="O86" s="10"/>
      <c r="P86" s="6">
        <v>-30.15</v>
      </c>
      <c r="Q86" s="2"/>
      <c r="R86" s="7">
        <f t="shared" si="44"/>
        <v>-1.2444362041534123E-5</v>
      </c>
      <c r="S86" s="2"/>
      <c r="T86" s="6">
        <v>285</v>
      </c>
      <c r="U86" s="2"/>
      <c r="V86" s="7">
        <f t="shared" si="45"/>
        <v>1.2169482564660637E-4</v>
      </c>
      <c r="W86" s="2"/>
      <c r="X86" s="6">
        <f t="shared" si="46"/>
        <v>-315.14999999999998</v>
      </c>
      <c r="Y86" s="2"/>
      <c r="Z86" s="7">
        <f t="shared" si="47"/>
        <v>-1.1057894736842104</v>
      </c>
    </row>
    <row r="87" spans="1:26" s="26" customFormat="1" outlineLevel="1" collapsed="1" x14ac:dyDescent="0.25">
      <c r="A87" s="25"/>
      <c r="B87" s="12" t="str">
        <f>CONCATENATE("     ","Inventory Adjustment                              ")</f>
        <v xml:space="preserve">     Inventory Adjustment                              </v>
      </c>
      <c r="C87" s="12"/>
      <c r="D87" s="1">
        <f>SUM(OSRRefD22_7x_0)</f>
        <v>1250</v>
      </c>
      <c r="E87" s="1"/>
      <c r="F87" s="5">
        <f t="shared" si="40"/>
        <v>3.0999874413308783E-3</v>
      </c>
      <c r="G87" s="1"/>
      <c r="H87" s="1">
        <f>SUM(OSRRefH22_7x_0)</f>
        <v>0</v>
      </c>
      <c r="I87" s="1"/>
      <c r="J87" s="5">
        <f t="shared" si="41"/>
        <v>0</v>
      </c>
      <c r="K87" s="1"/>
      <c r="L87" s="1">
        <f t="shared" si="42"/>
        <v>1250</v>
      </c>
      <c r="M87" s="1"/>
      <c r="N87" s="5">
        <f t="shared" si="43"/>
        <v>0</v>
      </c>
      <c r="O87" s="12"/>
      <c r="P87" s="1">
        <f>SUM(OSRRefP22_7x_0)</f>
        <v>12500</v>
      </c>
      <c r="Q87" s="1"/>
      <c r="R87" s="5">
        <f t="shared" si="44"/>
        <v>5.1593540802380286E-3</v>
      </c>
      <c r="S87" s="1"/>
      <c r="T87" s="1">
        <f>SUM(OSRRefT22_7x_0)</f>
        <v>0</v>
      </c>
      <c r="U87" s="1"/>
      <c r="V87" s="5">
        <f t="shared" si="45"/>
        <v>0</v>
      </c>
      <c r="W87" s="1"/>
      <c r="X87" s="1">
        <f t="shared" si="46"/>
        <v>12500</v>
      </c>
      <c r="Y87" s="1"/>
      <c r="Z87" s="5">
        <f t="shared" si="47"/>
        <v>0</v>
      </c>
    </row>
    <row r="88" spans="1:26" s="23" customFormat="1" hidden="1" outlineLevel="2" x14ac:dyDescent="0.25">
      <c r="A88" s="27"/>
      <c r="B88" s="10" t="str">
        <f>CONCATENATE("          ", "6408", " - ", "INVENTORY ADJUSTMENT")</f>
        <v xml:space="preserve">          6408 - INVENTORY ADJUSTMENT</v>
      </c>
      <c r="C88" s="10"/>
      <c r="D88" s="6">
        <v>1250</v>
      </c>
      <c r="E88" s="2"/>
      <c r="F88" s="7">
        <f t="shared" si="40"/>
        <v>3.0999874413308783E-3</v>
      </c>
      <c r="G88" s="2"/>
      <c r="H88" s="6"/>
      <c r="I88" s="2"/>
      <c r="J88" s="7">
        <f t="shared" si="41"/>
        <v>0</v>
      </c>
      <c r="K88" s="2"/>
      <c r="L88" s="6">
        <f t="shared" si="42"/>
        <v>1250</v>
      </c>
      <c r="M88" s="2"/>
      <c r="N88" s="7">
        <f t="shared" si="43"/>
        <v>0</v>
      </c>
      <c r="O88" s="10"/>
      <c r="P88" s="6">
        <v>12500</v>
      </c>
      <c r="Q88" s="2"/>
      <c r="R88" s="7">
        <f t="shared" si="44"/>
        <v>5.1593540802380286E-3</v>
      </c>
      <c r="S88" s="2"/>
      <c r="T88" s="6"/>
      <c r="U88" s="2"/>
      <c r="V88" s="7">
        <f t="shared" si="45"/>
        <v>0</v>
      </c>
      <c r="W88" s="2"/>
      <c r="X88" s="6">
        <f t="shared" si="46"/>
        <v>12500</v>
      </c>
      <c r="Y88" s="2"/>
      <c r="Z88" s="7">
        <f t="shared" si="47"/>
        <v>0</v>
      </c>
    </row>
    <row r="89" spans="1:26" s="26" customFormat="1" outlineLevel="1" collapsed="1" x14ac:dyDescent="0.25">
      <c r="A89" s="25"/>
      <c r="B89" s="12" t="str">
        <f>CONCATENATE("     ","Repair and Maintenance                            ")</f>
        <v xml:space="preserve">     Repair and Maintenance                            </v>
      </c>
      <c r="C89" s="12"/>
      <c r="D89" s="1">
        <f>SUM(OSRRefD22_8x_0)</f>
        <v>0</v>
      </c>
      <c r="E89" s="1"/>
      <c r="F89" s="5">
        <f t="shared" si="40"/>
        <v>0</v>
      </c>
      <c r="G89" s="1"/>
      <c r="H89" s="1">
        <f>SUM(OSRRefH22_8x_0)</f>
        <v>0</v>
      </c>
      <c r="I89" s="1"/>
      <c r="J89" s="5">
        <f t="shared" si="41"/>
        <v>0</v>
      </c>
      <c r="K89" s="1"/>
      <c r="L89" s="1">
        <f t="shared" si="42"/>
        <v>0</v>
      </c>
      <c r="M89" s="1"/>
      <c r="N89" s="5">
        <f t="shared" si="43"/>
        <v>0</v>
      </c>
      <c r="O89" s="12"/>
      <c r="P89" s="1">
        <f>SUM(OSRRefP22_8x_0)</f>
        <v>1550</v>
      </c>
      <c r="Q89" s="1"/>
      <c r="R89" s="5">
        <f t="shared" si="44"/>
        <v>6.3975990594951555E-4</v>
      </c>
      <c r="S89" s="1"/>
      <c r="T89" s="1">
        <f>SUM(OSRRefT22_8x_0)</f>
        <v>197.18</v>
      </c>
      <c r="U89" s="1"/>
      <c r="V89" s="5">
        <f t="shared" si="45"/>
        <v>8.4195739371922265E-5</v>
      </c>
      <c r="W89" s="1"/>
      <c r="X89" s="1">
        <f t="shared" si="46"/>
        <v>1352.82</v>
      </c>
      <c r="Y89" s="1"/>
      <c r="Z89" s="5">
        <f t="shared" si="47"/>
        <v>6.8608378131656345</v>
      </c>
    </row>
    <row r="90" spans="1:26" s="23" customFormat="1" hidden="1" outlineLevel="2" x14ac:dyDescent="0.25">
      <c r="A90" s="27"/>
      <c r="B90" s="10" t="str">
        <f>CONCATENATE("          ", "6371", " - ", "COMPUTER SOFTWARE MAINTENANCE")</f>
        <v xml:space="preserve">          6371 - COMPUTER SOFTWARE MAINTENANCE</v>
      </c>
      <c r="C90" s="10"/>
      <c r="D90" s="6"/>
      <c r="E90" s="2"/>
      <c r="F90" s="7">
        <f t="shared" si="40"/>
        <v>0</v>
      </c>
      <c r="G90" s="2"/>
      <c r="H90" s="6"/>
      <c r="I90" s="2"/>
      <c r="J90" s="7">
        <f t="shared" si="41"/>
        <v>0</v>
      </c>
      <c r="K90" s="2"/>
      <c r="L90" s="6">
        <f t="shared" si="42"/>
        <v>0</v>
      </c>
      <c r="M90" s="2"/>
      <c r="N90" s="7">
        <f t="shared" si="43"/>
        <v>0</v>
      </c>
      <c r="O90" s="10"/>
      <c r="P90" s="6">
        <v>1550</v>
      </c>
      <c r="Q90" s="2"/>
      <c r="R90" s="7">
        <f t="shared" si="44"/>
        <v>6.3975990594951555E-4</v>
      </c>
      <c r="S90" s="2"/>
      <c r="T90" s="6"/>
      <c r="U90" s="2"/>
      <c r="V90" s="7">
        <f t="shared" si="45"/>
        <v>0</v>
      </c>
      <c r="W90" s="2"/>
      <c r="X90" s="6">
        <f t="shared" si="46"/>
        <v>1550</v>
      </c>
      <c r="Y90" s="2"/>
      <c r="Z90" s="7">
        <f t="shared" si="47"/>
        <v>0</v>
      </c>
    </row>
    <row r="91" spans="1:26" s="23" customFormat="1" hidden="1" outlineLevel="2" x14ac:dyDescent="0.25">
      <c r="A91" s="27"/>
      <c r="B91" s="10" t="str">
        <f>CONCATENATE("          ", "6375", " - ", "OUTSIDE REPAIRS &amp; MAINTENANCE")</f>
        <v xml:space="preserve">          6375 - OUTSIDE REPAIRS &amp; MAINTENANCE</v>
      </c>
      <c r="C91" s="10"/>
      <c r="D91" s="6"/>
      <c r="E91" s="2"/>
      <c r="F91" s="7">
        <f t="shared" si="40"/>
        <v>0</v>
      </c>
      <c r="G91" s="2"/>
      <c r="H91" s="6"/>
      <c r="I91" s="2"/>
      <c r="J91" s="7">
        <f t="shared" si="41"/>
        <v>0</v>
      </c>
      <c r="K91" s="2"/>
      <c r="L91" s="6">
        <f t="shared" si="42"/>
        <v>0</v>
      </c>
      <c r="M91" s="2"/>
      <c r="N91" s="7">
        <f t="shared" si="43"/>
        <v>0</v>
      </c>
      <c r="O91" s="10"/>
      <c r="P91" s="6"/>
      <c r="Q91" s="2"/>
      <c r="R91" s="7">
        <f t="shared" si="44"/>
        <v>0</v>
      </c>
      <c r="S91" s="2"/>
      <c r="T91" s="6">
        <v>197.18</v>
      </c>
      <c r="U91" s="2"/>
      <c r="V91" s="7">
        <f t="shared" si="45"/>
        <v>8.4195739371922265E-5</v>
      </c>
      <c r="W91" s="2"/>
      <c r="X91" s="6">
        <f t="shared" si="46"/>
        <v>-197.18</v>
      </c>
      <c r="Y91" s="2"/>
      <c r="Z91" s="7">
        <f t="shared" si="47"/>
        <v>-1</v>
      </c>
    </row>
    <row r="92" spans="1:26" s="26" customFormat="1" outlineLevel="1" collapsed="1" x14ac:dyDescent="0.25">
      <c r="A92" s="25"/>
      <c r="B92" s="12" t="str">
        <f>CONCATENATE("     ","Subscriptions &amp; Dues                              ")</f>
        <v xml:space="preserve">     Subscriptions &amp; Dues                              </v>
      </c>
      <c r="C92" s="12"/>
      <c r="D92" s="1">
        <f>SUM(OSRRefD22_9x_0)</f>
        <v>142.22</v>
      </c>
      <c r="E92" s="1"/>
      <c r="F92" s="5">
        <f t="shared" ref="F92:F94" si="48">IF(D$12=0,0,D92/D$12)</f>
        <v>3.5270417112486196E-4</v>
      </c>
      <c r="G92" s="1"/>
      <c r="H92" s="1">
        <f>SUM(OSRRefH22_9x_0)</f>
        <v>0</v>
      </c>
      <c r="I92" s="1"/>
      <c r="J92" s="5">
        <f t="shared" ref="J92:J94" si="49">IF(H$12=0,0,H92/H$12)</f>
        <v>0</v>
      </c>
      <c r="K92" s="1"/>
      <c r="L92" s="1">
        <f t="shared" ref="L92:L94" si="50">+D92-H92</f>
        <v>142.22</v>
      </c>
      <c r="M92" s="1"/>
      <c r="N92" s="5">
        <f t="shared" ref="N92:N94" si="51">IF(H92=0,0,L92/H92)</f>
        <v>0</v>
      </c>
      <c r="O92" s="12"/>
      <c r="P92" s="1">
        <f>SUM(OSRRefP22_9x_0)</f>
        <v>142.22</v>
      </c>
      <c r="Q92" s="1"/>
      <c r="R92" s="5">
        <f t="shared" ref="R92:R94" si="52">IF(P$12=0,0,P92/P$12)</f>
        <v>5.8701066983316191E-5</v>
      </c>
      <c r="S92" s="1"/>
      <c r="T92" s="1">
        <f>SUM(OSRRefT22_9x_0)</f>
        <v>-4886.5</v>
      </c>
      <c r="U92" s="1"/>
      <c r="V92" s="5">
        <f t="shared" ref="V92:V94" si="53">IF(T$12=0,0,T92/T$12)</f>
        <v>-2.0865325106040073E-3</v>
      </c>
      <c r="W92" s="1"/>
      <c r="X92" s="1">
        <f t="shared" ref="X92:X94" si="54">+P92-T92</f>
        <v>5028.72</v>
      </c>
      <c r="Y92" s="1"/>
      <c r="Z92" s="5">
        <f t="shared" ref="Z92:Z94" si="55">IF(T92=0,0,X92/T92)</f>
        <v>-1.0291046761485727</v>
      </c>
    </row>
    <row r="93" spans="1:26" s="23" customFormat="1" hidden="1" outlineLevel="2" x14ac:dyDescent="0.25">
      <c r="A93" s="27"/>
      <c r="B93" s="10" t="str">
        <f>CONCATENATE("          ", "6258", " - ", "MEMBERSHIP DUES")</f>
        <v xml:space="preserve">          6258 - MEMBERSHIP DUES</v>
      </c>
      <c r="C93" s="10"/>
      <c r="D93" s="6"/>
      <c r="E93" s="2"/>
      <c r="F93" s="7">
        <f t="shared" si="48"/>
        <v>0</v>
      </c>
      <c r="G93" s="2"/>
      <c r="H93" s="6"/>
      <c r="I93" s="2"/>
      <c r="J93" s="7">
        <f t="shared" si="49"/>
        <v>0</v>
      </c>
      <c r="K93" s="2"/>
      <c r="L93" s="6">
        <f t="shared" si="50"/>
        <v>0</v>
      </c>
      <c r="M93" s="2"/>
      <c r="N93" s="7">
        <f t="shared" si="51"/>
        <v>0</v>
      </c>
      <c r="O93" s="10"/>
      <c r="P93" s="6"/>
      <c r="Q93" s="2"/>
      <c r="R93" s="7">
        <f t="shared" si="52"/>
        <v>0</v>
      </c>
      <c r="S93" s="2"/>
      <c r="T93" s="6">
        <v>-4886.5</v>
      </c>
      <c r="U93" s="2"/>
      <c r="V93" s="7">
        <f t="shared" si="53"/>
        <v>-2.0865325106040073E-3</v>
      </c>
      <c r="W93" s="2"/>
      <c r="X93" s="6">
        <f t="shared" si="54"/>
        <v>4886.5</v>
      </c>
      <c r="Y93" s="2"/>
      <c r="Z93" s="7">
        <f t="shared" si="55"/>
        <v>-1</v>
      </c>
    </row>
    <row r="94" spans="1:26" s="23" customFormat="1" hidden="1" outlineLevel="2" x14ac:dyDescent="0.25">
      <c r="A94" s="27"/>
      <c r="B94" s="10" t="str">
        <f>CONCATENATE("          ", "6275", " - ", "SUBSCRIPTIONS")</f>
        <v xml:space="preserve">          6275 - SUBSCRIPTIONS</v>
      </c>
      <c r="C94" s="10"/>
      <c r="D94" s="6">
        <v>142.22</v>
      </c>
      <c r="E94" s="2"/>
      <c r="F94" s="7">
        <f t="shared" si="48"/>
        <v>3.5270417112486196E-4</v>
      </c>
      <c r="G94" s="2"/>
      <c r="H94" s="6"/>
      <c r="I94" s="2"/>
      <c r="J94" s="7">
        <f t="shared" si="49"/>
        <v>0</v>
      </c>
      <c r="K94" s="2"/>
      <c r="L94" s="6">
        <f t="shared" si="50"/>
        <v>142.22</v>
      </c>
      <c r="M94" s="2"/>
      <c r="N94" s="7">
        <f t="shared" si="51"/>
        <v>0</v>
      </c>
      <c r="O94" s="10"/>
      <c r="P94" s="6">
        <v>142.22</v>
      </c>
      <c r="Q94" s="2"/>
      <c r="R94" s="7">
        <f t="shared" si="52"/>
        <v>5.8701066983316191E-5</v>
      </c>
      <c r="S94" s="2"/>
      <c r="T94" s="6"/>
      <c r="U94" s="2"/>
      <c r="V94" s="7">
        <f t="shared" si="53"/>
        <v>0</v>
      </c>
      <c r="W94" s="2"/>
      <c r="X94" s="6">
        <f t="shared" si="54"/>
        <v>142.22</v>
      </c>
      <c r="Y94" s="2"/>
      <c r="Z94" s="7">
        <f t="shared" si="55"/>
        <v>0</v>
      </c>
    </row>
    <row r="95" spans="1:26" s="26" customFormat="1" outlineLevel="1" collapsed="1" x14ac:dyDescent="0.25">
      <c r="A95" s="25"/>
      <c r="B95" s="12" t="str">
        <f>CONCATENATE("     ","Supplies                                          ")</f>
        <v xml:space="preserve">     Supplies                                          </v>
      </c>
      <c r="C95" s="12"/>
      <c r="D95" s="1">
        <f>SUM(OSRRefD22_10x_0)</f>
        <v>19.559999999999999</v>
      </c>
      <c r="E95" s="1"/>
      <c r="F95" s="5">
        <f t="shared" ref="F95:F100" si="56">IF(D$12=0,0,D95/D$12)</f>
        <v>4.8508603481945579E-5</v>
      </c>
      <c r="G95" s="1"/>
      <c r="H95" s="1">
        <f>SUM(OSRRefH22_10x_0)</f>
        <v>0</v>
      </c>
      <c r="I95" s="1"/>
      <c r="J95" s="5">
        <f t="shared" ref="J95:J100" si="57">IF(H$12=0,0,H95/H$12)</f>
        <v>0</v>
      </c>
      <c r="K95" s="1"/>
      <c r="L95" s="1">
        <f t="shared" ref="L95:L100" si="58">+D95-H95</f>
        <v>19.559999999999999</v>
      </c>
      <c r="M95" s="1"/>
      <c r="N95" s="5">
        <f t="shared" ref="N95:N100" si="59">IF(H95=0,0,L95/H95)</f>
        <v>0</v>
      </c>
      <c r="O95" s="12"/>
      <c r="P95" s="1">
        <f>SUM(OSRRefP22_10x_0)</f>
        <v>3831.65</v>
      </c>
      <c r="Q95" s="1"/>
      <c r="R95" s="5">
        <f t="shared" ref="R95:R100" si="60">IF(P$12=0,0,P95/P$12)</f>
        <v>1.5815071249235234E-3</v>
      </c>
      <c r="S95" s="1"/>
      <c r="T95" s="1">
        <f>SUM(OSRRefT22_10x_0)</f>
        <v>3135.2700000000004</v>
      </c>
      <c r="U95" s="1"/>
      <c r="V95" s="5">
        <f t="shared" ref="V95:V100" si="61">IF(T$12=0,0,T95/T$12)</f>
        <v>1.3387583719474934E-3</v>
      </c>
      <c r="W95" s="1"/>
      <c r="X95" s="1">
        <f t="shared" ref="X95:X100" si="62">+P95-T95</f>
        <v>696.37999999999965</v>
      </c>
      <c r="Y95" s="1"/>
      <c r="Z95" s="5">
        <f t="shared" ref="Z95:Z100" si="63">IF(T95=0,0,X95/T95)</f>
        <v>0.22211165226599289</v>
      </c>
    </row>
    <row r="96" spans="1:26" s="23" customFormat="1" hidden="1" outlineLevel="2" x14ac:dyDescent="0.25">
      <c r="A96" s="27"/>
      <c r="B96" s="10" t="str">
        <f>CONCATENATE("          ", "6234", " - ", "EXPENDABLE SUPPLIES &amp; EQUIPMEN")</f>
        <v xml:space="preserve">          6234 - EXPENDABLE SUPPLIES &amp; EQUIPMEN</v>
      </c>
      <c r="C96" s="10"/>
      <c r="D96" s="6"/>
      <c r="E96" s="2"/>
      <c r="F96" s="7">
        <f t="shared" si="56"/>
        <v>0</v>
      </c>
      <c r="G96" s="2"/>
      <c r="H96" s="6"/>
      <c r="I96" s="2"/>
      <c r="J96" s="7">
        <f t="shared" si="57"/>
        <v>0</v>
      </c>
      <c r="K96" s="2"/>
      <c r="L96" s="6">
        <f t="shared" si="58"/>
        <v>0</v>
      </c>
      <c r="M96" s="2"/>
      <c r="N96" s="7">
        <f t="shared" si="59"/>
        <v>0</v>
      </c>
      <c r="O96" s="10"/>
      <c r="P96" s="6">
        <v>1733.49</v>
      </c>
      <c r="Q96" s="2"/>
      <c r="R96" s="7">
        <f t="shared" si="60"/>
        <v>7.1549509636414552E-4</v>
      </c>
      <c r="S96" s="2"/>
      <c r="T96" s="6"/>
      <c r="U96" s="2"/>
      <c r="V96" s="7">
        <f t="shared" si="61"/>
        <v>0</v>
      </c>
      <c r="W96" s="2"/>
      <c r="X96" s="6">
        <f t="shared" si="62"/>
        <v>1733.49</v>
      </c>
      <c r="Y96" s="2"/>
      <c r="Z96" s="7">
        <f t="shared" si="63"/>
        <v>0</v>
      </c>
    </row>
    <row r="97" spans="1:26" s="23" customFormat="1" hidden="1" outlineLevel="2" x14ac:dyDescent="0.25">
      <c r="A97" s="27"/>
      <c r="B97" s="10" t="str">
        <f>CONCATENATE("          ", "6235", " - ", "COVID-19 EXPENSES")</f>
        <v xml:space="preserve">          6235 - COVID-19 EXPENSES</v>
      </c>
      <c r="C97" s="10"/>
      <c r="D97" s="6"/>
      <c r="E97" s="2"/>
      <c r="F97" s="7">
        <f t="shared" si="56"/>
        <v>0</v>
      </c>
      <c r="G97" s="2"/>
      <c r="H97" s="6"/>
      <c r="I97" s="2"/>
      <c r="J97" s="7">
        <f t="shared" si="57"/>
        <v>0</v>
      </c>
      <c r="K97" s="2"/>
      <c r="L97" s="6">
        <f t="shared" si="58"/>
        <v>0</v>
      </c>
      <c r="M97" s="2"/>
      <c r="N97" s="7">
        <f t="shared" si="59"/>
        <v>0</v>
      </c>
      <c r="O97" s="10"/>
      <c r="P97" s="6">
        <v>668.12</v>
      </c>
      <c r="Q97" s="2"/>
      <c r="R97" s="7">
        <f t="shared" si="60"/>
        <v>2.7576541184709053E-4</v>
      </c>
      <c r="S97" s="2"/>
      <c r="T97" s="6"/>
      <c r="U97" s="2"/>
      <c r="V97" s="7">
        <f t="shared" si="61"/>
        <v>0</v>
      </c>
      <c r="W97" s="2"/>
      <c r="X97" s="6">
        <f t="shared" si="62"/>
        <v>668.12</v>
      </c>
      <c r="Y97" s="2"/>
      <c r="Z97" s="7">
        <f t="shared" si="63"/>
        <v>0</v>
      </c>
    </row>
    <row r="98" spans="1:26" s="23" customFormat="1" hidden="1" outlineLevel="2" x14ac:dyDescent="0.25">
      <c r="A98" s="27"/>
      <c r="B98" s="10" t="str">
        <f>CONCATENATE("          ", "6241", " - ", "OFFICE EXPENSE")</f>
        <v xml:space="preserve">          6241 - OFFICE EXPENSE</v>
      </c>
      <c r="C98" s="10"/>
      <c r="D98" s="6">
        <v>19.559999999999999</v>
      </c>
      <c r="E98" s="2"/>
      <c r="F98" s="7">
        <f t="shared" si="56"/>
        <v>4.8508603481945579E-5</v>
      </c>
      <c r="G98" s="2"/>
      <c r="H98" s="6"/>
      <c r="I98" s="2"/>
      <c r="J98" s="7">
        <f t="shared" si="57"/>
        <v>0</v>
      </c>
      <c r="K98" s="2"/>
      <c r="L98" s="6">
        <f t="shared" si="58"/>
        <v>19.559999999999999</v>
      </c>
      <c r="M98" s="2"/>
      <c r="N98" s="7">
        <f t="shared" si="59"/>
        <v>0</v>
      </c>
      <c r="O98" s="10"/>
      <c r="P98" s="6">
        <v>1430.04</v>
      </c>
      <c r="Q98" s="2"/>
      <c r="R98" s="7">
        <f t="shared" si="60"/>
        <v>5.9024661671228714E-4</v>
      </c>
      <c r="S98" s="2"/>
      <c r="T98" s="6">
        <v>1125.8900000000001</v>
      </c>
      <c r="U98" s="2"/>
      <c r="V98" s="7">
        <f t="shared" si="61"/>
        <v>4.8075434121844793E-4</v>
      </c>
      <c r="W98" s="2"/>
      <c r="X98" s="6">
        <f t="shared" si="62"/>
        <v>304.14999999999986</v>
      </c>
      <c r="Y98" s="2"/>
      <c r="Z98" s="7">
        <f t="shared" si="63"/>
        <v>0.27014184334171176</v>
      </c>
    </row>
    <row r="99" spans="1:26" s="23" customFormat="1" hidden="1" outlineLevel="2" x14ac:dyDescent="0.25">
      <c r="A99" s="27"/>
      <c r="B99" s="10" t="str">
        <f>CONCATENATE("          ", "6245", " - ", "PRINTING")</f>
        <v xml:space="preserve">          6245 - PRINTING</v>
      </c>
      <c r="C99" s="10"/>
      <c r="D99" s="6"/>
      <c r="E99" s="2"/>
      <c r="F99" s="7">
        <f t="shared" si="56"/>
        <v>0</v>
      </c>
      <c r="G99" s="2"/>
      <c r="H99" s="6"/>
      <c r="I99" s="2"/>
      <c r="J99" s="7">
        <f t="shared" si="57"/>
        <v>0</v>
      </c>
      <c r="K99" s="2"/>
      <c r="L99" s="6">
        <f t="shared" si="58"/>
        <v>0</v>
      </c>
      <c r="M99" s="2"/>
      <c r="N99" s="7">
        <f t="shared" si="59"/>
        <v>0</v>
      </c>
      <c r="O99" s="10"/>
      <c r="P99" s="6"/>
      <c r="Q99" s="2"/>
      <c r="R99" s="7">
        <f t="shared" si="60"/>
        <v>0</v>
      </c>
      <c r="S99" s="2"/>
      <c r="T99" s="6">
        <v>0</v>
      </c>
      <c r="U99" s="2"/>
      <c r="V99" s="7">
        <f t="shared" si="61"/>
        <v>0</v>
      </c>
      <c r="W99" s="2"/>
      <c r="X99" s="6">
        <f t="shared" si="62"/>
        <v>0</v>
      </c>
      <c r="Y99" s="2"/>
      <c r="Z99" s="7">
        <f t="shared" si="63"/>
        <v>0</v>
      </c>
    </row>
    <row r="100" spans="1:26" s="23" customFormat="1" hidden="1" outlineLevel="2" x14ac:dyDescent="0.25">
      <c r="A100" s="27"/>
      <c r="B100" s="10" t="str">
        <f>CONCATENATE("          ", "6247", " - ", "STORE SUPPLIES")</f>
        <v xml:space="preserve">          6247 - STORE SUPPLIES</v>
      </c>
      <c r="C100" s="10"/>
      <c r="D100" s="6"/>
      <c r="E100" s="2"/>
      <c r="F100" s="7">
        <f t="shared" si="56"/>
        <v>0</v>
      </c>
      <c r="G100" s="2"/>
      <c r="H100" s="6"/>
      <c r="I100" s="2"/>
      <c r="J100" s="7">
        <f t="shared" si="57"/>
        <v>0</v>
      </c>
      <c r="K100" s="2"/>
      <c r="L100" s="6">
        <f t="shared" si="58"/>
        <v>0</v>
      </c>
      <c r="M100" s="2"/>
      <c r="N100" s="7">
        <f t="shared" si="59"/>
        <v>0</v>
      </c>
      <c r="O100" s="10"/>
      <c r="P100" s="6"/>
      <c r="Q100" s="2"/>
      <c r="R100" s="7">
        <f t="shared" si="60"/>
        <v>0</v>
      </c>
      <c r="S100" s="2"/>
      <c r="T100" s="6">
        <v>2009.38</v>
      </c>
      <c r="U100" s="2"/>
      <c r="V100" s="7">
        <f t="shared" si="61"/>
        <v>8.5800403072904539E-4</v>
      </c>
      <c r="W100" s="2"/>
      <c r="X100" s="6">
        <f t="shared" si="62"/>
        <v>-2009.38</v>
      </c>
      <c r="Y100" s="2"/>
      <c r="Z100" s="7">
        <f t="shared" si="63"/>
        <v>-1</v>
      </c>
    </row>
    <row r="101" spans="1:26" s="26" customFormat="1" outlineLevel="1" collapsed="1" x14ac:dyDescent="0.25">
      <c r="A101" s="25"/>
      <c r="B101" s="12" t="str">
        <f>CONCATENATE("     ","Telephone/Data Lines                              ")</f>
        <v xml:space="preserve">     Telephone/Data Lines                              </v>
      </c>
      <c r="C101" s="12"/>
      <c r="D101" s="1">
        <f>SUM(OSRRefD22_11x_0)</f>
        <v>271.3</v>
      </c>
      <c r="E101" s="1"/>
      <c r="F101" s="5">
        <f t="shared" ref="F101:F106" si="64">IF(D$12=0,0,D101/D$12)</f>
        <v>6.7282127426645383E-4</v>
      </c>
      <c r="G101" s="1"/>
      <c r="H101" s="1">
        <f>SUM(OSRRefH22_11x_0)</f>
        <v>207.85</v>
      </c>
      <c r="I101" s="1"/>
      <c r="J101" s="5">
        <f t="shared" ref="J101:J106" si="65">IF(H$12=0,0,H101/H$12)</f>
        <v>6.8464209276427701E-4</v>
      </c>
      <c r="K101" s="1"/>
      <c r="L101" s="1">
        <f t="shared" ref="L101:L106" si="66">+D101-H101</f>
        <v>63.450000000000017</v>
      </c>
      <c r="M101" s="1"/>
      <c r="N101" s="5">
        <f t="shared" ref="N101:N106" si="67">IF(H101=0,0,L101/H101)</f>
        <v>0.30526822227567968</v>
      </c>
      <c r="O101" s="12"/>
      <c r="P101" s="1">
        <f>SUM(OSRRefP22_11x_0)</f>
        <v>2877.55</v>
      </c>
      <c r="Q101" s="1"/>
      <c r="R101" s="5">
        <f t="shared" ref="R101:R106" si="68">IF(P$12=0,0,P101/P$12)</f>
        <v>1.1877039466871152E-3</v>
      </c>
      <c r="S101" s="1"/>
      <c r="T101" s="1">
        <f>SUM(OSRRefT22_11x_0)</f>
        <v>2512.4499999999998</v>
      </c>
      <c r="U101" s="1"/>
      <c r="V101" s="5">
        <f t="shared" ref="V101:V106" si="69">IF(T$12=0,0,T101/T$12)</f>
        <v>1.072814612967776E-3</v>
      </c>
      <c r="W101" s="1"/>
      <c r="X101" s="1">
        <f t="shared" ref="X101:X106" si="70">+P101-T101</f>
        <v>365.10000000000036</v>
      </c>
      <c r="Y101" s="1"/>
      <c r="Z101" s="5">
        <f t="shared" ref="Z101:Z106" si="71">IF(T101=0,0,X101/T101)</f>
        <v>0.14531632470297931</v>
      </c>
    </row>
    <row r="102" spans="1:26" s="23" customFormat="1" hidden="1" outlineLevel="2" x14ac:dyDescent="0.25">
      <c r="A102" s="27"/>
      <c r="B102" s="10" t="str">
        <f>CONCATENATE("          ", "6309", " - ", "TELEPHONE")</f>
        <v xml:space="preserve">          6309 - TELEPHONE</v>
      </c>
      <c r="C102" s="10"/>
      <c r="D102" s="6">
        <v>271.3</v>
      </c>
      <c r="E102" s="2"/>
      <c r="F102" s="7">
        <f t="shared" si="64"/>
        <v>6.7282127426645383E-4</v>
      </c>
      <c r="G102" s="2"/>
      <c r="H102" s="6">
        <v>207.85</v>
      </c>
      <c r="I102" s="2"/>
      <c r="J102" s="7">
        <f t="shared" si="65"/>
        <v>6.8464209276427701E-4</v>
      </c>
      <c r="K102" s="2"/>
      <c r="L102" s="6">
        <f t="shared" si="66"/>
        <v>63.450000000000017</v>
      </c>
      <c r="M102" s="2"/>
      <c r="N102" s="7">
        <f t="shared" si="67"/>
        <v>0.30526822227567968</v>
      </c>
      <c r="O102" s="10"/>
      <c r="P102" s="6">
        <v>2877.55</v>
      </c>
      <c r="Q102" s="2"/>
      <c r="R102" s="7">
        <f t="shared" si="68"/>
        <v>1.1877039466871152E-3</v>
      </c>
      <c r="S102" s="2"/>
      <c r="T102" s="6">
        <v>2512.4499999999998</v>
      </c>
      <c r="U102" s="2"/>
      <c r="V102" s="7">
        <f t="shared" si="69"/>
        <v>1.072814612967776E-3</v>
      </c>
      <c r="W102" s="2"/>
      <c r="X102" s="6">
        <f t="shared" si="70"/>
        <v>365.10000000000036</v>
      </c>
      <c r="Y102" s="2"/>
      <c r="Z102" s="7">
        <f t="shared" si="71"/>
        <v>0.14531632470297931</v>
      </c>
    </row>
    <row r="103" spans="1:26" s="26" customFormat="1" outlineLevel="1" collapsed="1" x14ac:dyDescent="0.25">
      <c r="A103" s="25"/>
      <c r="B103" s="12" t="str">
        <f>CONCATENATE("     ","Training                                          ")</f>
        <v xml:space="preserve">     Training                                          </v>
      </c>
      <c r="C103" s="12"/>
      <c r="D103" s="1">
        <f>SUM(OSRRefD22_12x_0)</f>
        <v>0</v>
      </c>
      <c r="E103" s="1"/>
      <c r="F103" s="5">
        <f t="shared" si="64"/>
        <v>0</v>
      </c>
      <c r="G103" s="1"/>
      <c r="H103" s="1">
        <f>SUM(OSRRefH22_12x_0)</f>
        <v>0</v>
      </c>
      <c r="I103" s="1"/>
      <c r="J103" s="5">
        <f t="shared" si="65"/>
        <v>0</v>
      </c>
      <c r="K103" s="1"/>
      <c r="L103" s="1">
        <f t="shared" si="66"/>
        <v>0</v>
      </c>
      <c r="M103" s="1"/>
      <c r="N103" s="5">
        <f t="shared" si="67"/>
        <v>0</v>
      </c>
      <c r="O103" s="12"/>
      <c r="P103" s="1">
        <f>SUM(OSRRefP22_12x_0)</f>
        <v>100</v>
      </c>
      <c r="Q103" s="1"/>
      <c r="R103" s="5">
        <f t="shared" si="68"/>
        <v>4.1274832641904228E-5</v>
      </c>
      <c r="S103" s="1"/>
      <c r="T103" s="1">
        <f>SUM(OSRRefT22_12x_0)</f>
        <v>1875.75</v>
      </c>
      <c r="U103" s="1"/>
      <c r="V103" s="5">
        <f t="shared" si="69"/>
        <v>8.0094410247937508E-4</v>
      </c>
      <c r="W103" s="1"/>
      <c r="X103" s="1">
        <f t="shared" si="70"/>
        <v>-1775.75</v>
      </c>
      <c r="Y103" s="1"/>
      <c r="Z103" s="5">
        <f t="shared" si="71"/>
        <v>-0.94668799147007865</v>
      </c>
    </row>
    <row r="104" spans="1:26" s="23" customFormat="1" hidden="1" outlineLevel="2" x14ac:dyDescent="0.25">
      <c r="A104" s="27"/>
      <c r="B104" s="10" t="str">
        <f>CONCATENATE("          ", "6376", " - ", "TRAINING")</f>
        <v xml:space="preserve">          6376 - TRAINING</v>
      </c>
      <c r="C104" s="10"/>
      <c r="D104" s="6"/>
      <c r="E104" s="2"/>
      <c r="F104" s="7">
        <f t="shared" si="64"/>
        <v>0</v>
      </c>
      <c r="G104" s="2"/>
      <c r="H104" s="6"/>
      <c r="I104" s="2"/>
      <c r="J104" s="7">
        <f t="shared" si="65"/>
        <v>0</v>
      </c>
      <c r="K104" s="2"/>
      <c r="L104" s="6">
        <f t="shared" si="66"/>
        <v>0</v>
      </c>
      <c r="M104" s="2"/>
      <c r="N104" s="7">
        <f t="shared" si="67"/>
        <v>0</v>
      </c>
      <c r="O104" s="10"/>
      <c r="P104" s="6">
        <v>100</v>
      </c>
      <c r="Q104" s="2"/>
      <c r="R104" s="7">
        <f t="shared" si="68"/>
        <v>4.1274832641904228E-5</v>
      </c>
      <c r="S104" s="2"/>
      <c r="T104" s="6">
        <v>1875.75</v>
      </c>
      <c r="U104" s="2"/>
      <c r="V104" s="7">
        <f t="shared" si="69"/>
        <v>8.0094410247937508E-4</v>
      </c>
      <c r="W104" s="2"/>
      <c r="X104" s="6">
        <f t="shared" si="70"/>
        <v>-1775.75</v>
      </c>
      <c r="Y104" s="2"/>
      <c r="Z104" s="7">
        <f t="shared" si="71"/>
        <v>-0.94668799147007865</v>
      </c>
    </row>
    <row r="105" spans="1:26" s="26" customFormat="1" outlineLevel="1" collapsed="1" x14ac:dyDescent="0.25">
      <c r="A105" s="25"/>
      <c r="B105" s="12" t="str">
        <f>CONCATENATE("     ","Travel                                            ")</f>
        <v xml:space="preserve">     Travel                                            </v>
      </c>
      <c r="C105" s="12"/>
      <c r="D105" s="1">
        <f>SUM(OSRRefD22_13x_0)</f>
        <v>0</v>
      </c>
      <c r="E105" s="1"/>
      <c r="F105" s="5">
        <f t="shared" si="64"/>
        <v>0</v>
      </c>
      <c r="G105" s="1"/>
      <c r="H105" s="1">
        <f>SUM(OSRRefH22_13x_0)</f>
        <v>0</v>
      </c>
      <c r="I105" s="1"/>
      <c r="J105" s="5">
        <f t="shared" si="65"/>
        <v>0</v>
      </c>
      <c r="K105" s="1"/>
      <c r="L105" s="1">
        <f t="shared" si="66"/>
        <v>0</v>
      </c>
      <c r="M105" s="1"/>
      <c r="N105" s="5">
        <f t="shared" si="67"/>
        <v>0</v>
      </c>
      <c r="O105" s="12"/>
      <c r="P105" s="1">
        <f>SUM(OSRRefP22_13x_0)</f>
        <v>0</v>
      </c>
      <c r="Q105" s="1"/>
      <c r="R105" s="5">
        <f t="shared" si="68"/>
        <v>0</v>
      </c>
      <c r="S105" s="1"/>
      <c r="T105" s="1">
        <f>SUM(OSRRefT22_13x_0)</f>
        <v>-178.06</v>
      </c>
      <c r="U105" s="1"/>
      <c r="V105" s="5">
        <f t="shared" si="69"/>
        <v>-7.6031511068893793E-5</v>
      </c>
      <c r="W105" s="1"/>
      <c r="X105" s="1">
        <f t="shared" si="70"/>
        <v>178.06</v>
      </c>
      <c r="Y105" s="1"/>
      <c r="Z105" s="5">
        <f t="shared" si="71"/>
        <v>-1</v>
      </c>
    </row>
    <row r="106" spans="1:26" s="23" customFormat="1" hidden="1" outlineLevel="2" x14ac:dyDescent="0.25">
      <c r="A106" s="27"/>
      <c r="B106" s="10" t="str">
        <f>CONCATENATE("          ", "6292", " - ", "TRAVEL/CONFERENCE")</f>
        <v xml:space="preserve">          6292 - TRAVEL/CONFERENCE</v>
      </c>
      <c r="C106" s="10"/>
      <c r="D106" s="6"/>
      <c r="E106" s="2"/>
      <c r="F106" s="7">
        <f t="shared" si="64"/>
        <v>0</v>
      </c>
      <c r="G106" s="2"/>
      <c r="H106" s="6"/>
      <c r="I106" s="2"/>
      <c r="J106" s="7">
        <f t="shared" si="65"/>
        <v>0</v>
      </c>
      <c r="K106" s="2"/>
      <c r="L106" s="6">
        <f t="shared" si="66"/>
        <v>0</v>
      </c>
      <c r="M106" s="2"/>
      <c r="N106" s="7">
        <f t="shared" si="67"/>
        <v>0</v>
      </c>
      <c r="O106" s="10"/>
      <c r="P106" s="6"/>
      <c r="Q106" s="2"/>
      <c r="R106" s="7">
        <f t="shared" si="68"/>
        <v>0</v>
      </c>
      <c r="S106" s="2"/>
      <c r="T106" s="6">
        <v>-178.06</v>
      </c>
      <c r="U106" s="2"/>
      <c r="V106" s="7">
        <f t="shared" si="69"/>
        <v>-7.6031511068893793E-5</v>
      </c>
      <c r="W106" s="2"/>
      <c r="X106" s="6">
        <f t="shared" si="70"/>
        <v>178.06</v>
      </c>
      <c r="Y106" s="2"/>
      <c r="Z106" s="7">
        <f t="shared" si="71"/>
        <v>-1</v>
      </c>
    </row>
    <row r="107" spans="1:26" s="62" customFormat="1" x14ac:dyDescent="0.25">
      <c r="A107" s="37"/>
      <c r="B107" s="37"/>
      <c r="C107" s="37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7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4" customFormat="1" collapsed="1" x14ac:dyDescent="0.25">
      <c r="A108" s="11"/>
      <c r="B108" s="28" t="s">
        <v>292</v>
      </c>
      <c r="C108" s="11"/>
      <c r="D108" s="4">
        <f>SUM(OSRRefD25x_0)</f>
        <v>-23103.62</v>
      </c>
      <c r="E108" s="4"/>
      <c r="F108" s="13">
        <f t="shared" ref="F108:F112" si="72">IF(D$12=0,0,D108/D$12)</f>
        <v>-5.7296745479424718E-2</v>
      </c>
      <c r="G108" s="4"/>
      <c r="H108" s="4">
        <f>SUM(OSRRefH25x_0)</f>
        <v>513.69000000000005</v>
      </c>
      <c r="I108" s="4"/>
      <c r="J108" s="13">
        <f t="shared" ref="J108:J112" si="73">IF(H$12=0,0,H108/H$12)</f>
        <v>1.6920557932743876E-3</v>
      </c>
      <c r="K108" s="4"/>
      <c r="L108" s="4">
        <f t="shared" ref="L108:L112" si="74">+D108-H108</f>
        <v>-23617.309999999998</v>
      </c>
      <c r="M108" s="4"/>
      <c r="N108" s="13">
        <f t="shared" ref="N108:N112" si="75">IF(H108=0,0,L108/H108)</f>
        <v>-45.975802526815777</v>
      </c>
      <c r="O108" s="11"/>
      <c r="P108" s="4">
        <f>SUM(OSRRefP25x_0)</f>
        <v>3736.26</v>
      </c>
      <c r="Q108" s="4"/>
      <c r="R108" s="13">
        <f t="shared" ref="R108:R112" si="76">IF(P$12=0,0,P108/P$12)</f>
        <v>1.5421350620664109E-3</v>
      </c>
      <c r="S108" s="4"/>
      <c r="T108" s="4">
        <f>SUM(OSRRefT25x_0)</f>
        <v>13657.330000000002</v>
      </c>
      <c r="U108" s="4"/>
      <c r="V108" s="13">
        <f t="shared" ref="V108:V112" si="77">IF(T$12=0,0,T108/T$12)</f>
        <v>5.8316715549058488E-3</v>
      </c>
      <c r="W108" s="4"/>
      <c r="X108" s="4">
        <f t="shared" ref="X108:X112" si="78">+P108-T108</f>
        <v>-9921.0700000000015</v>
      </c>
      <c r="Y108" s="4"/>
      <c r="Z108" s="13">
        <f t="shared" ref="Z108:Z112" si="79">IF(T108=0,0,X108/T108)</f>
        <v>-0.7264282257220116</v>
      </c>
    </row>
    <row r="109" spans="1:26" s="23" customFormat="1" hidden="1" outlineLevel="1" x14ac:dyDescent="0.25">
      <c r="A109" s="44"/>
      <c r="B109" s="10" t="str">
        <f>CONCATENATE("          ", "4187", " - ", "NON-TAXABLE SALES-COMPUTER REP")</f>
        <v xml:space="preserve">          4187 - NON-TAXABLE SALES-COMPUTER REP</v>
      </c>
      <c r="C109" s="10"/>
      <c r="D109" s="2">
        <f>--1700.99</f>
        <v>1700.99</v>
      </c>
      <c r="E109" s="2"/>
      <c r="F109" s="19">
        <f t="shared" si="72"/>
        <v>4.218438110263528E-3</v>
      </c>
      <c r="G109" s="2"/>
      <c r="H109" s="2">
        <f>--603.69</f>
        <v>603.69000000000005</v>
      </c>
      <c r="I109" s="2"/>
      <c r="J109" s="19">
        <f t="shared" si="73"/>
        <v>1.9885089486690712E-3</v>
      </c>
      <c r="K109" s="2"/>
      <c r="L109" s="2">
        <f t="shared" si="74"/>
        <v>1097.3</v>
      </c>
      <c r="M109" s="2"/>
      <c r="N109" s="19">
        <f t="shared" si="75"/>
        <v>1.8176547565803638</v>
      </c>
      <c r="O109" s="10"/>
      <c r="P109" s="2">
        <f>--3315.96</f>
        <v>3315.96</v>
      </c>
      <c r="Q109" s="2"/>
      <c r="R109" s="19">
        <f t="shared" si="76"/>
        <v>1.3686569404724874E-3</v>
      </c>
      <c r="S109" s="2"/>
      <c r="T109" s="2">
        <f>--16183.2</f>
        <v>16183.2</v>
      </c>
      <c r="U109" s="2"/>
      <c r="V109" s="19">
        <f t="shared" si="77"/>
        <v>6.9102164996637204E-3</v>
      </c>
      <c r="W109" s="2"/>
      <c r="X109" s="2">
        <f t="shared" si="78"/>
        <v>-12867.240000000002</v>
      </c>
      <c r="Y109" s="2"/>
      <c r="Z109" s="19">
        <f t="shared" si="79"/>
        <v>-0.79509862079193239</v>
      </c>
    </row>
    <row r="110" spans="1:26" s="23" customFormat="1" hidden="1" outlineLevel="1" x14ac:dyDescent="0.25">
      <c r="A110" s="44"/>
      <c r="B110" s="10" t="str">
        <f>CONCATENATE("          ", "4387", " - ", "SALES RETURN NON TAXABLE-COMPU")</f>
        <v xml:space="preserve">          4387 - SALES RETURN NON TAXABLE-COMPU</v>
      </c>
      <c r="C110" s="10"/>
      <c r="D110" s="2">
        <f t="shared" ref="D110:D111" si="80">0</f>
        <v>0</v>
      </c>
      <c r="E110" s="2"/>
      <c r="F110" s="19">
        <f t="shared" si="72"/>
        <v>0</v>
      </c>
      <c r="G110" s="2"/>
      <c r="H110" s="2">
        <f t="shared" ref="H110:H111" si="81">0</f>
        <v>0</v>
      </c>
      <c r="I110" s="2"/>
      <c r="J110" s="19">
        <f t="shared" si="73"/>
        <v>0</v>
      </c>
      <c r="K110" s="2"/>
      <c r="L110" s="2">
        <f t="shared" si="74"/>
        <v>0</v>
      </c>
      <c r="M110" s="2"/>
      <c r="N110" s="19">
        <f t="shared" si="75"/>
        <v>0</v>
      </c>
      <c r="O110" s="10"/>
      <c r="P110" s="2">
        <f t="shared" ref="P110:P111" si="82">0</f>
        <v>0</v>
      </c>
      <c r="Q110" s="2"/>
      <c r="R110" s="19">
        <f t="shared" si="76"/>
        <v>0</v>
      </c>
      <c r="S110" s="2"/>
      <c r="T110" s="2">
        <f>-7889</f>
        <v>-7889</v>
      </c>
      <c r="U110" s="2"/>
      <c r="V110" s="19">
        <f t="shared" si="77"/>
        <v>-3.3685981737757113E-3</v>
      </c>
      <c r="W110" s="2"/>
      <c r="X110" s="2">
        <f t="shared" si="78"/>
        <v>7889</v>
      </c>
      <c r="Y110" s="2"/>
      <c r="Z110" s="19">
        <f t="shared" si="79"/>
        <v>-1</v>
      </c>
    </row>
    <row r="111" spans="1:26" s="23" customFormat="1" hidden="1" outlineLevel="1" x14ac:dyDescent="0.25">
      <c r="A111" s="44"/>
      <c r="B111" s="10" t="str">
        <f>CONCATENATE("          ", "5087", " - ", "PURCHASES @ COST-COMPUTER REPA")</f>
        <v xml:space="preserve">          5087 - PURCHASES @ COST-COMPUTER REPA</v>
      </c>
      <c r="C111" s="10"/>
      <c r="D111" s="2">
        <f t="shared" si="80"/>
        <v>0</v>
      </c>
      <c r="E111" s="2"/>
      <c r="F111" s="19">
        <f t="shared" si="72"/>
        <v>0</v>
      </c>
      <c r="G111" s="2"/>
      <c r="H111" s="2">
        <f t="shared" si="81"/>
        <v>0</v>
      </c>
      <c r="I111" s="2"/>
      <c r="J111" s="19">
        <f t="shared" si="73"/>
        <v>0</v>
      </c>
      <c r="K111" s="2"/>
      <c r="L111" s="2">
        <f t="shared" si="74"/>
        <v>0</v>
      </c>
      <c r="M111" s="2"/>
      <c r="N111" s="19">
        <f t="shared" si="75"/>
        <v>0</v>
      </c>
      <c r="O111" s="10"/>
      <c r="P111" s="2">
        <f t="shared" si="82"/>
        <v>0</v>
      </c>
      <c r="Q111" s="2"/>
      <c r="R111" s="19">
        <f t="shared" si="76"/>
        <v>0</v>
      </c>
      <c r="S111" s="2"/>
      <c r="T111" s="2">
        <f>-104.76</f>
        <v>-104.76</v>
      </c>
      <c r="U111" s="2"/>
      <c r="V111" s="19">
        <f t="shared" si="77"/>
        <v>-4.4732455911363103E-5</v>
      </c>
      <c r="W111" s="2"/>
      <c r="X111" s="2">
        <f t="shared" si="78"/>
        <v>104.76</v>
      </c>
      <c r="Y111" s="2"/>
      <c r="Z111" s="19">
        <f t="shared" si="79"/>
        <v>-1</v>
      </c>
    </row>
    <row r="112" spans="1:26" s="23" customFormat="1" hidden="1" outlineLevel="1" x14ac:dyDescent="0.25">
      <c r="A112" s="44"/>
      <c r="B112" s="10" t="str">
        <f>CONCATENATE("          ", "9150", " - ", "MISC. INCOME")</f>
        <v xml:space="preserve">          9150 - MISC. INCOME</v>
      </c>
      <c r="C112" s="10"/>
      <c r="D112" s="2">
        <f>-24804.61</f>
        <v>-24804.61</v>
      </c>
      <c r="E112" s="2"/>
      <c r="F112" s="19">
        <f t="shared" si="72"/>
        <v>-6.1515183589688251E-2</v>
      </c>
      <c r="G112" s="2"/>
      <c r="H112" s="2">
        <f>-90</f>
        <v>-90</v>
      </c>
      <c r="I112" s="2"/>
      <c r="J112" s="19">
        <f t="shared" si="73"/>
        <v>-2.964531553946833E-4</v>
      </c>
      <c r="K112" s="2"/>
      <c r="L112" s="2">
        <f t="shared" si="74"/>
        <v>-24714.61</v>
      </c>
      <c r="M112" s="2"/>
      <c r="N112" s="19">
        <f t="shared" si="75"/>
        <v>274.60677777777778</v>
      </c>
      <c r="O112" s="10"/>
      <c r="P112" s="2">
        <f>--420.3</f>
        <v>420.3</v>
      </c>
      <c r="Q112" s="2"/>
      <c r="R112" s="19">
        <f t="shared" si="76"/>
        <v>1.7347812159392346E-4</v>
      </c>
      <c r="S112" s="2"/>
      <c r="T112" s="2">
        <f>--5467.89</f>
        <v>5467.89</v>
      </c>
      <c r="U112" s="2"/>
      <c r="V112" s="19">
        <f t="shared" si="77"/>
        <v>2.3347856849292021E-3</v>
      </c>
      <c r="W112" s="2"/>
      <c r="X112" s="2">
        <f t="shared" si="78"/>
        <v>-5047.59</v>
      </c>
      <c r="Y112" s="2"/>
      <c r="Z112" s="19">
        <f t="shared" si="79"/>
        <v>-0.92313305498098897</v>
      </c>
    </row>
    <row r="113" spans="1:26" x14ac:dyDescent="0.25">
      <c r="A113" s="9"/>
      <c r="B113" s="11"/>
      <c r="C113" s="11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1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4" customFormat="1" x14ac:dyDescent="0.25">
      <c r="A114" s="11"/>
      <c r="B114" s="29" t="s">
        <v>276</v>
      </c>
      <c r="C114" s="29"/>
      <c r="D114" s="20">
        <f>+D57-D59+D108</f>
        <v>-2926.309999999994</v>
      </c>
      <c r="E114" s="14"/>
      <c r="F114" s="22">
        <f>IF(D$12=0,0,D114/D$12)</f>
        <v>-7.2572193995527551E-3</v>
      </c>
      <c r="G114" s="14"/>
      <c r="H114" s="20">
        <f>+H57-H59+H108</f>
        <v>25046.259999999951</v>
      </c>
      <c r="I114" s="14"/>
      <c r="J114" s="22">
        <f>IF(H$12=0,0,H114/H$12)</f>
        <v>8.2500475642618074E-2</v>
      </c>
      <c r="K114" s="16"/>
      <c r="L114" s="20">
        <f>+D114-H114</f>
        <v>-27972.569999999945</v>
      </c>
      <c r="M114" s="16"/>
      <c r="N114" s="22">
        <f>IF(H114=0,0,L114/H114)</f>
        <v>-1.1168362062838924</v>
      </c>
      <c r="O114" s="28"/>
      <c r="P114" s="20">
        <f>+P57-P59+P108</f>
        <v>54889.539999999593</v>
      </c>
      <c r="Q114" s="14"/>
      <c r="R114" s="22">
        <f>IF(P$12=0,0,P114/P$12)</f>
        <v>2.2655565772910908E-2</v>
      </c>
      <c r="S114" s="14"/>
      <c r="T114" s="20">
        <f>+T57-T59+T108</f>
        <v>125283.65999999926</v>
      </c>
      <c r="U114" s="14"/>
      <c r="V114" s="22">
        <f>IF(T$12=0,0,T114/T$12)</f>
        <v>5.3496046175679379E-2</v>
      </c>
      <c r="W114" s="16"/>
      <c r="X114" s="20">
        <f>+P114-T114</f>
        <v>-70394.119999999675</v>
      </c>
      <c r="Y114" s="16"/>
      <c r="Z114" s="22">
        <f>IF(T114=0,0,X114/T114)</f>
        <v>-0.56187790171519647</v>
      </c>
    </row>
    <row r="115" spans="1:26" x14ac:dyDescent="0.25">
      <c r="A115" s="9"/>
      <c r="B115" s="11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4" customFormat="1" x14ac:dyDescent="0.25">
      <c r="A116" s="51"/>
      <c r="B116" s="11" t="s">
        <v>127</v>
      </c>
      <c r="C116" s="11"/>
      <c r="D116" s="4">
        <v>90642.79</v>
      </c>
      <c r="E116" s="4"/>
      <c r="F116" s="13">
        <f>IF(D$12=0,0,D116/D$12)</f>
        <v>0.22479320851775367</v>
      </c>
      <c r="G116" s="4"/>
      <c r="H116" s="4">
        <v>47496.2</v>
      </c>
      <c r="I116" s="4"/>
      <c r="J116" s="13">
        <f>IF(H$12=0,0,H116/H$12)</f>
        <v>0.15644887065841065</v>
      </c>
      <c r="K116" s="4"/>
      <c r="L116" s="4">
        <f>+D116-H116</f>
        <v>43146.59</v>
      </c>
      <c r="M116" s="4"/>
      <c r="N116" s="13">
        <f>IF(H116=0,0,L116/H116)</f>
        <v>0.90842193691284778</v>
      </c>
      <c r="O116" s="11"/>
      <c r="P116" s="4">
        <v>506856.23</v>
      </c>
      <c r="Q116" s="4"/>
      <c r="R116" s="13">
        <f>IF(P$12=0,0,P116/P$12)</f>
        <v>0.20920406066756514</v>
      </c>
      <c r="S116" s="4"/>
      <c r="T116" s="4">
        <v>265908.68</v>
      </c>
      <c r="U116" s="4"/>
      <c r="V116" s="13">
        <f>IF(T$12=0,0,T116/T$12)</f>
        <v>0.11354284368603244</v>
      </c>
      <c r="W116" s="4"/>
      <c r="X116" s="4">
        <f>+P116-T116</f>
        <v>240947.55</v>
      </c>
      <c r="Y116" s="4"/>
      <c r="Z116" s="13">
        <f>IF(T116=0,0,X116/T116)</f>
        <v>0.90612893870181299</v>
      </c>
    </row>
    <row r="117" spans="1:26" x14ac:dyDescent="0.25">
      <c r="A117" s="9"/>
      <c r="B117" s="11"/>
      <c r="C117" s="11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1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4" customFormat="1" ht="15.75" thickBot="1" x14ac:dyDescent="0.3">
      <c r="A118" s="11"/>
      <c r="B118" s="29" t="s">
        <v>125</v>
      </c>
      <c r="C118" s="29"/>
      <c r="D118" s="30">
        <f>+D114-D116</f>
        <v>-93569.099999999991</v>
      </c>
      <c r="E118" s="14"/>
      <c r="F118" s="34">
        <f>IF(D$12=0,0,D118/D$12)</f>
        <v>-0.23205042791730643</v>
      </c>
      <c r="G118" s="14"/>
      <c r="H118" s="30">
        <f>+H114-H116</f>
        <v>-22449.940000000046</v>
      </c>
      <c r="I118" s="14"/>
      <c r="J118" s="34">
        <f>IF(H$12=0,0,H118/H$12)</f>
        <v>-7.3948395015792562E-2</v>
      </c>
      <c r="K118" s="16"/>
      <c r="L118" s="30">
        <f>D118-H118</f>
        <v>-71119.159999999945</v>
      </c>
      <c r="M118" s="16"/>
      <c r="N118" s="34">
        <f>IF(H118=0,0,L118/H118)</f>
        <v>3.1678997805784692</v>
      </c>
      <c r="O118" s="28"/>
      <c r="P118" s="30">
        <f>+P114-P116</f>
        <v>-451966.69000000041</v>
      </c>
      <c r="Q118" s="14"/>
      <c r="R118" s="34">
        <f>IF(P$12=0,0,P118/P$12)</f>
        <v>-0.18654849489465425</v>
      </c>
      <c r="S118" s="14"/>
      <c r="T118" s="30">
        <f>+T114-T116</f>
        <v>-140625.02000000072</v>
      </c>
      <c r="U118" s="14"/>
      <c r="V118" s="34">
        <f>IF(T$12=0,0,T118/T$12)</f>
        <v>-6.0046797510353057E-2</v>
      </c>
      <c r="W118" s="16"/>
      <c r="X118" s="30">
        <f>P118-T118</f>
        <v>-311341.66999999969</v>
      </c>
      <c r="Y118" s="16"/>
      <c r="Z118" s="34">
        <f>IF(T118=0,0,X118/T118)</f>
        <v>2.2139848940110238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4" customFormat="1" ht="15.75" thickBot="1" x14ac:dyDescent="0.3">
      <c r="A121" s="11"/>
      <c r="B121" s="29" t="s">
        <v>293</v>
      </c>
      <c r="C121" s="29"/>
      <c r="D121" s="32">
        <f>SUM(D118:D120)</f>
        <v>-93569.099999999991</v>
      </c>
      <c r="E121" s="14"/>
      <c r="F121" s="35">
        <f>IF(D$12=0,0,D121/D$12)</f>
        <v>-0.23205042791730643</v>
      </c>
      <c r="G121" s="14"/>
      <c r="H121" s="32">
        <f>SUM(H118:H120)</f>
        <v>-22449.940000000046</v>
      </c>
      <c r="I121" s="14"/>
      <c r="J121" s="35">
        <f>IF(H$12=0,0,H121/H$12)</f>
        <v>-7.3948395015792562E-2</v>
      </c>
      <c r="K121" s="16"/>
      <c r="L121" s="32">
        <f>+D121-H121</f>
        <v>-71119.159999999945</v>
      </c>
      <c r="M121" s="16"/>
      <c r="N121" s="35">
        <f>IF(H121=0,0,L121/H121)</f>
        <v>3.1678997805784692</v>
      </c>
      <c r="O121" s="28"/>
      <c r="P121" s="32">
        <f>SUM(P118:P120)</f>
        <v>-451966.69000000041</v>
      </c>
      <c r="Q121" s="14"/>
      <c r="R121" s="35">
        <f>IF(P$12=0,0,P121/P$12)</f>
        <v>-0.18654849489465425</v>
      </c>
      <c r="S121" s="14"/>
      <c r="T121" s="32">
        <f>SUM(T118:T120)</f>
        <v>-140625.02000000072</v>
      </c>
      <c r="U121" s="14"/>
      <c r="V121" s="35">
        <f>IF(T$12=0,0,T121/T$12)</f>
        <v>-6.0046797510353057E-2</v>
      </c>
      <c r="W121" s="16"/>
      <c r="X121" s="32">
        <f>+P121-T121</f>
        <v>-311341.66999999969</v>
      </c>
      <c r="Y121" s="16"/>
      <c r="Z121" s="35">
        <f>IF(T121=0,0,X121/T121)</f>
        <v>2.2139848940110238</v>
      </c>
    </row>
    <row r="122" spans="1:26" ht="15.75" thickTop="1" x14ac:dyDescent="0.25">
      <c r="A122" s="9"/>
      <c r="C122" s="9"/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  <row r="123" spans="1:26" x14ac:dyDescent="0.25">
      <c r="A123" s="9"/>
      <c r="B123" s="59">
        <v>44330.008845636577</v>
      </c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25">
      <c r="A124" s="9"/>
      <c r="B124" s="52" t="s">
        <v>56</v>
      </c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  <row r="125" spans="1:26" x14ac:dyDescent="0.25">
      <c r="A125" s="9"/>
      <c r="B125" s="55"/>
      <c r="D125" s="17"/>
      <c r="E125" s="17"/>
      <c r="G125" s="17"/>
      <c r="H125" s="17"/>
      <c r="I125" s="17"/>
      <c r="J125" s="42"/>
      <c r="K125" s="17"/>
      <c r="L125" s="17"/>
      <c r="M125" s="17"/>
      <c r="P125" s="17"/>
      <c r="Q125" s="17"/>
      <c r="R125" s="42"/>
      <c r="S125" s="17"/>
      <c r="T125" s="17"/>
      <c r="U125" s="17"/>
      <c r="V125" s="42"/>
      <c r="W125" s="17"/>
      <c r="X125" s="17"/>
    </row>
    <row r="126" spans="1:26" x14ac:dyDescent="0.25"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2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","317", " - ", "Computer Store")</f>
        <v>Department 317 - Computer Store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403227.43999999994</v>
      </c>
      <c r="E12" s="4"/>
      <c r="F12" s="13"/>
      <c r="G12" s="4"/>
      <c r="H12" s="4">
        <f>SUM(OSRRefH13x_0)</f>
        <v>303589.27999999991</v>
      </c>
      <c r="I12" s="4"/>
      <c r="J12" s="13"/>
      <c r="K12" s="4"/>
      <c r="L12" s="4">
        <f t="shared" ref="L12:L37" si="0">+D12-H12</f>
        <v>99638.160000000033</v>
      </c>
      <c r="M12" s="4"/>
      <c r="N12" s="13">
        <f t="shared" ref="N12:N37" si="1">IF(H12=0,0,L12/H12)</f>
        <v>0.32820052144133699</v>
      </c>
      <c r="O12" s="11"/>
      <c r="P12" s="4">
        <f>SUM(OSRRefP13x_0)</f>
        <v>2422783.8999999994</v>
      </c>
      <c r="Q12" s="4"/>
      <c r="R12" s="13"/>
      <c r="S12" s="4"/>
      <c r="T12" s="4">
        <f>SUM(OSRRefT13x_0)</f>
        <v>2341923.7299999995</v>
      </c>
      <c r="U12" s="4"/>
      <c r="V12" s="13"/>
      <c r="W12" s="4"/>
      <c r="X12" s="4">
        <f t="shared" ref="X12:X37" si="2">+P12-T12</f>
        <v>80860.169999999925</v>
      </c>
      <c r="Y12" s="4"/>
      <c r="Z12" s="13">
        <f t="shared" ref="Z12:Z37" si="3">IF(T12=0,0,X12/T12)</f>
        <v>3.4527243122473482E-2</v>
      </c>
    </row>
    <row r="13" spans="1:26" s="23" customFormat="1" hidden="1" outlineLevel="1" x14ac:dyDescent="0.25">
      <c r="A13" s="44"/>
      <c r="B13" s="10" t="str">
        <f>CONCATENATE("          ", "4000", " - ", "TAXABLE SALES")</f>
        <v xml:space="preserve">          4000 - TAXABLE SALES</v>
      </c>
      <c r="C13" s="10"/>
      <c r="D13" s="2">
        <f>-174.96</f>
        <v>-174.96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-174.96</v>
      </c>
      <c r="M13" s="2"/>
      <c r="N13" s="19">
        <f t="shared" si="1"/>
        <v>0</v>
      </c>
      <c r="O13" s="10"/>
      <c r="P13" s="2">
        <f>-2908.11</f>
        <v>-2908.11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-2908.11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"4081", " - ", "TAXABLE SALES-ELECTRONICS")</f>
        <v xml:space="preserve">          4081 - TAXABLE SALES-ELECTRONICS</v>
      </c>
      <c r="C14" s="10"/>
      <c r="D14" s="2">
        <f>--1628.82</f>
        <v>1628.82</v>
      </c>
      <c r="E14" s="2"/>
      <c r="F14" s="19"/>
      <c r="G14" s="2"/>
      <c r="H14" s="2">
        <f>--705.97</f>
        <v>705.97</v>
      </c>
      <c r="I14" s="2"/>
      <c r="J14" s="19"/>
      <c r="K14" s="2"/>
      <c r="L14" s="2">
        <f t="shared" si="0"/>
        <v>922.84999999999991</v>
      </c>
      <c r="M14" s="2"/>
      <c r="N14" s="19">
        <f t="shared" si="1"/>
        <v>1.3072085216085667</v>
      </c>
      <c r="O14" s="10"/>
      <c r="P14" s="2">
        <f>--62096.07</f>
        <v>62096.07</v>
      </c>
      <c r="Q14" s="2"/>
      <c r="R14" s="19"/>
      <c r="S14" s="2"/>
      <c r="T14" s="2">
        <f>--311903.09</f>
        <v>311903.09000000003</v>
      </c>
      <c r="U14" s="2"/>
      <c r="V14" s="19"/>
      <c r="W14" s="2"/>
      <c r="X14" s="2">
        <f t="shared" si="2"/>
        <v>-249807.02000000002</v>
      </c>
      <c r="Y14" s="2"/>
      <c r="Z14" s="19">
        <f t="shared" si="3"/>
        <v>-0.80091229618789606</v>
      </c>
    </row>
    <row r="15" spans="1:26" s="23" customFormat="1" hidden="1" outlineLevel="1" x14ac:dyDescent="0.25">
      <c r="A15" s="44"/>
      <c r="B15" s="10" t="str">
        <f>CONCATENATE("          ", "4082", " - ", "TAXABLE SALES-COMPUTER HARDWAR")</f>
        <v xml:space="preserve">          4082 - TAXABLE SALES-COMPUTER HARDWAR</v>
      </c>
      <c r="C15" s="10"/>
      <c r="D15" s="2">
        <f>--354181.27</f>
        <v>354181.27</v>
      </c>
      <c r="E15" s="2"/>
      <c r="F15" s="19"/>
      <c r="G15" s="2"/>
      <c r="H15" s="2">
        <f>--265200.65</f>
        <v>265200.65000000002</v>
      </c>
      <c r="I15" s="2"/>
      <c r="J15" s="19"/>
      <c r="K15" s="2"/>
      <c r="L15" s="2">
        <f t="shared" si="0"/>
        <v>88980.62</v>
      </c>
      <c r="M15" s="2"/>
      <c r="N15" s="19">
        <f t="shared" si="1"/>
        <v>0.33552187749162754</v>
      </c>
      <c r="O15" s="10"/>
      <c r="P15" s="2">
        <f>--2012047.63</f>
        <v>2012047.63</v>
      </c>
      <c r="Q15" s="2"/>
      <c r="R15" s="19"/>
      <c r="S15" s="2"/>
      <c r="T15" s="2">
        <f>--1926309.68</f>
        <v>1926309.68</v>
      </c>
      <c r="U15" s="2"/>
      <c r="V15" s="19"/>
      <c r="W15" s="2"/>
      <c r="X15" s="2">
        <f t="shared" si="2"/>
        <v>85737.949999999953</v>
      </c>
      <c r="Y15" s="2"/>
      <c r="Z15" s="19">
        <f t="shared" si="3"/>
        <v>4.4508913021711005E-2</v>
      </c>
    </row>
    <row r="16" spans="1:26" s="23" customFormat="1" hidden="1" outlineLevel="1" x14ac:dyDescent="0.25">
      <c r="A16" s="44"/>
      <c r="B16" s="10" t="str">
        <f>CONCATENATE("          ", "4083", " - ", "TAXABLE SALES-COMPUTER EQUIPME")</f>
        <v xml:space="preserve">          4083 - TAXABLE SALES-COMPUTER EQUIPME</v>
      </c>
      <c r="C16" s="10"/>
      <c r="D16" s="2">
        <f>--7273.67</f>
        <v>7273.67</v>
      </c>
      <c r="E16" s="2"/>
      <c r="F16" s="19"/>
      <c r="G16" s="2"/>
      <c r="H16" s="2">
        <f>--2895.75</f>
        <v>2895.75</v>
      </c>
      <c r="I16" s="2"/>
      <c r="J16" s="19"/>
      <c r="K16" s="2"/>
      <c r="L16" s="2">
        <f t="shared" si="0"/>
        <v>4377.92</v>
      </c>
      <c r="M16" s="2"/>
      <c r="N16" s="19">
        <f t="shared" si="1"/>
        <v>1.5118432185098851</v>
      </c>
      <c r="O16" s="10"/>
      <c r="P16" s="2">
        <f>--126932.94</f>
        <v>126932.94</v>
      </c>
      <c r="Q16" s="2"/>
      <c r="R16" s="19"/>
      <c r="S16" s="2"/>
      <c r="T16" s="2">
        <f>--102864.07</f>
        <v>102864.07</v>
      </c>
      <c r="U16" s="2"/>
      <c r="V16" s="19"/>
      <c r="W16" s="2"/>
      <c r="X16" s="2">
        <f t="shared" si="2"/>
        <v>24068.869999999995</v>
      </c>
      <c r="Y16" s="2"/>
      <c r="Z16" s="19">
        <f t="shared" si="3"/>
        <v>0.2339871443935671</v>
      </c>
    </row>
    <row r="17" spans="1:26" s="23" customFormat="1" hidden="1" outlineLevel="1" x14ac:dyDescent="0.25">
      <c r="A17" s="44"/>
      <c r="B17" s="10" t="str">
        <f>CONCATENATE("          ", "4084", " - ", "TAXABLE SALES-SOFTWARE LICENSE")</f>
        <v xml:space="preserve">          4084 - TAXABLE SALES-SOFTWARE LICENSE</v>
      </c>
      <c r="C17" s="10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"4085", " - ", "TAXABLE SALES-SOFTWARE")</f>
        <v xml:space="preserve">          4085 - TAXABLE SALES-SOFTWARE</v>
      </c>
      <c r="C18" s="10"/>
      <c r="D18" s="2">
        <f>--1771.88</f>
        <v>1771.88</v>
      </c>
      <c r="E18" s="2"/>
      <c r="F18" s="19"/>
      <c r="G18" s="2"/>
      <c r="H18" s="2">
        <f>--10</f>
        <v>10</v>
      </c>
      <c r="I18" s="2"/>
      <c r="J18" s="19"/>
      <c r="K18" s="2"/>
      <c r="L18" s="2">
        <f t="shared" si="0"/>
        <v>1761.88</v>
      </c>
      <c r="M18" s="2"/>
      <c r="N18" s="19">
        <f t="shared" si="1"/>
        <v>176.18800000000002</v>
      </c>
      <c r="O18" s="10"/>
      <c r="P18" s="2">
        <f>--4870.79</f>
        <v>4870.79</v>
      </c>
      <c r="Q18" s="2"/>
      <c r="R18" s="19"/>
      <c r="S18" s="2"/>
      <c r="T18" s="2">
        <f>--4567.93</f>
        <v>4567.93</v>
      </c>
      <c r="U18" s="2"/>
      <c r="V18" s="19"/>
      <c r="W18" s="2"/>
      <c r="X18" s="2">
        <f t="shared" si="2"/>
        <v>302.85999999999967</v>
      </c>
      <c r="Y18" s="2"/>
      <c r="Z18" s="19">
        <f t="shared" si="3"/>
        <v>6.6301366264369124E-2</v>
      </c>
    </row>
    <row r="19" spans="1:26" s="23" customFormat="1" hidden="1" outlineLevel="1" x14ac:dyDescent="0.25">
      <c r="A19" s="44"/>
      <c r="B19" s="10" t="str">
        <f>CONCATENATE("          ", "4086", " - ", "TAXABLE SALES-COMPUTER SUPPLIE")</f>
        <v xml:space="preserve">          4086 - TAXABLE SALES-COMPUTER SUPPLIE</v>
      </c>
      <c r="C19" s="10"/>
      <c r="D19" s="2">
        <f>--5818.73</f>
        <v>5818.73</v>
      </c>
      <c r="E19" s="2"/>
      <c r="F19" s="19"/>
      <c r="G19" s="2"/>
      <c r="H19" s="2">
        <f>--91.96</f>
        <v>91.96</v>
      </c>
      <c r="I19" s="2"/>
      <c r="J19" s="19"/>
      <c r="K19" s="2"/>
      <c r="L19" s="2">
        <f t="shared" si="0"/>
        <v>5726.7699999999995</v>
      </c>
      <c r="M19" s="2"/>
      <c r="N19" s="19">
        <f t="shared" si="1"/>
        <v>62.274575902566333</v>
      </c>
      <c r="O19" s="10"/>
      <c r="P19" s="2">
        <f>--65269.63</f>
        <v>65269.63</v>
      </c>
      <c r="Q19" s="2"/>
      <c r="R19" s="19"/>
      <c r="S19" s="2"/>
      <c r="T19" s="2">
        <f>--48358.28</f>
        <v>48358.28</v>
      </c>
      <c r="U19" s="2"/>
      <c r="V19" s="19"/>
      <c r="W19" s="2"/>
      <c r="X19" s="2">
        <f t="shared" si="2"/>
        <v>16911.349999999999</v>
      </c>
      <c r="Y19" s="2"/>
      <c r="Z19" s="19">
        <f t="shared" si="3"/>
        <v>0.3497095016613494</v>
      </c>
    </row>
    <row r="20" spans="1:26" s="23" customFormat="1" hidden="1" outlineLevel="1" x14ac:dyDescent="0.25">
      <c r="A20" s="44"/>
      <c r="B20" s="10" t="str">
        <f>CONCATENATE("          ", "4088", " - ", "TAXABLE SALES-MUSIC")</f>
        <v xml:space="preserve">          4088 - TAXABLE SALES-MUSIC</v>
      </c>
      <c r="C20" s="10"/>
      <c r="D20" s="2">
        <f>0</f>
        <v>0</v>
      </c>
      <c r="E20" s="2"/>
      <c r="F20" s="19"/>
      <c r="G20" s="2"/>
      <c r="H20" s="2">
        <f>--379.98</f>
        <v>379.98</v>
      </c>
      <c r="I20" s="2"/>
      <c r="J20" s="19"/>
      <c r="K20" s="2"/>
      <c r="L20" s="2">
        <f t="shared" si="0"/>
        <v>-379.98</v>
      </c>
      <c r="M20" s="2"/>
      <c r="N20" s="19">
        <f t="shared" si="1"/>
        <v>-1</v>
      </c>
      <c r="O20" s="10"/>
      <c r="P20" s="2">
        <f>0</f>
        <v>0</v>
      </c>
      <c r="Q20" s="2"/>
      <c r="R20" s="19"/>
      <c r="S20" s="2"/>
      <c r="T20" s="2">
        <f>--1674.81</f>
        <v>1674.81</v>
      </c>
      <c r="U20" s="2"/>
      <c r="V20" s="19"/>
      <c r="W20" s="2"/>
      <c r="X20" s="2">
        <f t="shared" si="2"/>
        <v>-1674.81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"4181", " - ", "NON-TAXABLE SALES-ELECTRONICS")</f>
        <v xml:space="preserve">          4181 - NON-TAXABLE SALES-ELECTRONICS</v>
      </c>
      <c r="C21" s="10"/>
      <c r="D21" s="2">
        <f>--29.99</f>
        <v>29.99</v>
      </c>
      <c r="E21" s="2"/>
      <c r="F21" s="19"/>
      <c r="G21" s="2"/>
      <c r="H21" s="2">
        <f>--154.96</f>
        <v>154.96</v>
      </c>
      <c r="I21" s="2"/>
      <c r="J21" s="19"/>
      <c r="K21" s="2"/>
      <c r="L21" s="2">
        <f t="shared" si="0"/>
        <v>-124.97000000000001</v>
      </c>
      <c r="M21" s="2"/>
      <c r="N21" s="19">
        <f t="shared" si="1"/>
        <v>-0.80646618482188959</v>
      </c>
      <c r="O21" s="10"/>
      <c r="P21" s="2">
        <f>--12508.62</f>
        <v>12508.62</v>
      </c>
      <c r="Q21" s="2"/>
      <c r="R21" s="19"/>
      <c r="S21" s="2"/>
      <c r="T21" s="2">
        <f>--2233.33</f>
        <v>2233.33</v>
      </c>
      <c r="U21" s="2"/>
      <c r="V21" s="19"/>
      <c r="W21" s="2"/>
      <c r="X21" s="2">
        <f t="shared" si="2"/>
        <v>10275.290000000001</v>
      </c>
      <c r="Y21" s="2"/>
      <c r="Z21" s="19">
        <f t="shared" si="3"/>
        <v>4.6008829863925174</v>
      </c>
    </row>
    <row r="22" spans="1:26" s="23" customFormat="1" hidden="1" outlineLevel="1" x14ac:dyDescent="0.25">
      <c r="A22" s="44"/>
      <c r="B22" s="10" t="str">
        <f>CONCATENATE("          ", "4182", " - ", "NON-TAXABLE SALES-COMPUTER HAR")</f>
        <v xml:space="preserve">          4182 - NON-TAXABLE SALES-COMPUTER HAR</v>
      </c>
      <c r="C22" s="10"/>
      <c r="D22" s="2">
        <f>--61075.64</f>
        <v>61075.64</v>
      </c>
      <c r="E22" s="2"/>
      <c r="F22" s="19"/>
      <c r="G22" s="2"/>
      <c r="H22" s="2">
        <f>--30055.98</f>
        <v>30055.98</v>
      </c>
      <c r="I22" s="2"/>
      <c r="J22" s="19"/>
      <c r="K22" s="2"/>
      <c r="L22" s="2">
        <f t="shared" si="0"/>
        <v>31019.66</v>
      </c>
      <c r="M22" s="2"/>
      <c r="N22" s="19">
        <f t="shared" si="1"/>
        <v>1.0320628374120557</v>
      </c>
      <c r="O22" s="10"/>
      <c r="P22" s="2">
        <f>--314490.47</f>
        <v>314490.46999999997</v>
      </c>
      <c r="Q22" s="2"/>
      <c r="R22" s="19"/>
      <c r="S22" s="2"/>
      <c r="T22" s="2">
        <f>--148066.94</f>
        <v>148066.94</v>
      </c>
      <c r="U22" s="2"/>
      <c r="V22" s="19"/>
      <c r="W22" s="2"/>
      <c r="X22" s="2">
        <f t="shared" si="2"/>
        <v>166423.52999999997</v>
      </c>
      <c r="Y22" s="2"/>
      <c r="Z22" s="19">
        <f t="shared" si="3"/>
        <v>1.1239749399832262</v>
      </c>
    </row>
    <row r="23" spans="1:26" s="23" customFormat="1" hidden="1" outlineLevel="1" x14ac:dyDescent="0.25">
      <c r="A23" s="44"/>
      <c r="B23" s="10" t="str">
        <f>CONCATENATE("          ", "4183", " - ", "NON-TAXABLE SALES-COMPUTER EQU")</f>
        <v xml:space="preserve">          4183 - NON-TAXABLE SALES-COMPUTER EQU</v>
      </c>
      <c r="C23" s="10"/>
      <c r="D23" s="2">
        <f>--2879.59</f>
        <v>2879.59</v>
      </c>
      <c r="E23" s="2"/>
      <c r="F23" s="19"/>
      <c r="G23" s="2"/>
      <c r="H23" s="2">
        <f>--2769.8</f>
        <v>2769.8</v>
      </c>
      <c r="I23" s="2"/>
      <c r="J23" s="19"/>
      <c r="K23" s="2"/>
      <c r="L23" s="2">
        <f t="shared" si="0"/>
        <v>109.78999999999996</v>
      </c>
      <c r="M23" s="2"/>
      <c r="N23" s="19">
        <f t="shared" si="1"/>
        <v>3.9638241028233066E-2</v>
      </c>
      <c r="O23" s="10"/>
      <c r="P23" s="2">
        <f>--19486.02</f>
        <v>19486.02</v>
      </c>
      <c r="Q23" s="2"/>
      <c r="R23" s="19"/>
      <c r="S23" s="2"/>
      <c r="T23" s="2">
        <f>--9532.02</f>
        <v>9532.02</v>
      </c>
      <c r="U23" s="2"/>
      <c r="V23" s="19"/>
      <c r="W23" s="2"/>
      <c r="X23" s="2">
        <f t="shared" si="2"/>
        <v>9954</v>
      </c>
      <c r="Y23" s="2"/>
      <c r="Z23" s="19">
        <f t="shared" si="3"/>
        <v>1.0442697350614034</v>
      </c>
    </row>
    <row r="24" spans="1:26" s="23" customFormat="1" hidden="1" outlineLevel="1" x14ac:dyDescent="0.25">
      <c r="A24" s="44"/>
      <c r="B24" s="10" t="str">
        <f>CONCATENATE("          ", "4184", " - ", "NON-TAXABLE SALES-SOFTWARE LIC")</f>
        <v xml:space="preserve">          4184 - NON-TAXABLE SALES-SOFTWARE LIC</v>
      </c>
      <c r="C24" s="10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0"/>
      <c r="P24" s="2">
        <f>0</f>
        <v>0</v>
      </c>
      <c r="Q24" s="2"/>
      <c r="R24" s="19"/>
      <c r="S24" s="2"/>
      <c r="T24" s="2">
        <f>--2728</f>
        <v>2728</v>
      </c>
      <c r="U24" s="2"/>
      <c r="V24" s="19"/>
      <c r="W24" s="2"/>
      <c r="X24" s="2">
        <f t="shared" si="2"/>
        <v>-2728</v>
      </c>
      <c r="Y24" s="2"/>
      <c r="Z24" s="19">
        <f t="shared" si="3"/>
        <v>-1</v>
      </c>
    </row>
    <row r="25" spans="1:26" s="23" customFormat="1" hidden="1" outlineLevel="1" x14ac:dyDescent="0.25">
      <c r="A25" s="44"/>
      <c r="B25" s="10" t="str">
        <f>CONCATENATE("          ", "4185", " - ", "NON-TAXABLE SALES-SOFTWARE")</f>
        <v xml:space="preserve">          4185 - NON-TAXABLE SALES-SOFTWARE</v>
      </c>
      <c r="C25" s="10"/>
      <c r="D25" s="2">
        <f>--11345.61</f>
        <v>11345.61</v>
      </c>
      <c r="E25" s="2"/>
      <c r="F25" s="19"/>
      <c r="G25" s="2"/>
      <c r="H25" s="2">
        <f>--3224.87</f>
        <v>3224.87</v>
      </c>
      <c r="I25" s="2"/>
      <c r="J25" s="19"/>
      <c r="K25" s="2"/>
      <c r="L25" s="2">
        <f t="shared" si="0"/>
        <v>8120.7400000000007</v>
      </c>
      <c r="M25" s="2"/>
      <c r="N25" s="19">
        <f t="shared" si="1"/>
        <v>2.5181604219704985</v>
      </c>
      <c r="O25" s="10"/>
      <c r="P25" s="2">
        <f>--50032.39</f>
        <v>50032.39</v>
      </c>
      <c r="Q25" s="2"/>
      <c r="R25" s="19"/>
      <c r="S25" s="2"/>
      <c r="T25" s="2">
        <f>--16347.61</f>
        <v>16347.61</v>
      </c>
      <c r="U25" s="2"/>
      <c r="V25" s="19"/>
      <c r="W25" s="2"/>
      <c r="X25" s="2">
        <f t="shared" si="2"/>
        <v>33684.78</v>
      </c>
      <c r="Y25" s="2"/>
      <c r="Z25" s="19">
        <f t="shared" si="3"/>
        <v>2.0605323958670412</v>
      </c>
    </row>
    <row r="26" spans="1:26" s="23" customFormat="1" hidden="1" outlineLevel="1" x14ac:dyDescent="0.25">
      <c r="A26" s="44"/>
      <c r="B26" s="10" t="str">
        <f>CONCATENATE("          ", "4186", " - ", "NON-TAXABLE SALES-COMPUTER SUP")</f>
        <v xml:space="preserve">          4186 - NON-TAXABLE SALES-COMPUTER SUP</v>
      </c>
      <c r="C26" s="10"/>
      <c r="D26" s="2">
        <f>--89.97</f>
        <v>89.97</v>
      </c>
      <c r="E26" s="2"/>
      <c r="F26" s="19"/>
      <c r="G26" s="2"/>
      <c r="H26" s="2">
        <f>--189.97</f>
        <v>189.97</v>
      </c>
      <c r="I26" s="2"/>
      <c r="J26" s="19"/>
      <c r="K26" s="2"/>
      <c r="L26" s="2">
        <f t="shared" si="0"/>
        <v>-100</v>
      </c>
      <c r="M26" s="2"/>
      <c r="N26" s="19">
        <f t="shared" si="1"/>
        <v>-0.52639890509027742</v>
      </c>
      <c r="O26" s="10"/>
      <c r="P26" s="2">
        <f>--3345.17</f>
        <v>3345.17</v>
      </c>
      <c r="Q26" s="2"/>
      <c r="R26" s="19"/>
      <c r="S26" s="2"/>
      <c r="T26" s="2">
        <f>--2840.13</f>
        <v>2840.13</v>
      </c>
      <c r="U26" s="2"/>
      <c r="V26" s="19"/>
      <c r="W26" s="2"/>
      <c r="X26" s="2">
        <f t="shared" si="2"/>
        <v>505.03999999999996</v>
      </c>
      <c r="Y26" s="2"/>
      <c r="Z26" s="19">
        <f t="shared" si="3"/>
        <v>0.17782284613732469</v>
      </c>
    </row>
    <row r="27" spans="1:26" s="23" customFormat="1" hidden="1" outlineLevel="1" x14ac:dyDescent="0.25">
      <c r="A27" s="44"/>
      <c r="B27" s="10" t="str">
        <f>CONCATENATE("          ", "4188", " - ", "NON-TAXABLE SALES-MUSIC")</f>
        <v xml:space="preserve">          4188 - NON-TAXABLE SALES-MUSIC</v>
      </c>
      <c r="C27" s="10"/>
      <c r="D27" s="2">
        <f t="shared" ref="D27:D28" si="4">0</f>
        <v>0</v>
      </c>
      <c r="E27" s="2"/>
      <c r="F27" s="19"/>
      <c r="G27" s="2"/>
      <c r="H27" s="2">
        <f t="shared" ref="H27:H28" si="5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>0</f>
        <v>0</v>
      </c>
      <c r="Q27" s="2"/>
      <c r="R27" s="19"/>
      <c r="S27" s="2"/>
      <c r="T27" s="2">
        <f>--219.96</f>
        <v>219.96</v>
      </c>
      <c r="U27" s="2"/>
      <c r="V27" s="19"/>
      <c r="W27" s="2"/>
      <c r="X27" s="2">
        <f t="shared" si="2"/>
        <v>-219.96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"4281", " - ", "SALES RETURN TAXABLE-ELECTRONI")</f>
        <v xml:space="preserve">          4281 - SALES RETURN TAXABLE-ELECTRONI</v>
      </c>
      <c r="C28" s="10"/>
      <c r="D28" s="2">
        <f t="shared" si="4"/>
        <v>0</v>
      </c>
      <c r="E28" s="2"/>
      <c r="F28" s="19"/>
      <c r="G28" s="2"/>
      <c r="H28" s="2">
        <f t="shared" si="5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>-14762.14</f>
        <v>-14762.14</v>
      </c>
      <c r="Q28" s="2"/>
      <c r="R28" s="19"/>
      <c r="S28" s="2"/>
      <c r="T28" s="2">
        <f>-7781.7</f>
        <v>-7781.7</v>
      </c>
      <c r="U28" s="2"/>
      <c r="V28" s="19"/>
      <c r="W28" s="2"/>
      <c r="X28" s="2">
        <f t="shared" si="2"/>
        <v>-6980.44</v>
      </c>
      <c r="Y28" s="2"/>
      <c r="Z28" s="19">
        <f t="shared" si="3"/>
        <v>0.8970327820399141</v>
      </c>
    </row>
    <row r="29" spans="1:26" s="23" customFormat="1" hidden="1" outlineLevel="1" x14ac:dyDescent="0.25">
      <c r="A29" s="44"/>
      <c r="B29" s="10" t="str">
        <f>CONCATENATE("          ", "4282", " - ", "SALES RETURN TAXABLE-COMPUTER")</f>
        <v xml:space="preserve">          4282 - SALES RETURN TAXABLE-COMPUTER</v>
      </c>
      <c r="C29" s="10"/>
      <c r="D29" s="2">
        <f>-42380</f>
        <v>-42380</v>
      </c>
      <c r="E29" s="2"/>
      <c r="F29" s="19"/>
      <c r="G29" s="2"/>
      <c r="H29" s="2">
        <f>-1954.65</f>
        <v>-1954.65</v>
      </c>
      <c r="I29" s="2"/>
      <c r="J29" s="19"/>
      <c r="K29" s="2"/>
      <c r="L29" s="2">
        <f t="shared" si="0"/>
        <v>-40425.35</v>
      </c>
      <c r="M29" s="2"/>
      <c r="N29" s="19">
        <f t="shared" si="1"/>
        <v>20.681630982528841</v>
      </c>
      <c r="O29" s="10"/>
      <c r="P29" s="2">
        <f>-215145.16</f>
        <v>-215145.16</v>
      </c>
      <c r="Q29" s="2"/>
      <c r="R29" s="19"/>
      <c r="S29" s="2"/>
      <c r="T29" s="2">
        <f>-215445.8</f>
        <v>-215445.8</v>
      </c>
      <c r="U29" s="2"/>
      <c r="V29" s="19"/>
      <c r="W29" s="2"/>
      <c r="X29" s="2">
        <f t="shared" si="2"/>
        <v>300.63999999998487</v>
      </c>
      <c r="Y29" s="2"/>
      <c r="Z29" s="19">
        <f t="shared" si="3"/>
        <v>-1.3954321690187736E-3</v>
      </c>
    </row>
    <row r="30" spans="1:26" s="23" customFormat="1" hidden="1" outlineLevel="1" x14ac:dyDescent="0.25">
      <c r="A30" s="44"/>
      <c r="B30" s="10" t="str">
        <f>CONCATENATE("          ", "4283", " - ", "SALES RETURN TAXABLE-COMPUTER")</f>
        <v xml:space="preserve">          4283 - SALES RETURN TAXABLE-COMPUTER</v>
      </c>
      <c r="C30" s="10"/>
      <c r="D30" s="2">
        <f>-197.95</f>
        <v>-197.95</v>
      </c>
      <c r="E30" s="2"/>
      <c r="F30" s="19"/>
      <c r="G30" s="2"/>
      <c r="H30" s="2">
        <f>-135.96</f>
        <v>-135.96</v>
      </c>
      <c r="I30" s="2"/>
      <c r="J30" s="19"/>
      <c r="K30" s="2"/>
      <c r="L30" s="2">
        <f t="shared" si="0"/>
        <v>-61.989999999999981</v>
      </c>
      <c r="M30" s="2"/>
      <c r="N30" s="19">
        <f t="shared" si="1"/>
        <v>0.45594292438952616</v>
      </c>
      <c r="O30" s="10"/>
      <c r="P30" s="2">
        <f>-3947.2</f>
        <v>-3947.2</v>
      </c>
      <c r="Q30" s="2"/>
      <c r="R30" s="19"/>
      <c r="S30" s="2"/>
      <c r="T30" s="2">
        <f>-6589.02</f>
        <v>-6589.02</v>
      </c>
      <c r="U30" s="2"/>
      <c r="V30" s="19"/>
      <c r="W30" s="2"/>
      <c r="X30" s="2">
        <f t="shared" si="2"/>
        <v>2641.8200000000006</v>
      </c>
      <c r="Y30" s="2"/>
      <c r="Z30" s="19">
        <f t="shared" si="3"/>
        <v>-0.40094278056524346</v>
      </c>
    </row>
    <row r="31" spans="1:26" s="23" customFormat="1" hidden="1" outlineLevel="1" x14ac:dyDescent="0.25">
      <c r="A31" s="44"/>
      <c r="B31" s="10" t="str">
        <f>CONCATENATE("          ", "4284", " - ", "SALES RETURN TAXABLE-SOFTWARE")</f>
        <v xml:space="preserve">          4284 - SALES RETURN TAXABLE-SOFTWARE</v>
      </c>
      <c r="C31" s="10"/>
      <c r="D31" s="2">
        <f>0</f>
        <v>0</v>
      </c>
      <c r="E31" s="2"/>
      <c r="F31" s="19"/>
      <c r="G31" s="2"/>
      <c r="H31" s="2">
        <f t="shared" ref="H31:H37" si="6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0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3" customFormat="1" hidden="1" outlineLevel="1" x14ac:dyDescent="0.25">
      <c r="A32" s="44"/>
      <c r="B32" s="10" t="str">
        <f>CONCATENATE("          ", "4285", " - ", "SALES RETURN TAXABLE-SOFTWARE")</f>
        <v xml:space="preserve">          4285 - SALES RETURN TAXABLE-SOFTWARE</v>
      </c>
      <c r="C32" s="10"/>
      <c r="D32" s="2">
        <f>-99.83</f>
        <v>-99.83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-99.83</v>
      </c>
      <c r="M32" s="2"/>
      <c r="N32" s="19">
        <f t="shared" si="1"/>
        <v>0</v>
      </c>
      <c r="O32" s="10"/>
      <c r="P32" s="2">
        <f>-1091.79</f>
        <v>-1091.79</v>
      </c>
      <c r="Q32" s="2"/>
      <c r="R32" s="19"/>
      <c r="S32" s="2"/>
      <c r="T32" s="2">
        <f>-805.97</f>
        <v>-805.97</v>
      </c>
      <c r="U32" s="2"/>
      <c r="V32" s="19"/>
      <c r="W32" s="2"/>
      <c r="X32" s="2">
        <f t="shared" si="2"/>
        <v>-285.81999999999994</v>
      </c>
      <c r="Y32" s="2"/>
      <c r="Z32" s="19">
        <f t="shared" si="3"/>
        <v>0.35462858419047844</v>
      </c>
    </row>
    <row r="33" spans="1:26" s="23" customFormat="1" hidden="1" outlineLevel="1" x14ac:dyDescent="0.25">
      <c r="A33" s="44"/>
      <c r="B33" s="10" t="str">
        <f>CONCATENATE("          ", "4286", " - ", "SALES RETURN TAXABLE-COMPUTER")</f>
        <v xml:space="preserve">          4286 - SALES RETURN TAXABLE-COMPUTER</v>
      </c>
      <c r="C33" s="10"/>
      <c r="D33" s="2">
        <f t="shared" ref="D33:D35" si="7">0</f>
        <v>0</v>
      </c>
      <c r="E33" s="2"/>
      <c r="F33" s="19"/>
      <c r="G33" s="2"/>
      <c r="H33" s="2">
        <f t="shared" si="6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0"/>
      <c r="P33" s="2">
        <f>-4802.29</f>
        <v>-4802.29</v>
      </c>
      <c r="Q33" s="2"/>
      <c r="R33" s="19"/>
      <c r="S33" s="2"/>
      <c r="T33" s="2">
        <f>-3660.86</f>
        <v>-3660.86</v>
      </c>
      <c r="U33" s="2"/>
      <c r="V33" s="19"/>
      <c r="W33" s="2"/>
      <c r="X33" s="2">
        <f t="shared" si="2"/>
        <v>-1141.4299999999998</v>
      </c>
      <c r="Y33" s="2"/>
      <c r="Z33" s="19">
        <f t="shared" si="3"/>
        <v>0.31179285741601692</v>
      </c>
    </row>
    <row r="34" spans="1:26" s="23" customFormat="1" hidden="1" outlineLevel="1" x14ac:dyDescent="0.25">
      <c r="A34" s="44"/>
      <c r="B34" s="10" t="str">
        <f>CONCATENATE("          ", "4288", " - ", "TAXABLE SALES RETURN-MUSIC")</f>
        <v xml:space="preserve">          4288 - TAXABLE SALES RETURN-MUSIC</v>
      </c>
      <c r="C34" s="10"/>
      <c r="D34" s="2">
        <f t="shared" si="7"/>
        <v>0</v>
      </c>
      <c r="E34" s="2"/>
      <c r="F34" s="19"/>
      <c r="G34" s="2"/>
      <c r="H34" s="2">
        <f t="shared" si="6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0"/>
      <c r="P34" s="2">
        <f>0</f>
        <v>0</v>
      </c>
      <c r="Q34" s="2"/>
      <c r="R34" s="19"/>
      <c r="S34" s="2"/>
      <c r="T34" s="2">
        <f>-3.99</f>
        <v>-3.99</v>
      </c>
      <c r="U34" s="2"/>
      <c r="V34" s="19"/>
      <c r="W34" s="2"/>
      <c r="X34" s="2">
        <f t="shared" si="2"/>
        <v>3.99</v>
      </c>
      <c r="Y34" s="2"/>
      <c r="Z34" s="19">
        <f t="shared" si="3"/>
        <v>-1</v>
      </c>
    </row>
    <row r="35" spans="1:26" s="23" customFormat="1" hidden="1" outlineLevel="1" x14ac:dyDescent="0.25">
      <c r="A35" s="44"/>
      <c r="B35" s="10" t="str">
        <f>CONCATENATE("          ", "4381", " - ", "SALES RETURN NON TAXABLE-ELECT")</f>
        <v xml:space="preserve">          4381 - SALES RETURN NON TAXABLE-ELECT</v>
      </c>
      <c r="C35" s="10"/>
      <c r="D35" s="2">
        <f t="shared" si="7"/>
        <v>0</v>
      </c>
      <c r="E35" s="2"/>
      <c r="F35" s="19"/>
      <c r="G35" s="2"/>
      <c r="H35" s="2">
        <f t="shared" si="6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0"/>
      <c r="P35" s="2">
        <f>-5624.15</f>
        <v>-5624.15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-4344.3099999999995</v>
      </c>
      <c r="Y35" s="2"/>
      <c r="Z35" s="19">
        <f t="shared" si="3"/>
        <v>3.3944164895611948</v>
      </c>
    </row>
    <row r="36" spans="1:26" s="23" customFormat="1" hidden="1" outlineLevel="1" x14ac:dyDescent="0.25">
      <c r="A36" s="44"/>
      <c r="B36" s="10" t="str">
        <f>CONCATENATE("          ", "4383", " - ", "SALES RETURN NON TAXABLE-COMPU")</f>
        <v xml:space="preserve">          4383 - SALES RETURN NON TAXABLE-COMPU</v>
      </c>
      <c r="C36" s="10"/>
      <c r="D36" s="2">
        <f>-14.99</f>
        <v>-14.99</v>
      </c>
      <c r="E36" s="2"/>
      <c r="F36" s="19"/>
      <c r="G36" s="2"/>
      <c r="H36" s="2">
        <f t="shared" si="6"/>
        <v>0</v>
      </c>
      <c r="I36" s="2"/>
      <c r="J36" s="19"/>
      <c r="K36" s="2"/>
      <c r="L36" s="2">
        <f t="shared" si="0"/>
        <v>-14.99</v>
      </c>
      <c r="M36" s="2"/>
      <c r="N36" s="19">
        <f t="shared" si="1"/>
        <v>0</v>
      </c>
      <c r="O36" s="10"/>
      <c r="P36" s="2">
        <f>-14.99</f>
        <v>-14.99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34.989999999999995</v>
      </c>
      <c r="Y36" s="2"/>
      <c r="Z36" s="19">
        <f t="shared" si="3"/>
        <v>-0.70008003201280511</v>
      </c>
    </row>
    <row r="37" spans="1:26" s="23" customFormat="1" hidden="1" outlineLevel="1" x14ac:dyDescent="0.25">
      <c r="A37" s="44"/>
      <c r="B37" s="10" t="str">
        <f>CONCATENATE("          ", "4386", " - ", "SALES RETURN NON TAXABLE-COMPU")</f>
        <v xml:space="preserve">          4386 - SALES RETURN NON TAXABLE-COMPU</v>
      </c>
      <c r="C37" s="10"/>
      <c r="D37" s="2">
        <f>0</f>
        <v>0</v>
      </c>
      <c r="E37" s="2"/>
      <c r="F37" s="19"/>
      <c r="G37" s="2"/>
      <c r="H37" s="2">
        <f t="shared" si="6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0"/>
      <c r="P37" s="2">
        <f>0</f>
        <v>0</v>
      </c>
      <c r="Q37" s="2"/>
      <c r="R37" s="19"/>
      <c r="S37" s="2"/>
      <c r="T37" s="2">
        <f>-104.96</f>
        <v>-104.96</v>
      </c>
      <c r="U37" s="2"/>
      <c r="V37" s="19"/>
      <c r="W37" s="2"/>
      <c r="X37" s="2">
        <f t="shared" si="2"/>
        <v>104.96</v>
      </c>
      <c r="Y37" s="2"/>
      <c r="Z37" s="19">
        <f t="shared" si="3"/>
        <v>-1</v>
      </c>
    </row>
    <row r="38" spans="1:26" x14ac:dyDescent="0.25">
      <c r="A38" s="9"/>
      <c r="B38" s="11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4" customFormat="1" collapsed="1" x14ac:dyDescent="0.25">
      <c r="A39" s="11"/>
      <c r="B39" s="28" t="s">
        <v>256</v>
      </c>
      <c r="C39" s="11"/>
      <c r="D39" s="4">
        <f>SUM(OSRRefD16x_0)</f>
        <v>369412.99999999994</v>
      </c>
      <c r="E39" s="4"/>
      <c r="F39" s="13">
        <f t="shared" ref="F39:F55" si="8">IF(D$12=0,0,D39/D$12)</f>
        <v>0.91614052853149075</v>
      </c>
      <c r="G39" s="4"/>
      <c r="H39" s="4">
        <f>SUM(OSRRefH16x_0)</f>
        <v>255853.70999999996</v>
      </c>
      <c r="I39" s="4"/>
      <c r="J39" s="13">
        <f t="shared" ref="J39:J55" si="9">IF(H$12=0,0,H39/H$12)</f>
        <v>0.84276266276595813</v>
      </c>
      <c r="K39" s="4"/>
      <c r="L39" s="4">
        <f t="shared" ref="L39:L55" si="10">+D39-H39</f>
        <v>113559.28999999998</v>
      </c>
      <c r="M39" s="4"/>
      <c r="N39" s="13">
        <f t="shared" ref="N39:N55" si="11">IF(H39=0,0,L39/H39)</f>
        <v>0.44384460948406806</v>
      </c>
      <c r="O39" s="11"/>
      <c r="P39" s="4">
        <f>SUM(OSRRefP16x_0)</f>
        <v>2233934.84</v>
      </c>
      <c r="Q39" s="4"/>
      <c r="R39" s="13">
        <f t="shared" ref="R39:R55" si="12">IF(P$12=0,0,P39/P$12)</f>
        <v>0.92205286653919083</v>
      </c>
      <c r="S39" s="4"/>
      <c r="T39" s="4">
        <f>SUM(OSRRefT16x_0)</f>
        <v>2032294.2500000002</v>
      </c>
      <c r="U39" s="4"/>
      <c r="V39" s="13">
        <f t="shared" ref="V39:V55" si="13">IF(T$12=0,0,T39/T$12)</f>
        <v>0.86778840146087965</v>
      </c>
      <c r="W39" s="4"/>
      <c r="X39" s="4">
        <f t="shared" ref="X39:X55" si="14">+P39-T39</f>
        <v>201640.58999999962</v>
      </c>
      <c r="Y39" s="4"/>
      <c r="Z39" s="13">
        <f t="shared" ref="Z39:Z55" si="15">IF(T39=0,0,X39/T39)</f>
        <v>9.9218206221859659E-2</v>
      </c>
    </row>
    <row r="40" spans="1:26" s="23" customFormat="1" hidden="1" outlineLevel="1" x14ac:dyDescent="0.25">
      <c r="A40" s="44"/>
      <c r="B40" s="10" t="str">
        <f>CONCATENATE("          ", "5000", " - ", "PURCHASES @ COST")</f>
        <v xml:space="preserve">          5000 - PURCHASES @ COST</v>
      </c>
      <c r="C40" s="10"/>
      <c r="D40" s="2"/>
      <c r="E40" s="2"/>
      <c r="F40" s="19">
        <f t="shared" si="8"/>
        <v>0</v>
      </c>
      <c r="G40" s="2"/>
      <c r="H40" s="2">
        <v>0</v>
      </c>
      <c r="I40" s="2"/>
      <c r="J40" s="19">
        <f t="shared" si="9"/>
        <v>0</v>
      </c>
      <c r="K40" s="2"/>
      <c r="L40" s="2">
        <f t="shared" si="10"/>
        <v>0</v>
      </c>
      <c r="M40" s="2"/>
      <c r="N40" s="19">
        <f t="shared" si="11"/>
        <v>0</v>
      </c>
      <c r="O40" s="10"/>
      <c r="P40" s="2">
        <v>0</v>
      </c>
      <c r="Q40" s="2"/>
      <c r="R40" s="19">
        <f t="shared" si="12"/>
        <v>0</v>
      </c>
      <c r="S40" s="2"/>
      <c r="T40" s="2">
        <v>0</v>
      </c>
      <c r="U40" s="2"/>
      <c r="V40" s="19">
        <f t="shared" si="13"/>
        <v>0</v>
      </c>
      <c r="W40" s="2"/>
      <c r="X40" s="2">
        <f t="shared" si="14"/>
        <v>0</v>
      </c>
      <c r="Y40" s="2"/>
      <c r="Z40" s="19">
        <f t="shared" si="15"/>
        <v>0</v>
      </c>
    </row>
    <row r="41" spans="1:26" s="23" customFormat="1" hidden="1" outlineLevel="1" x14ac:dyDescent="0.25">
      <c r="A41" s="44"/>
      <c r="B41" s="10" t="str">
        <f>CONCATENATE("          ", "5081", " - ", "PURCHASES @ COST-ELECTRONICS")</f>
        <v xml:space="preserve">          5081 - PURCHASES @ COST-ELECTRONICS</v>
      </c>
      <c r="C41" s="10"/>
      <c r="D41" s="2">
        <v>-19.5</v>
      </c>
      <c r="E41" s="2"/>
      <c r="F41" s="19">
        <f t="shared" si="8"/>
        <v>-4.8359804084761701E-5</v>
      </c>
      <c r="G41" s="2"/>
      <c r="H41" s="2">
        <v>-6200.47</v>
      </c>
      <c r="I41" s="2"/>
      <c r="J41" s="19">
        <f t="shared" si="9"/>
        <v>-2.0423876627000803E-2</v>
      </c>
      <c r="K41" s="2"/>
      <c r="L41" s="2">
        <f t="shared" si="10"/>
        <v>6180.97</v>
      </c>
      <c r="M41" s="2"/>
      <c r="N41" s="19">
        <f t="shared" si="11"/>
        <v>-0.99685507711512189</v>
      </c>
      <c r="O41" s="10"/>
      <c r="P41" s="2">
        <v>32448.37</v>
      </c>
      <c r="Q41" s="2"/>
      <c r="R41" s="19">
        <f t="shared" si="12"/>
        <v>1.3393010412525858E-2</v>
      </c>
      <c r="S41" s="2"/>
      <c r="T41" s="2">
        <v>256824.14</v>
      </c>
      <c r="U41" s="2"/>
      <c r="V41" s="19">
        <f t="shared" si="13"/>
        <v>0.10966375066364782</v>
      </c>
      <c r="W41" s="2"/>
      <c r="X41" s="2">
        <f t="shared" si="14"/>
        <v>-224375.77000000002</v>
      </c>
      <c r="Y41" s="2"/>
      <c r="Z41" s="19">
        <f t="shared" si="15"/>
        <v>-0.87365529579890744</v>
      </c>
    </row>
    <row r="42" spans="1:26" s="23" customFormat="1" hidden="1" outlineLevel="1" x14ac:dyDescent="0.25">
      <c r="A42" s="44"/>
      <c r="B42" s="10" t="str">
        <f>CONCATENATE("          ", "5082", " - ", "PURCHASES @ COST-COMPUTER HARD")</f>
        <v xml:space="preserve">          5082 - PURCHASES @ COST-COMPUTER HARD</v>
      </c>
      <c r="C42" s="10"/>
      <c r="D42" s="2">
        <v>277047.03999999998</v>
      </c>
      <c r="E42" s="2"/>
      <c r="F42" s="19">
        <f t="shared" si="8"/>
        <v>0.68707387572631473</v>
      </c>
      <c r="G42" s="2"/>
      <c r="H42" s="2">
        <v>119657.48</v>
      </c>
      <c r="I42" s="2"/>
      <c r="J42" s="19">
        <f t="shared" si="9"/>
        <v>0.39414263902862456</v>
      </c>
      <c r="K42" s="2"/>
      <c r="L42" s="2">
        <f t="shared" si="10"/>
        <v>157389.56</v>
      </c>
      <c r="M42" s="2"/>
      <c r="N42" s="19">
        <f t="shared" si="11"/>
        <v>1.315334068542978</v>
      </c>
      <c r="O42" s="10"/>
      <c r="P42" s="2">
        <v>1673340.8</v>
      </c>
      <c r="Q42" s="2"/>
      <c r="R42" s="19">
        <f t="shared" si="12"/>
        <v>0.69066861472870134</v>
      </c>
      <c r="S42" s="2"/>
      <c r="T42" s="2">
        <v>1500482.27</v>
      </c>
      <c r="U42" s="2"/>
      <c r="V42" s="19">
        <f t="shared" si="13"/>
        <v>0.64070501134552338</v>
      </c>
      <c r="W42" s="2"/>
      <c r="X42" s="2">
        <f t="shared" si="14"/>
        <v>172858.53000000003</v>
      </c>
      <c r="Y42" s="2"/>
      <c r="Z42" s="19">
        <f t="shared" si="15"/>
        <v>0.11520198102707339</v>
      </c>
    </row>
    <row r="43" spans="1:26" s="23" customFormat="1" hidden="1" outlineLevel="1" x14ac:dyDescent="0.25">
      <c r="A43" s="44"/>
      <c r="B43" s="10" t="str">
        <f>CONCATENATE("          ", "5083", " - ", "PURCHASES @ COST-COMPUTER EQUI")</f>
        <v xml:space="preserve">          5083 - PURCHASES @ COST-COMPUTER EQUI</v>
      </c>
      <c r="C43" s="10"/>
      <c r="D43" s="2">
        <v>14312.16</v>
      </c>
      <c r="E43" s="2"/>
      <c r="F43" s="19">
        <f t="shared" si="8"/>
        <v>3.5494013006654515E-2</v>
      </c>
      <c r="G43" s="2"/>
      <c r="H43" s="2">
        <v>2539.54</v>
      </c>
      <c r="I43" s="2"/>
      <c r="J43" s="19">
        <f t="shared" si="9"/>
        <v>8.3650516250112668E-3</v>
      </c>
      <c r="K43" s="2"/>
      <c r="L43" s="2">
        <f t="shared" si="10"/>
        <v>11772.619999999999</v>
      </c>
      <c r="M43" s="2"/>
      <c r="N43" s="19">
        <f t="shared" si="11"/>
        <v>4.6357293053072599</v>
      </c>
      <c r="O43" s="10"/>
      <c r="P43" s="2">
        <v>119515.49</v>
      </c>
      <c r="Q43" s="2"/>
      <c r="R43" s="19">
        <f t="shared" si="12"/>
        <v>4.9329818478651782E-2</v>
      </c>
      <c r="S43" s="2"/>
      <c r="T43" s="2">
        <v>80017.27</v>
      </c>
      <c r="U43" s="2"/>
      <c r="V43" s="19">
        <f t="shared" si="13"/>
        <v>3.4167325338131327E-2</v>
      </c>
      <c r="W43" s="2"/>
      <c r="X43" s="2">
        <f t="shared" si="14"/>
        <v>39498.22</v>
      </c>
      <c r="Y43" s="2"/>
      <c r="Z43" s="19">
        <f t="shared" si="15"/>
        <v>0.4936211895257111</v>
      </c>
    </row>
    <row r="44" spans="1:26" s="23" customFormat="1" hidden="1" outlineLevel="1" x14ac:dyDescent="0.25">
      <c r="A44" s="44"/>
      <c r="B44" s="10" t="str">
        <f>CONCATENATE("          ", "5084", " - ", "PURCHASES @ COST-SOFTWARE LICE")</f>
        <v xml:space="preserve">          5084 - PURCHASES @ COST-SOFTWARE LICE</v>
      </c>
      <c r="C44" s="10"/>
      <c r="D44" s="2"/>
      <c r="E44" s="2"/>
      <c r="F44" s="19">
        <f t="shared" si="8"/>
        <v>0</v>
      </c>
      <c r="G44" s="2"/>
      <c r="H44" s="2"/>
      <c r="I44" s="2"/>
      <c r="J44" s="19">
        <f t="shared" si="9"/>
        <v>0</v>
      </c>
      <c r="K44" s="2"/>
      <c r="L44" s="2">
        <f t="shared" si="10"/>
        <v>0</v>
      </c>
      <c r="M44" s="2"/>
      <c r="N44" s="19">
        <f t="shared" si="11"/>
        <v>0</v>
      </c>
      <c r="O44" s="10"/>
      <c r="P44" s="2"/>
      <c r="Q44" s="2"/>
      <c r="R44" s="19">
        <f t="shared" si="12"/>
        <v>0</v>
      </c>
      <c r="S44" s="2"/>
      <c r="T44" s="2">
        <v>2728</v>
      </c>
      <c r="U44" s="2"/>
      <c r="V44" s="19">
        <f t="shared" si="13"/>
        <v>1.1648543311015514E-3</v>
      </c>
      <c r="W44" s="2"/>
      <c r="X44" s="2">
        <f t="shared" si="14"/>
        <v>-2728</v>
      </c>
      <c r="Y44" s="2"/>
      <c r="Z44" s="19">
        <f t="shared" si="15"/>
        <v>-1</v>
      </c>
    </row>
    <row r="45" spans="1:26" s="23" customFormat="1" hidden="1" outlineLevel="1" x14ac:dyDescent="0.25">
      <c r="A45" s="44"/>
      <c r="B45" s="10" t="str">
        <f>CONCATENATE("          ", "5085", " - ", "PURCHASES @ COST-SOFTWARE")</f>
        <v xml:space="preserve">          5085 - PURCHASES @ COST-SOFTWARE</v>
      </c>
      <c r="C45" s="10"/>
      <c r="D45" s="2">
        <v>4012.17</v>
      </c>
      <c r="E45" s="2"/>
      <c r="F45" s="19">
        <f t="shared" si="8"/>
        <v>9.9501412899876077E-3</v>
      </c>
      <c r="G45" s="2"/>
      <c r="H45" s="2">
        <v>2504.11</v>
      </c>
      <c r="I45" s="2"/>
      <c r="J45" s="19">
        <f t="shared" si="9"/>
        <v>8.2483478995042277E-3</v>
      </c>
      <c r="K45" s="2"/>
      <c r="L45" s="2">
        <f t="shared" si="10"/>
        <v>1508.06</v>
      </c>
      <c r="M45" s="2"/>
      <c r="N45" s="19">
        <f t="shared" si="11"/>
        <v>0.60223392742331605</v>
      </c>
      <c r="O45" s="10"/>
      <c r="P45" s="2">
        <v>37910.879999999997</v>
      </c>
      <c r="Q45" s="2"/>
      <c r="R45" s="19">
        <f t="shared" si="12"/>
        <v>1.5647652273073138E-2</v>
      </c>
      <c r="S45" s="2"/>
      <c r="T45" s="2">
        <v>11666.5</v>
      </c>
      <c r="U45" s="2"/>
      <c r="V45" s="19">
        <f t="shared" si="13"/>
        <v>4.9815883628285375E-3</v>
      </c>
      <c r="W45" s="2"/>
      <c r="X45" s="2">
        <f t="shared" si="14"/>
        <v>26244.379999999997</v>
      </c>
      <c r="Y45" s="2"/>
      <c r="Z45" s="19">
        <f t="shared" si="15"/>
        <v>2.2495504221488876</v>
      </c>
    </row>
    <row r="46" spans="1:26" s="23" customFormat="1" hidden="1" outlineLevel="1" x14ac:dyDescent="0.25">
      <c r="A46" s="44"/>
      <c r="B46" s="10" t="str">
        <f>CONCATENATE("          ", "5086", " - ", "PURCHASES @ COST-COMPUTER SUPP")</f>
        <v xml:space="preserve">          5086 - PURCHASES @ COST-COMPUTER SUPP</v>
      </c>
      <c r="C46" s="10"/>
      <c r="D46" s="2">
        <v>28.4</v>
      </c>
      <c r="E46" s="2"/>
      <c r="F46" s="19">
        <f t="shared" si="8"/>
        <v>7.0431714667037548E-5</v>
      </c>
      <c r="G46" s="2"/>
      <c r="H46" s="2">
        <v>0</v>
      </c>
      <c r="I46" s="2"/>
      <c r="J46" s="19">
        <f t="shared" si="9"/>
        <v>0</v>
      </c>
      <c r="K46" s="2"/>
      <c r="L46" s="2">
        <f t="shared" si="10"/>
        <v>28.4</v>
      </c>
      <c r="M46" s="2"/>
      <c r="N46" s="19">
        <f t="shared" si="11"/>
        <v>0</v>
      </c>
      <c r="O46" s="10"/>
      <c r="P46" s="2">
        <v>23679.39</v>
      </c>
      <c r="Q46" s="2"/>
      <c r="R46" s="19">
        <f t="shared" si="12"/>
        <v>9.7736285931238048E-3</v>
      </c>
      <c r="S46" s="2"/>
      <c r="T46" s="2">
        <v>29950.55</v>
      </c>
      <c r="U46" s="2"/>
      <c r="V46" s="19">
        <f t="shared" si="13"/>
        <v>1.278886652726304E-2</v>
      </c>
      <c r="W46" s="2"/>
      <c r="X46" s="2">
        <f t="shared" si="14"/>
        <v>-6271.16</v>
      </c>
      <c r="Y46" s="2"/>
      <c r="Z46" s="19">
        <f t="shared" si="15"/>
        <v>-0.20938380096525774</v>
      </c>
    </row>
    <row r="47" spans="1:26" s="23" customFormat="1" hidden="1" outlineLevel="1" x14ac:dyDescent="0.25">
      <c r="A47" s="44"/>
      <c r="B47" s="10" t="str">
        <f>CONCATENATE("          ", "5088", " - ", "PURCHASES @ COST-MUSIC")</f>
        <v xml:space="preserve">          5088 - PURCHASES @ COST-MUSIC</v>
      </c>
      <c r="C47" s="10"/>
      <c r="D47" s="2"/>
      <c r="E47" s="2"/>
      <c r="F47" s="19">
        <f t="shared" si="8"/>
        <v>0</v>
      </c>
      <c r="G47" s="2"/>
      <c r="H47" s="2"/>
      <c r="I47" s="2"/>
      <c r="J47" s="19">
        <f t="shared" si="9"/>
        <v>0</v>
      </c>
      <c r="K47" s="2"/>
      <c r="L47" s="2">
        <f t="shared" si="10"/>
        <v>0</v>
      </c>
      <c r="M47" s="2"/>
      <c r="N47" s="19">
        <f t="shared" si="11"/>
        <v>0</v>
      </c>
      <c r="O47" s="10"/>
      <c r="P47" s="2"/>
      <c r="Q47" s="2"/>
      <c r="R47" s="19">
        <f t="shared" si="12"/>
        <v>0</v>
      </c>
      <c r="S47" s="2"/>
      <c r="T47" s="2">
        <v>95.65</v>
      </c>
      <c r="U47" s="2"/>
      <c r="V47" s="19">
        <f t="shared" si="13"/>
        <v>4.0842491484554037E-5</v>
      </c>
      <c r="W47" s="2"/>
      <c r="X47" s="2">
        <f t="shared" si="14"/>
        <v>-95.65</v>
      </c>
      <c r="Y47" s="2"/>
      <c r="Z47" s="19">
        <f t="shared" si="15"/>
        <v>-1</v>
      </c>
    </row>
    <row r="48" spans="1:26" s="23" customFormat="1" hidden="1" outlineLevel="1" x14ac:dyDescent="0.25">
      <c r="A48" s="44"/>
      <c r="B48" s="10" t="str">
        <f>CONCATENATE("          ", "5200", " - ", "PURCHASES OFFSET")</f>
        <v xml:space="preserve">          5200 - PURCHASES OFFSET</v>
      </c>
      <c r="C48" s="10"/>
      <c r="D48" s="2">
        <v>-295380.27</v>
      </c>
      <c r="E48" s="2"/>
      <c r="F48" s="19">
        <f t="shared" si="8"/>
        <v>-0.73254010193353924</v>
      </c>
      <c r="G48" s="2"/>
      <c r="H48" s="2">
        <v>-118540</v>
      </c>
      <c r="I48" s="2"/>
      <c r="J48" s="19">
        <f t="shared" si="9"/>
        <v>-0.39046174489428626</v>
      </c>
      <c r="K48" s="2"/>
      <c r="L48" s="2">
        <f t="shared" si="10"/>
        <v>-176840.27000000002</v>
      </c>
      <c r="M48" s="2"/>
      <c r="N48" s="19">
        <f t="shared" si="11"/>
        <v>1.4918193858613127</v>
      </c>
      <c r="O48" s="10"/>
      <c r="P48" s="2">
        <v>-1883381.08</v>
      </c>
      <c r="Q48" s="2"/>
      <c r="R48" s="19">
        <f t="shared" si="12"/>
        <v>-0.77736238877928832</v>
      </c>
      <c r="S48" s="2"/>
      <c r="T48" s="2">
        <v>-1882420</v>
      </c>
      <c r="U48" s="2"/>
      <c r="V48" s="19">
        <f t="shared" si="13"/>
        <v>-0.80379218839889388</v>
      </c>
      <c r="W48" s="2"/>
      <c r="X48" s="2">
        <f t="shared" si="14"/>
        <v>-961.08000000007451</v>
      </c>
      <c r="Y48" s="2"/>
      <c r="Z48" s="19">
        <f t="shared" si="15"/>
        <v>5.1055556145816262E-4</v>
      </c>
    </row>
    <row r="49" spans="1:26" s="23" customFormat="1" hidden="1" outlineLevel="1" x14ac:dyDescent="0.25">
      <c r="A49" s="44"/>
      <c r="B49" s="10" t="str">
        <f>CONCATENATE("          ", "5300", " - ", "COG$ OFFSET")</f>
        <v xml:space="preserve">          5300 - COG$ OFFSET</v>
      </c>
      <c r="C49" s="10"/>
      <c r="D49" s="2">
        <v>369413</v>
      </c>
      <c r="E49" s="2"/>
      <c r="F49" s="19">
        <f t="shared" si="8"/>
        <v>0.91614052853149097</v>
      </c>
      <c r="G49" s="2"/>
      <c r="H49" s="2">
        <v>255854</v>
      </c>
      <c r="I49" s="2"/>
      <c r="J49" s="19">
        <f t="shared" si="9"/>
        <v>0.84276361800390343</v>
      </c>
      <c r="K49" s="2"/>
      <c r="L49" s="2">
        <f t="shared" si="10"/>
        <v>113559</v>
      </c>
      <c r="M49" s="2"/>
      <c r="N49" s="19">
        <f t="shared" si="11"/>
        <v>0.44384297294550801</v>
      </c>
      <c r="O49" s="10"/>
      <c r="P49" s="2">
        <v>2229989</v>
      </c>
      <c r="Q49" s="2"/>
      <c r="R49" s="19">
        <f t="shared" si="12"/>
        <v>0.92042422768287357</v>
      </c>
      <c r="S49" s="2"/>
      <c r="T49" s="2">
        <v>2032292</v>
      </c>
      <c r="U49" s="2"/>
      <c r="V49" s="19">
        <f t="shared" si="13"/>
        <v>0.867787440712256</v>
      </c>
      <c r="W49" s="2"/>
      <c r="X49" s="2">
        <f t="shared" si="14"/>
        <v>197697</v>
      </c>
      <c r="Y49" s="2"/>
      <c r="Z49" s="19">
        <f t="shared" si="15"/>
        <v>9.727785180476034E-2</v>
      </c>
    </row>
    <row r="50" spans="1:26" s="23" customFormat="1" hidden="1" outlineLevel="1" x14ac:dyDescent="0.25">
      <c r="A50" s="44"/>
      <c r="B50" s="10" t="str">
        <f>CONCATENATE("          ", "5500", " - ", "FREIGHT-IN")</f>
        <v xml:space="preserve">          5500 - FREIGHT-IN</v>
      </c>
      <c r="C50" s="10"/>
      <c r="D50" s="2"/>
      <c r="E50" s="2"/>
      <c r="F50" s="19">
        <f t="shared" si="8"/>
        <v>0</v>
      </c>
      <c r="G50" s="2"/>
      <c r="H50" s="2"/>
      <c r="I50" s="2"/>
      <c r="J50" s="19">
        <f t="shared" si="9"/>
        <v>0</v>
      </c>
      <c r="K50" s="2"/>
      <c r="L50" s="2">
        <f t="shared" si="10"/>
        <v>0</v>
      </c>
      <c r="M50" s="2"/>
      <c r="N50" s="19">
        <f t="shared" si="11"/>
        <v>0</v>
      </c>
      <c r="O50" s="10"/>
      <c r="P50" s="2">
        <v>0</v>
      </c>
      <c r="Q50" s="2"/>
      <c r="R50" s="19">
        <f t="shared" si="12"/>
        <v>0</v>
      </c>
      <c r="S50" s="2"/>
      <c r="T50" s="2">
        <v>0</v>
      </c>
      <c r="U50" s="2"/>
      <c r="V50" s="19">
        <f t="shared" si="13"/>
        <v>0</v>
      </c>
      <c r="W50" s="2"/>
      <c r="X50" s="2">
        <f t="shared" si="14"/>
        <v>0</v>
      </c>
      <c r="Y50" s="2"/>
      <c r="Z50" s="19">
        <f t="shared" si="15"/>
        <v>0</v>
      </c>
    </row>
    <row r="51" spans="1:26" s="23" customFormat="1" hidden="1" outlineLevel="1" x14ac:dyDescent="0.25">
      <c r="A51" s="44"/>
      <c r="B51" s="10" t="str">
        <f>CONCATENATE("          ", "5581", " - ", "FREIGHT-IN-ELECTRONICS")</f>
        <v xml:space="preserve">          5581 - FREIGHT-IN-ELECTRONICS</v>
      </c>
      <c r="C51" s="10"/>
      <c r="D51" s="2"/>
      <c r="E51" s="2"/>
      <c r="F51" s="19">
        <f t="shared" si="8"/>
        <v>0</v>
      </c>
      <c r="G51" s="2"/>
      <c r="H51" s="2"/>
      <c r="I51" s="2"/>
      <c r="J51" s="19">
        <f t="shared" si="9"/>
        <v>0</v>
      </c>
      <c r="K51" s="2"/>
      <c r="L51" s="2">
        <f t="shared" si="10"/>
        <v>0</v>
      </c>
      <c r="M51" s="2"/>
      <c r="N51" s="19">
        <f t="shared" si="11"/>
        <v>0</v>
      </c>
      <c r="O51" s="10"/>
      <c r="P51" s="2">
        <v>31</v>
      </c>
      <c r="Q51" s="2"/>
      <c r="R51" s="19">
        <f t="shared" si="12"/>
        <v>1.2795198118990309E-5</v>
      </c>
      <c r="S51" s="2"/>
      <c r="T51" s="2">
        <v>105.75</v>
      </c>
      <c r="U51" s="2"/>
      <c r="V51" s="19">
        <f t="shared" si="13"/>
        <v>4.5155185305714469E-5</v>
      </c>
      <c r="W51" s="2"/>
      <c r="X51" s="2">
        <f t="shared" si="14"/>
        <v>-74.75</v>
      </c>
      <c r="Y51" s="2"/>
      <c r="Z51" s="19">
        <f t="shared" si="15"/>
        <v>-0.70685579196217496</v>
      </c>
    </row>
    <row r="52" spans="1:26" s="23" customFormat="1" hidden="1" outlineLevel="1" x14ac:dyDescent="0.25">
      <c r="A52" s="44"/>
      <c r="B52" s="10" t="str">
        <f>CONCATENATE("          ", "5582", " - ", "FREIGHT-IN-COMPUTER HARDWARE")</f>
        <v xml:space="preserve">          5582 - FREIGHT-IN-COMPUTER HARDWARE</v>
      </c>
      <c r="C52" s="10"/>
      <c r="D52" s="2"/>
      <c r="E52" s="2"/>
      <c r="F52" s="19">
        <f t="shared" si="8"/>
        <v>0</v>
      </c>
      <c r="G52" s="2"/>
      <c r="H52" s="2"/>
      <c r="I52" s="2"/>
      <c r="J52" s="19">
        <f t="shared" si="9"/>
        <v>0</v>
      </c>
      <c r="K52" s="2"/>
      <c r="L52" s="2">
        <f t="shared" si="10"/>
        <v>0</v>
      </c>
      <c r="M52" s="2"/>
      <c r="N52" s="19">
        <f t="shared" si="11"/>
        <v>0</v>
      </c>
      <c r="O52" s="10"/>
      <c r="P52" s="2">
        <v>125</v>
      </c>
      <c r="Q52" s="2"/>
      <c r="R52" s="19">
        <f t="shared" si="12"/>
        <v>5.159354080238028E-5</v>
      </c>
      <c r="S52" s="2"/>
      <c r="T52" s="2">
        <v>154.30000000000001</v>
      </c>
      <c r="U52" s="2"/>
      <c r="V52" s="19">
        <f t="shared" si="13"/>
        <v>6.5886005604460932E-5</v>
      </c>
      <c r="W52" s="2"/>
      <c r="X52" s="2">
        <f t="shared" si="14"/>
        <v>-29.300000000000011</v>
      </c>
      <c r="Y52" s="2"/>
      <c r="Z52" s="19">
        <f t="shared" si="15"/>
        <v>-0.18988982501620227</v>
      </c>
    </row>
    <row r="53" spans="1:26" s="23" customFormat="1" hidden="1" outlineLevel="1" x14ac:dyDescent="0.25">
      <c r="A53" s="44"/>
      <c r="B53" s="10" t="str">
        <f>CONCATENATE("          ", "5583", " - ", "FREIGHT-IN-COMPUTER EQUIPMENT")</f>
        <v xml:space="preserve">          5583 - FREIGHT-IN-COMPUTER EQUIPMENT</v>
      </c>
      <c r="C53" s="10"/>
      <c r="D53" s="2"/>
      <c r="E53" s="2"/>
      <c r="F53" s="19">
        <f t="shared" si="8"/>
        <v>0</v>
      </c>
      <c r="G53" s="2"/>
      <c r="H53" s="2">
        <v>39.049999999999997</v>
      </c>
      <c r="I53" s="2"/>
      <c r="J53" s="19">
        <f t="shared" si="9"/>
        <v>1.2862773020180427E-4</v>
      </c>
      <c r="K53" s="2"/>
      <c r="L53" s="2">
        <f t="shared" si="10"/>
        <v>-39.049999999999997</v>
      </c>
      <c r="M53" s="2"/>
      <c r="N53" s="19">
        <f t="shared" si="11"/>
        <v>-1</v>
      </c>
      <c r="O53" s="10"/>
      <c r="P53" s="2">
        <v>242.46</v>
      </c>
      <c r="Q53" s="2"/>
      <c r="R53" s="19">
        <f t="shared" si="12"/>
        <v>1.0007495922356099E-4</v>
      </c>
      <c r="S53" s="2"/>
      <c r="T53" s="2">
        <v>96.55</v>
      </c>
      <c r="U53" s="2"/>
      <c r="V53" s="19">
        <f t="shared" si="13"/>
        <v>4.1226790933964368E-5</v>
      </c>
      <c r="W53" s="2"/>
      <c r="X53" s="2">
        <f t="shared" si="14"/>
        <v>145.91000000000003</v>
      </c>
      <c r="Y53" s="2"/>
      <c r="Z53" s="19">
        <f t="shared" si="15"/>
        <v>1.5112377006732267</v>
      </c>
    </row>
    <row r="54" spans="1:26" s="23" customFormat="1" hidden="1" outlineLevel="1" x14ac:dyDescent="0.25">
      <c r="A54" s="44"/>
      <c r="B54" s="10" t="str">
        <f>CONCATENATE("          ", "5585", " - ", "FREIGHT-IN-SOFTWARE")</f>
        <v xml:space="preserve">          5585 - FREIGHT-IN-SOFTWARE</v>
      </c>
      <c r="C54" s="10"/>
      <c r="D54" s="2"/>
      <c r="E54" s="2"/>
      <c r="F54" s="19">
        <f t="shared" si="8"/>
        <v>0</v>
      </c>
      <c r="G54" s="2"/>
      <c r="H54" s="2"/>
      <c r="I54" s="2"/>
      <c r="J54" s="19">
        <f t="shared" si="9"/>
        <v>0</v>
      </c>
      <c r="K54" s="2"/>
      <c r="L54" s="2">
        <f t="shared" si="10"/>
        <v>0</v>
      </c>
      <c r="M54" s="2"/>
      <c r="N54" s="19">
        <f t="shared" si="11"/>
        <v>0</v>
      </c>
      <c r="O54" s="10"/>
      <c r="P54" s="2">
        <v>9.41</v>
      </c>
      <c r="Q54" s="2"/>
      <c r="R54" s="19">
        <f t="shared" si="12"/>
        <v>3.8839617516031877E-6</v>
      </c>
      <c r="S54" s="2"/>
      <c r="T54" s="2"/>
      <c r="U54" s="2"/>
      <c r="V54" s="19">
        <f t="shared" si="13"/>
        <v>0</v>
      </c>
      <c r="W54" s="2"/>
      <c r="X54" s="2">
        <f t="shared" si="14"/>
        <v>9.41</v>
      </c>
      <c r="Y54" s="2"/>
      <c r="Z54" s="19">
        <f t="shared" si="15"/>
        <v>0</v>
      </c>
    </row>
    <row r="55" spans="1:26" s="23" customFormat="1" hidden="1" outlineLevel="1" x14ac:dyDescent="0.25">
      <c r="A55" s="44"/>
      <c r="B55" s="10" t="str">
        <f>CONCATENATE("          ", "5586", " - ", "FREIGHT-IN-COMPUTER SUPPLIES")</f>
        <v xml:space="preserve">          5586 - FREIGHT-IN-COMPUTER SUPPLIES</v>
      </c>
      <c r="C55" s="10"/>
      <c r="D55" s="2"/>
      <c r="E55" s="2"/>
      <c r="F55" s="19">
        <f t="shared" si="8"/>
        <v>0</v>
      </c>
      <c r="G55" s="2"/>
      <c r="H55" s="2"/>
      <c r="I55" s="2"/>
      <c r="J55" s="19">
        <f t="shared" si="9"/>
        <v>0</v>
      </c>
      <c r="K55" s="2"/>
      <c r="L55" s="2">
        <f t="shared" si="10"/>
        <v>0</v>
      </c>
      <c r="M55" s="2"/>
      <c r="N55" s="19">
        <f t="shared" si="11"/>
        <v>0</v>
      </c>
      <c r="O55" s="10"/>
      <c r="P55" s="2">
        <v>24.12</v>
      </c>
      <c r="Q55" s="2"/>
      <c r="R55" s="19">
        <f t="shared" si="12"/>
        <v>9.9554896332272994E-6</v>
      </c>
      <c r="S55" s="2"/>
      <c r="T55" s="2">
        <v>301.27</v>
      </c>
      <c r="U55" s="2"/>
      <c r="V55" s="19">
        <f t="shared" si="13"/>
        <v>1.2864210569316878E-4</v>
      </c>
      <c r="W55" s="2"/>
      <c r="X55" s="2">
        <f t="shared" si="14"/>
        <v>-277.14999999999998</v>
      </c>
      <c r="Y55" s="2"/>
      <c r="Z55" s="19">
        <f t="shared" si="15"/>
        <v>-0.91993892521658316</v>
      </c>
    </row>
    <row r="56" spans="1:26" x14ac:dyDescent="0.25">
      <c r="A56" s="9"/>
      <c r="B56" s="11"/>
      <c r="C56" s="11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1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4" customFormat="1" x14ac:dyDescent="0.25">
      <c r="A57" s="11"/>
      <c r="B57" s="29" t="s">
        <v>107</v>
      </c>
      <c r="C57" s="29"/>
      <c r="D57" s="20">
        <f>D12-D39</f>
        <v>33814.44</v>
      </c>
      <c r="E57" s="14"/>
      <c r="F57" s="22">
        <f>IF(D$12=0,0,D57/D$12)</f>
        <v>8.3859471468509209E-2</v>
      </c>
      <c r="G57" s="14"/>
      <c r="H57" s="20">
        <f>H12-H39</f>
        <v>47735.569999999949</v>
      </c>
      <c r="I57" s="14"/>
      <c r="J57" s="22">
        <f>IF(H$12=0,0,H57/H$12)</f>
        <v>0.15723733723404187</v>
      </c>
      <c r="K57" s="16"/>
      <c r="L57" s="20">
        <f>+D57-H57</f>
        <v>-13921.129999999946</v>
      </c>
      <c r="M57" s="16"/>
      <c r="N57" s="22">
        <f>IF(H57=0,0,L57/H57)</f>
        <v>-0.29163011984564052</v>
      </c>
      <c r="O57" s="28"/>
      <c r="P57" s="20">
        <f>P12-P39</f>
        <v>188849.05999999959</v>
      </c>
      <c r="Q57" s="14"/>
      <c r="R57" s="22">
        <f>IF(P$12=0,0,P57/P$12)</f>
        <v>7.7947133460809129E-2</v>
      </c>
      <c r="S57" s="14"/>
      <c r="T57" s="20">
        <f>T12-T39</f>
        <v>309629.47999999928</v>
      </c>
      <c r="U57" s="14"/>
      <c r="V57" s="22">
        <f>IF(T$12=0,0,T57/T$12)</f>
        <v>0.13221159853912037</v>
      </c>
      <c r="W57" s="16"/>
      <c r="X57" s="20">
        <f>+P57-T57</f>
        <v>-120780.41999999969</v>
      </c>
      <c r="Y57" s="16"/>
      <c r="Z57" s="22">
        <f>IF(T57=0,0,X57/T57)</f>
        <v>-0.39008049233554881</v>
      </c>
    </row>
    <row r="58" spans="1:26" x14ac:dyDescent="0.25">
      <c r="A58" s="9"/>
      <c r="B58" s="11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4" customFormat="1" x14ac:dyDescent="0.25">
      <c r="A59" s="11"/>
      <c r="B59" s="28" t="s">
        <v>294</v>
      </c>
      <c r="C59" s="11"/>
      <c r="D59" s="21">
        <f>SUM(OSRRefD22x_0)</f>
        <v>13637.129999999997</v>
      </c>
      <c r="E59" s="21"/>
      <c r="F59" s="31">
        <f t="shared" ref="F59:F69" si="16">IF(D$12=0,0,D59/D$12)</f>
        <v>3.3819945388637238E-2</v>
      </c>
      <c r="G59" s="21"/>
      <c r="H59" s="21">
        <f>SUM(OSRRefH22x_0)</f>
        <v>23202.999999999996</v>
      </c>
      <c r="I59" s="21"/>
      <c r="J59" s="31">
        <f t="shared" ref="J59:J69" si="17">IF(H$12=0,0,H59/H$12)</f>
        <v>7.6428917384698175E-2</v>
      </c>
      <c r="K59" s="4"/>
      <c r="L59" s="21">
        <f t="shared" ref="L59:L69" si="18">+D59-H59</f>
        <v>-9565.869999999999</v>
      </c>
      <c r="M59" s="4"/>
      <c r="N59" s="31">
        <f t="shared" ref="N59:N69" si="19">IF(H59=0,0,L59/H59)</f>
        <v>-0.41226867215446278</v>
      </c>
      <c r="O59" s="11"/>
      <c r="P59" s="21">
        <f>SUM(OSRRefP22x_0)</f>
        <v>137695.78</v>
      </c>
      <c r="Q59" s="21"/>
      <c r="R59" s="31">
        <f t="shared" ref="R59:R69" si="20">IF(P$12=0,0,P59/P$12)</f>
        <v>5.6833702749964632E-2</v>
      </c>
      <c r="S59" s="21"/>
      <c r="T59" s="21">
        <f>SUM(OSRRefT22x_0)</f>
        <v>198003.15000000002</v>
      </c>
      <c r="U59" s="21"/>
      <c r="V59" s="31">
        <f t="shared" ref="V59:V69" si="21">IF(T$12=0,0,T59/T$12)</f>
        <v>8.4547223918346848E-2</v>
      </c>
      <c r="W59" s="4"/>
      <c r="X59" s="21">
        <f t="shared" ref="X59:X69" si="22">+P59-T59</f>
        <v>-60307.370000000024</v>
      </c>
      <c r="Y59" s="4"/>
      <c r="Z59" s="31">
        <f t="shared" ref="Z59:Z69" si="23">IF(T59=0,0,X59/T59)</f>
        <v>-0.30457783121127124</v>
      </c>
    </row>
    <row r="60" spans="1:26" s="26" customFormat="1" outlineLevel="1" collapsed="1" x14ac:dyDescent="0.25">
      <c r="A60" s="25"/>
      <c r="B60" s="12" t="str">
        <f>CONCATENATE("     ","*Benefits                                         ")</f>
        <v xml:space="preserve">     *Benefits                                         </v>
      </c>
      <c r="C60" s="12"/>
      <c r="D60" s="1">
        <f>SUM(OSRRefD22_0x_0)</f>
        <v>3356.18</v>
      </c>
      <c r="E60" s="1"/>
      <c r="F60" s="5">
        <f t="shared" si="16"/>
        <v>8.3232926806766933E-3</v>
      </c>
      <c r="G60" s="1"/>
      <c r="H60" s="1">
        <f>SUM(OSRRefH22_0x_0)</f>
        <v>3072.29</v>
      </c>
      <c r="I60" s="1"/>
      <c r="J60" s="5">
        <f t="shared" si="17"/>
        <v>1.0119889608750352E-2</v>
      </c>
      <c r="K60" s="1"/>
      <c r="L60" s="1">
        <f t="shared" si="18"/>
        <v>283.88999999999987</v>
      </c>
      <c r="M60" s="1"/>
      <c r="N60" s="5">
        <f t="shared" si="19"/>
        <v>9.2403386399070364E-2</v>
      </c>
      <c r="O60" s="12"/>
      <c r="P60" s="1">
        <f>SUM(OSRRefP22_0x_0)</f>
        <v>29578.5</v>
      </c>
      <c r="Q60" s="1"/>
      <c r="R60" s="5">
        <f t="shared" si="20"/>
        <v>1.2208476372985642E-2</v>
      </c>
      <c r="S60" s="1"/>
      <c r="T60" s="1">
        <f>SUM(OSRRefT22_0x_0)</f>
        <v>24408.78</v>
      </c>
      <c r="U60" s="1"/>
      <c r="V60" s="5">
        <f t="shared" si="21"/>
        <v>1.0422534127531132E-2</v>
      </c>
      <c r="W60" s="1"/>
      <c r="X60" s="1">
        <f t="shared" si="22"/>
        <v>5169.7200000000012</v>
      </c>
      <c r="Y60" s="1"/>
      <c r="Z60" s="5">
        <f t="shared" si="23"/>
        <v>0.21179755809180145</v>
      </c>
    </row>
    <row r="61" spans="1:26" s="23" customFormat="1" hidden="1" outlineLevel="2" x14ac:dyDescent="0.25">
      <c r="A61" s="27"/>
      <c r="B61" s="10" t="str">
        <f>CONCATENATE("          ", "6111", " - ", "F.I.C.A.")</f>
        <v xml:space="preserve">          6111 - F.I.C.A.</v>
      </c>
      <c r="C61" s="10"/>
      <c r="D61" s="6">
        <v>675.75</v>
      </c>
      <c r="E61" s="2"/>
      <c r="F61" s="7">
        <f t="shared" si="16"/>
        <v>1.6758532107834726E-3</v>
      </c>
      <c r="G61" s="2"/>
      <c r="H61" s="6">
        <v>522.94000000000005</v>
      </c>
      <c r="I61" s="2"/>
      <c r="J61" s="7">
        <f t="shared" si="17"/>
        <v>1.7225245898010635E-3</v>
      </c>
      <c r="K61" s="2"/>
      <c r="L61" s="6">
        <f t="shared" si="18"/>
        <v>152.80999999999995</v>
      </c>
      <c r="M61" s="2"/>
      <c r="N61" s="7">
        <f t="shared" si="19"/>
        <v>0.29221325582284763</v>
      </c>
      <c r="O61" s="10"/>
      <c r="P61" s="6">
        <v>5413.83</v>
      </c>
      <c r="Q61" s="2"/>
      <c r="R61" s="7">
        <f t="shared" si="20"/>
        <v>2.2345492720172036E-3</v>
      </c>
      <c r="S61" s="2"/>
      <c r="T61" s="6">
        <v>7203.39</v>
      </c>
      <c r="U61" s="2"/>
      <c r="V61" s="7">
        <f t="shared" si="21"/>
        <v>3.0758431232087999E-3</v>
      </c>
      <c r="W61" s="2"/>
      <c r="X61" s="6">
        <f t="shared" si="22"/>
        <v>-1789.5600000000004</v>
      </c>
      <c r="Y61" s="2"/>
      <c r="Z61" s="7">
        <f t="shared" si="23"/>
        <v>-0.24843302944863466</v>
      </c>
    </row>
    <row r="62" spans="1:26" s="23" customFormat="1" hidden="1" outlineLevel="2" x14ac:dyDescent="0.25">
      <c r="A62" s="27"/>
      <c r="B62" s="10" t="str">
        <f>CONCATENATE("          ", "6112", " - ", "COMPENSATION INSURANCE")</f>
        <v xml:space="preserve">          6112 - COMPENSATION INSURANCE</v>
      </c>
      <c r="C62" s="10"/>
      <c r="D62" s="6">
        <v>175.68</v>
      </c>
      <c r="E62" s="2"/>
      <c r="F62" s="7">
        <f t="shared" si="16"/>
        <v>4.3568463495440696E-4</v>
      </c>
      <c r="G62" s="2"/>
      <c r="H62" s="6">
        <v>51.53</v>
      </c>
      <c r="I62" s="2"/>
      <c r="J62" s="7">
        <f t="shared" si="17"/>
        <v>1.6973590108320037E-4</v>
      </c>
      <c r="K62" s="2"/>
      <c r="L62" s="6">
        <f t="shared" si="18"/>
        <v>124.15</v>
      </c>
      <c r="M62" s="2"/>
      <c r="N62" s="7">
        <f t="shared" si="19"/>
        <v>2.4092761498156414</v>
      </c>
      <c r="O62" s="10"/>
      <c r="P62" s="6">
        <v>1534.43</v>
      </c>
      <c r="Q62" s="2"/>
      <c r="R62" s="7">
        <f t="shared" si="20"/>
        <v>6.3333341450717102E-4</v>
      </c>
      <c r="S62" s="2"/>
      <c r="T62" s="6">
        <v>1916.71</v>
      </c>
      <c r="U62" s="2"/>
      <c r="V62" s="7">
        <f t="shared" si="21"/>
        <v>8.1843399742142771E-4</v>
      </c>
      <c r="W62" s="2"/>
      <c r="X62" s="6">
        <f t="shared" si="22"/>
        <v>-382.28</v>
      </c>
      <c r="Y62" s="2"/>
      <c r="Z62" s="7">
        <f t="shared" si="23"/>
        <v>-0.19944592557037838</v>
      </c>
    </row>
    <row r="63" spans="1:26" s="23" customFormat="1" hidden="1" outlineLevel="2" x14ac:dyDescent="0.25">
      <c r="A63" s="27"/>
      <c r="B63" s="10" t="str">
        <f>CONCATENATE("          ", "6113", " - ", "GROUP INSURANCE")</f>
        <v xml:space="preserve">          6113 - GROUP INSURANCE</v>
      </c>
      <c r="C63" s="10"/>
      <c r="D63" s="6">
        <v>1053.8499999999999</v>
      </c>
      <c r="E63" s="2"/>
      <c r="F63" s="7">
        <f t="shared" si="16"/>
        <v>2.6135374120372363E-3</v>
      </c>
      <c r="G63" s="2"/>
      <c r="H63" s="6">
        <v>1035.69</v>
      </c>
      <c r="I63" s="2"/>
      <c r="J63" s="7">
        <f t="shared" si="17"/>
        <v>3.4114840945635508E-3</v>
      </c>
      <c r="K63" s="2"/>
      <c r="L63" s="6">
        <f t="shared" si="18"/>
        <v>18.159999999999854</v>
      </c>
      <c r="M63" s="2"/>
      <c r="N63" s="7">
        <f t="shared" si="19"/>
        <v>1.7534204250306419E-2</v>
      </c>
      <c r="O63" s="10"/>
      <c r="P63" s="6">
        <v>10430.18</v>
      </c>
      <c r="Q63" s="2"/>
      <c r="R63" s="7">
        <f t="shared" si="20"/>
        <v>4.3050393392493665E-3</v>
      </c>
      <c r="S63" s="2"/>
      <c r="T63" s="6">
        <v>11556</v>
      </c>
      <c r="U63" s="2"/>
      <c r="V63" s="7">
        <f t="shared" si="21"/>
        <v>4.9344049304287131E-3</v>
      </c>
      <c r="W63" s="2"/>
      <c r="X63" s="6">
        <f t="shared" si="22"/>
        <v>-1125.8199999999997</v>
      </c>
      <c r="Y63" s="2"/>
      <c r="Z63" s="7">
        <f t="shared" si="23"/>
        <v>-9.7422983731394922E-2</v>
      </c>
    </row>
    <row r="64" spans="1:26" s="23" customFormat="1" hidden="1" outlineLevel="2" x14ac:dyDescent="0.25">
      <c r="A64" s="27"/>
      <c r="B64" s="10" t="str">
        <f>CONCATENATE("          ", "6114", " - ", "STATE UNEMPLOYMENT INSURANCE")</f>
        <v xml:space="preserve">          6114 - STATE UNEMPLOYMENT INSURANCE</v>
      </c>
      <c r="C64" s="10"/>
      <c r="D64" s="6">
        <v>24.69</v>
      </c>
      <c r="E64" s="2"/>
      <c r="F64" s="7">
        <f t="shared" si="16"/>
        <v>6.1230951941167503E-5</v>
      </c>
      <c r="G64" s="2"/>
      <c r="H64" s="6">
        <v>12.18</v>
      </c>
      <c r="I64" s="2"/>
      <c r="J64" s="7">
        <f t="shared" si="17"/>
        <v>4.011999369674714E-5</v>
      </c>
      <c r="K64" s="2"/>
      <c r="L64" s="6">
        <f t="shared" si="18"/>
        <v>12.510000000000002</v>
      </c>
      <c r="M64" s="2"/>
      <c r="N64" s="7">
        <f t="shared" si="19"/>
        <v>1.0270935960591134</v>
      </c>
      <c r="O64" s="10"/>
      <c r="P64" s="6">
        <v>230.35</v>
      </c>
      <c r="Q64" s="2"/>
      <c r="R64" s="7">
        <f t="shared" si="20"/>
        <v>9.5076576990626375E-5</v>
      </c>
      <c r="S64" s="2"/>
      <c r="T64" s="6">
        <v>302.77</v>
      </c>
      <c r="U64" s="2"/>
      <c r="V64" s="7">
        <f t="shared" si="21"/>
        <v>1.2928260477551934E-4</v>
      </c>
      <c r="W64" s="2"/>
      <c r="X64" s="6">
        <f t="shared" si="22"/>
        <v>-72.419999999999987</v>
      </c>
      <c r="Y64" s="2"/>
      <c r="Z64" s="7">
        <f t="shared" si="23"/>
        <v>-0.23919146546883771</v>
      </c>
    </row>
    <row r="65" spans="1:26" s="23" customFormat="1" hidden="1" outlineLevel="2" x14ac:dyDescent="0.25">
      <c r="A65" s="27"/>
      <c r="B65" s="10" t="str">
        <f>CONCATENATE("          ", "6115", " - ", "P.E.R.S.")</f>
        <v xml:space="preserve">          6115 - P.E.R.S.</v>
      </c>
      <c r="C65" s="10"/>
      <c r="D65" s="6">
        <v>176.42</v>
      </c>
      <c r="E65" s="2"/>
      <c r="F65" s="7">
        <f t="shared" si="16"/>
        <v>4.3751982751967478E-4</v>
      </c>
      <c r="G65" s="2"/>
      <c r="H65" s="6">
        <v>159.41999999999999</v>
      </c>
      <c r="I65" s="2"/>
      <c r="J65" s="7">
        <f t="shared" si="17"/>
        <v>5.2511735592244903E-4</v>
      </c>
      <c r="K65" s="2"/>
      <c r="L65" s="6">
        <f t="shared" si="18"/>
        <v>17</v>
      </c>
      <c r="M65" s="2"/>
      <c r="N65" s="7">
        <f t="shared" si="19"/>
        <v>0.10663655752101368</v>
      </c>
      <c r="O65" s="10"/>
      <c r="P65" s="6">
        <v>1940.62</v>
      </c>
      <c r="Q65" s="2"/>
      <c r="R65" s="7">
        <f t="shared" si="20"/>
        <v>8.0098765721532174E-4</v>
      </c>
      <c r="S65" s="2"/>
      <c r="T65" s="6">
        <v>2488.86</v>
      </c>
      <c r="U65" s="2"/>
      <c r="V65" s="7">
        <f t="shared" si="21"/>
        <v>1.062741697399343E-3</v>
      </c>
      <c r="W65" s="2"/>
      <c r="X65" s="6">
        <f t="shared" si="22"/>
        <v>-548.24000000000024</v>
      </c>
      <c r="Y65" s="2"/>
      <c r="Z65" s="7">
        <f t="shared" si="23"/>
        <v>-0.22027755679307001</v>
      </c>
    </row>
    <row r="66" spans="1:26" s="23" customFormat="1" hidden="1" outlineLevel="2" x14ac:dyDescent="0.25">
      <c r="A66" s="27"/>
      <c r="B66" s="10" t="str">
        <f>CONCATENATE("          ", "6117", " - ", "RETIREMENT STAFF HOURLY")</f>
        <v xml:space="preserve">          6117 - RETIREMENT STAFF HOURLY</v>
      </c>
      <c r="C66" s="10"/>
      <c r="D66" s="6">
        <v>174.9</v>
      </c>
      <c r="E66" s="2"/>
      <c r="F66" s="7">
        <f t="shared" si="16"/>
        <v>4.3375024279101646E-4</v>
      </c>
      <c r="G66" s="2"/>
      <c r="H66" s="6">
        <v>382.31</v>
      </c>
      <c r="I66" s="2"/>
      <c r="J66" s="7">
        <f t="shared" si="17"/>
        <v>1.2593000648771265E-3</v>
      </c>
      <c r="K66" s="2"/>
      <c r="L66" s="6">
        <f t="shared" si="18"/>
        <v>-207.41</v>
      </c>
      <c r="M66" s="2"/>
      <c r="N66" s="7">
        <f t="shared" si="19"/>
        <v>-0.54251785200491742</v>
      </c>
      <c r="O66" s="10"/>
      <c r="P66" s="6">
        <v>1895.94</v>
      </c>
      <c r="Q66" s="2"/>
      <c r="R66" s="7">
        <f t="shared" si="20"/>
        <v>7.8254606199091897E-4</v>
      </c>
      <c r="S66" s="2"/>
      <c r="T66" s="6">
        <v>1773.79</v>
      </c>
      <c r="U66" s="2"/>
      <c r="V66" s="7">
        <f t="shared" si="21"/>
        <v>7.5740724485506632E-4</v>
      </c>
      <c r="W66" s="2"/>
      <c r="X66" s="6">
        <f t="shared" si="22"/>
        <v>122.15000000000009</v>
      </c>
      <c r="Y66" s="2"/>
      <c r="Z66" s="7">
        <f t="shared" si="23"/>
        <v>6.8863845212792998E-2</v>
      </c>
    </row>
    <row r="67" spans="1:26" s="23" customFormat="1" hidden="1" outlineLevel="2" x14ac:dyDescent="0.25">
      <c r="A67" s="27"/>
      <c r="B67" s="10" t="str">
        <f>CONCATENATE("          ", "6118", " - ", "VACATION")</f>
        <v xml:space="preserve">          6118 - VACATION</v>
      </c>
      <c r="C67" s="10"/>
      <c r="D67" s="6">
        <v>400.56</v>
      </c>
      <c r="E67" s="2"/>
      <c r="F67" s="7">
        <f t="shared" si="16"/>
        <v>9.9338477559959728E-4</v>
      </c>
      <c r="G67" s="2"/>
      <c r="H67" s="6">
        <v>386.7</v>
      </c>
      <c r="I67" s="2"/>
      <c r="J67" s="7">
        <f t="shared" si="17"/>
        <v>1.2737603910124894E-3</v>
      </c>
      <c r="K67" s="2"/>
      <c r="L67" s="6">
        <f t="shared" si="18"/>
        <v>13.860000000000014</v>
      </c>
      <c r="M67" s="2"/>
      <c r="N67" s="7">
        <f t="shared" si="19"/>
        <v>3.5841737781225791E-2</v>
      </c>
      <c r="O67" s="10"/>
      <c r="P67" s="6">
        <v>2891.22</v>
      </c>
      <c r="Q67" s="2"/>
      <c r="R67" s="7">
        <f t="shared" si="20"/>
        <v>1.1933462163092633E-3</v>
      </c>
      <c r="S67" s="2"/>
      <c r="T67" s="6">
        <v>2787.55</v>
      </c>
      <c r="U67" s="2"/>
      <c r="V67" s="7">
        <f t="shared" si="21"/>
        <v>1.1902821446708688E-3</v>
      </c>
      <c r="W67" s="2"/>
      <c r="X67" s="6">
        <f t="shared" si="22"/>
        <v>103.66999999999962</v>
      </c>
      <c r="Y67" s="2"/>
      <c r="Z67" s="7">
        <f t="shared" si="23"/>
        <v>3.7190364298398094E-2</v>
      </c>
    </row>
    <row r="68" spans="1:26" s="23" customFormat="1" hidden="1" outlineLevel="2" x14ac:dyDescent="0.25">
      <c r="A68" s="27"/>
      <c r="B68" s="10" t="str">
        <f>CONCATENATE("          ", "6119", " - ", "SICK LEAVE")</f>
        <v xml:space="preserve">          6119 - SICK LEAVE</v>
      </c>
      <c r="C68" s="10"/>
      <c r="D68" s="6">
        <v>401.45</v>
      </c>
      <c r="E68" s="2"/>
      <c r="F68" s="7">
        <f t="shared" si="16"/>
        <v>9.9559196665782485E-4</v>
      </c>
      <c r="G68" s="2"/>
      <c r="H68" s="6">
        <v>384.86</v>
      </c>
      <c r="I68" s="2"/>
      <c r="J68" s="7">
        <f t="shared" si="17"/>
        <v>1.2676995709466426E-3</v>
      </c>
      <c r="K68" s="2"/>
      <c r="L68" s="6">
        <f t="shared" si="18"/>
        <v>16.589999999999975</v>
      </c>
      <c r="M68" s="2"/>
      <c r="N68" s="7">
        <f t="shared" si="19"/>
        <v>4.3106584212440818E-2</v>
      </c>
      <c r="O68" s="10"/>
      <c r="P68" s="6">
        <v>2888.63</v>
      </c>
      <c r="Q68" s="2"/>
      <c r="R68" s="7">
        <f t="shared" si="20"/>
        <v>1.192277198143838E-3</v>
      </c>
      <c r="S68" s="2"/>
      <c r="T68" s="6">
        <v>-5346.7</v>
      </c>
      <c r="U68" s="2"/>
      <c r="V68" s="7">
        <f t="shared" si="21"/>
        <v>-2.2830376290691587E-3</v>
      </c>
      <c r="W68" s="2"/>
      <c r="X68" s="6">
        <f t="shared" si="22"/>
        <v>8235.33</v>
      </c>
      <c r="Y68" s="2"/>
      <c r="Z68" s="7">
        <f t="shared" si="23"/>
        <v>-1.5402640881291265</v>
      </c>
    </row>
    <row r="69" spans="1:26" s="23" customFormat="1" hidden="1" outlineLevel="2" x14ac:dyDescent="0.25">
      <c r="A69" s="27"/>
      <c r="B69" s="10" t="str">
        <f>CONCATENATE("          ", "6156", " - ", "EMPLOYEE MEALS")</f>
        <v xml:space="preserve">          6156 - EMPLOYEE MEALS</v>
      </c>
      <c r="C69" s="10"/>
      <c r="D69" s="6">
        <v>272.88</v>
      </c>
      <c r="E69" s="2"/>
      <c r="F69" s="7">
        <f t="shared" si="16"/>
        <v>6.7673965839229596E-4</v>
      </c>
      <c r="G69" s="2"/>
      <c r="H69" s="6">
        <v>136.66</v>
      </c>
      <c r="I69" s="2"/>
      <c r="J69" s="7">
        <f t="shared" si="17"/>
        <v>4.5014764684708249E-4</v>
      </c>
      <c r="K69" s="2"/>
      <c r="L69" s="6">
        <f t="shared" si="18"/>
        <v>136.22</v>
      </c>
      <c r="M69" s="2"/>
      <c r="N69" s="7">
        <f t="shared" si="19"/>
        <v>0.99678033074784134</v>
      </c>
      <c r="O69" s="10"/>
      <c r="P69" s="6">
        <v>2353.3000000000002</v>
      </c>
      <c r="Q69" s="2"/>
      <c r="R69" s="7">
        <f t="shared" si="20"/>
        <v>9.713206365619322E-4</v>
      </c>
      <c r="S69" s="2"/>
      <c r="T69" s="6">
        <v>1726.41</v>
      </c>
      <c r="U69" s="2"/>
      <c r="V69" s="7">
        <f t="shared" si="21"/>
        <v>7.3717601384055335E-4</v>
      </c>
      <c r="W69" s="2"/>
      <c r="X69" s="6">
        <f t="shared" si="22"/>
        <v>626.8900000000001</v>
      </c>
      <c r="Y69" s="2"/>
      <c r="Z69" s="7">
        <f t="shared" si="23"/>
        <v>0.36311768351666179</v>
      </c>
    </row>
    <row r="70" spans="1:26" s="26" customFormat="1" outlineLevel="1" collapsed="1" x14ac:dyDescent="0.25">
      <c r="A70" s="25"/>
      <c r="B70" s="12" t="str">
        <f>CONCATENATE("     ","*Payroll                                          ")</f>
        <v xml:space="preserve">     *Payroll                                          </v>
      </c>
      <c r="C70" s="12"/>
      <c r="D70" s="1">
        <f>SUM(OSRRefD22_1x_0)</f>
        <v>8263.98</v>
      </c>
      <c r="E70" s="1"/>
      <c r="F70" s="5">
        <f t="shared" ref="F70:F75" si="24">IF(D$12=0,0,D70/D$12)</f>
        <v>2.0494587372327639E-2</v>
      </c>
      <c r="G70" s="1"/>
      <c r="H70" s="1">
        <f>SUM(OSRRefH22_1x_0)</f>
        <v>4242.6400000000003</v>
      </c>
      <c r="I70" s="1"/>
      <c r="J70" s="5">
        <f t="shared" ref="J70:J75" si="25">IF(H$12=0,0,H70/H$12)</f>
        <v>1.3974933502263327E-2</v>
      </c>
      <c r="K70" s="1"/>
      <c r="L70" s="1">
        <f t="shared" ref="L70:L75" si="26">+D70-H70</f>
        <v>4021.3399999999992</v>
      </c>
      <c r="M70" s="1"/>
      <c r="N70" s="5">
        <f t="shared" ref="N70:N75" si="27">IF(H70=0,0,L70/H70)</f>
        <v>0.9478390813267209</v>
      </c>
      <c r="O70" s="12"/>
      <c r="P70" s="1">
        <f>SUM(OSRRefP22_1x_0)</f>
        <v>82074.94</v>
      </c>
      <c r="Q70" s="1"/>
      <c r="R70" s="5">
        <f t="shared" ref="R70:R75" si="28">IF(P$12=0,0,P70/P$12)</f>
        <v>3.3876294125943306E-2</v>
      </c>
      <c r="S70" s="1"/>
      <c r="T70" s="1">
        <f>SUM(OSRRefT22_1x_0)</f>
        <v>96222.13</v>
      </c>
      <c r="U70" s="1"/>
      <c r="V70" s="5">
        <f t="shared" ref="V70:V75" si="29">IF(T$12=0,0,T70/T$12)</f>
        <v>4.1086790644544187E-2</v>
      </c>
      <c r="W70" s="1"/>
      <c r="X70" s="1">
        <f t="shared" ref="X70:X75" si="30">+P70-T70</f>
        <v>-14147.190000000002</v>
      </c>
      <c r="Y70" s="1"/>
      <c r="Z70" s="5">
        <f t="shared" ref="Z70:Z75" si="31">IF(T70=0,0,X70/T70)</f>
        <v>-0.1470263649328902</v>
      </c>
    </row>
    <row r="71" spans="1:26" s="23" customFormat="1" hidden="1" outlineLevel="2" x14ac:dyDescent="0.25">
      <c r="A71" s="27"/>
      <c r="B71" s="10" t="str">
        <f>CONCATENATE("          ", "6002", " - ", "STAFF SALARIES")</f>
        <v xml:space="preserve">          6002 - STAFF SALARIES</v>
      </c>
      <c r="C71" s="10"/>
      <c r="D71" s="6">
        <v>2395.9899999999998</v>
      </c>
      <c r="E71" s="2"/>
      <c r="F71" s="7">
        <f t="shared" si="24"/>
        <v>5.942031127643496E-3</v>
      </c>
      <c r="G71" s="2"/>
      <c r="H71" s="6">
        <v>1825.41</v>
      </c>
      <c r="I71" s="2"/>
      <c r="J71" s="7">
        <f t="shared" si="25"/>
        <v>6.0127617154334323E-3</v>
      </c>
      <c r="K71" s="2"/>
      <c r="L71" s="6">
        <f t="shared" si="26"/>
        <v>570.5799999999997</v>
      </c>
      <c r="M71" s="2"/>
      <c r="N71" s="7">
        <f t="shared" si="27"/>
        <v>0.312576352709802</v>
      </c>
      <c r="O71" s="10"/>
      <c r="P71" s="6">
        <v>23276.240000000002</v>
      </c>
      <c r="Q71" s="2"/>
      <c r="R71" s="7">
        <f t="shared" si="28"/>
        <v>9.6072291053279687E-3</v>
      </c>
      <c r="S71" s="2"/>
      <c r="T71" s="6">
        <v>32397.73</v>
      </c>
      <c r="U71" s="2"/>
      <c r="V71" s="7">
        <f t="shared" si="29"/>
        <v>1.3833810890160803E-2</v>
      </c>
      <c r="W71" s="2"/>
      <c r="X71" s="6">
        <f t="shared" si="30"/>
        <v>-9121.489999999998</v>
      </c>
      <c r="Y71" s="2"/>
      <c r="Z71" s="7">
        <f t="shared" si="31"/>
        <v>-0.28154719481889623</v>
      </c>
    </row>
    <row r="72" spans="1:26" s="23" customFormat="1" hidden="1" outlineLevel="2" x14ac:dyDescent="0.25">
      <c r="A72" s="27"/>
      <c r="B72" s="10" t="str">
        <f>CONCATENATE("          ", "6004", " - ", "STAFF HOURLY")</f>
        <v xml:space="preserve">          6004 - STAFF HOURLY</v>
      </c>
      <c r="C72" s="10"/>
      <c r="D72" s="6">
        <v>4790.5</v>
      </c>
      <c r="E72" s="2"/>
      <c r="F72" s="7">
        <f t="shared" si="24"/>
        <v>1.1880391870156458E-2</v>
      </c>
      <c r="G72" s="2"/>
      <c r="H72" s="6">
        <v>3412.23</v>
      </c>
      <c r="I72" s="2"/>
      <c r="J72" s="7">
        <f t="shared" si="25"/>
        <v>1.1239626115915559E-2</v>
      </c>
      <c r="K72" s="2"/>
      <c r="L72" s="6">
        <f t="shared" si="26"/>
        <v>1378.27</v>
      </c>
      <c r="M72" s="2"/>
      <c r="N72" s="7">
        <f t="shared" si="27"/>
        <v>0.40392060324186824</v>
      </c>
      <c r="O72" s="10"/>
      <c r="P72" s="6">
        <v>36510.660000000003</v>
      </c>
      <c r="Q72" s="2"/>
      <c r="R72" s="7">
        <f t="shared" si="28"/>
        <v>1.5069713811454671E-2</v>
      </c>
      <c r="S72" s="2"/>
      <c r="T72" s="6">
        <v>5831.85</v>
      </c>
      <c r="U72" s="2"/>
      <c r="V72" s="7">
        <f t="shared" si="29"/>
        <v>2.4901963822707416E-3</v>
      </c>
      <c r="W72" s="2"/>
      <c r="X72" s="6">
        <f t="shared" si="30"/>
        <v>30678.810000000005</v>
      </c>
      <c r="Y72" s="2"/>
      <c r="Z72" s="7">
        <f t="shared" si="31"/>
        <v>5.2605622572597035</v>
      </c>
    </row>
    <row r="73" spans="1:26" s="23" customFormat="1" hidden="1" outlineLevel="2" x14ac:dyDescent="0.25">
      <c r="A73" s="27"/>
      <c r="B73" s="10" t="str">
        <f>CONCATENATE("          ", "6005", " - ", "TEMPORARY WAGES-HOURLY")</f>
        <v xml:space="preserve">          6005 - TEMPORARY WAGES-HOURLY</v>
      </c>
      <c r="C73" s="10"/>
      <c r="D73" s="6"/>
      <c r="E73" s="2"/>
      <c r="F73" s="7">
        <f t="shared" si="24"/>
        <v>0</v>
      </c>
      <c r="G73" s="2"/>
      <c r="H73" s="6"/>
      <c r="I73" s="2"/>
      <c r="J73" s="7">
        <f t="shared" si="25"/>
        <v>0</v>
      </c>
      <c r="K73" s="2"/>
      <c r="L73" s="6">
        <f t="shared" si="26"/>
        <v>0</v>
      </c>
      <c r="M73" s="2"/>
      <c r="N73" s="7">
        <f t="shared" si="27"/>
        <v>0</v>
      </c>
      <c r="O73" s="10"/>
      <c r="P73" s="6"/>
      <c r="Q73" s="2"/>
      <c r="R73" s="7">
        <f t="shared" si="28"/>
        <v>0</v>
      </c>
      <c r="S73" s="2"/>
      <c r="T73" s="6">
        <v>29960.57</v>
      </c>
      <c r="U73" s="2"/>
      <c r="V73" s="7">
        <f t="shared" si="29"/>
        <v>1.2793145061133143E-2</v>
      </c>
      <c r="W73" s="2"/>
      <c r="X73" s="6">
        <f t="shared" si="30"/>
        <v>-29960.57</v>
      </c>
      <c r="Y73" s="2"/>
      <c r="Z73" s="7">
        <f t="shared" si="31"/>
        <v>-1</v>
      </c>
    </row>
    <row r="74" spans="1:26" s="23" customFormat="1" hidden="1" outlineLevel="2" x14ac:dyDescent="0.25">
      <c r="A74" s="27"/>
      <c r="B74" s="10" t="str">
        <f>CONCATENATE("          ", "6006", " - ", "TEMPORARY PART TIME")</f>
        <v xml:space="preserve">          6006 - TEMPORARY PART TIME</v>
      </c>
      <c r="C74" s="10"/>
      <c r="D74" s="6"/>
      <c r="E74" s="2"/>
      <c r="F74" s="7">
        <f t="shared" si="24"/>
        <v>0</v>
      </c>
      <c r="G74" s="2"/>
      <c r="H74" s="6"/>
      <c r="I74" s="2"/>
      <c r="J74" s="7">
        <f t="shared" si="25"/>
        <v>0</v>
      </c>
      <c r="K74" s="2"/>
      <c r="L74" s="6">
        <f t="shared" si="26"/>
        <v>0</v>
      </c>
      <c r="M74" s="2"/>
      <c r="N74" s="7">
        <f t="shared" si="27"/>
        <v>0</v>
      </c>
      <c r="O74" s="10"/>
      <c r="P74" s="6"/>
      <c r="Q74" s="2"/>
      <c r="R74" s="7">
        <f t="shared" si="28"/>
        <v>0</v>
      </c>
      <c r="S74" s="2"/>
      <c r="T74" s="6">
        <v>9008.99</v>
      </c>
      <c r="U74" s="2"/>
      <c r="V74" s="7">
        <f t="shared" si="29"/>
        <v>3.8468332186035801E-3</v>
      </c>
      <c r="W74" s="2"/>
      <c r="X74" s="6">
        <f t="shared" si="30"/>
        <v>-9008.99</v>
      </c>
      <c r="Y74" s="2"/>
      <c r="Z74" s="7">
        <f t="shared" si="31"/>
        <v>-1</v>
      </c>
    </row>
    <row r="75" spans="1:26" s="23" customFormat="1" hidden="1" outlineLevel="2" x14ac:dyDescent="0.25">
      <c r="A75" s="27"/>
      <c r="B75" s="10" t="str">
        <f>CONCATENATE("          ", "6007", " - ", "STUDENT HOURLY")</f>
        <v xml:space="preserve">          6007 - STUDENT HOURLY</v>
      </c>
      <c r="C75" s="10"/>
      <c r="D75" s="6">
        <v>1077.49</v>
      </c>
      <c r="E75" s="2"/>
      <c r="F75" s="7">
        <f t="shared" si="24"/>
        <v>2.6721643745276865E-3</v>
      </c>
      <c r="G75" s="2"/>
      <c r="H75" s="6">
        <v>-995</v>
      </c>
      <c r="I75" s="2"/>
      <c r="J75" s="7">
        <f t="shared" si="25"/>
        <v>-3.2774543290856658E-3</v>
      </c>
      <c r="K75" s="2"/>
      <c r="L75" s="6">
        <f t="shared" si="26"/>
        <v>2072.4899999999998</v>
      </c>
      <c r="M75" s="2"/>
      <c r="N75" s="7">
        <f t="shared" si="27"/>
        <v>-2.0829045226130649</v>
      </c>
      <c r="O75" s="10"/>
      <c r="P75" s="6">
        <v>22288.04</v>
      </c>
      <c r="Q75" s="2"/>
      <c r="R75" s="7">
        <f t="shared" si="28"/>
        <v>9.1993512091606711E-3</v>
      </c>
      <c r="S75" s="2"/>
      <c r="T75" s="6">
        <v>19022.990000000002</v>
      </c>
      <c r="U75" s="2"/>
      <c r="V75" s="7">
        <f t="shared" si="29"/>
        <v>8.122805092375918E-3</v>
      </c>
      <c r="W75" s="2"/>
      <c r="X75" s="6">
        <f t="shared" si="30"/>
        <v>3265.0499999999993</v>
      </c>
      <c r="Y75" s="2"/>
      <c r="Z75" s="7">
        <f t="shared" si="31"/>
        <v>0.17163705600433996</v>
      </c>
    </row>
    <row r="76" spans="1:26" s="26" customFormat="1" outlineLevel="1" collapsed="1" x14ac:dyDescent="0.25">
      <c r="A76" s="25"/>
      <c r="B76" s="12" t="str">
        <f>CONCATENATE("     ","Advertising/Promo                                 ")</f>
        <v xml:space="preserve">     Advertising/Promo                                 </v>
      </c>
      <c r="C76" s="12"/>
      <c r="D76" s="1">
        <f>SUM(OSRRefD22_2x_0)</f>
        <v>26.46</v>
      </c>
      <c r="E76" s="1"/>
      <c r="F76" s="5">
        <f t="shared" ref="F76:F84" si="32">IF(D$12=0,0,D76/D$12)</f>
        <v>6.5620534158092024E-5</v>
      </c>
      <c r="G76" s="1"/>
      <c r="H76" s="1">
        <f>SUM(OSRRefH22_2x_0)</f>
        <v>0</v>
      </c>
      <c r="I76" s="1"/>
      <c r="J76" s="5">
        <f t="shared" ref="J76:J84" si="33">IF(H$12=0,0,H76/H$12)</f>
        <v>0</v>
      </c>
      <c r="K76" s="1"/>
      <c r="L76" s="1">
        <f t="shared" ref="L76:L84" si="34">+D76-H76</f>
        <v>26.46</v>
      </c>
      <c r="M76" s="1"/>
      <c r="N76" s="5">
        <f t="shared" ref="N76:N84" si="35">IF(H76=0,0,L76/H76)</f>
        <v>0</v>
      </c>
      <c r="O76" s="12"/>
      <c r="P76" s="1">
        <f>SUM(OSRRefP22_2x_0)</f>
        <v>625.39</v>
      </c>
      <c r="Q76" s="1"/>
      <c r="R76" s="5">
        <f t="shared" ref="R76:R84" si="36">IF(P$12=0,0,P76/P$12)</f>
        <v>2.5812867585920486E-4</v>
      </c>
      <c r="S76" s="1"/>
      <c r="T76" s="1">
        <f>SUM(OSRRefT22_2x_0)</f>
        <v>1745.92</v>
      </c>
      <c r="U76" s="1"/>
      <c r="V76" s="5">
        <f t="shared" ref="V76:V84" si="37">IF(T$12=0,0,T76/T$12)</f>
        <v>7.45506771904993E-4</v>
      </c>
      <c r="W76" s="1"/>
      <c r="X76" s="1">
        <f t="shared" ref="X76:X84" si="38">+P76-T76</f>
        <v>-1120.5300000000002</v>
      </c>
      <c r="Y76" s="1"/>
      <c r="Z76" s="5">
        <f t="shared" ref="Z76:Z84" si="39">IF(T76=0,0,X76/T76)</f>
        <v>-0.64179916605571852</v>
      </c>
    </row>
    <row r="77" spans="1:26" s="23" customFormat="1" hidden="1" outlineLevel="2" x14ac:dyDescent="0.25">
      <c r="A77" s="27"/>
      <c r="B77" s="10" t="str">
        <f>CONCATENATE("          ", "6362", " - ", "ADVERTISING EXPENSE")</f>
        <v xml:space="preserve">          6362 - ADVERTISING EXPENSE</v>
      </c>
      <c r="C77" s="10"/>
      <c r="D77" s="6">
        <v>26.46</v>
      </c>
      <c r="E77" s="2"/>
      <c r="F77" s="7">
        <f t="shared" si="32"/>
        <v>6.5620534158092024E-5</v>
      </c>
      <c r="G77" s="2"/>
      <c r="H77" s="6"/>
      <c r="I77" s="2"/>
      <c r="J77" s="7">
        <f t="shared" si="33"/>
        <v>0</v>
      </c>
      <c r="K77" s="2"/>
      <c r="L77" s="6">
        <f t="shared" si="34"/>
        <v>26.46</v>
      </c>
      <c r="M77" s="2"/>
      <c r="N77" s="7">
        <f t="shared" si="35"/>
        <v>0</v>
      </c>
      <c r="O77" s="10"/>
      <c r="P77" s="6">
        <v>625.39</v>
      </c>
      <c r="Q77" s="2"/>
      <c r="R77" s="7">
        <f t="shared" si="36"/>
        <v>2.5812867585920486E-4</v>
      </c>
      <c r="S77" s="2"/>
      <c r="T77" s="6">
        <v>1745.92</v>
      </c>
      <c r="U77" s="2"/>
      <c r="V77" s="7">
        <f t="shared" si="37"/>
        <v>7.45506771904993E-4</v>
      </c>
      <c r="W77" s="2"/>
      <c r="X77" s="6">
        <f t="shared" si="38"/>
        <v>-1120.5300000000002</v>
      </c>
      <c r="Y77" s="2"/>
      <c r="Z77" s="7">
        <f t="shared" si="39"/>
        <v>-0.64179916605571852</v>
      </c>
    </row>
    <row r="78" spans="1:26" s="26" customFormat="1" outlineLevel="1" collapsed="1" x14ac:dyDescent="0.25">
      <c r="A78" s="25"/>
      <c r="B78" s="12" t="str">
        <f>CONCATENATE("     ","Depreciation                                      ")</f>
        <v xml:space="preserve">     Depreciation                                      </v>
      </c>
      <c r="C78" s="12"/>
      <c r="D78" s="1">
        <f>SUM(OSRRefD22_3x_0)</f>
        <v>280.44</v>
      </c>
      <c r="E78" s="1"/>
      <c r="F78" s="5">
        <f t="shared" si="32"/>
        <v>6.9548838243746513E-4</v>
      </c>
      <c r="G78" s="1"/>
      <c r="H78" s="1">
        <f>SUM(OSRRefH22_3x_0)</f>
        <v>280.44</v>
      </c>
      <c r="I78" s="1"/>
      <c r="J78" s="5">
        <f t="shared" si="33"/>
        <v>9.2374803220983328E-4</v>
      </c>
      <c r="K78" s="1"/>
      <c r="L78" s="1">
        <f t="shared" si="34"/>
        <v>0</v>
      </c>
      <c r="M78" s="1"/>
      <c r="N78" s="5">
        <f t="shared" si="35"/>
        <v>0</v>
      </c>
      <c r="O78" s="12"/>
      <c r="P78" s="1">
        <f>SUM(OSRRefP22_3x_0)</f>
        <v>2804.4</v>
      </c>
      <c r="Q78" s="1"/>
      <c r="R78" s="5">
        <f t="shared" si="36"/>
        <v>1.1575114066095622E-3</v>
      </c>
      <c r="S78" s="1"/>
      <c r="T78" s="1">
        <f>SUM(OSRRefT22_3x_0)</f>
        <v>2804.4</v>
      </c>
      <c r="U78" s="1"/>
      <c r="V78" s="5">
        <f t="shared" si="37"/>
        <v>1.1974770843626067E-3</v>
      </c>
      <c r="W78" s="1"/>
      <c r="X78" s="1">
        <f t="shared" si="38"/>
        <v>0</v>
      </c>
      <c r="Y78" s="1"/>
      <c r="Z78" s="5">
        <f t="shared" si="39"/>
        <v>0</v>
      </c>
    </row>
    <row r="79" spans="1:26" s="23" customFormat="1" hidden="1" outlineLevel="2" x14ac:dyDescent="0.25">
      <c r="A79" s="27"/>
      <c r="B79" s="10" t="str">
        <f>CONCATENATE("          ", "6322", " - ", "EQUIPMENT DEPRECIATION EXPENSE")</f>
        <v xml:space="preserve">          6322 - EQUIPMENT DEPRECIATION EXPENSE</v>
      </c>
      <c r="C79" s="10"/>
      <c r="D79" s="6">
        <v>280.44</v>
      </c>
      <c r="E79" s="2"/>
      <c r="F79" s="7">
        <f t="shared" si="32"/>
        <v>6.9548838243746513E-4</v>
      </c>
      <c r="G79" s="2"/>
      <c r="H79" s="6">
        <v>280.44</v>
      </c>
      <c r="I79" s="2"/>
      <c r="J79" s="7">
        <f t="shared" si="33"/>
        <v>9.2374803220983328E-4</v>
      </c>
      <c r="K79" s="2"/>
      <c r="L79" s="6">
        <f t="shared" si="34"/>
        <v>0</v>
      </c>
      <c r="M79" s="2"/>
      <c r="N79" s="7">
        <f t="shared" si="35"/>
        <v>0</v>
      </c>
      <c r="O79" s="10"/>
      <c r="P79" s="6">
        <v>2804.4</v>
      </c>
      <c r="Q79" s="2"/>
      <c r="R79" s="7">
        <f t="shared" si="36"/>
        <v>1.1575114066095622E-3</v>
      </c>
      <c r="S79" s="2"/>
      <c r="T79" s="6">
        <v>2804.4</v>
      </c>
      <c r="U79" s="2"/>
      <c r="V79" s="7">
        <f t="shared" si="37"/>
        <v>1.1974770843626067E-3</v>
      </c>
      <c r="W79" s="2"/>
      <c r="X79" s="6">
        <f t="shared" si="38"/>
        <v>0</v>
      </c>
      <c r="Y79" s="2"/>
      <c r="Z79" s="7">
        <f t="shared" si="39"/>
        <v>0</v>
      </c>
    </row>
    <row r="80" spans="1:26" s="26" customFormat="1" outlineLevel="1" collapsed="1" x14ac:dyDescent="0.25">
      <c r="A80" s="25"/>
      <c r="B80" s="12" t="str">
        <f>CONCATENATE("     ","Discounts and Markdowns                           ")</f>
        <v xml:space="preserve">     Discounts and Markdowns                           </v>
      </c>
      <c r="C80" s="12"/>
      <c r="D80" s="1">
        <f>SUM(OSRRefD22_4x_0)</f>
        <v>0</v>
      </c>
      <c r="E80" s="1"/>
      <c r="F80" s="5">
        <f t="shared" si="32"/>
        <v>0</v>
      </c>
      <c r="G80" s="1"/>
      <c r="H80" s="1">
        <f>SUM(OSRRefH22_4x_0)</f>
        <v>15043.91</v>
      </c>
      <c r="I80" s="1"/>
      <c r="J80" s="5">
        <f t="shared" si="33"/>
        <v>4.9553495433040336E-2</v>
      </c>
      <c r="K80" s="1"/>
      <c r="L80" s="1">
        <f t="shared" si="34"/>
        <v>-15043.91</v>
      </c>
      <c r="M80" s="1"/>
      <c r="N80" s="5">
        <f t="shared" si="35"/>
        <v>-1</v>
      </c>
      <c r="O80" s="12"/>
      <c r="P80" s="1">
        <f>SUM(OSRRefP22_4x_0)</f>
        <v>0</v>
      </c>
      <c r="Q80" s="1"/>
      <c r="R80" s="5">
        <f t="shared" si="36"/>
        <v>0</v>
      </c>
      <c r="S80" s="1"/>
      <c r="T80" s="1">
        <f>SUM(OSRRefT22_4x_0)</f>
        <v>69760.240000000005</v>
      </c>
      <c r="U80" s="1"/>
      <c r="V80" s="5">
        <f t="shared" si="37"/>
        <v>2.9787579803036549E-2</v>
      </c>
      <c r="W80" s="1"/>
      <c r="X80" s="1">
        <f t="shared" si="38"/>
        <v>-69760.240000000005</v>
      </c>
      <c r="Y80" s="1"/>
      <c r="Z80" s="5">
        <f t="shared" si="39"/>
        <v>-1</v>
      </c>
    </row>
    <row r="81" spans="1:26" s="23" customFormat="1" hidden="1" outlineLevel="2" x14ac:dyDescent="0.25">
      <c r="A81" s="27"/>
      <c r="B81" s="10" t="str">
        <f>CONCATENATE("          ", "6382", " - ", "DISCOUNTS/MARK DOWNS")</f>
        <v xml:space="preserve">          6382 - DISCOUNTS/MARK DOWNS</v>
      </c>
      <c r="C81" s="10"/>
      <c r="D81" s="6">
        <v>0</v>
      </c>
      <c r="E81" s="2"/>
      <c r="F81" s="7">
        <f t="shared" si="32"/>
        <v>0</v>
      </c>
      <c r="G81" s="2"/>
      <c r="H81" s="6">
        <v>15043.91</v>
      </c>
      <c r="I81" s="2"/>
      <c r="J81" s="7">
        <f t="shared" si="33"/>
        <v>4.9553495433040336E-2</v>
      </c>
      <c r="K81" s="2"/>
      <c r="L81" s="6">
        <f t="shared" si="34"/>
        <v>-15043.91</v>
      </c>
      <c r="M81" s="2"/>
      <c r="N81" s="7">
        <f t="shared" si="35"/>
        <v>-1</v>
      </c>
      <c r="O81" s="10"/>
      <c r="P81" s="6">
        <v>0</v>
      </c>
      <c r="Q81" s="2"/>
      <c r="R81" s="7">
        <f t="shared" si="36"/>
        <v>0</v>
      </c>
      <c r="S81" s="2"/>
      <c r="T81" s="6">
        <v>69760.240000000005</v>
      </c>
      <c r="U81" s="2"/>
      <c r="V81" s="7">
        <f t="shared" si="37"/>
        <v>2.9787579803036549E-2</v>
      </c>
      <c r="W81" s="2"/>
      <c r="X81" s="6">
        <f t="shared" si="38"/>
        <v>-69760.240000000005</v>
      </c>
      <c r="Y81" s="2"/>
      <c r="Z81" s="7">
        <f t="shared" si="39"/>
        <v>-1</v>
      </c>
    </row>
    <row r="82" spans="1:26" s="26" customFormat="1" outlineLevel="1" collapsed="1" x14ac:dyDescent="0.25">
      <c r="A82" s="25"/>
      <c r="B82" s="12" t="str">
        <f>CONCATENATE("     ","Freight out/Postage                               ")</f>
        <v xml:space="preserve">     Freight out/Postage                               </v>
      </c>
      <c r="C82" s="12"/>
      <c r="D82" s="1">
        <f>SUM(OSRRefD22_5x_0)</f>
        <v>26.99</v>
      </c>
      <c r="E82" s="1"/>
      <c r="F82" s="5">
        <f t="shared" si="32"/>
        <v>6.693492883321632E-5</v>
      </c>
      <c r="G82" s="1"/>
      <c r="H82" s="1">
        <f>SUM(OSRRefH22_5x_0)</f>
        <v>70.87</v>
      </c>
      <c r="I82" s="1"/>
      <c r="J82" s="5">
        <f t="shared" si="33"/>
        <v>2.3344039025356898E-4</v>
      </c>
      <c r="K82" s="1"/>
      <c r="L82" s="1">
        <f t="shared" si="34"/>
        <v>-43.88000000000001</v>
      </c>
      <c r="M82" s="1"/>
      <c r="N82" s="5">
        <f t="shared" si="35"/>
        <v>-0.61916184563284893</v>
      </c>
      <c r="O82" s="12"/>
      <c r="P82" s="1">
        <f>SUM(OSRRefP22_5x_0)</f>
        <v>1641.28</v>
      </c>
      <c r="Q82" s="1"/>
      <c r="R82" s="5">
        <f t="shared" si="36"/>
        <v>6.7743557318504565E-4</v>
      </c>
      <c r="S82" s="1"/>
      <c r="T82" s="1">
        <f>SUM(OSRRefT22_5x_0)</f>
        <v>120.59</v>
      </c>
      <c r="U82" s="1"/>
      <c r="V82" s="5">
        <f t="shared" si="37"/>
        <v>5.149185622710268E-5</v>
      </c>
      <c r="W82" s="1"/>
      <c r="X82" s="1">
        <f t="shared" si="38"/>
        <v>1520.69</v>
      </c>
      <c r="Y82" s="1"/>
      <c r="Z82" s="5">
        <f t="shared" si="39"/>
        <v>12.610415457334771</v>
      </c>
    </row>
    <row r="83" spans="1:26" s="23" customFormat="1" hidden="1" outlineLevel="2" x14ac:dyDescent="0.25">
      <c r="A83" s="27"/>
      <c r="B83" s="10" t="str">
        <f>CONCATENATE("          ", "6305", " - ", "FREIGHT OUT")</f>
        <v xml:space="preserve">          6305 - FREIGHT OUT</v>
      </c>
      <c r="C83" s="10"/>
      <c r="D83" s="6">
        <v>26.99</v>
      </c>
      <c r="E83" s="2"/>
      <c r="F83" s="7">
        <f t="shared" si="32"/>
        <v>6.693492883321632E-5</v>
      </c>
      <c r="G83" s="2"/>
      <c r="H83" s="6">
        <v>70.87</v>
      </c>
      <c r="I83" s="2"/>
      <c r="J83" s="7">
        <f t="shared" si="33"/>
        <v>2.3344039025356898E-4</v>
      </c>
      <c r="K83" s="2"/>
      <c r="L83" s="6">
        <f t="shared" si="34"/>
        <v>-43.88000000000001</v>
      </c>
      <c r="M83" s="2"/>
      <c r="N83" s="7">
        <f t="shared" si="35"/>
        <v>-0.61916184563284893</v>
      </c>
      <c r="O83" s="10"/>
      <c r="P83" s="6">
        <v>1628.68</v>
      </c>
      <c r="Q83" s="2"/>
      <c r="R83" s="7">
        <f t="shared" si="36"/>
        <v>6.7223494427216574E-4</v>
      </c>
      <c r="S83" s="2"/>
      <c r="T83" s="6">
        <v>120.59</v>
      </c>
      <c r="U83" s="2"/>
      <c r="V83" s="7">
        <f t="shared" si="37"/>
        <v>5.149185622710268E-5</v>
      </c>
      <c r="W83" s="2"/>
      <c r="X83" s="6">
        <f t="shared" si="38"/>
        <v>1508.0900000000001</v>
      </c>
      <c r="Y83" s="2"/>
      <c r="Z83" s="7">
        <f t="shared" si="39"/>
        <v>12.505929181524174</v>
      </c>
    </row>
    <row r="84" spans="1:26" s="23" customFormat="1" hidden="1" outlineLevel="2" x14ac:dyDescent="0.25">
      <c r="A84" s="27"/>
      <c r="B84" s="10" t="str">
        <f>CONCATENATE("          ", "6307", " - ", "POSTAGE")</f>
        <v xml:space="preserve">          6307 - POSTAGE</v>
      </c>
      <c r="C84" s="10"/>
      <c r="D84" s="6"/>
      <c r="E84" s="2"/>
      <c r="F84" s="7">
        <f t="shared" si="32"/>
        <v>0</v>
      </c>
      <c r="G84" s="2"/>
      <c r="H84" s="6"/>
      <c r="I84" s="2"/>
      <c r="J84" s="7">
        <f t="shared" si="33"/>
        <v>0</v>
      </c>
      <c r="K84" s="2"/>
      <c r="L84" s="6">
        <f t="shared" si="34"/>
        <v>0</v>
      </c>
      <c r="M84" s="2"/>
      <c r="N84" s="7">
        <f t="shared" si="35"/>
        <v>0</v>
      </c>
      <c r="O84" s="10"/>
      <c r="P84" s="6">
        <v>12.6</v>
      </c>
      <c r="Q84" s="2"/>
      <c r="R84" s="7">
        <f t="shared" si="36"/>
        <v>5.2006289128799322E-6</v>
      </c>
      <c r="S84" s="2"/>
      <c r="T84" s="6"/>
      <c r="U84" s="2"/>
      <c r="V84" s="7">
        <f t="shared" si="37"/>
        <v>0</v>
      </c>
      <c r="W84" s="2"/>
      <c r="X84" s="6">
        <f t="shared" si="38"/>
        <v>12.6</v>
      </c>
      <c r="Y84" s="2"/>
      <c r="Z84" s="7">
        <f t="shared" si="39"/>
        <v>0</v>
      </c>
    </row>
    <row r="85" spans="1:26" s="26" customFormat="1" outlineLevel="1" collapsed="1" x14ac:dyDescent="0.25">
      <c r="A85" s="25"/>
      <c r="B85" s="12" t="str">
        <f>CONCATENATE("     ","General                                           ")</f>
        <v xml:space="preserve">     General                                           </v>
      </c>
      <c r="C85" s="12"/>
      <c r="D85" s="1">
        <f>SUM(OSRRefD22_6x_0)</f>
        <v>0</v>
      </c>
      <c r="E85" s="1"/>
      <c r="F85" s="5">
        <f t="shared" ref="F85:F91" si="40">IF(D$12=0,0,D85/D$12)</f>
        <v>0</v>
      </c>
      <c r="G85" s="1"/>
      <c r="H85" s="1">
        <f>SUM(OSRRefH22_6x_0)</f>
        <v>285</v>
      </c>
      <c r="I85" s="1"/>
      <c r="J85" s="5">
        <f t="shared" ref="J85:J91" si="41">IF(H$12=0,0,H85/H$12)</f>
        <v>9.3876832541649722E-4</v>
      </c>
      <c r="K85" s="1"/>
      <c r="L85" s="1">
        <f t="shared" ref="L85:L91" si="42">+D85-H85</f>
        <v>-285</v>
      </c>
      <c r="M85" s="1"/>
      <c r="N85" s="5">
        <f t="shared" ref="N85:N91" si="43">IF(H85=0,0,L85/H85)</f>
        <v>-1</v>
      </c>
      <c r="O85" s="12"/>
      <c r="P85" s="1">
        <f>SUM(OSRRefP22_6x_0)</f>
        <v>-30.15</v>
      </c>
      <c r="Q85" s="1"/>
      <c r="R85" s="5">
        <f t="shared" ref="R85:R91" si="44">IF(P$12=0,0,P85/P$12)</f>
        <v>-1.2444362041534123E-5</v>
      </c>
      <c r="S85" s="1"/>
      <c r="T85" s="1">
        <f>SUM(OSRRefT22_6x_0)</f>
        <v>285</v>
      </c>
      <c r="U85" s="1"/>
      <c r="V85" s="5">
        <f t="shared" ref="V85:V91" si="45">IF(T$12=0,0,T85/T$12)</f>
        <v>1.2169482564660637E-4</v>
      </c>
      <c r="W85" s="1"/>
      <c r="X85" s="1">
        <f t="shared" ref="X85:X91" si="46">+P85-T85</f>
        <v>-315.14999999999998</v>
      </c>
      <c r="Y85" s="1"/>
      <c r="Z85" s="5">
        <f t="shared" ref="Z85:Z91" si="47">IF(T85=0,0,X85/T85)</f>
        <v>-1.1057894736842104</v>
      </c>
    </row>
    <row r="86" spans="1:26" s="23" customFormat="1" hidden="1" outlineLevel="2" x14ac:dyDescent="0.25">
      <c r="A86" s="27"/>
      <c r="B86" s="10" t="str">
        <f>CONCATENATE("          ", "6279", " - ", "GENERAL EXPENSE")</f>
        <v xml:space="preserve">          6279 - GENERAL EXPENSE</v>
      </c>
      <c r="C86" s="10"/>
      <c r="D86" s="6"/>
      <c r="E86" s="2"/>
      <c r="F86" s="7">
        <f t="shared" si="40"/>
        <v>0</v>
      </c>
      <c r="G86" s="2"/>
      <c r="H86" s="6">
        <v>285</v>
      </c>
      <c r="I86" s="2"/>
      <c r="J86" s="7">
        <f t="shared" si="41"/>
        <v>9.3876832541649722E-4</v>
      </c>
      <c r="K86" s="2"/>
      <c r="L86" s="6">
        <f t="shared" si="42"/>
        <v>-285</v>
      </c>
      <c r="M86" s="2"/>
      <c r="N86" s="7">
        <f t="shared" si="43"/>
        <v>-1</v>
      </c>
      <c r="O86" s="10"/>
      <c r="P86" s="6">
        <v>-30.15</v>
      </c>
      <c r="Q86" s="2"/>
      <c r="R86" s="7">
        <f t="shared" si="44"/>
        <v>-1.2444362041534123E-5</v>
      </c>
      <c r="S86" s="2"/>
      <c r="T86" s="6">
        <v>285</v>
      </c>
      <c r="U86" s="2"/>
      <c r="V86" s="7">
        <f t="shared" si="45"/>
        <v>1.2169482564660637E-4</v>
      </c>
      <c r="W86" s="2"/>
      <c r="X86" s="6">
        <f t="shared" si="46"/>
        <v>-315.14999999999998</v>
      </c>
      <c r="Y86" s="2"/>
      <c r="Z86" s="7">
        <f t="shared" si="47"/>
        <v>-1.1057894736842104</v>
      </c>
    </row>
    <row r="87" spans="1:26" s="26" customFormat="1" outlineLevel="1" collapsed="1" x14ac:dyDescent="0.25">
      <c r="A87" s="25"/>
      <c r="B87" s="12" t="str">
        <f>CONCATENATE("     ","Inventory Adjustment                              ")</f>
        <v xml:space="preserve">     Inventory Adjustment                              </v>
      </c>
      <c r="C87" s="12"/>
      <c r="D87" s="1">
        <f>SUM(OSRRefD22_7x_0)</f>
        <v>1250</v>
      </c>
      <c r="E87" s="1"/>
      <c r="F87" s="5">
        <f t="shared" si="40"/>
        <v>3.0999874413308783E-3</v>
      </c>
      <c r="G87" s="1"/>
      <c r="H87" s="1">
        <f>SUM(OSRRefH22_7x_0)</f>
        <v>0</v>
      </c>
      <c r="I87" s="1"/>
      <c r="J87" s="5">
        <f t="shared" si="41"/>
        <v>0</v>
      </c>
      <c r="K87" s="1"/>
      <c r="L87" s="1">
        <f t="shared" si="42"/>
        <v>1250</v>
      </c>
      <c r="M87" s="1"/>
      <c r="N87" s="5">
        <f t="shared" si="43"/>
        <v>0</v>
      </c>
      <c r="O87" s="12"/>
      <c r="P87" s="1">
        <f>SUM(OSRRefP22_7x_0)</f>
        <v>12500</v>
      </c>
      <c r="Q87" s="1"/>
      <c r="R87" s="5">
        <f t="shared" si="44"/>
        <v>5.1593540802380286E-3</v>
      </c>
      <c r="S87" s="1"/>
      <c r="T87" s="1">
        <f>SUM(OSRRefT22_7x_0)</f>
        <v>0</v>
      </c>
      <c r="U87" s="1"/>
      <c r="V87" s="5">
        <f t="shared" si="45"/>
        <v>0</v>
      </c>
      <c r="W87" s="1"/>
      <c r="X87" s="1">
        <f t="shared" si="46"/>
        <v>12500</v>
      </c>
      <c r="Y87" s="1"/>
      <c r="Z87" s="5">
        <f t="shared" si="47"/>
        <v>0</v>
      </c>
    </row>
    <row r="88" spans="1:26" s="23" customFormat="1" hidden="1" outlineLevel="2" x14ac:dyDescent="0.25">
      <c r="A88" s="27"/>
      <c r="B88" s="10" t="str">
        <f>CONCATENATE("          ", "6408", " - ", "INVENTORY ADJUSTMENT")</f>
        <v xml:space="preserve">          6408 - INVENTORY ADJUSTMENT</v>
      </c>
      <c r="C88" s="10"/>
      <c r="D88" s="6">
        <v>1250</v>
      </c>
      <c r="E88" s="2"/>
      <c r="F88" s="7">
        <f t="shared" si="40"/>
        <v>3.0999874413308783E-3</v>
      </c>
      <c r="G88" s="2"/>
      <c r="H88" s="6"/>
      <c r="I88" s="2"/>
      <c r="J88" s="7">
        <f t="shared" si="41"/>
        <v>0</v>
      </c>
      <c r="K88" s="2"/>
      <c r="L88" s="6">
        <f t="shared" si="42"/>
        <v>1250</v>
      </c>
      <c r="M88" s="2"/>
      <c r="N88" s="7">
        <f t="shared" si="43"/>
        <v>0</v>
      </c>
      <c r="O88" s="10"/>
      <c r="P88" s="6">
        <v>12500</v>
      </c>
      <c r="Q88" s="2"/>
      <c r="R88" s="7">
        <f t="shared" si="44"/>
        <v>5.1593540802380286E-3</v>
      </c>
      <c r="S88" s="2"/>
      <c r="T88" s="6"/>
      <c r="U88" s="2"/>
      <c r="V88" s="7">
        <f t="shared" si="45"/>
        <v>0</v>
      </c>
      <c r="W88" s="2"/>
      <c r="X88" s="6">
        <f t="shared" si="46"/>
        <v>12500</v>
      </c>
      <c r="Y88" s="2"/>
      <c r="Z88" s="7">
        <f t="shared" si="47"/>
        <v>0</v>
      </c>
    </row>
    <row r="89" spans="1:26" s="26" customFormat="1" outlineLevel="1" collapsed="1" x14ac:dyDescent="0.25">
      <c r="A89" s="25"/>
      <c r="B89" s="12" t="str">
        <f>CONCATENATE("     ","Repair and Maintenance                            ")</f>
        <v xml:space="preserve">     Repair and Maintenance                            </v>
      </c>
      <c r="C89" s="12"/>
      <c r="D89" s="1">
        <f>SUM(OSRRefD22_8x_0)</f>
        <v>0</v>
      </c>
      <c r="E89" s="1"/>
      <c r="F89" s="5">
        <f t="shared" si="40"/>
        <v>0</v>
      </c>
      <c r="G89" s="1"/>
      <c r="H89" s="1">
        <f>SUM(OSRRefH22_8x_0)</f>
        <v>0</v>
      </c>
      <c r="I89" s="1"/>
      <c r="J89" s="5">
        <f t="shared" si="41"/>
        <v>0</v>
      </c>
      <c r="K89" s="1"/>
      <c r="L89" s="1">
        <f t="shared" si="42"/>
        <v>0</v>
      </c>
      <c r="M89" s="1"/>
      <c r="N89" s="5">
        <f t="shared" si="43"/>
        <v>0</v>
      </c>
      <c r="O89" s="12"/>
      <c r="P89" s="1">
        <f>SUM(OSRRefP22_8x_0)</f>
        <v>1550</v>
      </c>
      <c r="Q89" s="1"/>
      <c r="R89" s="5">
        <f t="shared" si="44"/>
        <v>6.3975990594951555E-4</v>
      </c>
      <c r="S89" s="1"/>
      <c r="T89" s="1">
        <f>SUM(OSRRefT22_8x_0)</f>
        <v>197.18</v>
      </c>
      <c r="U89" s="1"/>
      <c r="V89" s="5">
        <f t="shared" si="45"/>
        <v>8.4195739371922265E-5</v>
      </c>
      <c r="W89" s="1"/>
      <c r="X89" s="1">
        <f t="shared" si="46"/>
        <v>1352.82</v>
      </c>
      <c r="Y89" s="1"/>
      <c r="Z89" s="5">
        <f t="shared" si="47"/>
        <v>6.8608378131656345</v>
      </c>
    </row>
    <row r="90" spans="1:26" s="23" customFormat="1" hidden="1" outlineLevel="2" x14ac:dyDescent="0.25">
      <c r="A90" s="27"/>
      <c r="B90" s="10" t="str">
        <f>CONCATENATE("          ", "6371", " - ", "COMPUTER SOFTWARE MAINTENANCE")</f>
        <v xml:space="preserve">          6371 - COMPUTER SOFTWARE MAINTENANCE</v>
      </c>
      <c r="C90" s="10"/>
      <c r="D90" s="6"/>
      <c r="E90" s="2"/>
      <c r="F90" s="7">
        <f t="shared" si="40"/>
        <v>0</v>
      </c>
      <c r="G90" s="2"/>
      <c r="H90" s="6"/>
      <c r="I90" s="2"/>
      <c r="J90" s="7">
        <f t="shared" si="41"/>
        <v>0</v>
      </c>
      <c r="K90" s="2"/>
      <c r="L90" s="6">
        <f t="shared" si="42"/>
        <v>0</v>
      </c>
      <c r="M90" s="2"/>
      <c r="N90" s="7">
        <f t="shared" si="43"/>
        <v>0</v>
      </c>
      <c r="O90" s="10"/>
      <c r="P90" s="6">
        <v>1550</v>
      </c>
      <c r="Q90" s="2"/>
      <c r="R90" s="7">
        <f t="shared" si="44"/>
        <v>6.3975990594951555E-4</v>
      </c>
      <c r="S90" s="2"/>
      <c r="T90" s="6"/>
      <c r="U90" s="2"/>
      <c r="V90" s="7">
        <f t="shared" si="45"/>
        <v>0</v>
      </c>
      <c r="W90" s="2"/>
      <c r="X90" s="6">
        <f t="shared" si="46"/>
        <v>1550</v>
      </c>
      <c r="Y90" s="2"/>
      <c r="Z90" s="7">
        <f t="shared" si="47"/>
        <v>0</v>
      </c>
    </row>
    <row r="91" spans="1:26" s="23" customFormat="1" hidden="1" outlineLevel="2" x14ac:dyDescent="0.25">
      <c r="A91" s="27"/>
      <c r="B91" s="10" t="str">
        <f>CONCATENATE("          ", "6375", " - ", "OUTSIDE REPAIRS &amp; MAINTENANCE")</f>
        <v xml:space="preserve">          6375 - OUTSIDE REPAIRS &amp; MAINTENANCE</v>
      </c>
      <c r="C91" s="10"/>
      <c r="D91" s="6"/>
      <c r="E91" s="2"/>
      <c r="F91" s="7">
        <f t="shared" si="40"/>
        <v>0</v>
      </c>
      <c r="G91" s="2"/>
      <c r="H91" s="6"/>
      <c r="I91" s="2"/>
      <c r="J91" s="7">
        <f t="shared" si="41"/>
        <v>0</v>
      </c>
      <c r="K91" s="2"/>
      <c r="L91" s="6">
        <f t="shared" si="42"/>
        <v>0</v>
      </c>
      <c r="M91" s="2"/>
      <c r="N91" s="7">
        <f t="shared" si="43"/>
        <v>0</v>
      </c>
      <c r="O91" s="10"/>
      <c r="P91" s="6"/>
      <c r="Q91" s="2"/>
      <c r="R91" s="7">
        <f t="shared" si="44"/>
        <v>0</v>
      </c>
      <c r="S91" s="2"/>
      <c r="T91" s="6">
        <v>197.18</v>
      </c>
      <c r="U91" s="2"/>
      <c r="V91" s="7">
        <f t="shared" si="45"/>
        <v>8.4195739371922265E-5</v>
      </c>
      <c r="W91" s="2"/>
      <c r="X91" s="6">
        <f t="shared" si="46"/>
        <v>-197.18</v>
      </c>
      <c r="Y91" s="2"/>
      <c r="Z91" s="7">
        <f t="shared" si="47"/>
        <v>-1</v>
      </c>
    </row>
    <row r="92" spans="1:26" s="26" customFormat="1" outlineLevel="1" collapsed="1" x14ac:dyDescent="0.25">
      <c r="A92" s="25"/>
      <c r="B92" s="12" t="str">
        <f>CONCATENATE("     ","Subscriptions &amp; Dues                              ")</f>
        <v xml:space="preserve">     Subscriptions &amp; Dues                              </v>
      </c>
      <c r="C92" s="12"/>
      <c r="D92" s="1">
        <f>SUM(OSRRefD22_9x_0)</f>
        <v>142.22</v>
      </c>
      <c r="E92" s="1"/>
      <c r="F92" s="5">
        <f t="shared" ref="F92:F94" si="48">IF(D$12=0,0,D92/D$12)</f>
        <v>3.5270417112486196E-4</v>
      </c>
      <c r="G92" s="1"/>
      <c r="H92" s="1">
        <f>SUM(OSRRefH22_9x_0)</f>
        <v>0</v>
      </c>
      <c r="I92" s="1"/>
      <c r="J92" s="5">
        <f t="shared" ref="J92:J94" si="49">IF(H$12=0,0,H92/H$12)</f>
        <v>0</v>
      </c>
      <c r="K92" s="1"/>
      <c r="L92" s="1">
        <f t="shared" ref="L92:L94" si="50">+D92-H92</f>
        <v>142.22</v>
      </c>
      <c r="M92" s="1"/>
      <c r="N92" s="5">
        <f t="shared" ref="N92:N94" si="51">IF(H92=0,0,L92/H92)</f>
        <v>0</v>
      </c>
      <c r="O92" s="12"/>
      <c r="P92" s="1">
        <f>SUM(OSRRefP22_9x_0)</f>
        <v>142.22</v>
      </c>
      <c r="Q92" s="1"/>
      <c r="R92" s="5">
        <f t="shared" ref="R92:R94" si="52">IF(P$12=0,0,P92/P$12)</f>
        <v>5.8701066983316191E-5</v>
      </c>
      <c r="S92" s="1"/>
      <c r="T92" s="1">
        <f>SUM(OSRRefT22_9x_0)</f>
        <v>-4886.5</v>
      </c>
      <c r="U92" s="1"/>
      <c r="V92" s="5">
        <f t="shared" ref="V92:V94" si="53">IF(T$12=0,0,T92/T$12)</f>
        <v>-2.0865325106040073E-3</v>
      </c>
      <c r="W92" s="1"/>
      <c r="X92" s="1">
        <f t="shared" ref="X92:X94" si="54">+P92-T92</f>
        <v>5028.72</v>
      </c>
      <c r="Y92" s="1"/>
      <c r="Z92" s="5">
        <f t="shared" ref="Z92:Z94" si="55">IF(T92=0,0,X92/T92)</f>
        <v>-1.0291046761485727</v>
      </c>
    </row>
    <row r="93" spans="1:26" s="23" customFormat="1" hidden="1" outlineLevel="2" x14ac:dyDescent="0.25">
      <c r="A93" s="27"/>
      <c r="B93" s="10" t="str">
        <f>CONCATENATE("          ", "6258", " - ", "MEMBERSHIP DUES")</f>
        <v xml:space="preserve">          6258 - MEMBERSHIP DUES</v>
      </c>
      <c r="C93" s="10"/>
      <c r="D93" s="6"/>
      <c r="E93" s="2"/>
      <c r="F93" s="7">
        <f t="shared" si="48"/>
        <v>0</v>
      </c>
      <c r="G93" s="2"/>
      <c r="H93" s="6"/>
      <c r="I93" s="2"/>
      <c r="J93" s="7">
        <f t="shared" si="49"/>
        <v>0</v>
      </c>
      <c r="K93" s="2"/>
      <c r="L93" s="6">
        <f t="shared" si="50"/>
        <v>0</v>
      </c>
      <c r="M93" s="2"/>
      <c r="N93" s="7">
        <f t="shared" si="51"/>
        <v>0</v>
      </c>
      <c r="O93" s="10"/>
      <c r="P93" s="6"/>
      <c r="Q93" s="2"/>
      <c r="R93" s="7">
        <f t="shared" si="52"/>
        <v>0</v>
      </c>
      <c r="S93" s="2"/>
      <c r="T93" s="6">
        <v>-4886.5</v>
      </c>
      <c r="U93" s="2"/>
      <c r="V93" s="7">
        <f t="shared" si="53"/>
        <v>-2.0865325106040073E-3</v>
      </c>
      <c r="W93" s="2"/>
      <c r="X93" s="6">
        <f t="shared" si="54"/>
        <v>4886.5</v>
      </c>
      <c r="Y93" s="2"/>
      <c r="Z93" s="7">
        <f t="shared" si="55"/>
        <v>-1</v>
      </c>
    </row>
    <row r="94" spans="1:26" s="23" customFormat="1" hidden="1" outlineLevel="2" x14ac:dyDescent="0.25">
      <c r="A94" s="27"/>
      <c r="B94" s="10" t="str">
        <f>CONCATENATE("          ", "6275", " - ", "SUBSCRIPTIONS")</f>
        <v xml:space="preserve">          6275 - SUBSCRIPTIONS</v>
      </c>
      <c r="C94" s="10"/>
      <c r="D94" s="6">
        <v>142.22</v>
      </c>
      <c r="E94" s="2"/>
      <c r="F94" s="7">
        <f t="shared" si="48"/>
        <v>3.5270417112486196E-4</v>
      </c>
      <c r="G94" s="2"/>
      <c r="H94" s="6"/>
      <c r="I94" s="2"/>
      <c r="J94" s="7">
        <f t="shared" si="49"/>
        <v>0</v>
      </c>
      <c r="K94" s="2"/>
      <c r="L94" s="6">
        <f t="shared" si="50"/>
        <v>142.22</v>
      </c>
      <c r="M94" s="2"/>
      <c r="N94" s="7">
        <f t="shared" si="51"/>
        <v>0</v>
      </c>
      <c r="O94" s="10"/>
      <c r="P94" s="6">
        <v>142.22</v>
      </c>
      <c r="Q94" s="2"/>
      <c r="R94" s="7">
        <f t="shared" si="52"/>
        <v>5.8701066983316191E-5</v>
      </c>
      <c r="S94" s="2"/>
      <c r="T94" s="6"/>
      <c r="U94" s="2"/>
      <c r="V94" s="7">
        <f t="shared" si="53"/>
        <v>0</v>
      </c>
      <c r="W94" s="2"/>
      <c r="X94" s="6">
        <f t="shared" si="54"/>
        <v>142.22</v>
      </c>
      <c r="Y94" s="2"/>
      <c r="Z94" s="7">
        <f t="shared" si="55"/>
        <v>0</v>
      </c>
    </row>
    <row r="95" spans="1:26" s="26" customFormat="1" outlineLevel="1" collapsed="1" x14ac:dyDescent="0.25">
      <c r="A95" s="25"/>
      <c r="B95" s="12" t="str">
        <f>CONCATENATE("     ","Supplies                                          ")</f>
        <v xml:space="preserve">     Supplies                                          </v>
      </c>
      <c r="C95" s="12"/>
      <c r="D95" s="1">
        <f>SUM(OSRRefD22_10x_0)</f>
        <v>19.559999999999999</v>
      </c>
      <c r="E95" s="1"/>
      <c r="F95" s="5">
        <f t="shared" ref="F95:F100" si="56">IF(D$12=0,0,D95/D$12)</f>
        <v>4.8508603481945579E-5</v>
      </c>
      <c r="G95" s="1"/>
      <c r="H95" s="1">
        <f>SUM(OSRRefH22_10x_0)</f>
        <v>0</v>
      </c>
      <c r="I95" s="1"/>
      <c r="J95" s="5">
        <f t="shared" ref="J95:J100" si="57">IF(H$12=0,0,H95/H$12)</f>
        <v>0</v>
      </c>
      <c r="K95" s="1"/>
      <c r="L95" s="1">
        <f t="shared" ref="L95:L100" si="58">+D95-H95</f>
        <v>19.559999999999999</v>
      </c>
      <c r="M95" s="1"/>
      <c r="N95" s="5">
        <f t="shared" ref="N95:N100" si="59">IF(H95=0,0,L95/H95)</f>
        <v>0</v>
      </c>
      <c r="O95" s="12"/>
      <c r="P95" s="1">
        <f>SUM(OSRRefP22_10x_0)</f>
        <v>3831.65</v>
      </c>
      <c r="Q95" s="1"/>
      <c r="R95" s="5">
        <f t="shared" ref="R95:R100" si="60">IF(P$12=0,0,P95/P$12)</f>
        <v>1.5815071249235234E-3</v>
      </c>
      <c r="S95" s="1"/>
      <c r="T95" s="1">
        <f>SUM(OSRRefT22_10x_0)</f>
        <v>3135.2700000000004</v>
      </c>
      <c r="U95" s="1"/>
      <c r="V95" s="5">
        <f t="shared" ref="V95:V100" si="61">IF(T$12=0,0,T95/T$12)</f>
        <v>1.3387583719474934E-3</v>
      </c>
      <c r="W95" s="1"/>
      <c r="X95" s="1">
        <f t="shared" ref="X95:X100" si="62">+P95-T95</f>
        <v>696.37999999999965</v>
      </c>
      <c r="Y95" s="1"/>
      <c r="Z95" s="5">
        <f t="shared" ref="Z95:Z100" si="63">IF(T95=0,0,X95/T95)</f>
        <v>0.22211165226599289</v>
      </c>
    </row>
    <row r="96" spans="1:26" s="23" customFormat="1" hidden="1" outlineLevel="2" x14ac:dyDescent="0.25">
      <c r="A96" s="27"/>
      <c r="B96" s="10" t="str">
        <f>CONCATENATE("          ", "6234", " - ", "EXPENDABLE SUPPLIES &amp; EQUIPMEN")</f>
        <v xml:space="preserve">          6234 - EXPENDABLE SUPPLIES &amp; EQUIPMEN</v>
      </c>
      <c r="C96" s="10"/>
      <c r="D96" s="6"/>
      <c r="E96" s="2"/>
      <c r="F96" s="7">
        <f t="shared" si="56"/>
        <v>0</v>
      </c>
      <c r="G96" s="2"/>
      <c r="H96" s="6"/>
      <c r="I96" s="2"/>
      <c r="J96" s="7">
        <f t="shared" si="57"/>
        <v>0</v>
      </c>
      <c r="K96" s="2"/>
      <c r="L96" s="6">
        <f t="shared" si="58"/>
        <v>0</v>
      </c>
      <c r="M96" s="2"/>
      <c r="N96" s="7">
        <f t="shared" si="59"/>
        <v>0</v>
      </c>
      <c r="O96" s="10"/>
      <c r="P96" s="6">
        <v>1733.49</v>
      </c>
      <c r="Q96" s="2"/>
      <c r="R96" s="7">
        <f t="shared" si="60"/>
        <v>7.1549509636414552E-4</v>
      </c>
      <c r="S96" s="2"/>
      <c r="T96" s="6"/>
      <c r="U96" s="2"/>
      <c r="V96" s="7">
        <f t="shared" si="61"/>
        <v>0</v>
      </c>
      <c r="W96" s="2"/>
      <c r="X96" s="6">
        <f t="shared" si="62"/>
        <v>1733.49</v>
      </c>
      <c r="Y96" s="2"/>
      <c r="Z96" s="7">
        <f t="shared" si="63"/>
        <v>0</v>
      </c>
    </row>
    <row r="97" spans="1:26" s="23" customFormat="1" hidden="1" outlineLevel="2" x14ac:dyDescent="0.25">
      <c r="A97" s="27"/>
      <c r="B97" s="10" t="str">
        <f>CONCATENATE("          ", "6235", " - ", "COVID-19 EXPENSES")</f>
        <v xml:space="preserve">          6235 - COVID-19 EXPENSES</v>
      </c>
      <c r="C97" s="10"/>
      <c r="D97" s="6"/>
      <c r="E97" s="2"/>
      <c r="F97" s="7">
        <f t="shared" si="56"/>
        <v>0</v>
      </c>
      <c r="G97" s="2"/>
      <c r="H97" s="6"/>
      <c r="I97" s="2"/>
      <c r="J97" s="7">
        <f t="shared" si="57"/>
        <v>0</v>
      </c>
      <c r="K97" s="2"/>
      <c r="L97" s="6">
        <f t="shared" si="58"/>
        <v>0</v>
      </c>
      <c r="M97" s="2"/>
      <c r="N97" s="7">
        <f t="shared" si="59"/>
        <v>0</v>
      </c>
      <c r="O97" s="10"/>
      <c r="P97" s="6">
        <v>668.12</v>
      </c>
      <c r="Q97" s="2"/>
      <c r="R97" s="7">
        <f t="shared" si="60"/>
        <v>2.7576541184709053E-4</v>
      </c>
      <c r="S97" s="2"/>
      <c r="T97" s="6"/>
      <c r="U97" s="2"/>
      <c r="V97" s="7">
        <f t="shared" si="61"/>
        <v>0</v>
      </c>
      <c r="W97" s="2"/>
      <c r="X97" s="6">
        <f t="shared" si="62"/>
        <v>668.12</v>
      </c>
      <c r="Y97" s="2"/>
      <c r="Z97" s="7">
        <f t="shared" si="63"/>
        <v>0</v>
      </c>
    </row>
    <row r="98" spans="1:26" s="23" customFormat="1" hidden="1" outlineLevel="2" x14ac:dyDescent="0.25">
      <c r="A98" s="27"/>
      <c r="B98" s="10" t="str">
        <f>CONCATENATE("          ", "6241", " - ", "OFFICE EXPENSE")</f>
        <v xml:space="preserve">          6241 - OFFICE EXPENSE</v>
      </c>
      <c r="C98" s="10"/>
      <c r="D98" s="6">
        <v>19.559999999999999</v>
      </c>
      <c r="E98" s="2"/>
      <c r="F98" s="7">
        <f t="shared" si="56"/>
        <v>4.8508603481945579E-5</v>
      </c>
      <c r="G98" s="2"/>
      <c r="H98" s="6"/>
      <c r="I98" s="2"/>
      <c r="J98" s="7">
        <f t="shared" si="57"/>
        <v>0</v>
      </c>
      <c r="K98" s="2"/>
      <c r="L98" s="6">
        <f t="shared" si="58"/>
        <v>19.559999999999999</v>
      </c>
      <c r="M98" s="2"/>
      <c r="N98" s="7">
        <f t="shared" si="59"/>
        <v>0</v>
      </c>
      <c r="O98" s="10"/>
      <c r="P98" s="6">
        <v>1430.04</v>
      </c>
      <c r="Q98" s="2"/>
      <c r="R98" s="7">
        <f t="shared" si="60"/>
        <v>5.9024661671228714E-4</v>
      </c>
      <c r="S98" s="2"/>
      <c r="T98" s="6">
        <v>1125.8900000000001</v>
      </c>
      <c r="U98" s="2"/>
      <c r="V98" s="7">
        <f t="shared" si="61"/>
        <v>4.8075434121844793E-4</v>
      </c>
      <c r="W98" s="2"/>
      <c r="X98" s="6">
        <f t="shared" si="62"/>
        <v>304.14999999999986</v>
      </c>
      <c r="Y98" s="2"/>
      <c r="Z98" s="7">
        <f t="shared" si="63"/>
        <v>0.27014184334171176</v>
      </c>
    </row>
    <row r="99" spans="1:26" s="23" customFormat="1" hidden="1" outlineLevel="2" x14ac:dyDescent="0.25">
      <c r="A99" s="27"/>
      <c r="B99" s="10" t="str">
        <f>CONCATENATE("          ", "6245", " - ", "PRINTING")</f>
        <v xml:space="preserve">          6245 - PRINTING</v>
      </c>
      <c r="C99" s="10"/>
      <c r="D99" s="6"/>
      <c r="E99" s="2"/>
      <c r="F99" s="7">
        <f t="shared" si="56"/>
        <v>0</v>
      </c>
      <c r="G99" s="2"/>
      <c r="H99" s="6"/>
      <c r="I99" s="2"/>
      <c r="J99" s="7">
        <f t="shared" si="57"/>
        <v>0</v>
      </c>
      <c r="K99" s="2"/>
      <c r="L99" s="6">
        <f t="shared" si="58"/>
        <v>0</v>
      </c>
      <c r="M99" s="2"/>
      <c r="N99" s="7">
        <f t="shared" si="59"/>
        <v>0</v>
      </c>
      <c r="O99" s="10"/>
      <c r="P99" s="6"/>
      <c r="Q99" s="2"/>
      <c r="R99" s="7">
        <f t="shared" si="60"/>
        <v>0</v>
      </c>
      <c r="S99" s="2"/>
      <c r="T99" s="6">
        <v>0</v>
      </c>
      <c r="U99" s="2"/>
      <c r="V99" s="7">
        <f t="shared" si="61"/>
        <v>0</v>
      </c>
      <c r="W99" s="2"/>
      <c r="X99" s="6">
        <f t="shared" si="62"/>
        <v>0</v>
      </c>
      <c r="Y99" s="2"/>
      <c r="Z99" s="7">
        <f t="shared" si="63"/>
        <v>0</v>
      </c>
    </row>
    <row r="100" spans="1:26" s="23" customFormat="1" hidden="1" outlineLevel="2" x14ac:dyDescent="0.25">
      <c r="A100" s="27"/>
      <c r="B100" s="10" t="str">
        <f>CONCATENATE("          ", "6247", " - ", "STORE SUPPLIES")</f>
        <v xml:space="preserve">          6247 - STORE SUPPLIES</v>
      </c>
      <c r="C100" s="10"/>
      <c r="D100" s="6"/>
      <c r="E100" s="2"/>
      <c r="F100" s="7">
        <f t="shared" si="56"/>
        <v>0</v>
      </c>
      <c r="G100" s="2"/>
      <c r="H100" s="6"/>
      <c r="I100" s="2"/>
      <c r="J100" s="7">
        <f t="shared" si="57"/>
        <v>0</v>
      </c>
      <c r="K100" s="2"/>
      <c r="L100" s="6">
        <f t="shared" si="58"/>
        <v>0</v>
      </c>
      <c r="M100" s="2"/>
      <c r="N100" s="7">
        <f t="shared" si="59"/>
        <v>0</v>
      </c>
      <c r="O100" s="10"/>
      <c r="P100" s="6"/>
      <c r="Q100" s="2"/>
      <c r="R100" s="7">
        <f t="shared" si="60"/>
        <v>0</v>
      </c>
      <c r="S100" s="2"/>
      <c r="T100" s="6">
        <v>2009.38</v>
      </c>
      <c r="U100" s="2"/>
      <c r="V100" s="7">
        <f t="shared" si="61"/>
        <v>8.5800403072904539E-4</v>
      </c>
      <c r="W100" s="2"/>
      <c r="X100" s="6">
        <f t="shared" si="62"/>
        <v>-2009.38</v>
      </c>
      <c r="Y100" s="2"/>
      <c r="Z100" s="7">
        <f t="shared" si="63"/>
        <v>-1</v>
      </c>
    </row>
    <row r="101" spans="1:26" s="26" customFormat="1" outlineLevel="1" collapsed="1" x14ac:dyDescent="0.25">
      <c r="A101" s="25"/>
      <c r="B101" s="12" t="str">
        <f>CONCATENATE("     ","Telephone/Data Lines                              ")</f>
        <v xml:space="preserve">     Telephone/Data Lines                              </v>
      </c>
      <c r="C101" s="12"/>
      <c r="D101" s="1">
        <f>SUM(OSRRefD22_11x_0)</f>
        <v>271.3</v>
      </c>
      <c r="E101" s="1"/>
      <c r="F101" s="5">
        <f t="shared" ref="F101:F106" si="64">IF(D$12=0,0,D101/D$12)</f>
        <v>6.7282127426645383E-4</v>
      </c>
      <c r="G101" s="1"/>
      <c r="H101" s="1">
        <f>SUM(OSRRefH22_11x_0)</f>
        <v>207.85</v>
      </c>
      <c r="I101" s="1"/>
      <c r="J101" s="5">
        <f t="shared" ref="J101:J106" si="65">IF(H$12=0,0,H101/H$12)</f>
        <v>6.8464209276427701E-4</v>
      </c>
      <c r="K101" s="1"/>
      <c r="L101" s="1">
        <f t="shared" ref="L101:L106" si="66">+D101-H101</f>
        <v>63.450000000000017</v>
      </c>
      <c r="M101" s="1"/>
      <c r="N101" s="5">
        <f t="shared" ref="N101:N106" si="67">IF(H101=0,0,L101/H101)</f>
        <v>0.30526822227567968</v>
      </c>
      <c r="O101" s="12"/>
      <c r="P101" s="1">
        <f>SUM(OSRRefP22_11x_0)</f>
        <v>2877.55</v>
      </c>
      <c r="Q101" s="1"/>
      <c r="R101" s="5">
        <f t="shared" ref="R101:R106" si="68">IF(P$12=0,0,P101/P$12)</f>
        <v>1.1877039466871152E-3</v>
      </c>
      <c r="S101" s="1"/>
      <c r="T101" s="1">
        <f>SUM(OSRRefT22_11x_0)</f>
        <v>2512.4499999999998</v>
      </c>
      <c r="U101" s="1"/>
      <c r="V101" s="5">
        <f t="shared" ref="V101:V106" si="69">IF(T$12=0,0,T101/T$12)</f>
        <v>1.072814612967776E-3</v>
      </c>
      <c r="W101" s="1"/>
      <c r="X101" s="1">
        <f t="shared" ref="X101:X106" si="70">+P101-T101</f>
        <v>365.10000000000036</v>
      </c>
      <c r="Y101" s="1"/>
      <c r="Z101" s="5">
        <f t="shared" ref="Z101:Z106" si="71">IF(T101=0,0,X101/T101)</f>
        <v>0.14531632470297931</v>
      </c>
    </row>
    <row r="102" spans="1:26" s="23" customFormat="1" hidden="1" outlineLevel="2" x14ac:dyDescent="0.25">
      <c r="A102" s="27"/>
      <c r="B102" s="10" t="str">
        <f>CONCATENATE("          ", "6309", " - ", "TELEPHONE")</f>
        <v xml:space="preserve">          6309 - TELEPHONE</v>
      </c>
      <c r="C102" s="10"/>
      <c r="D102" s="6">
        <v>271.3</v>
      </c>
      <c r="E102" s="2"/>
      <c r="F102" s="7">
        <f t="shared" si="64"/>
        <v>6.7282127426645383E-4</v>
      </c>
      <c r="G102" s="2"/>
      <c r="H102" s="6">
        <v>207.85</v>
      </c>
      <c r="I102" s="2"/>
      <c r="J102" s="7">
        <f t="shared" si="65"/>
        <v>6.8464209276427701E-4</v>
      </c>
      <c r="K102" s="2"/>
      <c r="L102" s="6">
        <f t="shared" si="66"/>
        <v>63.450000000000017</v>
      </c>
      <c r="M102" s="2"/>
      <c r="N102" s="7">
        <f t="shared" si="67"/>
        <v>0.30526822227567968</v>
      </c>
      <c r="O102" s="10"/>
      <c r="P102" s="6">
        <v>2877.55</v>
      </c>
      <c r="Q102" s="2"/>
      <c r="R102" s="7">
        <f t="shared" si="68"/>
        <v>1.1877039466871152E-3</v>
      </c>
      <c r="S102" s="2"/>
      <c r="T102" s="6">
        <v>2512.4499999999998</v>
      </c>
      <c r="U102" s="2"/>
      <c r="V102" s="7">
        <f t="shared" si="69"/>
        <v>1.072814612967776E-3</v>
      </c>
      <c r="W102" s="2"/>
      <c r="X102" s="6">
        <f t="shared" si="70"/>
        <v>365.10000000000036</v>
      </c>
      <c r="Y102" s="2"/>
      <c r="Z102" s="7">
        <f t="shared" si="71"/>
        <v>0.14531632470297931</v>
      </c>
    </row>
    <row r="103" spans="1:26" s="26" customFormat="1" outlineLevel="1" collapsed="1" x14ac:dyDescent="0.25">
      <c r="A103" s="25"/>
      <c r="B103" s="12" t="str">
        <f>CONCATENATE("     ","Training                                          ")</f>
        <v xml:space="preserve">     Training                                          </v>
      </c>
      <c r="C103" s="12"/>
      <c r="D103" s="1">
        <f>SUM(OSRRefD22_12x_0)</f>
        <v>0</v>
      </c>
      <c r="E103" s="1"/>
      <c r="F103" s="5">
        <f t="shared" si="64"/>
        <v>0</v>
      </c>
      <c r="G103" s="1"/>
      <c r="H103" s="1">
        <f>SUM(OSRRefH22_12x_0)</f>
        <v>0</v>
      </c>
      <c r="I103" s="1"/>
      <c r="J103" s="5">
        <f t="shared" si="65"/>
        <v>0</v>
      </c>
      <c r="K103" s="1"/>
      <c r="L103" s="1">
        <f t="shared" si="66"/>
        <v>0</v>
      </c>
      <c r="M103" s="1"/>
      <c r="N103" s="5">
        <f t="shared" si="67"/>
        <v>0</v>
      </c>
      <c r="O103" s="12"/>
      <c r="P103" s="1">
        <f>SUM(OSRRefP22_12x_0)</f>
        <v>100</v>
      </c>
      <c r="Q103" s="1"/>
      <c r="R103" s="5">
        <f t="shared" si="68"/>
        <v>4.1274832641904228E-5</v>
      </c>
      <c r="S103" s="1"/>
      <c r="T103" s="1">
        <f>SUM(OSRRefT22_12x_0)</f>
        <v>1875.75</v>
      </c>
      <c r="U103" s="1"/>
      <c r="V103" s="5">
        <f t="shared" si="69"/>
        <v>8.0094410247937508E-4</v>
      </c>
      <c r="W103" s="1"/>
      <c r="X103" s="1">
        <f t="shared" si="70"/>
        <v>-1775.75</v>
      </c>
      <c r="Y103" s="1"/>
      <c r="Z103" s="5">
        <f t="shared" si="71"/>
        <v>-0.94668799147007865</v>
      </c>
    </row>
    <row r="104" spans="1:26" s="23" customFormat="1" hidden="1" outlineLevel="2" x14ac:dyDescent="0.25">
      <c r="A104" s="27"/>
      <c r="B104" s="10" t="str">
        <f>CONCATENATE("          ", "6376", " - ", "TRAINING")</f>
        <v xml:space="preserve">          6376 - TRAINING</v>
      </c>
      <c r="C104" s="10"/>
      <c r="D104" s="6"/>
      <c r="E104" s="2"/>
      <c r="F104" s="7">
        <f t="shared" si="64"/>
        <v>0</v>
      </c>
      <c r="G104" s="2"/>
      <c r="H104" s="6"/>
      <c r="I104" s="2"/>
      <c r="J104" s="7">
        <f t="shared" si="65"/>
        <v>0</v>
      </c>
      <c r="K104" s="2"/>
      <c r="L104" s="6">
        <f t="shared" si="66"/>
        <v>0</v>
      </c>
      <c r="M104" s="2"/>
      <c r="N104" s="7">
        <f t="shared" si="67"/>
        <v>0</v>
      </c>
      <c r="O104" s="10"/>
      <c r="P104" s="6">
        <v>100</v>
      </c>
      <c r="Q104" s="2"/>
      <c r="R104" s="7">
        <f t="shared" si="68"/>
        <v>4.1274832641904228E-5</v>
      </c>
      <c r="S104" s="2"/>
      <c r="T104" s="6">
        <v>1875.75</v>
      </c>
      <c r="U104" s="2"/>
      <c r="V104" s="7">
        <f t="shared" si="69"/>
        <v>8.0094410247937508E-4</v>
      </c>
      <c r="W104" s="2"/>
      <c r="X104" s="6">
        <f t="shared" si="70"/>
        <v>-1775.75</v>
      </c>
      <c r="Y104" s="2"/>
      <c r="Z104" s="7">
        <f t="shared" si="71"/>
        <v>-0.94668799147007865</v>
      </c>
    </row>
    <row r="105" spans="1:26" s="26" customFormat="1" outlineLevel="1" collapsed="1" x14ac:dyDescent="0.25">
      <c r="A105" s="25"/>
      <c r="B105" s="12" t="str">
        <f>CONCATENATE("     ","Travel                                            ")</f>
        <v xml:space="preserve">     Travel                                            </v>
      </c>
      <c r="C105" s="12"/>
      <c r="D105" s="1">
        <f>SUM(OSRRefD22_13x_0)</f>
        <v>0</v>
      </c>
      <c r="E105" s="1"/>
      <c r="F105" s="5">
        <f t="shared" si="64"/>
        <v>0</v>
      </c>
      <c r="G105" s="1"/>
      <c r="H105" s="1">
        <f>SUM(OSRRefH22_13x_0)</f>
        <v>0</v>
      </c>
      <c r="I105" s="1"/>
      <c r="J105" s="5">
        <f t="shared" si="65"/>
        <v>0</v>
      </c>
      <c r="K105" s="1"/>
      <c r="L105" s="1">
        <f t="shared" si="66"/>
        <v>0</v>
      </c>
      <c r="M105" s="1"/>
      <c r="N105" s="5">
        <f t="shared" si="67"/>
        <v>0</v>
      </c>
      <c r="O105" s="12"/>
      <c r="P105" s="1">
        <f>SUM(OSRRefP22_13x_0)</f>
        <v>0</v>
      </c>
      <c r="Q105" s="1"/>
      <c r="R105" s="5">
        <f t="shared" si="68"/>
        <v>0</v>
      </c>
      <c r="S105" s="1"/>
      <c r="T105" s="1">
        <f>SUM(OSRRefT22_13x_0)</f>
        <v>-178.06</v>
      </c>
      <c r="U105" s="1"/>
      <c r="V105" s="5">
        <f t="shared" si="69"/>
        <v>-7.6031511068893793E-5</v>
      </c>
      <c r="W105" s="1"/>
      <c r="X105" s="1">
        <f t="shared" si="70"/>
        <v>178.06</v>
      </c>
      <c r="Y105" s="1"/>
      <c r="Z105" s="5">
        <f t="shared" si="71"/>
        <v>-1</v>
      </c>
    </row>
    <row r="106" spans="1:26" s="23" customFormat="1" hidden="1" outlineLevel="2" x14ac:dyDescent="0.25">
      <c r="A106" s="27"/>
      <c r="B106" s="10" t="str">
        <f>CONCATENATE("          ", "6292", " - ", "TRAVEL/CONFERENCE")</f>
        <v xml:space="preserve">          6292 - TRAVEL/CONFERENCE</v>
      </c>
      <c r="C106" s="10"/>
      <c r="D106" s="6"/>
      <c r="E106" s="2"/>
      <c r="F106" s="7">
        <f t="shared" si="64"/>
        <v>0</v>
      </c>
      <c r="G106" s="2"/>
      <c r="H106" s="6"/>
      <c r="I106" s="2"/>
      <c r="J106" s="7">
        <f t="shared" si="65"/>
        <v>0</v>
      </c>
      <c r="K106" s="2"/>
      <c r="L106" s="6">
        <f t="shared" si="66"/>
        <v>0</v>
      </c>
      <c r="M106" s="2"/>
      <c r="N106" s="7">
        <f t="shared" si="67"/>
        <v>0</v>
      </c>
      <c r="O106" s="10"/>
      <c r="P106" s="6"/>
      <c r="Q106" s="2"/>
      <c r="R106" s="7">
        <f t="shared" si="68"/>
        <v>0</v>
      </c>
      <c r="S106" s="2"/>
      <c r="T106" s="6">
        <v>-178.06</v>
      </c>
      <c r="U106" s="2"/>
      <c r="V106" s="7">
        <f t="shared" si="69"/>
        <v>-7.6031511068893793E-5</v>
      </c>
      <c r="W106" s="2"/>
      <c r="X106" s="6">
        <f t="shared" si="70"/>
        <v>178.06</v>
      </c>
      <c r="Y106" s="2"/>
      <c r="Z106" s="7">
        <f t="shared" si="71"/>
        <v>-1</v>
      </c>
    </row>
    <row r="107" spans="1:26" s="62" customFormat="1" x14ac:dyDescent="0.25">
      <c r="A107" s="37"/>
      <c r="B107" s="37"/>
      <c r="C107" s="37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7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4" customFormat="1" collapsed="1" x14ac:dyDescent="0.25">
      <c r="A108" s="11"/>
      <c r="B108" s="28" t="s">
        <v>292</v>
      </c>
      <c r="C108" s="11"/>
      <c r="D108" s="4">
        <f>SUM(OSRRefD25x_0)</f>
        <v>-23103.62</v>
      </c>
      <c r="E108" s="4"/>
      <c r="F108" s="13">
        <f t="shared" ref="F108:F112" si="72">IF(D$12=0,0,D108/D$12)</f>
        <v>-5.7296745479424718E-2</v>
      </c>
      <c r="G108" s="4"/>
      <c r="H108" s="4">
        <f>SUM(OSRRefH25x_0)</f>
        <v>513.69000000000005</v>
      </c>
      <c r="I108" s="4"/>
      <c r="J108" s="13">
        <f t="shared" ref="J108:J112" si="73">IF(H$12=0,0,H108/H$12)</f>
        <v>1.6920557932743876E-3</v>
      </c>
      <c r="K108" s="4"/>
      <c r="L108" s="4">
        <f t="shared" ref="L108:L112" si="74">+D108-H108</f>
        <v>-23617.309999999998</v>
      </c>
      <c r="M108" s="4"/>
      <c r="N108" s="13">
        <f t="shared" ref="N108:N112" si="75">IF(H108=0,0,L108/H108)</f>
        <v>-45.975802526815777</v>
      </c>
      <c r="O108" s="11"/>
      <c r="P108" s="4">
        <f>SUM(OSRRefP25x_0)</f>
        <v>3736.26</v>
      </c>
      <c r="Q108" s="4"/>
      <c r="R108" s="13">
        <f t="shared" ref="R108:R112" si="76">IF(P$12=0,0,P108/P$12)</f>
        <v>1.5421350620664109E-3</v>
      </c>
      <c r="S108" s="4"/>
      <c r="T108" s="4">
        <f>SUM(OSRRefT25x_0)</f>
        <v>13657.330000000002</v>
      </c>
      <c r="U108" s="4"/>
      <c r="V108" s="13">
        <f t="shared" ref="V108:V112" si="77">IF(T$12=0,0,T108/T$12)</f>
        <v>5.8316715549058488E-3</v>
      </c>
      <c r="W108" s="4"/>
      <c r="X108" s="4">
        <f t="shared" ref="X108:X112" si="78">+P108-T108</f>
        <v>-9921.0700000000015</v>
      </c>
      <c r="Y108" s="4"/>
      <c r="Z108" s="13">
        <f t="shared" ref="Z108:Z112" si="79">IF(T108=0,0,X108/T108)</f>
        <v>-0.7264282257220116</v>
      </c>
    </row>
    <row r="109" spans="1:26" s="23" customFormat="1" hidden="1" outlineLevel="1" x14ac:dyDescent="0.25">
      <c r="A109" s="44"/>
      <c r="B109" s="10" t="str">
        <f>CONCATENATE("          ", "4187", " - ", "NON-TAXABLE SALES-COMPUTER REP")</f>
        <v xml:space="preserve">          4187 - NON-TAXABLE SALES-COMPUTER REP</v>
      </c>
      <c r="C109" s="10"/>
      <c r="D109" s="2">
        <f>--1700.99</f>
        <v>1700.99</v>
      </c>
      <c r="E109" s="2"/>
      <c r="F109" s="19">
        <f t="shared" si="72"/>
        <v>4.218438110263528E-3</v>
      </c>
      <c r="G109" s="2"/>
      <c r="H109" s="2">
        <f>--603.69</f>
        <v>603.69000000000005</v>
      </c>
      <c r="I109" s="2"/>
      <c r="J109" s="19">
        <f t="shared" si="73"/>
        <v>1.9885089486690712E-3</v>
      </c>
      <c r="K109" s="2"/>
      <c r="L109" s="2">
        <f t="shared" si="74"/>
        <v>1097.3</v>
      </c>
      <c r="M109" s="2"/>
      <c r="N109" s="19">
        <f t="shared" si="75"/>
        <v>1.8176547565803638</v>
      </c>
      <c r="O109" s="10"/>
      <c r="P109" s="2">
        <f>--3315.96</f>
        <v>3315.96</v>
      </c>
      <c r="Q109" s="2"/>
      <c r="R109" s="19">
        <f t="shared" si="76"/>
        <v>1.3686569404724874E-3</v>
      </c>
      <c r="S109" s="2"/>
      <c r="T109" s="2">
        <f>--16183.2</f>
        <v>16183.2</v>
      </c>
      <c r="U109" s="2"/>
      <c r="V109" s="19">
        <f t="shared" si="77"/>
        <v>6.9102164996637204E-3</v>
      </c>
      <c r="W109" s="2"/>
      <c r="X109" s="2">
        <f t="shared" si="78"/>
        <v>-12867.240000000002</v>
      </c>
      <c r="Y109" s="2"/>
      <c r="Z109" s="19">
        <f t="shared" si="79"/>
        <v>-0.79509862079193239</v>
      </c>
    </row>
    <row r="110" spans="1:26" s="23" customFormat="1" hidden="1" outlineLevel="1" x14ac:dyDescent="0.25">
      <c r="A110" s="44"/>
      <c r="B110" s="10" t="str">
        <f>CONCATENATE("          ", "4387", " - ", "SALES RETURN NON TAXABLE-COMPU")</f>
        <v xml:space="preserve">          4387 - SALES RETURN NON TAXABLE-COMPU</v>
      </c>
      <c r="C110" s="10"/>
      <c r="D110" s="2">
        <f t="shared" ref="D110:D111" si="80">0</f>
        <v>0</v>
      </c>
      <c r="E110" s="2"/>
      <c r="F110" s="19">
        <f t="shared" si="72"/>
        <v>0</v>
      </c>
      <c r="G110" s="2"/>
      <c r="H110" s="2">
        <f t="shared" ref="H110:H111" si="81">0</f>
        <v>0</v>
      </c>
      <c r="I110" s="2"/>
      <c r="J110" s="19">
        <f t="shared" si="73"/>
        <v>0</v>
      </c>
      <c r="K110" s="2"/>
      <c r="L110" s="2">
        <f t="shared" si="74"/>
        <v>0</v>
      </c>
      <c r="M110" s="2"/>
      <c r="N110" s="19">
        <f t="shared" si="75"/>
        <v>0</v>
      </c>
      <c r="O110" s="10"/>
      <c r="P110" s="2">
        <f t="shared" ref="P110:P111" si="82">0</f>
        <v>0</v>
      </c>
      <c r="Q110" s="2"/>
      <c r="R110" s="19">
        <f t="shared" si="76"/>
        <v>0</v>
      </c>
      <c r="S110" s="2"/>
      <c r="T110" s="2">
        <f>-7889</f>
        <v>-7889</v>
      </c>
      <c r="U110" s="2"/>
      <c r="V110" s="19">
        <f t="shared" si="77"/>
        <v>-3.3685981737757113E-3</v>
      </c>
      <c r="W110" s="2"/>
      <c r="X110" s="2">
        <f t="shared" si="78"/>
        <v>7889</v>
      </c>
      <c r="Y110" s="2"/>
      <c r="Z110" s="19">
        <f t="shared" si="79"/>
        <v>-1</v>
      </c>
    </row>
    <row r="111" spans="1:26" s="23" customFormat="1" hidden="1" outlineLevel="1" x14ac:dyDescent="0.25">
      <c r="A111" s="44"/>
      <c r="B111" s="10" t="str">
        <f>CONCATENATE("          ", "5087", " - ", "PURCHASES @ COST-COMPUTER REPA")</f>
        <v xml:space="preserve">          5087 - PURCHASES @ COST-COMPUTER REPA</v>
      </c>
      <c r="C111" s="10"/>
      <c r="D111" s="2">
        <f t="shared" si="80"/>
        <v>0</v>
      </c>
      <c r="E111" s="2"/>
      <c r="F111" s="19">
        <f t="shared" si="72"/>
        <v>0</v>
      </c>
      <c r="G111" s="2"/>
      <c r="H111" s="2">
        <f t="shared" si="81"/>
        <v>0</v>
      </c>
      <c r="I111" s="2"/>
      <c r="J111" s="19">
        <f t="shared" si="73"/>
        <v>0</v>
      </c>
      <c r="K111" s="2"/>
      <c r="L111" s="2">
        <f t="shared" si="74"/>
        <v>0</v>
      </c>
      <c r="M111" s="2"/>
      <c r="N111" s="19">
        <f t="shared" si="75"/>
        <v>0</v>
      </c>
      <c r="O111" s="10"/>
      <c r="P111" s="2">
        <f t="shared" si="82"/>
        <v>0</v>
      </c>
      <c r="Q111" s="2"/>
      <c r="R111" s="19">
        <f t="shared" si="76"/>
        <v>0</v>
      </c>
      <c r="S111" s="2"/>
      <c r="T111" s="2">
        <f>-104.76</f>
        <v>-104.76</v>
      </c>
      <c r="U111" s="2"/>
      <c r="V111" s="19">
        <f t="shared" si="77"/>
        <v>-4.4732455911363103E-5</v>
      </c>
      <c r="W111" s="2"/>
      <c r="X111" s="2">
        <f t="shared" si="78"/>
        <v>104.76</v>
      </c>
      <c r="Y111" s="2"/>
      <c r="Z111" s="19">
        <f t="shared" si="79"/>
        <v>-1</v>
      </c>
    </row>
    <row r="112" spans="1:26" s="23" customFormat="1" hidden="1" outlineLevel="1" x14ac:dyDescent="0.25">
      <c r="A112" s="44"/>
      <c r="B112" s="10" t="str">
        <f>CONCATENATE("          ", "9150", " - ", "MISC. INCOME")</f>
        <v xml:space="preserve">          9150 - MISC. INCOME</v>
      </c>
      <c r="C112" s="10"/>
      <c r="D112" s="2">
        <f>-24804.61</f>
        <v>-24804.61</v>
      </c>
      <c r="E112" s="2"/>
      <c r="F112" s="19">
        <f t="shared" si="72"/>
        <v>-6.1515183589688251E-2</v>
      </c>
      <c r="G112" s="2"/>
      <c r="H112" s="2">
        <f>-90</f>
        <v>-90</v>
      </c>
      <c r="I112" s="2"/>
      <c r="J112" s="19">
        <f t="shared" si="73"/>
        <v>-2.964531553946833E-4</v>
      </c>
      <c r="K112" s="2"/>
      <c r="L112" s="2">
        <f t="shared" si="74"/>
        <v>-24714.61</v>
      </c>
      <c r="M112" s="2"/>
      <c r="N112" s="19">
        <f t="shared" si="75"/>
        <v>274.60677777777778</v>
      </c>
      <c r="O112" s="10"/>
      <c r="P112" s="2">
        <f>--420.3</f>
        <v>420.3</v>
      </c>
      <c r="Q112" s="2"/>
      <c r="R112" s="19">
        <f t="shared" si="76"/>
        <v>1.7347812159392346E-4</v>
      </c>
      <c r="S112" s="2"/>
      <c r="T112" s="2">
        <f>--5467.89</f>
        <v>5467.89</v>
      </c>
      <c r="U112" s="2"/>
      <c r="V112" s="19">
        <f t="shared" si="77"/>
        <v>2.3347856849292021E-3</v>
      </c>
      <c r="W112" s="2"/>
      <c r="X112" s="2">
        <f t="shared" si="78"/>
        <v>-5047.59</v>
      </c>
      <c r="Y112" s="2"/>
      <c r="Z112" s="19">
        <f t="shared" si="79"/>
        <v>-0.92313305498098897</v>
      </c>
    </row>
    <row r="113" spans="1:26" x14ac:dyDescent="0.25">
      <c r="A113" s="9"/>
      <c r="B113" s="11"/>
      <c r="C113" s="11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1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4" customFormat="1" x14ac:dyDescent="0.25">
      <c r="A114" s="11"/>
      <c r="B114" s="29" t="s">
        <v>276</v>
      </c>
      <c r="C114" s="29"/>
      <c r="D114" s="20">
        <f>+D57-D59+D108</f>
        <v>-2926.309999999994</v>
      </c>
      <c r="E114" s="14"/>
      <c r="F114" s="22">
        <f>IF(D$12=0,0,D114/D$12)</f>
        <v>-7.2572193995527551E-3</v>
      </c>
      <c r="G114" s="14"/>
      <c r="H114" s="20">
        <f>+H57-H59+H108</f>
        <v>25046.259999999951</v>
      </c>
      <c r="I114" s="14"/>
      <c r="J114" s="22">
        <f>IF(H$12=0,0,H114/H$12)</f>
        <v>8.2500475642618074E-2</v>
      </c>
      <c r="K114" s="16"/>
      <c r="L114" s="20">
        <f>+D114-H114</f>
        <v>-27972.569999999945</v>
      </c>
      <c r="M114" s="16"/>
      <c r="N114" s="22">
        <f>IF(H114=0,0,L114/H114)</f>
        <v>-1.1168362062838924</v>
      </c>
      <c r="O114" s="28"/>
      <c r="P114" s="20">
        <f>+P57-P59+P108</f>
        <v>54889.539999999593</v>
      </c>
      <c r="Q114" s="14"/>
      <c r="R114" s="22">
        <f>IF(P$12=0,0,P114/P$12)</f>
        <v>2.2655565772910908E-2</v>
      </c>
      <c r="S114" s="14"/>
      <c r="T114" s="20">
        <f>+T57-T59+T108</f>
        <v>125283.65999999926</v>
      </c>
      <c r="U114" s="14"/>
      <c r="V114" s="22">
        <f>IF(T$12=0,0,T114/T$12)</f>
        <v>5.3496046175679379E-2</v>
      </c>
      <c r="W114" s="16"/>
      <c r="X114" s="20">
        <f>+P114-T114</f>
        <v>-70394.119999999675</v>
      </c>
      <c r="Y114" s="16"/>
      <c r="Z114" s="22">
        <f>IF(T114=0,0,X114/T114)</f>
        <v>-0.56187790171519647</v>
      </c>
    </row>
    <row r="115" spans="1:26" x14ac:dyDescent="0.25">
      <c r="A115" s="9"/>
      <c r="B115" s="11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4" customFormat="1" x14ac:dyDescent="0.25">
      <c r="A116" s="51"/>
      <c r="B116" s="11" t="s">
        <v>127</v>
      </c>
      <c r="C116" s="11"/>
      <c r="D116" s="4">
        <v>90642.79</v>
      </c>
      <c r="E116" s="4"/>
      <c r="F116" s="13">
        <f>IF(D$12=0,0,D116/D$12)</f>
        <v>0.22479320851775367</v>
      </c>
      <c r="G116" s="4"/>
      <c r="H116" s="4">
        <v>47496.2</v>
      </c>
      <c r="I116" s="4"/>
      <c r="J116" s="13">
        <f>IF(H$12=0,0,H116/H$12)</f>
        <v>0.15644887065841065</v>
      </c>
      <c r="K116" s="4"/>
      <c r="L116" s="4">
        <f>+D116-H116</f>
        <v>43146.59</v>
      </c>
      <c r="M116" s="4"/>
      <c r="N116" s="13">
        <f>IF(H116=0,0,L116/H116)</f>
        <v>0.90842193691284778</v>
      </c>
      <c r="O116" s="11"/>
      <c r="P116" s="4">
        <v>506856.23</v>
      </c>
      <c r="Q116" s="4"/>
      <c r="R116" s="13">
        <f>IF(P$12=0,0,P116/P$12)</f>
        <v>0.20920406066756514</v>
      </c>
      <c r="S116" s="4"/>
      <c r="T116" s="4">
        <v>265908.68</v>
      </c>
      <c r="U116" s="4"/>
      <c r="V116" s="13">
        <f>IF(T$12=0,0,T116/T$12)</f>
        <v>0.11354284368603244</v>
      </c>
      <c r="W116" s="4"/>
      <c r="X116" s="4">
        <f>+P116-T116</f>
        <v>240947.55</v>
      </c>
      <c r="Y116" s="4"/>
      <c r="Z116" s="13">
        <f>IF(T116=0,0,X116/T116)</f>
        <v>0.90612893870181299</v>
      </c>
    </row>
    <row r="117" spans="1:26" x14ac:dyDescent="0.25">
      <c r="A117" s="9"/>
      <c r="B117" s="11"/>
      <c r="C117" s="11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1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4" customFormat="1" ht="15.75" thickBot="1" x14ac:dyDescent="0.3">
      <c r="A118" s="11"/>
      <c r="B118" s="29" t="s">
        <v>125</v>
      </c>
      <c r="C118" s="29"/>
      <c r="D118" s="30">
        <f>+D114-D116</f>
        <v>-93569.099999999991</v>
      </c>
      <c r="E118" s="14"/>
      <c r="F118" s="34">
        <f>IF(D$12=0,0,D118/D$12)</f>
        <v>-0.23205042791730643</v>
      </c>
      <c r="G118" s="14"/>
      <c r="H118" s="30">
        <f>+H114-H116</f>
        <v>-22449.940000000046</v>
      </c>
      <c r="I118" s="14"/>
      <c r="J118" s="34">
        <f>IF(H$12=0,0,H118/H$12)</f>
        <v>-7.3948395015792562E-2</v>
      </c>
      <c r="K118" s="16"/>
      <c r="L118" s="30">
        <f>D118-H118</f>
        <v>-71119.159999999945</v>
      </c>
      <c r="M118" s="16"/>
      <c r="N118" s="34">
        <f>IF(H118=0,0,L118/H118)</f>
        <v>3.1678997805784692</v>
      </c>
      <c r="O118" s="28"/>
      <c r="P118" s="30">
        <f>+P114-P116</f>
        <v>-451966.69000000041</v>
      </c>
      <c r="Q118" s="14"/>
      <c r="R118" s="34">
        <f>IF(P$12=0,0,P118/P$12)</f>
        <v>-0.18654849489465425</v>
      </c>
      <c r="S118" s="14"/>
      <c r="T118" s="30">
        <f>+T114-T116</f>
        <v>-140625.02000000072</v>
      </c>
      <c r="U118" s="14"/>
      <c r="V118" s="34">
        <f>IF(T$12=0,0,T118/T$12)</f>
        <v>-6.0046797510353057E-2</v>
      </c>
      <c r="W118" s="16"/>
      <c r="X118" s="30">
        <f>P118-T118</f>
        <v>-311341.66999999969</v>
      </c>
      <c r="Y118" s="16"/>
      <c r="Z118" s="34">
        <f>IF(T118=0,0,X118/T118)</f>
        <v>2.2139848940110238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4" customFormat="1" ht="15.75" thickBot="1" x14ac:dyDescent="0.3">
      <c r="A121" s="11"/>
      <c r="B121" s="29" t="s">
        <v>293</v>
      </c>
      <c r="C121" s="29"/>
      <c r="D121" s="32">
        <f>SUM(D118:D120)</f>
        <v>-93569.099999999991</v>
      </c>
      <c r="E121" s="14"/>
      <c r="F121" s="35">
        <f>IF(D$12=0,0,D121/D$12)</f>
        <v>-0.23205042791730643</v>
      </c>
      <c r="G121" s="14"/>
      <c r="H121" s="32">
        <f>SUM(H118:H120)</f>
        <v>-22449.940000000046</v>
      </c>
      <c r="I121" s="14"/>
      <c r="J121" s="35">
        <f>IF(H$12=0,0,H121/H$12)</f>
        <v>-7.3948395015792562E-2</v>
      </c>
      <c r="K121" s="16"/>
      <c r="L121" s="32">
        <f>+D121-H121</f>
        <v>-71119.159999999945</v>
      </c>
      <c r="M121" s="16"/>
      <c r="N121" s="35">
        <f>IF(H121=0,0,L121/H121)</f>
        <v>3.1678997805784692</v>
      </c>
      <c r="O121" s="28"/>
      <c r="P121" s="32">
        <f>SUM(P118:P120)</f>
        <v>-451966.69000000041</v>
      </c>
      <c r="Q121" s="14"/>
      <c r="R121" s="35">
        <f>IF(P$12=0,0,P121/P$12)</f>
        <v>-0.18654849489465425</v>
      </c>
      <c r="S121" s="14"/>
      <c r="T121" s="32">
        <f>SUM(T118:T120)</f>
        <v>-140625.02000000072</v>
      </c>
      <c r="U121" s="14"/>
      <c r="V121" s="35">
        <f>IF(T$12=0,0,T121/T$12)</f>
        <v>-6.0046797510353057E-2</v>
      </c>
      <c r="W121" s="16"/>
      <c r="X121" s="32">
        <f>+P121-T121</f>
        <v>-311341.66999999969</v>
      </c>
      <c r="Y121" s="16"/>
      <c r="Z121" s="35">
        <f>IF(T121=0,0,X121/T121)</f>
        <v>2.2139848940110238</v>
      </c>
    </row>
    <row r="122" spans="1:26" ht="15.75" thickTop="1" x14ac:dyDescent="0.25">
      <c r="A122" s="9"/>
      <c r="C122" s="9"/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  <row r="123" spans="1:26" x14ac:dyDescent="0.25">
      <c r="A123" s="9"/>
      <c r="B123" s="59">
        <v>44330.00886898148</v>
      </c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25">
      <c r="A124" s="9"/>
      <c r="B124" s="52" t="s">
        <v>56</v>
      </c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  <row r="125" spans="1:26" x14ac:dyDescent="0.25">
      <c r="A125" s="9"/>
      <c r="B125" s="55"/>
      <c r="D125" s="17"/>
      <c r="E125" s="17"/>
      <c r="G125" s="17"/>
      <c r="H125" s="17"/>
      <c r="I125" s="17"/>
      <c r="J125" s="42"/>
      <c r="K125" s="17"/>
      <c r="L125" s="17"/>
      <c r="M125" s="17"/>
      <c r="P125" s="17"/>
      <c r="Q125" s="17"/>
      <c r="R125" s="42"/>
      <c r="S125" s="17"/>
      <c r="T125" s="17"/>
      <c r="U125" s="17"/>
      <c r="V125" s="42"/>
      <c r="W125" s="17"/>
      <c r="X125" s="17"/>
    </row>
    <row r="126" spans="1:26" x14ac:dyDescent="0.25"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198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51.9</v>
      </c>
      <c r="E12" s="4"/>
      <c r="F12" s="13"/>
      <c r="G12" s="4"/>
      <c r="H12" s="4">
        <f>SUM(OSRRefH13x_0)</f>
        <v>45.309999999999995</v>
      </c>
      <c r="I12" s="4"/>
      <c r="J12" s="13"/>
      <c r="K12" s="4"/>
      <c r="L12" s="4">
        <f t="shared" ref="L12:L21" si="0">+D12-H12</f>
        <v>6.5900000000000034</v>
      </c>
      <c r="M12" s="4"/>
      <c r="N12" s="13">
        <f t="shared" ref="N12:N21" si="1">IF(H12=0,0,L12/H12)</f>
        <v>0.14544250717280963</v>
      </c>
      <c r="O12" s="11"/>
      <c r="P12" s="4">
        <f>SUM(OSRRefP13x_0)</f>
        <v>2872.92</v>
      </c>
      <c r="Q12" s="4"/>
      <c r="R12" s="13"/>
      <c r="S12" s="4"/>
      <c r="T12" s="4">
        <f>SUM(OSRRefT13x_0)</f>
        <v>2364580.8899999997</v>
      </c>
      <c r="U12" s="4"/>
      <c r="V12" s="13"/>
      <c r="W12" s="4"/>
      <c r="X12" s="4">
        <f t="shared" ref="X12:X21" si="2">+P12-T12</f>
        <v>-2361707.9699999997</v>
      </c>
      <c r="Y12" s="4"/>
      <c r="Z12" s="13">
        <f t="shared" ref="Z12:Z21" si="3">IF(T12=0,0,X12/T12)</f>
        <v>-0.99878501936129582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20" si="4">0</f>
        <v>0</v>
      </c>
      <c r="E13" s="2"/>
      <c r="F13" s="19"/>
      <c r="G13" s="2"/>
      <c r="H13" s="2">
        <f>--1.35</f>
        <v>1.35</v>
      </c>
      <c r="I13" s="2"/>
      <c r="J13" s="19"/>
      <c r="K13" s="2"/>
      <c r="L13" s="2">
        <f t="shared" si="0"/>
        <v>-1.35</v>
      </c>
      <c r="M13" s="2"/>
      <c r="N13" s="19">
        <f t="shared" si="1"/>
        <v>-1</v>
      </c>
      <c r="O13" s="10"/>
      <c r="P13" s="2">
        <f>--444.59</f>
        <v>444.59</v>
      </c>
      <c r="Q13" s="2"/>
      <c r="R13" s="19"/>
      <c r="S13" s="2"/>
      <c r="T13" s="2">
        <f>--275749.46</f>
        <v>275749.46000000002</v>
      </c>
      <c r="U13" s="2"/>
      <c r="V13" s="19"/>
      <c r="W13" s="2"/>
      <c r="X13" s="2">
        <f t="shared" si="2"/>
        <v>-275304.87</v>
      </c>
      <c r="Y13" s="2"/>
      <c r="Z13" s="19">
        <f t="shared" si="3"/>
        <v>-0.99838770309831237</v>
      </c>
    </row>
    <row r="14" spans="1:26" s="23" customFormat="1" hidden="1" outlineLevel="1" x14ac:dyDescent="0.25">
      <c r="A14" s="44"/>
      <c r="B14" s="10" t="str">
        <f>CONCATENATE("          ", "4034", " - ", "TAXABLE SALES-SODA")</f>
        <v xml:space="preserve">          4034 - TAXABLE SALES-SODA</v>
      </c>
      <c r="C14" s="10"/>
      <c r="D14" s="2">
        <f t="shared" si="4"/>
        <v>0</v>
      </c>
      <c r="E14" s="2"/>
      <c r="F14" s="19"/>
      <c r="G14" s="2"/>
      <c r="H14" s="2">
        <f>--3.4</f>
        <v>3.4</v>
      </c>
      <c r="I14" s="2"/>
      <c r="J14" s="19"/>
      <c r="K14" s="2"/>
      <c r="L14" s="2">
        <f t="shared" si="0"/>
        <v>-3.4</v>
      </c>
      <c r="M14" s="2"/>
      <c r="N14" s="19">
        <f t="shared" si="1"/>
        <v>-1</v>
      </c>
      <c r="O14" s="10"/>
      <c r="P14" s="2">
        <f t="shared" ref="P14:P15" si="5">0</f>
        <v>0</v>
      </c>
      <c r="Q14" s="2"/>
      <c r="R14" s="19"/>
      <c r="S14" s="2"/>
      <c r="T14" s="2">
        <f>--3121.95</f>
        <v>3121.95</v>
      </c>
      <c r="U14" s="2"/>
      <c r="V14" s="19"/>
      <c r="W14" s="2"/>
      <c r="X14" s="2">
        <f t="shared" si="2"/>
        <v>-3121.95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"4051", " - ", "TAXABLE SALES-FOOD")</f>
        <v xml:space="preserve">          4051 - TAXABLE SALES-FOOD</v>
      </c>
      <c r="C15" s="10"/>
      <c r="D15" s="2">
        <f t="shared" si="4"/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5"/>
        <v>0</v>
      </c>
      <c r="Q15" s="2"/>
      <c r="R15" s="19"/>
      <c r="S15" s="2"/>
      <c r="T15" s="2">
        <f>--149404.53</f>
        <v>149404.53</v>
      </c>
      <c r="U15" s="2"/>
      <c r="V15" s="19"/>
      <c r="W15" s="2"/>
      <c r="X15" s="2">
        <f t="shared" si="2"/>
        <v>-149404.53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"4132", " - ", "NON-TAXABLE SALES-JUICE")</f>
        <v xml:space="preserve">          4132 - NON-TAXABLE SALES-JUICE</v>
      </c>
      <c r="C16" s="10"/>
      <c r="D16" s="2">
        <f t="shared" si="4"/>
        <v>0</v>
      </c>
      <c r="E16" s="2"/>
      <c r="F16" s="19"/>
      <c r="G16" s="2"/>
      <c r="H16" s="2">
        <f>--0.05</f>
        <v>0.05</v>
      </c>
      <c r="I16" s="2"/>
      <c r="J16" s="19"/>
      <c r="K16" s="2"/>
      <c r="L16" s="2">
        <f t="shared" si="0"/>
        <v>-0.05</v>
      </c>
      <c r="M16" s="2"/>
      <c r="N16" s="19">
        <f t="shared" si="1"/>
        <v>-1</v>
      </c>
      <c r="O16" s="10"/>
      <c r="P16" s="2">
        <f>--2031.88</f>
        <v>2031.88</v>
      </c>
      <c r="Q16" s="2"/>
      <c r="R16" s="19"/>
      <c r="S16" s="2"/>
      <c r="T16" s="2">
        <f>--1093778.15</f>
        <v>1093778.1499999999</v>
      </c>
      <c r="U16" s="2"/>
      <c r="V16" s="19"/>
      <c r="W16" s="2"/>
      <c r="X16" s="2">
        <f t="shared" si="2"/>
        <v>-1091746.27</v>
      </c>
      <c r="Y16" s="2"/>
      <c r="Z16" s="19">
        <f t="shared" si="3"/>
        <v>-0.99814232895400234</v>
      </c>
    </row>
    <row r="17" spans="1:26" s="23" customFormat="1" hidden="1" outlineLevel="1" x14ac:dyDescent="0.25">
      <c r="A17" s="44"/>
      <c r="B17" s="10" t="str">
        <f>CONCATENATE("          ", "4133", " - ", "NON-TAXABLE SALES-CANDY")</f>
        <v xml:space="preserve">          4133 - NON-TAXABLE SALES-CANDY</v>
      </c>
      <c r="C17" s="10"/>
      <c r="D17" s="2">
        <f t="shared" si="4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ref="P17:P20" si="6">0</f>
        <v>0</v>
      </c>
      <c r="Q17" s="2"/>
      <c r="R17" s="19"/>
      <c r="S17" s="2"/>
      <c r="T17" s="2">
        <f>--1.59</f>
        <v>1.59</v>
      </c>
      <c r="U17" s="2"/>
      <c r="V17" s="19"/>
      <c r="W17" s="2"/>
      <c r="X17" s="2">
        <f t="shared" si="2"/>
        <v>-1.59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"4134", " - ", "NON-TAXABLE SALES-SODA")</f>
        <v xml:space="preserve">          4134 - NON-TAXABLE SALES-SODA</v>
      </c>
      <c r="C18" s="10"/>
      <c r="D18" s="2">
        <f t="shared" si="4"/>
        <v>0</v>
      </c>
      <c r="E18" s="2"/>
      <c r="F18" s="19"/>
      <c r="G18" s="2"/>
      <c r="H18" s="2">
        <f>--35.86</f>
        <v>35.86</v>
      </c>
      <c r="I18" s="2"/>
      <c r="J18" s="19"/>
      <c r="K18" s="2"/>
      <c r="L18" s="2">
        <f t="shared" si="0"/>
        <v>-35.86</v>
      </c>
      <c r="M18" s="2"/>
      <c r="N18" s="19">
        <f t="shared" si="1"/>
        <v>-1</v>
      </c>
      <c r="O18" s="10"/>
      <c r="P18" s="2">
        <f t="shared" si="6"/>
        <v>0</v>
      </c>
      <c r="Q18" s="2"/>
      <c r="R18" s="19"/>
      <c r="S18" s="2"/>
      <c r="T18" s="2">
        <f>--71.2</f>
        <v>71.2</v>
      </c>
      <c r="U18" s="2"/>
      <c r="V18" s="19"/>
      <c r="W18" s="2"/>
      <c r="X18" s="2">
        <f t="shared" si="2"/>
        <v>-71.2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"4137", " - ", "NON-TAXABLE SALES-WATER")</f>
        <v xml:space="preserve">          4137 - NON-TAXABLE SALES-WATER</v>
      </c>
      <c r="C19" s="10"/>
      <c r="D19" s="2">
        <f t="shared" si="4"/>
        <v>0</v>
      </c>
      <c r="E19" s="2"/>
      <c r="F19" s="19"/>
      <c r="G19" s="2"/>
      <c r="H19" s="2">
        <f>--4.65</f>
        <v>4.6500000000000004</v>
      </c>
      <c r="I19" s="2"/>
      <c r="J19" s="19"/>
      <c r="K19" s="2"/>
      <c r="L19" s="2">
        <f t="shared" si="0"/>
        <v>-4.6500000000000004</v>
      </c>
      <c r="M19" s="2"/>
      <c r="N19" s="19">
        <f t="shared" si="1"/>
        <v>-1</v>
      </c>
      <c r="O19" s="10"/>
      <c r="P19" s="2">
        <f t="shared" si="6"/>
        <v>0</v>
      </c>
      <c r="Q19" s="2"/>
      <c r="R19" s="19"/>
      <c r="S19" s="2"/>
      <c r="T19" s="2">
        <f>--1573.44</f>
        <v>1573.44</v>
      </c>
      <c r="U19" s="2"/>
      <c r="V19" s="19"/>
      <c r="W19" s="2"/>
      <c r="X19" s="2">
        <f t="shared" si="2"/>
        <v>-1573.44</v>
      </c>
      <c r="Y19" s="2"/>
      <c r="Z19" s="19">
        <f t="shared" si="3"/>
        <v>-1</v>
      </c>
    </row>
    <row r="20" spans="1:26" s="23" customFormat="1" hidden="1" outlineLevel="1" x14ac:dyDescent="0.25">
      <c r="A20" s="44"/>
      <c r="B20" s="10" t="str">
        <f>CONCATENATE("          ", "4151", " - ", "NON-TAXABLE SALES-FOOD")</f>
        <v xml:space="preserve">          4151 - NON-TAXABLE SALES-FOOD</v>
      </c>
      <c r="C20" s="10"/>
      <c r="D20" s="2">
        <f t="shared" si="4"/>
        <v>0</v>
      </c>
      <c r="E20" s="2"/>
      <c r="F20" s="19"/>
      <c r="G20" s="2"/>
      <c r="H20" s="2">
        <f t="shared" ref="H20:H21" si="7"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0"/>
      <c r="P20" s="2">
        <f t="shared" si="6"/>
        <v>0</v>
      </c>
      <c r="Q20" s="2"/>
      <c r="R20" s="19"/>
      <c r="S20" s="2"/>
      <c r="T20" s="2">
        <f>--828068.07</f>
        <v>828068.07</v>
      </c>
      <c r="U20" s="2"/>
      <c r="V20" s="19"/>
      <c r="W20" s="2"/>
      <c r="X20" s="2">
        <f t="shared" si="2"/>
        <v>-828068.07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"4153", " - ", "NON-TAXABLE SALES-FOOD")</f>
        <v xml:space="preserve">          4153 - NON-TAXABLE SALES-FOOD</v>
      </c>
      <c r="C21" s="10"/>
      <c r="D21" s="2">
        <f>--51.9</f>
        <v>51.9</v>
      </c>
      <c r="E21" s="2"/>
      <c r="F21" s="19"/>
      <c r="G21" s="2"/>
      <c r="H21" s="2">
        <f t="shared" si="7"/>
        <v>0</v>
      </c>
      <c r="I21" s="2"/>
      <c r="J21" s="19"/>
      <c r="K21" s="2"/>
      <c r="L21" s="2">
        <f t="shared" si="0"/>
        <v>51.9</v>
      </c>
      <c r="M21" s="2"/>
      <c r="N21" s="19">
        <f t="shared" si="1"/>
        <v>0</v>
      </c>
      <c r="O21" s="10"/>
      <c r="P21" s="2">
        <f>--396.45</f>
        <v>396.45</v>
      </c>
      <c r="Q21" s="2"/>
      <c r="R21" s="19"/>
      <c r="S21" s="2"/>
      <c r="T21" s="2">
        <f>--12812.5</f>
        <v>12812.5</v>
      </c>
      <c r="U21" s="2"/>
      <c r="V21" s="19"/>
      <c r="W21" s="2"/>
      <c r="X21" s="2">
        <f t="shared" si="2"/>
        <v>-12416.05</v>
      </c>
      <c r="Y21" s="2"/>
      <c r="Z21" s="19">
        <f t="shared" si="3"/>
        <v>-0.96905756097560969</v>
      </c>
    </row>
    <row r="22" spans="1:26" x14ac:dyDescent="0.25">
      <c r="A22" s="9"/>
      <c r="B22" s="11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4" customFormat="1" collapsed="1" x14ac:dyDescent="0.25">
      <c r="A23" s="11"/>
      <c r="B23" s="28" t="s">
        <v>256</v>
      </c>
      <c r="C23" s="11"/>
      <c r="D23" s="4">
        <f>SUM(OSRRefD16x_0)</f>
        <v>200.48000000000002</v>
      </c>
      <c r="E23" s="4"/>
      <c r="F23" s="13">
        <f t="shared" ref="F23:F25" si="8">IF(D$12=0,0,D23/D$12)</f>
        <v>3.8628131021194609</v>
      </c>
      <c r="G23" s="4"/>
      <c r="H23" s="4">
        <f>SUM(OSRRefH16x_0)</f>
        <v>103825.58</v>
      </c>
      <c r="I23" s="4"/>
      <c r="J23" s="13">
        <f t="shared" ref="J23:J25" si="9">IF(H$12=0,0,H23/H$12)</f>
        <v>2291.4495696314284</v>
      </c>
      <c r="K23" s="4"/>
      <c r="L23" s="4">
        <f t="shared" ref="L23:L25" si="10">+D23-H23</f>
        <v>-103625.1</v>
      </c>
      <c r="M23" s="4"/>
      <c r="N23" s="13">
        <f t="shared" ref="N23:N25" si="11">IF(H23=0,0,L23/H23)</f>
        <v>-0.99806906929872197</v>
      </c>
      <c r="O23" s="11"/>
      <c r="P23" s="4">
        <f>SUM(OSRRefP16x_0)</f>
        <v>28419.84</v>
      </c>
      <c r="Q23" s="4"/>
      <c r="R23" s="13">
        <f t="shared" ref="R23:R25" si="12">IF(P$12=0,0,P23/P$12)</f>
        <v>9.8923186165991392</v>
      </c>
      <c r="S23" s="4"/>
      <c r="T23" s="4">
        <f>SUM(OSRRefT16x_0)</f>
        <v>1234087.22</v>
      </c>
      <c r="U23" s="4"/>
      <c r="V23" s="13">
        <f t="shared" ref="V23:V25" si="13">IF(T$12=0,0,T23/T$12)</f>
        <v>0.52190526668766246</v>
      </c>
      <c r="W23" s="4"/>
      <c r="X23" s="4">
        <f t="shared" ref="X23:X25" si="14">+P23-T23</f>
        <v>-1205667.3799999999</v>
      </c>
      <c r="Y23" s="4"/>
      <c r="Z23" s="13">
        <f t="shared" ref="Z23:Z25" si="15">IF(T23=0,0,X23/T23)</f>
        <v>-0.97697096320307075</v>
      </c>
    </row>
    <row r="24" spans="1:26" s="23" customFormat="1" hidden="1" outlineLevel="1" x14ac:dyDescent="0.25">
      <c r="A24" s="44"/>
      <c r="B24" s="10" t="str">
        <f>CONCATENATE("          ", "5053", " - ", "PURCHASES @ COST-FOOD")</f>
        <v xml:space="preserve">          5053 - PURCHASES @ COST-FOOD</v>
      </c>
      <c r="C24" s="10"/>
      <c r="D24" s="2">
        <v>176.4</v>
      </c>
      <c r="E24" s="2"/>
      <c r="F24" s="19">
        <f t="shared" si="8"/>
        <v>3.3988439306358385</v>
      </c>
      <c r="G24" s="2"/>
      <c r="H24" s="2">
        <v>-1745.37</v>
      </c>
      <c r="I24" s="2"/>
      <c r="J24" s="19">
        <f t="shared" si="9"/>
        <v>-38.520635621275659</v>
      </c>
      <c r="K24" s="2"/>
      <c r="L24" s="2">
        <f t="shared" si="10"/>
        <v>1921.77</v>
      </c>
      <c r="M24" s="2"/>
      <c r="N24" s="19">
        <f t="shared" si="11"/>
        <v>-1.1010673954519672</v>
      </c>
      <c r="O24" s="10"/>
      <c r="P24" s="2">
        <v>-2470.15</v>
      </c>
      <c r="Q24" s="2"/>
      <c r="R24" s="19">
        <f t="shared" si="12"/>
        <v>-0.85980465867479783</v>
      </c>
      <c r="S24" s="2"/>
      <c r="T24" s="2">
        <v>1160260.42</v>
      </c>
      <c r="U24" s="2"/>
      <c r="V24" s="19">
        <f t="shared" si="13"/>
        <v>0.49068332781797963</v>
      </c>
      <c r="W24" s="2"/>
      <c r="X24" s="2">
        <f t="shared" si="14"/>
        <v>-1162730.5699999998</v>
      </c>
      <c r="Y24" s="2"/>
      <c r="Z24" s="19">
        <f t="shared" si="15"/>
        <v>-1.00212896170327</v>
      </c>
    </row>
    <row r="25" spans="1:26" s="23" customFormat="1" hidden="1" outlineLevel="1" x14ac:dyDescent="0.25">
      <c r="A25" s="44"/>
      <c r="B25" s="10" t="str">
        <f>CONCATENATE("          ", "5059", " - ", "PURCHASES @ COST-FOOD")</f>
        <v xml:space="preserve">          5059 - PURCHASES @ COST-FOOD</v>
      </c>
      <c r="C25" s="10"/>
      <c r="D25" s="2">
        <v>24.08</v>
      </c>
      <c r="E25" s="2"/>
      <c r="F25" s="19">
        <f t="shared" si="8"/>
        <v>0.46396917148362232</v>
      </c>
      <c r="G25" s="2"/>
      <c r="H25" s="2">
        <v>105570.95</v>
      </c>
      <c r="I25" s="2"/>
      <c r="J25" s="19">
        <f t="shared" si="9"/>
        <v>2329.9702052527036</v>
      </c>
      <c r="K25" s="2"/>
      <c r="L25" s="2">
        <f t="shared" si="10"/>
        <v>-105546.87</v>
      </c>
      <c r="M25" s="2"/>
      <c r="N25" s="19">
        <f t="shared" si="11"/>
        <v>-0.99977190694978113</v>
      </c>
      <c r="O25" s="10"/>
      <c r="P25" s="2">
        <v>30889.99</v>
      </c>
      <c r="Q25" s="2"/>
      <c r="R25" s="19">
        <f t="shared" si="12"/>
        <v>10.752123275273938</v>
      </c>
      <c r="S25" s="2"/>
      <c r="T25" s="2">
        <v>73826.8</v>
      </c>
      <c r="U25" s="2"/>
      <c r="V25" s="19">
        <f t="shared" si="13"/>
        <v>3.1221938869682744E-2</v>
      </c>
      <c r="W25" s="2"/>
      <c r="X25" s="2">
        <f t="shared" si="14"/>
        <v>-42936.81</v>
      </c>
      <c r="Y25" s="2"/>
      <c r="Z25" s="19">
        <f t="shared" si="15"/>
        <v>-0.58158839337476353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107</v>
      </c>
      <c r="C27" s="29"/>
      <c r="D27" s="20">
        <f>D12-D23</f>
        <v>-148.58000000000001</v>
      </c>
      <c r="E27" s="14"/>
      <c r="F27" s="22">
        <f>IF(D$12=0,0,D27/D$12)</f>
        <v>-2.8628131021194609</v>
      </c>
      <c r="G27" s="14"/>
      <c r="H27" s="20">
        <f>H12-H23</f>
        <v>-103780.27</v>
      </c>
      <c r="I27" s="14"/>
      <c r="J27" s="22">
        <f>IF(H$12=0,0,H27/H$12)</f>
        <v>-2290.4495696314284</v>
      </c>
      <c r="K27" s="16"/>
      <c r="L27" s="20">
        <f>+D27-H27</f>
        <v>103631.69</v>
      </c>
      <c r="M27" s="16"/>
      <c r="N27" s="22">
        <f>IF(H27=0,0,L27/H27)</f>
        <v>-0.99856832131964968</v>
      </c>
      <c r="O27" s="28"/>
      <c r="P27" s="20">
        <f>P12-P23</f>
        <v>-25546.92</v>
      </c>
      <c r="Q27" s="14"/>
      <c r="R27" s="22">
        <f>IF(P$12=0,0,P27/P$12)</f>
        <v>-8.8923186165991392</v>
      </c>
      <c r="S27" s="14"/>
      <c r="T27" s="20">
        <f>T12-T23</f>
        <v>1130493.6699999997</v>
      </c>
      <c r="U27" s="14"/>
      <c r="V27" s="22">
        <f>IF(T$12=0,0,T27/T$12)</f>
        <v>0.47809473331233759</v>
      </c>
      <c r="W27" s="16"/>
      <c r="X27" s="20">
        <f>+P27-T27</f>
        <v>-1156040.5899999996</v>
      </c>
      <c r="Y27" s="16"/>
      <c r="Z27" s="22">
        <f>IF(T27=0,0,X27/T27)</f>
        <v>-1.0225980212697696</v>
      </c>
    </row>
    <row r="28" spans="1:26" x14ac:dyDescent="0.25">
      <c r="A28" s="9"/>
      <c r="B28" s="11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4" customFormat="1" x14ac:dyDescent="0.25">
      <c r="A29" s="11"/>
      <c r="B29" s="28" t="s">
        <v>294</v>
      </c>
      <c r="C29" s="11"/>
      <c r="D29" s="21">
        <f>SUM(OSRRefD22x_0)</f>
        <v>15574.200000000003</v>
      </c>
      <c r="E29" s="21"/>
      <c r="F29" s="31">
        <f t="shared" ref="F29:F38" si="16">IF(D$12=0,0,D29/D$12)</f>
        <v>300.08092485549139</v>
      </c>
      <c r="G29" s="21"/>
      <c r="H29" s="21">
        <f>SUM(OSRRefH22x_0)</f>
        <v>34561.15</v>
      </c>
      <c r="I29" s="21"/>
      <c r="J29" s="31">
        <f t="shared" ref="J29:J38" si="17">IF(H$12=0,0,H29/H$12)</f>
        <v>762.77091149856551</v>
      </c>
      <c r="K29" s="4"/>
      <c r="L29" s="21">
        <f t="shared" ref="L29:L38" si="18">+D29-H29</f>
        <v>-18986.949999999997</v>
      </c>
      <c r="M29" s="4"/>
      <c r="N29" s="31">
        <f t="shared" ref="N29:N38" si="19">IF(H29=0,0,L29/H29)</f>
        <v>-0.54937263372312539</v>
      </c>
      <c r="O29" s="11"/>
      <c r="P29" s="21">
        <f>SUM(OSRRefP22x_0)</f>
        <v>233105.09999999998</v>
      </c>
      <c r="Q29" s="21"/>
      <c r="R29" s="31">
        <f t="shared" ref="R29:R38" si="20">IF(P$12=0,0,P29/P$12)</f>
        <v>81.13873689486654</v>
      </c>
      <c r="S29" s="21"/>
      <c r="T29" s="21">
        <f>SUM(OSRRefT22x_0)</f>
        <v>996208.81999999983</v>
      </c>
      <c r="U29" s="21"/>
      <c r="V29" s="31">
        <f t="shared" ref="V29:V38" si="21">IF(T$12=0,0,T29/T$12)</f>
        <v>0.42130460590840685</v>
      </c>
      <c r="W29" s="4"/>
      <c r="X29" s="21">
        <f t="shared" ref="X29:X38" si="22">+P29-T29</f>
        <v>-763103.71999999986</v>
      </c>
      <c r="Y29" s="4"/>
      <c r="Z29" s="31">
        <f t="shared" ref="Z29:Z38" si="23">IF(T29=0,0,X29/T29)</f>
        <v>-0.76600779342628178</v>
      </c>
    </row>
    <row r="30" spans="1:26" s="26" customFormat="1" outlineLevel="1" collapsed="1" x14ac:dyDescent="0.25">
      <c r="A30" s="25"/>
      <c r="B30" s="12" t="str">
        <f>CONCATENATE("     ","*Benefits                                         ")</f>
        <v xml:space="preserve">     *Benefits                                         </v>
      </c>
      <c r="C30" s="12"/>
      <c r="D30" s="1">
        <f>SUM(OSRRefD22_0x_0)</f>
        <v>0</v>
      </c>
      <c r="E30" s="1"/>
      <c r="F30" s="5">
        <f t="shared" si="16"/>
        <v>0</v>
      </c>
      <c r="G30" s="1"/>
      <c r="H30" s="1">
        <f>SUM(OSRRefH22_0x_0)</f>
        <v>10088.52</v>
      </c>
      <c r="I30" s="1"/>
      <c r="J30" s="5">
        <f t="shared" si="17"/>
        <v>222.65548444052089</v>
      </c>
      <c r="K30" s="1"/>
      <c r="L30" s="1">
        <f t="shared" si="18"/>
        <v>-10088.52</v>
      </c>
      <c r="M30" s="1"/>
      <c r="N30" s="5">
        <f t="shared" si="19"/>
        <v>-1</v>
      </c>
      <c r="O30" s="12"/>
      <c r="P30" s="1">
        <f>SUM(OSRRefP22_0x_0)</f>
        <v>35025.26</v>
      </c>
      <c r="Q30" s="1"/>
      <c r="R30" s="5">
        <f t="shared" si="20"/>
        <v>12.191519429709146</v>
      </c>
      <c r="S30" s="1"/>
      <c r="T30" s="1">
        <f>SUM(OSRRefT22_0x_0)</f>
        <v>128424.46</v>
      </c>
      <c r="U30" s="1"/>
      <c r="V30" s="5">
        <f t="shared" si="21"/>
        <v>5.4311722023601412E-2</v>
      </c>
      <c r="W30" s="1"/>
      <c r="X30" s="1">
        <f t="shared" si="22"/>
        <v>-93399.200000000012</v>
      </c>
      <c r="Y30" s="1"/>
      <c r="Z30" s="5">
        <f t="shared" si="23"/>
        <v>-0.72726955597087972</v>
      </c>
    </row>
    <row r="31" spans="1:26" s="23" customFormat="1" hidden="1" outlineLevel="2" x14ac:dyDescent="0.25">
      <c r="A31" s="27"/>
      <c r="B31" s="10" t="str">
        <f>CONCATENATE("          ", "6111", " - ", "F.I.C.A.")</f>
        <v xml:space="preserve">          6111 - F.I.C.A.</v>
      </c>
      <c r="C31" s="10"/>
      <c r="D31" s="6"/>
      <c r="E31" s="2"/>
      <c r="F31" s="7">
        <f t="shared" si="16"/>
        <v>0</v>
      </c>
      <c r="G31" s="2"/>
      <c r="H31" s="6">
        <v>1491.24</v>
      </c>
      <c r="I31" s="2"/>
      <c r="J31" s="7">
        <f t="shared" si="17"/>
        <v>32.911939969101745</v>
      </c>
      <c r="K31" s="2"/>
      <c r="L31" s="6">
        <f t="shared" si="18"/>
        <v>-1491.24</v>
      </c>
      <c r="M31" s="2"/>
      <c r="N31" s="7">
        <f t="shared" si="19"/>
        <v>-1</v>
      </c>
      <c r="O31" s="10"/>
      <c r="P31" s="6">
        <v>3909.68</v>
      </c>
      <c r="Q31" s="2"/>
      <c r="R31" s="7">
        <f t="shared" si="20"/>
        <v>1.3608732578700415</v>
      </c>
      <c r="S31" s="2"/>
      <c r="T31" s="6">
        <v>22056.720000000001</v>
      </c>
      <c r="U31" s="2"/>
      <c r="V31" s="7">
        <f t="shared" si="21"/>
        <v>9.3279617091044011E-3</v>
      </c>
      <c r="W31" s="2"/>
      <c r="X31" s="6">
        <f t="shared" si="22"/>
        <v>-18147.04</v>
      </c>
      <c r="Y31" s="2"/>
      <c r="Z31" s="7">
        <f t="shared" si="23"/>
        <v>-0.82274427022694219</v>
      </c>
    </row>
    <row r="32" spans="1:26" s="23" customFormat="1" hidden="1" outlineLevel="2" x14ac:dyDescent="0.25">
      <c r="A32" s="27"/>
      <c r="B32" s="10" t="str">
        <f>CONCATENATE("          ", "6112", " - ", "COMPENSATION INSURANCE")</f>
        <v xml:space="preserve">          6112 - COMPENSATION INSURANCE</v>
      </c>
      <c r="C32" s="10"/>
      <c r="D32" s="6"/>
      <c r="E32" s="2"/>
      <c r="F32" s="7">
        <f t="shared" si="16"/>
        <v>0</v>
      </c>
      <c r="G32" s="2"/>
      <c r="H32" s="6">
        <v>246.92</v>
      </c>
      <c r="I32" s="2"/>
      <c r="J32" s="7">
        <f t="shared" si="17"/>
        <v>5.4495696314279414</v>
      </c>
      <c r="K32" s="2"/>
      <c r="L32" s="6">
        <f t="shared" si="18"/>
        <v>-246.92</v>
      </c>
      <c r="M32" s="2"/>
      <c r="N32" s="7">
        <f t="shared" si="19"/>
        <v>-1</v>
      </c>
      <c r="O32" s="10"/>
      <c r="P32" s="6">
        <v>830.67</v>
      </c>
      <c r="Q32" s="2"/>
      <c r="R32" s="7">
        <f t="shared" si="20"/>
        <v>0.28913788062319867</v>
      </c>
      <c r="S32" s="2"/>
      <c r="T32" s="6">
        <v>8898.92</v>
      </c>
      <c r="U32" s="2"/>
      <c r="V32" s="7">
        <f t="shared" si="21"/>
        <v>3.7634238006550081E-3</v>
      </c>
      <c r="W32" s="2"/>
      <c r="X32" s="6">
        <f t="shared" si="22"/>
        <v>-8068.25</v>
      </c>
      <c r="Y32" s="2"/>
      <c r="Z32" s="7">
        <f t="shared" si="23"/>
        <v>-0.90665496487214181</v>
      </c>
    </row>
    <row r="33" spans="1:26" s="23" customFormat="1" hidden="1" outlineLevel="2" x14ac:dyDescent="0.25">
      <c r="A33" s="27"/>
      <c r="B33" s="10" t="str">
        <f>CONCATENATE("          ", "6113", " - ", "GROUP INSURANCE")</f>
        <v xml:space="preserve">          6113 - GROUP INSURANCE</v>
      </c>
      <c r="C33" s="10"/>
      <c r="D33" s="6"/>
      <c r="E33" s="2"/>
      <c r="F33" s="7">
        <f t="shared" si="16"/>
        <v>0</v>
      </c>
      <c r="G33" s="2"/>
      <c r="H33" s="6">
        <v>4620.57</v>
      </c>
      <c r="I33" s="2"/>
      <c r="J33" s="7">
        <f t="shared" si="17"/>
        <v>101.97682630765836</v>
      </c>
      <c r="K33" s="2"/>
      <c r="L33" s="6">
        <f t="shared" si="18"/>
        <v>-4620.57</v>
      </c>
      <c r="M33" s="2"/>
      <c r="N33" s="7">
        <f t="shared" si="19"/>
        <v>-1</v>
      </c>
      <c r="O33" s="10"/>
      <c r="P33" s="6">
        <v>18067.72</v>
      </c>
      <c r="Q33" s="2"/>
      <c r="R33" s="7">
        <f t="shared" si="20"/>
        <v>6.2889742840037313</v>
      </c>
      <c r="S33" s="2"/>
      <c r="T33" s="6">
        <v>55317.71</v>
      </c>
      <c r="U33" s="2"/>
      <c r="V33" s="7">
        <f t="shared" si="21"/>
        <v>2.3394298006020005E-2</v>
      </c>
      <c r="W33" s="2"/>
      <c r="X33" s="6">
        <f t="shared" si="22"/>
        <v>-37249.99</v>
      </c>
      <c r="Y33" s="2"/>
      <c r="Z33" s="7">
        <f t="shared" si="23"/>
        <v>-0.67338271956666318</v>
      </c>
    </row>
    <row r="34" spans="1:26" s="23" customFormat="1" hidden="1" outlineLevel="2" x14ac:dyDescent="0.25">
      <c r="A34" s="27"/>
      <c r="B34" s="10" t="str">
        <f>CONCATENATE("          ", "6114", " - ", "STATE UNEMPLOYMENT INSURANCE")</f>
        <v xml:space="preserve">          6114 - STATE UNEMPLOYMENT INSURANCE</v>
      </c>
      <c r="C34" s="10"/>
      <c r="D34" s="6"/>
      <c r="E34" s="2"/>
      <c r="F34" s="7">
        <f t="shared" si="16"/>
        <v>0</v>
      </c>
      <c r="G34" s="2"/>
      <c r="H34" s="6">
        <v>33.799999999999997</v>
      </c>
      <c r="I34" s="2"/>
      <c r="J34" s="7">
        <f t="shared" si="17"/>
        <v>0.74597219156919004</v>
      </c>
      <c r="K34" s="2"/>
      <c r="L34" s="6">
        <f t="shared" si="18"/>
        <v>-33.799999999999997</v>
      </c>
      <c r="M34" s="2"/>
      <c r="N34" s="7">
        <f t="shared" si="19"/>
        <v>-1</v>
      </c>
      <c r="O34" s="10"/>
      <c r="P34" s="6">
        <v>132.15</v>
      </c>
      <c r="Q34" s="2"/>
      <c r="R34" s="7">
        <f t="shared" si="20"/>
        <v>4.5998496303412559E-2</v>
      </c>
      <c r="S34" s="2"/>
      <c r="T34" s="6">
        <v>1351.01</v>
      </c>
      <c r="U34" s="2"/>
      <c r="V34" s="7">
        <f t="shared" si="21"/>
        <v>5.7135283707718709E-4</v>
      </c>
      <c r="W34" s="2"/>
      <c r="X34" s="6">
        <f t="shared" si="22"/>
        <v>-1218.8599999999999</v>
      </c>
      <c r="Y34" s="2"/>
      <c r="Z34" s="7">
        <f t="shared" si="23"/>
        <v>-0.90218429175209647</v>
      </c>
    </row>
    <row r="35" spans="1:26" s="23" customFormat="1" hidden="1" outlineLevel="2" x14ac:dyDescent="0.25">
      <c r="A35" s="27"/>
      <c r="B35" s="10" t="str">
        <f>CONCATENATE("          ", "6115", " - ", "P.E.R.S.")</f>
        <v xml:space="preserve">          6115 - P.E.R.S.</v>
      </c>
      <c r="C35" s="10"/>
      <c r="D35" s="6"/>
      <c r="E35" s="2"/>
      <c r="F35" s="7">
        <f t="shared" si="16"/>
        <v>0</v>
      </c>
      <c r="G35" s="2"/>
      <c r="H35" s="6">
        <v>1284.74</v>
      </c>
      <c r="I35" s="2"/>
      <c r="J35" s="7">
        <f t="shared" si="17"/>
        <v>28.35444714191128</v>
      </c>
      <c r="K35" s="2"/>
      <c r="L35" s="6">
        <f t="shared" si="18"/>
        <v>-1284.74</v>
      </c>
      <c r="M35" s="2"/>
      <c r="N35" s="7">
        <f t="shared" si="19"/>
        <v>-1</v>
      </c>
      <c r="O35" s="10"/>
      <c r="P35" s="6">
        <v>5525.49</v>
      </c>
      <c r="Q35" s="2"/>
      <c r="R35" s="7">
        <f t="shared" si="20"/>
        <v>1.9233010317029362</v>
      </c>
      <c r="S35" s="2"/>
      <c r="T35" s="6">
        <v>15405.47</v>
      </c>
      <c r="U35" s="2"/>
      <c r="V35" s="7">
        <f t="shared" si="21"/>
        <v>6.5150953664351073E-3</v>
      </c>
      <c r="W35" s="2"/>
      <c r="X35" s="6">
        <f t="shared" si="22"/>
        <v>-9879.98</v>
      </c>
      <c r="Y35" s="2"/>
      <c r="Z35" s="7">
        <f t="shared" si="23"/>
        <v>-0.64132934600502289</v>
      </c>
    </row>
    <row r="36" spans="1:26" s="23" customFormat="1" hidden="1" outlineLevel="2" x14ac:dyDescent="0.25">
      <c r="A36" s="27"/>
      <c r="B36" s="10" t="str">
        <f>CONCATENATE("          ", "6118", " - ", "VACATION")</f>
        <v xml:space="preserve">          6118 - VACATION</v>
      </c>
      <c r="C36" s="10"/>
      <c r="D36" s="6"/>
      <c r="E36" s="2"/>
      <c r="F36" s="7">
        <f t="shared" si="16"/>
        <v>0</v>
      </c>
      <c r="G36" s="2"/>
      <c r="H36" s="6">
        <v>1426.47</v>
      </c>
      <c r="I36" s="2"/>
      <c r="J36" s="7">
        <f t="shared" si="17"/>
        <v>31.482454204369901</v>
      </c>
      <c r="K36" s="2"/>
      <c r="L36" s="6">
        <f t="shared" si="18"/>
        <v>-1426.47</v>
      </c>
      <c r="M36" s="2"/>
      <c r="N36" s="7">
        <f t="shared" si="19"/>
        <v>-1</v>
      </c>
      <c r="O36" s="10"/>
      <c r="P36" s="6">
        <v>3386</v>
      </c>
      <c r="Q36" s="2"/>
      <c r="R36" s="7">
        <f t="shared" si="20"/>
        <v>1.1785918159920916</v>
      </c>
      <c r="S36" s="2"/>
      <c r="T36" s="6">
        <v>12076.99</v>
      </c>
      <c r="U36" s="2"/>
      <c r="V36" s="7">
        <f t="shared" si="21"/>
        <v>5.1074547929717906E-3</v>
      </c>
      <c r="W36" s="2"/>
      <c r="X36" s="6">
        <f t="shared" si="22"/>
        <v>-8690.99</v>
      </c>
      <c r="Y36" s="2"/>
      <c r="Z36" s="7">
        <f t="shared" si="23"/>
        <v>-0.7196321268792969</v>
      </c>
    </row>
    <row r="37" spans="1:26" s="23" customFormat="1" hidden="1" outlineLevel="2" x14ac:dyDescent="0.25">
      <c r="A37" s="27"/>
      <c r="B37" s="10" t="str">
        <f>CONCATENATE("          ", "6119", " - ", "SICK LEAVE")</f>
        <v xml:space="preserve">          6119 - SICK LEAVE</v>
      </c>
      <c r="C37" s="10"/>
      <c r="D37" s="6"/>
      <c r="E37" s="2"/>
      <c r="F37" s="7">
        <f t="shared" si="16"/>
        <v>0</v>
      </c>
      <c r="G37" s="2"/>
      <c r="H37" s="6">
        <v>960.78</v>
      </c>
      <c r="I37" s="2"/>
      <c r="J37" s="7">
        <f t="shared" si="17"/>
        <v>21.204590598101966</v>
      </c>
      <c r="K37" s="2"/>
      <c r="L37" s="6">
        <f t="shared" si="18"/>
        <v>-960.78</v>
      </c>
      <c r="M37" s="2"/>
      <c r="N37" s="7">
        <f t="shared" si="19"/>
        <v>-1</v>
      </c>
      <c r="O37" s="10"/>
      <c r="P37" s="6">
        <v>2447.1799999999998</v>
      </c>
      <c r="Q37" s="2"/>
      <c r="R37" s="7">
        <f t="shared" si="20"/>
        <v>0.85180930899572549</v>
      </c>
      <c r="S37" s="2"/>
      <c r="T37" s="6">
        <v>8232.42</v>
      </c>
      <c r="U37" s="2"/>
      <c r="V37" s="7">
        <f t="shared" si="21"/>
        <v>3.4815556679898573E-3</v>
      </c>
      <c r="W37" s="2"/>
      <c r="X37" s="6">
        <f t="shared" si="22"/>
        <v>-5785.24</v>
      </c>
      <c r="Y37" s="2"/>
      <c r="Z37" s="7">
        <f t="shared" si="23"/>
        <v>-0.70273868437227449</v>
      </c>
    </row>
    <row r="38" spans="1:26" s="23" customFormat="1" hidden="1" outlineLevel="2" x14ac:dyDescent="0.25">
      <c r="A38" s="27"/>
      <c r="B38" s="10" t="str">
        <f>CONCATENATE("          ", "6156", " - ", "EMPLOYEE MEALS")</f>
        <v xml:space="preserve">          6156 - EMPLOYEE MEALS</v>
      </c>
      <c r="C38" s="10"/>
      <c r="D38" s="6"/>
      <c r="E38" s="2"/>
      <c r="F38" s="7">
        <f t="shared" si="16"/>
        <v>0</v>
      </c>
      <c r="G38" s="2"/>
      <c r="H38" s="6">
        <v>24</v>
      </c>
      <c r="I38" s="2"/>
      <c r="J38" s="7">
        <f t="shared" si="17"/>
        <v>0.52968439638049003</v>
      </c>
      <c r="K38" s="2"/>
      <c r="L38" s="6">
        <f t="shared" si="18"/>
        <v>-24</v>
      </c>
      <c r="M38" s="2"/>
      <c r="N38" s="7">
        <f t="shared" si="19"/>
        <v>-1</v>
      </c>
      <c r="O38" s="10"/>
      <c r="P38" s="6">
        <v>726.37</v>
      </c>
      <c r="Q38" s="2"/>
      <c r="R38" s="7">
        <f t="shared" si="20"/>
        <v>0.25283335421800818</v>
      </c>
      <c r="S38" s="2"/>
      <c r="T38" s="6">
        <v>5085.22</v>
      </c>
      <c r="U38" s="2"/>
      <c r="V38" s="7">
        <f t="shared" si="21"/>
        <v>2.1505798433480534E-3</v>
      </c>
      <c r="W38" s="2"/>
      <c r="X38" s="6">
        <f t="shared" si="22"/>
        <v>-4358.8500000000004</v>
      </c>
      <c r="Y38" s="2"/>
      <c r="Z38" s="7">
        <f t="shared" si="23"/>
        <v>-0.85716055549219117</v>
      </c>
    </row>
    <row r="39" spans="1:26" s="26" customFormat="1" outlineLevel="1" collapsed="1" x14ac:dyDescent="0.25">
      <c r="A39" s="25"/>
      <c r="B39" s="12" t="str">
        <f>CONCATENATE("     ","*Payroll                                          ")</f>
        <v xml:space="preserve">     *Payroll                                          </v>
      </c>
      <c r="C39" s="12"/>
      <c r="D39" s="1">
        <f>SUM(OSRRefD22_1x_0)</f>
        <v>0</v>
      </c>
      <c r="E39" s="1"/>
      <c r="F39" s="5">
        <f t="shared" ref="F39:F45" si="24">IF(D$12=0,0,D39/D$12)</f>
        <v>0</v>
      </c>
      <c r="G39" s="1"/>
      <c r="H39" s="1">
        <f>SUM(OSRRefH22_1x_0)</f>
        <v>7835.7900000000009</v>
      </c>
      <c r="I39" s="1"/>
      <c r="J39" s="5">
        <f t="shared" ref="J39:J45" si="25">IF(H$12=0,0,H39/H$12)</f>
        <v>172.93732067976168</v>
      </c>
      <c r="K39" s="1"/>
      <c r="L39" s="1">
        <f t="shared" ref="L39:L45" si="26">+D39-H39</f>
        <v>-7835.7900000000009</v>
      </c>
      <c r="M39" s="1"/>
      <c r="N39" s="5">
        <f t="shared" ref="N39:N45" si="27">IF(H39=0,0,L39/H39)</f>
        <v>-1</v>
      </c>
      <c r="O39" s="12"/>
      <c r="P39" s="1">
        <f>SUM(OSRRefP22_1x_0)</f>
        <v>41960.38</v>
      </c>
      <c r="Q39" s="1"/>
      <c r="R39" s="5">
        <f t="shared" ref="R39:R45" si="28">IF(P$12=0,0,P39/P$12)</f>
        <v>14.605481530985895</v>
      </c>
      <c r="S39" s="1"/>
      <c r="T39" s="1">
        <f>SUM(OSRRefT22_1x_0)</f>
        <v>498991.31000000006</v>
      </c>
      <c r="U39" s="1"/>
      <c r="V39" s="5">
        <f t="shared" ref="V39:V45" si="29">IF(T$12=0,0,T39/T$12)</f>
        <v>0.21102737999375445</v>
      </c>
      <c r="W39" s="1"/>
      <c r="X39" s="1">
        <f t="shared" ref="X39:X45" si="30">+P39-T39</f>
        <v>-457030.93000000005</v>
      </c>
      <c r="Y39" s="1"/>
      <c r="Z39" s="5">
        <f t="shared" ref="Z39:Z45" si="31">IF(T39=0,0,X39/T39)</f>
        <v>-0.91590959770421654</v>
      </c>
    </row>
    <row r="40" spans="1:26" s="23" customFormat="1" hidden="1" outlineLevel="2" x14ac:dyDescent="0.25">
      <c r="A40" s="27"/>
      <c r="B40" s="10" t="str">
        <f>CONCATENATE("          ", "6002", " - ", "STAFF SALARIES")</f>
        <v xml:space="preserve">          6002 - STAFF SALARIES</v>
      </c>
      <c r="C40" s="10"/>
      <c r="D40" s="6"/>
      <c r="E40" s="2"/>
      <c r="F40" s="7">
        <f t="shared" si="24"/>
        <v>0</v>
      </c>
      <c r="G40" s="2"/>
      <c r="H40" s="6">
        <v>11454.12</v>
      </c>
      <c r="I40" s="2"/>
      <c r="J40" s="7">
        <f t="shared" si="25"/>
        <v>252.79452659457078</v>
      </c>
      <c r="K40" s="2"/>
      <c r="L40" s="6">
        <f t="shared" si="26"/>
        <v>-11454.12</v>
      </c>
      <c r="M40" s="2"/>
      <c r="N40" s="7">
        <f t="shared" si="27"/>
        <v>-1</v>
      </c>
      <c r="O40" s="10"/>
      <c r="P40" s="6">
        <v>39828.42</v>
      </c>
      <c r="Q40" s="2"/>
      <c r="R40" s="7">
        <f t="shared" si="28"/>
        <v>13.863393341965665</v>
      </c>
      <c r="S40" s="2"/>
      <c r="T40" s="6">
        <v>152395.23000000001</v>
      </c>
      <c r="U40" s="2"/>
      <c r="V40" s="7">
        <f t="shared" si="29"/>
        <v>6.4449150648426337E-2</v>
      </c>
      <c r="W40" s="2"/>
      <c r="X40" s="6">
        <f t="shared" si="30"/>
        <v>-112566.81000000001</v>
      </c>
      <c r="Y40" s="2"/>
      <c r="Z40" s="7">
        <f t="shared" si="31"/>
        <v>-0.73865048138317713</v>
      </c>
    </row>
    <row r="41" spans="1:26" s="23" customFormat="1" hidden="1" outlineLevel="2" x14ac:dyDescent="0.25">
      <c r="A41" s="27"/>
      <c r="B41" s="10" t="str">
        <f>CONCATENATE("          ", "6004", " - ", "STAFF HOURLY")</f>
        <v xml:space="preserve">          6004 - STAFF HOURLY</v>
      </c>
      <c r="C41" s="10"/>
      <c r="D41" s="6"/>
      <c r="E41" s="2"/>
      <c r="F41" s="7">
        <f t="shared" si="24"/>
        <v>0</v>
      </c>
      <c r="G41" s="2"/>
      <c r="H41" s="6">
        <v>-3618.33</v>
      </c>
      <c r="I41" s="2"/>
      <c r="J41" s="7">
        <f t="shared" si="25"/>
        <v>-79.8572059148091</v>
      </c>
      <c r="K41" s="2"/>
      <c r="L41" s="6">
        <f t="shared" si="26"/>
        <v>3618.33</v>
      </c>
      <c r="M41" s="2"/>
      <c r="N41" s="7">
        <f t="shared" si="27"/>
        <v>-1</v>
      </c>
      <c r="O41" s="10"/>
      <c r="P41" s="6"/>
      <c r="Q41" s="2"/>
      <c r="R41" s="7">
        <f t="shared" si="28"/>
        <v>0</v>
      </c>
      <c r="S41" s="2"/>
      <c r="T41" s="6">
        <v>-3363.69</v>
      </c>
      <c r="U41" s="2"/>
      <c r="V41" s="7">
        <f t="shared" si="29"/>
        <v>-1.4225311615370453E-3</v>
      </c>
      <c r="W41" s="2"/>
      <c r="X41" s="6">
        <f t="shared" si="30"/>
        <v>3363.69</v>
      </c>
      <c r="Y41" s="2"/>
      <c r="Z41" s="7">
        <f t="shared" si="31"/>
        <v>-1</v>
      </c>
    </row>
    <row r="42" spans="1:26" s="23" customFormat="1" hidden="1" outlineLevel="2" x14ac:dyDescent="0.25">
      <c r="A42" s="27"/>
      <c r="B42" s="10" t="str">
        <f>CONCATENATE("          ", "6005", " - ", "TEMPORARY WAGES-HOURLY")</f>
        <v xml:space="preserve">          6005 - TEMPORARY WAGES-HOURLY</v>
      </c>
      <c r="C42" s="10"/>
      <c r="D42" s="6"/>
      <c r="E42" s="2"/>
      <c r="F42" s="7">
        <f t="shared" si="24"/>
        <v>0</v>
      </c>
      <c r="G42" s="2"/>
      <c r="H42" s="6"/>
      <c r="I42" s="2"/>
      <c r="J42" s="7">
        <f t="shared" si="25"/>
        <v>0</v>
      </c>
      <c r="K42" s="2"/>
      <c r="L42" s="6">
        <f t="shared" si="26"/>
        <v>0</v>
      </c>
      <c r="M42" s="2"/>
      <c r="N42" s="7">
        <f t="shared" si="27"/>
        <v>0</v>
      </c>
      <c r="O42" s="10"/>
      <c r="P42" s="6">
        <v>2131.96</v>
      </c>
      <c r="Q42" s="2"/>
      <c r="R42" s="7">
        <f t="shared" si="28"/>
        <v>0.74208818902023033</v>
      </c>
      <c r="S42" s="2"/>
      <c r="T42" s="6">
        <v>67287.22</v>
      </c>
      <c r="U42" s="2"/>
      <c r="V42" s="7">
        <f t="shared" si="29"/>
        <v>2.8456298655107549E-2</v>
      </c>
      <c r="W42" s="2"/>
      <c r="X42" s="6">
        <f t="shared" si="30"/>
        <v>-65155.26</v>
      </c>
      <c r="Y42" s="2"/>
      <c r="Z42" s="7">
        <f t="shared" si="31"/>
        <v>-0.96831552856545422</v>
      </c>
    </row>
    <row r="43" spans="1:26" s="23" customFormat="1" hidden="1" outlineLevel="2" x14ac:dyDescent="0.25">
      <c r="A43" s="27"/>
      <c r="B43" s="10" t="str">
        <f>CONCATENATE("          ", "6006", " - ", "TEMPORARY PART TIME")</f>
        <v xml:space="preserve">          6006 - TEMPORARY PART TIME</v>
      </c>
      <c r="C43" s="10"/>
      <c r="D43" s="6"/>
      <c r="E43" s="2"/>
      <c r="F43" s="7">
        <f t="shared" si="24"/>
        <v>0</v>
      </c>
      <c r="G43" s="2"/>
      <c r="H43" s="6"/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0"/>
      <c r="P43" s="6"/>
      <c r="Q43" s="2"/>
      <c r="R43" s="7">
        <f t="shared" si="28"/>
        <v>0</v>
      </c>
      <c r="S43" s="2"/>
      <c r="T43" s="6">
        <v>21785.59</v>
      </c>
      <c r="U43" s="2"/>
      <c r="V43" s="7">
        <f t="shared" si="29"/>
        <v>9.2132986831336538E-3</v>
      </c>
      <c r="W43" s="2"/>
      <c r="X43" s="6">
        <f t="shared" si="30"/>
        <v>-21785.59</v>
      </c>
      <c r="Y43" s="2"/>
      <c r="Z43" s="7">
        <f t="shared" si="31"/>
        <v>-1</v>
      </c>
    </row>
    <row r="44" spans="1:26" s="23" customFormat="1" hidden="1" outlineLevel="2" x14ac:dyDescent="0.25">
      <c r="A44" s="27"/>
      <c r="B44" s="10" t="str">
        <f>CONCATENATE("          ", "6007", " - ", "STUDENT HOURLY")</f>
        <v xml:space="preserve">          6007 - STUDENT HOURLY</v>
      </c>
      <c r="C44" s="10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0"/>
      <c r="P44" s="6">
        <v>0</v>
      </c>
      <c r="Q44" s="2"/>
      <c r="R44" s="7">
        <f t="shared" si="28"/>
        <v>0</v>
      </c>
      <c r="S44" s="2"/>
      <c r="T44" s="6">
        <v>250050.07</v>
      </c>
      <c r="U44" s="2"/>
      <c r="V44" s="7">
        <f t="shared" si="29"/>
        <v>0.10574815649465899</v>
      </c>
      <c r="W44" s="2"/>
      <c r="X44" s="6">
        <f t="shared" si="30"/>
        <v>-250050.07</v>
      </c>
      <c r="Y44" s="2"/>
      <c r="Z44" s="7">
        <f t="shared" si="31"/>
        <v>-1</v>
      </c>
    </row>
    <row r="45" spans="1:26" s="23" customFormat="1" hidden="1" outlineLevel="2" x14ac:dyDescent="0.25">
      <c r="A45" s="27"/>
      <c r="B45" s="10" t="str">
        <f>CONCATENATE("          ", "6008", " - ", "STUDENT HOURLY-FICA EXEMPT")</f>
        <v xml:space="preserve">          6008 - STUDENT HOURLY-FICA EXEMPT</v>
      </c>
      <c r="C45" s="10"/>
      <c r="D45" s="6"/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0"/>
      <c r="P45" s="6"/>
      <c r="Q45" s="2"/>
      <c r="R45" s="7">
        <f t="shared" si="28"/>
        <v>0</v>
      </c>
      <c r="S45" s="2"/>
      <c r="T45" s="6">
        <v>10836.89</v>
      </c>
      <c r="U45" s="2"/>
      <c r="V45" s="7">
        <f t="shared" si="29"/>
        <v>4.5830066739649582E-3</v>
      </c>
      <c r="W45" s="2"/>
      <c r="X45" s="6">
        <f t="shared" si="30"/>
        <v>-10836.89</v>
      </c>
      <c r="Y45" s="2"/>
      <c r="Z45" s="7">
        <f t="shared" si="31"/>
        <v>-1</v>
      </c>
    </row>
    <row r="46" spans="1:26" s="26" customFormat="1" outlineLevel="1" collapsed="1" x14ac:dyDescent="0.25">
      <c r="A46" s="25"/>
      <c r="B46" s="12" t="str">
        <f>CONCATENATE("     ","Advertising/Promo                                 ")</f>
        <v xml:space="preserve">     Advertising/Promo                                 </v>
      </c>
      <c r="C46" s="12"/>
      <c r="D46" s="1">
        <f>SUM(OSRRefD22_2x_0)</f>
        <v>0</v>
      </c>
      <c r="E46" s="1"/>
      <c r="F46" s="5">
        <f t="shared" ref="F46:F54" si="32">IF(D$12=0,0,D46/D$12)</f>
        <v>0</v>
      </c>
      <c r="G46" s="1"/>
      <c r="H46" s="1">
        <f>SUM(OSRRefH22_2x_0)</f>
        <v>0</v>
      </c>
      <c r="I46" s="1"/>
      <c r="J46" s="5">
        <f t="shared" ref="J46:J54" si="33">IF(H$12=0,0,H46/H$12)</f>
        <v>0</v>
      </c>
      <c r="K46" s="1"/>
      <c r="L46" s="1">
        <f t="shared" ref="L46:L54" si="34">+D46-H46</f>
        <v>0</v>
      </c>
      <c r="M46" s="1"/>
      <c r="N46" s="5">
        <f t="shared" ref="N46:N54" si="35">IF(H46=0,0,L46/H46)</f>
        <v>0</v>
      </c>
      <c r="O46" s="12"/>
      <c r="P46" s="1">
        <f>SUM(OSRRefP22_2x_0)</f>
        <v>0</v>
      </c>
      <c r="Q46" s="1"/>
      <c r="R46" s="5">
        <f t="shared" ref="R46:R54" si="36">IF(P$12=0,0,P46/P$12)</f>
        <v>0</v>
      </c>
      <c r="S46" s="1"/>
      <c r="T46" s="1">
        <f>SUM(OSRRefT22_2x_0)</f>
        <v>3607.19</v>
      </c>
      <c r="U46" s="1"/>
      <c r="V46" s="5">
        <f t="shared" ref="V46:V54" si="37">IF(T$12=0,0,T46/T$12)</f>
        <v>1.5255092415129856E-3</v>
      </c>
      <c r="W46" s="1"/>
      <c r="X46" s="1">
        <f t="shared" ref="X46:X54" si="38">+P46-T46</f>
        <v>-3607.19</v>
      </c>
      <c r="Y46" s="1"/>
      <c r="Z46" s="5">
        <f t="shared" ref="Z46:Z54" si="39">IF(T46=0,0,X46/T46)</f>
        <v>-1</v>
      </c>
    </row>
    <row r="47" spans="1:26" s="23" customFormat="1" hidden="1" outlineLevel="2" x14ac:dyDescent="0.25">
      <c r="A47" s="27"/>
      <c r="B47" s="10" t="str">
        <f>CONCATENATE("          ", "6362", " - ", "ADVERTISING EXPENSE")</f>
        <v xml:space="preserve">          6362 - ADVERTISING EXPENSE</v>
      </c>
      <c r="C47" s="10"/>
      <c r="D47" s="6"/>
      <c r="E47" s="2"/>
      <c r="F47" s="7">
        <f t="shared" si="32"/>
        <v>0</v>
      </c>
      <c r="G47" s="2"/>
      <c r="H47" s="6"/>
      <c r="I47" s="2"/>
      <c r="J47" s="7">
        <f t="shared" si="33"/>
        <v>0</v>
      </c>
      <c r="K47" s="2"/>
      <c r="L47" s="6">
        <f t="shared" si="34"/>
        <v>0</v>
      </c>
      <c r="M47" s="2"/>
      <c r="N47" s="7">
        <f t="shared" si="35"/>
        <v>0</v>
      </c>
      <c r="O47" s="10"/>
      <c r="P47" s="6"/>
      <c r="Q47" s="2"/>
      <c r="R47" s="7">
        <f t="shared" si="36"/>
        <v>0</v>
      </c>
      <c r="S47" s="2"/>
      <c r="T47" s="6">
        <v>3607.19</v>
      </c>
      <c r="U47" s="2"/>
      <c r="V47" s="7">
        <f t="shared" si="37"/>
        <v>1.5255092415129856E-3</v>
      </c>
      <c r="W47" s="2"/>
      <c r="X47" s="6">
        <f t="shared" si="38"/>
        <v>-3607.19</v>
      </c>
      <c r="Y47" s="2"/>
      <c r="Z47" s="7">
        <f t="shared" si="39"/>
        <v>-1</v>
      </c>
    </row>
    <row r="48" spans="1:26" s="26" customFormat="1" outlineLevel="1" collapsed="1" x14ac:dyDescent="0.25">
      <c r="A48" s="25"/>
      <c r="B48" s="12" t="str">
        <f>CONCATENATE("     ","Bad Debts/Over/Short                              ")</f>
        <v xml:space="preserve">     Bad Debts/Over/Short                              </v>
      </c>
      <c r="C48" s="12"/>
      <c r="D48" s="1">
        <f>SUM(OSRRefD22_3x_0)</f>
        <v>0</v>
      </c>
      <c r="E48" s="1"/>
      <c r="F48" s="5">
        <f t="shared" si="32"/>
        <v>0</v>
      </c>
      <c r="G48" s="1"/>
      <c r="H48" s="1">
        <f>SUM(OSRRefH22_3x_0)</f>
        <v>0</v>
      </c>
      <c r="I48" s="1"/>
      <c r="J48" s="5">
        <f t="shared" si="33"/>
        <v>0</v>
      </c>
      <c r="K48" s="1"/>
      <c r="L48" s="1">
        <f t="shared" si="34"/>
        <v>0</v>
      </c>
      <c r="M48" s="1"/>
      <c r="N48" s="5">
        <f t="shared" si="35"/>
        <v>0</v>
      </c>
      <c r="O48" s="12"/>
      <c r="P48" s="1">
        <f>SUM(OSRRefP22_3x_0)</f>
        <v>3.31</v>
      </c>
      <c r="Q48" s="1"/>
      <c r="R48" s="5">
        <f t="shared" si="36"/>
        <v>1.1521378945463152E-3</v>
      </c>
      <c r="S48" s="1"/>
      <c r="T48" s="1">
        <f>SUM(OSRRefT22_3x_0)</f>
        <v>-428.92</v>
      </c>
      <c r="U48" s="1"/>
      <c r="V48" s="5">
        <f t="shared" si="37"/>
        <v>-1.813936676110074E-4</v>
      </c>
      <c r="W48" s="1"/>
      <c r="X48" s="1">
        <f t="shared" si="38"/>
        <v>432.23</v>
      </c>
      <c r="Y48" s="1"/>
      <c r="Z48" s="5">
        <f t="shared" si="39"/>
        <v>-1.0077170567938076</v>
      </c>
    </row>
    <row r="49" spans="1:26" s="23" customFormat="1" hidden="1" outlineLevel="2" x14ac:dyDescent="0.25">
      <c r="A49" s="27"/>
      <c r="B49" s="10" t="str">
        <f>CONCATENATE("          ", "6272", " - ", "CASH (OVER/SHORT)")</f>
        <v xml:space="preserve">          6272 - CASH (OVER/SHORT)</v>
      </c>
      <c r="C49" s="10"/>
      <c r="D49" s="6"/>
      <c r="E49" s="2"/>
      <c r="F49" s="7">
        <f t="shared" si="32"/>
        <v>0</v>
      </c>
      <c r="G49" s="2"/>
      <c r="H49" s="6"/>
      <c r="I49" s="2"/>
      <c r="J49" s="7">
        <f t="shared" si="33"/>
        <v>0</v>
      </c>
      <c r="K49" s="2"/>
      <c r="L49" s="6">
        <f t="shared" si="34"/>
        <v>0</v>
      </c>
      <c r="M49" s="2"/>
      <c r="N49" s="7">
        <f t="shared" si="35"/>
        <v>0</v>
      </c>
      <c r="O49" s="10"/>
      <c r="P49" s="6">
        <v>3.31</v>
      </c>
      <c r="Q49" s="2"/>
      <c r="R49" s="7">
        <f t="shared" si="36"/>
        <v>1.1521378945463152E-3</v>
      </c>
      <c r="S49" s="2"/>
      <c r="T49" s="6">
        <v>-428.92</v>
      </c>
      <c r="U49" s="2"/>
      <c r="V49" s="7">
        <f t="shared" si="37"/>
        <v>-1.813936676110074E-4</v>
      </c>
      <c r="W49" s="2"/>
      <c r="X49" s="6">
        <f t="shared" si="38"/>
        <v>432.23</v>
      </c>
      <c r="Y49" s="2"/>
      <c r="Z49" s="7">
        <f t="shared" si="39"/>
        <v>-1.0077170567938076</v>
      </c>
    </row>
    <row r="50" spans="1:26" s="26" customFormat="1" outlineLevel="1" collapsed="1" x14ac:dyDescent="0.25">
      <c r="A50" s="25"/>
      <c r="B50" s="12" t="str">
        <f>CONCATENATE("     ","Bank/card Fees                                    ")</f>
        <v xml:space="preserve">     Bank/card Fees                                    </v>
      </c>
      <c r="C50" s="12"/>
      <c r="D50" s="1">
        <f>SUM(OSRRefD22_4x_0)</f>
        <v>736.54</v>
      </c>
      <c r="E50" s="1"/>
      <c r="F50" s="5">
        <f t="shared" si="32"/>
        <v>14.191522157996147</v>
      </c>
      <c r="G50" s="1"/>
      <c r="H50" s="1">
        <f>SUM(OSRRefH22_4x_0)</f>
        <v>60</v>
      </c>
      <c r="I50" s="1"/>
      <c r="J50" s="5">
        <f t="shared" si="33"/>
        <v>1.324210990951225</v>
      </c>
      <c r="K50" s="1"/>
      <c r="L50" s="1">
        <f t="shared" si="34"/>
        <v>676.54</v>
      </c>
      <c r="M50" s="1"/>
      <c r="N50" s="5">
        <f t="shared" si="35"/>
        <v>11.275666666666666</v>
      </c>
      <c r="O50" s="12"/>
      <c r="P50" s="1">
        <f>SUM(OSRRefP22_4x_0)</f>
        <v>2324.7199999999998</v>
      </c>
      <c r="Q50" s="1"/>
      <c r="R50" s="5">
        <f t="shared" si="36"/>
        <v>0.8091836876766495</v>
      </c>
      <c r="S50" s="1"/>
      <c r="T50" s="1">
        <f>SUM(OSRRefT22_4x_0)</f>
        <v>89160.63</v>
      </c>
      <c r="U50" s="1"/>
      <c r="V50" s="5">
        <f t="shared" si="37"/>
        <v>3.7706737112300701E-2</v>
      </c>
      <c r="W50" s="1"/>
      <c r="X50" s="1">
        <f t="shared" si="38"/>
        <v>-86835.91</v>
      </c>
      <c r="Y50" s="1"/>
      <c r="Z50" s="5">
        <f t="shared" si="39"/>
        <v>-0.97392660863881286</v>
      </c>
    </row>
    <row r="51" spans="1:26" s="23" customFormat="1" hidden="1" outlineLevel="2" x14ac:dyDescent="0.25">
      <c r="A51" s="27"/>
      <c r="B51" s="10" t="str">
        <f>CONCATENATE("          ", "6381", " - ", "BANK/CREDIT CARD FEES")</f>
        <v xml:space="preserve">          6381 - BANK/CREDIT CARD FEES</v>
      </c>
      <c r="C51" s="10"/>
      <c r="D51" s="6">
        <v>736.54</v>
      </c>
      <c r="E51" s="2"/>
      <c r="F51" s="7">
        <f t="shared" si="32"/>
        <v>14.191522157996147</v>
      </c>
      <c r="G51" s="2"/>
      <c r="H51" s="6">
        <v>60</v>
      </c>
      <c r="I51" s="2"/>
      <c r="J51" s="7">
        <f t="shared" si="33"/>
        <v>1.324210990951225</v>
      </c>
      <c r="K51" s="2"/>
      <c r="L51" s="6">
        <f t="shared" si="34"/>
        <v>676.54</v>
      </c>
      <c r="M51" s="2"/>
      <c r="N51" s="7">
        <f t="shared" si="35"/>
        <v>11.275666666666666</v>
      </c>
      <c r="O51" s="10"/>
      <c r="P51" s="6">
        <v>2324.7199999999998</v>
      </c>
      <c r="Q51" s="2"/>
      <c r="R51" s="7">
        <f t="shared" si="36"/>
        <v>0.8091836876766495</v>
      </c>
      <c r="S51" s="2"/>
      <c r="T51" s="6">
        <v>89160.63</v>
      </c>
      <c r="U51" s="2"/>
      <c r="V51" s="7">
        <f t="shared" si="37"/>
        <v>3.7706737112300701E-2</v>
      </c>
      <c r="W51" s="2"/>
      <c r="X51" s="6">
        <f t="shared" si="38"/>
        <v>-86835.91</v>
      </c>
      <c r="Y51" s="2"/>
      <c r="Z51" s="7">
        <f t="shared" si="39"/>
        <v>-0.97392660863881286</v>
      </c>
    </row>
    <row r="52" spans="1:26" s="26" customFormat="1" outlineLevel="1" collapsed="1" x14ac:dyDescent="0.25">
      <c r="A52" s="25"/>
      <c r="B52" s="12" t="str">
        <f>CONCATENATE("     ","Depreciation                                      ")</f>
        <v xml:space="preserve">     Depreciation                                      </v>
      </c>
      <c r="C52" s="12"/>
      <c r="D52" s="1">
        <f>SUM(OSRRefD22_5x_0)</f>
        <v>9152.09</v>
      </c>
      <c r="E52" s="1"/>
      <c r="F52" s="5">
        <f t="shared" si="32"/>
        <v>176.34084778420041</v>
      </c>
      <c r="G52" s="1"/>
      <c r="H52" s="1">
        <f>SUM(OSRRefH22_5x_0)</f>
        <v>8990.73</v>
      </c>
      <c r="I52" s="1"/>
      <c r="J52" s="5">
        <f t="shared" si="33"/>
        <v>198.42705804458177</v>
      </c>
      <c r="K52" s="1"/>
      <c r="L52" s="1">
        <f t="shared" si="34"/>
        <v>161.36000000000058</v>
      </c>
      <c r="M52" s="1"/>
      <c r="N52" s="5">
        <f t="shared" si="35"/>
        <v>1.7947374684814311E-2</v>
      </c>
      <c r="O52" s="12"/>
      <c r="P52" s="1">
        <f>SUM(OSRRefP22_5x_0)</f>
        <v>91702.18</v>
      </c>
      <c r="Q52" s="1"/>
      <c r="R52" s="5">
        <f t="shared" si="36"/>
        <v>31.919503501663808</v>
      </c>
      <c r="S52" s="1"/>
      <c r="T52" s="1">
        <f>SUM(OSRRefT22_5x_0)</f>
        <v>85728.23</v>
      </c>
      <c r="U52" s="1"/>
      <c r="V52" s="5">
        <f t="shared" si="37"/>
        <v>3.6255147947169615E-2</v>
      </c>
      <c r="W52" s="1"/>
      <c r="X52" s="1">
        <f t="shared" si="38"/>
        <v>5973.9499999999971</v>
      </c>
      <c r="Y52" s="1"/>
      <c r="Z52" s="5">
        <f t="shared" si="39"/>
        <v>6.9684746786443597E-2</v>
      </c>
    </row>
    <row r="53" spans="1:26" s="23" customFormat="1" hidden="1" outlineLevel="2" x14ac:dyDescent="0.25">
      <c r="A53" s="27"/>
      <c r="B53" s="10" t="str">
        <f>CONCATENATE("          ", "6321", " - ", "BUILDING DEPRECIATION")</f>
        <v xml:space="preserve">          6321 - BUILDING DEPRECIATION</v>
      </c>
      <c r="C53" s="10"/>
      <c r="D53" s="6">
        <v>5080.51</v>
      </c>
      <c r="E53" s="2"/>
      <c r="F53" s="7">
        <f t="shared" si="32"/>
        <v>97.890366088631993</v>
      </c>
      <c r="G53" s="2"/>
      <c r="H53" s="6">
        <v>5080.51</v>
      </c>
      <c r="I53" s="2"/>
      <c r="J53" s="7">
        <f t="shared" si="33"/>
        <v>112.12778636062681</v>
      </c>
      <c r="K53" s="2"/>
      <c r="L53" s="6">
        <f t="shared" si="34"/>
        <v>0</v>
      </c>
      <c r="M53" s="2"/>
      <c r="N53" s="7">
        <f t="shared" si="35"/>
        <v>0</v>
      </c>
      <c r="O53" s="10"/>
      <c r="P53" s="6">
        <v>50805.1</v>
      </c>
      <c r="Q53" s="2"/>
      <c r="R53" s="7">
        <f t="shared" si="36"/>
        <v>17.684133216379152</v>
      </c>
      <c r="S53" s="2"/>
      <c r="T53" s="6">
        <v>50805.1</v>
      </c>
      <c r="U53" s="2"/>
      <c r="V53" s="7">
        <f t="shared" si="37"/>
        <v>2.1485879470166912E-2</v>
      </c>
      <c r="W53" s="2"/>
      <c r="X53" s="6">
        <f t="shared" si="38"/>
        <v>0</v>
      </c>
      <c r="Y53" s="2"/>
      <c r="Z53" s="7">
        <f t="shared" si="39"/>
        <v>0</v>
      </c>
    </row>
    <row r="54" spans="1:26" s="23" customFormat="1" hidden="1" outlineLevel="2" x14ac:dyDescent="0.25">
      <c r="A54" s="27"/>
      <c r="B54" s="10" t="str">
        <f>CONCATENATE("          ", "6322", " - ", "EQUIPMENT DEPRECIATION EXPENSE")</f>
        <v xml:space="preserve">          6322 - EQUIPMENT DEPRECIATION EXPENSE</v>
      </c>
      <c r="C54" s="10"/>
      <c r="D54" s="6">
        <v>4071.58</v>
      </c>
      <c r="E54" s="2"/>
      <c r="F54" s="7">
        <f t="shared" si="32"/>
        <v>78.450481695568399</v>
      </c>
      <c r="G54" s="2"/>
      <c r="H54" s="6">
        <v>3910.22</v>
      </c>
      <c r="I54" s="2"/>
      <c r="J54" s="7">
        <f t="shared" si="33"/>
        <v>86.299271683954984</v>
      </c>
      <c r="K54" s="2"/>
      <c r="L54" s="6">
        <f t="shared" si="34"/>
        <v>161.36000000000013</v>
      </c>
      <c r="M54" s="2"/>
      <c r="N54" s="7">
        <f t="shared" si="35"/>
        <v>4.1266220314969522E-2</v>
      </c>
      <c r="O54" s="10"/>
      <c r="P54" s="6">
        <v>40897.08</v>
      </c>
      <c r="Q54" s="2"/>
      <c r="R54" s="7">
        <f t="shared" si="36"/>
        <v>14.235370285284658</v>
      </c>
      <c r="S54" s="2"/>
      <c r="T54" s="6">
        <v>34923.129999999997</v>
      </c>
      <c r="U54" s="2"/>
      <c r="V54" s="7">
        <f t="shared" si="37"/>
        <v>1.4769268477002705E-2</v>
      </c>
      <c r="W54" s="2"/>
      <c r="X54" s="6">
        <f t="shared" si="38"/>
        <v>5973.9500000000044</v>
      </c>
      <c r="Y54" s="2"/>
      <c r="Z54" s="7">
        <f t="shared" si="39"/>
        <v>0.17105998230971867</v>
      </c>
    </row>
    <row r="55" spans="1:26" s="26" customFormat="1" outlineLevel="1" collapsed="1" x14ac:dyDescent="0.25">
      <c r="A55" s="25"/>
      <c r="B55" s="12" t="str">
        <f>CONCATENATE("     ","Discounts and Markdowns                           ")</f>
        <v xml:space="preserve">     Discounts and Markdowns                           </v>
      </c>
      <c r="C55" s="12"/>
      <c r="D55" s="1">
        <f>SUM(OSRRefD22_6x_0)</f>
        <v>0</v>
      </c>
      <c r="E55" s="1"/>
      <c r="F55" s="5">
        <f t="shared" ref="F55:F74" si="40">IF(D$12=0,0,D55/D$12)</f>
        <v>0</v>
      </c>
      <c r="G55" s="1"/>
      <c r="H55" s="1">
        <f>SUM(OSRRefH22_6x_0)</f>
        <v>0</v>
      </c>
      <c r="I55" s="1"/>
      <c r="J55" s="5">
        <f t="shared" ref="J55:J74" si="41">IF(H$12=0,0,H55/H$12)</f>
        <v>0</v>
      </c>
      <c r="K55" s="1"/>
      <c r="L55" s="1">
        <f t="shared" ref="L55:L74" si="42">+D55-H55</f>
        <v>0</v>
      </c>
      <c r="M55" s="1"/>
      <c r="N55" s="5">
        <f t="shared" ref="N55:N74" si="43">IF(H55=0,0,L55/H55)</f>
        <v>0</v>
      </c>
      <c r="O55" s="12"/>
      <c r="P55" s="1">
        <f>SUM(OSRRefP22_6x_0)</f>
        <v>0</v>
      </c>
      <c r="Q55" s="1"/>
      <c r="R55" s="5">
        <f t="shared" ref="R55:R74" si="44">IF(P$12=0,0,P55/P$12)</f>
        <v>0</v>
      </c>
      <c r="S55" s="1"/>
      <c r="T55" s="1">
        <f>SUM(OSRRefT22_6x_0)</f>
        <v>125.87</v>
      </c>
      <c r="U55" s="1"/>
      <c r="V55" s="5">
        <f t="shared" ref="V55:V74" si="45">IF(T$12=0,0,T55/T$12)</f>
        <v>5.3231420643004531E-5</v>
      </c>
      <c r="W55" s="1"/>
      <c r="X55" s="1">
        <f t="shared" ref="X55:X74" si="46">+P55-T55</f>
        <v>-125.87</v>
      </c>
      <c r="Y55" s="1"/>
      <c r="Z55" s="5">
        <f t="shared" ref="Z55:Z74" si="47">IF(T55=0,0,X55/T55)</f>
        <v>-1</v>
      </c>
    </row>
    <row r="56" spans="1:26" s="23" customFormat="1" hidden="1" outlineLevel="2" x14ac:dyDescent="0.25">
      <c r="A56" s="27"/>
      <c r="B56" s="10" t="str">
        <f>CONCATENATE("          ", "6382", " - ", "DISCOUNTS/MARK DOWNS")</f>
        <v xml:space="preserve">          6382 - DISCOUNTS/MARK DOWNS</v>
      </c>
      <c r="C56" s="10"/>
      <c r="D56" s="6"/>
      <c r="E56" s="2"/>
      <c r="F56" s="7">
        <f t="shared" si="40"/>
        <v>0</v>
      </c>
      <c r="G56" s="2"/>
      <c r="H56" s="6"/>
      <c r="I56" s="2"/>
      <c r="J56" s="7">
        <f t="shared" si="41"/>
        <v>0</v>
      </c>
      <c r="K56" s="2"/>
      <c r="L56" s="6">
        <f t="shared" si="42"/>
        <v>0</v>
      </c>
      <c r="M56" s="2"/>
      <c r="N56" s="7">
        <f t="shared" si="43"/>
        <v>0</v>
      </c>
      <c r="O56" s="10"/>
      <c r="P56" s="6"/>
      <c r="Q56" s="2"/>
      <c r="R56" s="7">
        <f t="shared" si="44"/>
        <v>0</v>
      </c>
      <c r="S56" s="2"/>
      <c r="T56" s="6">
        <v>125.87</v>
      </c>
      <c r="U56" s="2"/>
      <c r="V56" s="7">
        <f t="shared" si="45"/>
        <v>5.3231420643004531E-5</v>
      </c>
      <c r="W56" s="2"/>
      <c r="X56" s="6">
        <f t="shared" si="46"/>
        <v>-125.87</v>
      </c>
      <c r="Y56" s="2"/>
      <c r="Z56" s="7">
        <f t="shared" si="47"/>
        <v>-1</v>
      </c>
    </row>
    <row r="57" spans="1:26" s="26" customFormat="1" outlineLevel="1" collapsed="1" x14ac:dyDescent="0.25">
      <c r="A57" s="25"/>
      <c r="B57" s="12" t="str">
        <f>CONCATENATE("     ","Employees' Appreciation                           ")</f>
        <v xml:space="preserve">     Employees' Appreciation                           </v>
      </c>
      <c r="C57" s="12"/>
      <c r="D57" s="1">
        <f>SUM(OSRRefD22_7x_0)</f>
        <v>0</v>
      </c>
      <c r="E57" s="1"/>
      <c r="F57" s="5">
        <f t="shared" si="40"/>
        <v>0</v>
      </c>
      <c r="G57" s="1"/>
      <c r="H57" s="1">
        <f>SUM(OSRRefH22_7x_0)</f>
        <v>0</v>
      </c>
      <c r="I57" s="1"/>
      <c r="J57" s="5">
        <f t="shared" si="41"/>
        <v>0</v>
      </c>
      <c r="K57" s="1"/>
      <c r="L57" s="1">
        <f t="shared" si="42"/>
        <v>0</v>
      </c>
      <c r="M57" s="1"/>
      <c r="N57" s="5">
        <f t="shared" si="43"/>
        <v>0</v>
      </c>
      <c r="O57" s="12"/>
      <c r="P57" s="1">
        <f>SUM(OSRRefP22_7x_0)</f>
        <v>0</v>
      </c>
      <c r="Q57" s="1"/>
      <c r="R57" s="5">
        <f t="shared" si="44"/>
        <v>0</v>
      </c>
      <c r="S57" s="1"/>
      <c r="T57" s="1">
        <f>SUM(OSRRefT22_7x_0)</f>
        <v>163.84</v>
      </c>
      <c r="U57" s="1"/>
      <c r="V57" s="5">
        <f t="shared" si="45"/>
        <v>6.9289234592435545E-5</v>
      </c>
      <c r="W57" s="1"/>
      <c r="X57" s="1">
        <f t="shared" si="46"/>
        <v>-163.84</v>
      </c>
      <c r="Y57" s="1"/>
      <c r="Z57" s="5">
        <f t="shared" si="47"/>
        <v>-1</v>
      </c>
    </row>
    <row r="58" spans="1:26" s="23" customFormat="1" hidden="1" outlineLevel="2" x14ac:dyDescent="0.25">
      <c r="A58" s="27"/>
      <c r="B58" s="10" t="str">
        <f>CONCATENATE("          ", "6277", " - ", "EMPLOYEE APPRECIATION")</f>
        <v xml:space="preserve">          6277 - EMPLOYEE APPRECIATION</v>
      </c>
      <c r="C58" s="10"/>
      <c r="D58" s="6"/>
      <c r="E58" s="2"/>
      <c r="F58" s="7">
        <f t="shared" si="40"/>
        <v>0</v>
      </c>
      <c r="G58" s="2"/>
      <c r="H58" s="6"/>
      <c r="I58" s="2"/>
      <c r="J58" s="7">
        <f t="shared" si="41"/>
        <v>0</v>
      </c>
      <c r="K58" s="2"/>
      <c r="L58" s="6">
        <f t="shared" si="42"/>
        <v>0</v>
      </c>
      <c r="M58" s="2"/>
      <c r="N58" s="7">
        <f t="shared" si="43"/>
        <v>0</v>
      </c>
      <c r="O58" s="10"/>
      <c r="P58" s="6"/>
      <c r="Q58" s="2"/>
      <c r="R58" s="7">
        <f t="shared" si="44"/>
        <v>0</v>
      </c>
      <c r="S58" s="2"/>
      <c r="T58" s="6">
        <v>163.84</v>
      </c>
      <c r="U58" s="2"/>
      <c r="V58" s="7">
        <f t="shared" si="45"/>
        <v>6.9289234592435545E-5</v>
      </c>
      <c r="W58" s="2"/>
      <c r="X58" s="6">
        <f t="shared" si="46"/>
        <v>-163.84</v>
      </c>
      <c r="Y58" s="2"/>
      <c r="Z58" s="7">
        <f t="shared" si="47"/>
        <v>-1</v>
      </c>
    </row>
    <row r="59" spans="1:26" s="26" customFormat="1" outlineLevel="1" collapsed="1" x14ac:dyDescent="0.25">
      <c r="A59" s="25"/>
      <c r="B59" s="12" t="str">
        <f>CONCATENATE("     ","Equipment Rental                                  ")</f>
        <v xml:space="preserve">     Equipment Rental                                  </v>
      </c>
      <c r="C59" s="12"/>
      <c r="D59" s="1">
        <f>SUM(OSRRefD22_8x_0)</f>
        <v>176.4</v>
      </c>
      <c r="E59" s="1"/>
      <c r="F59" s="5">
        <f t="shared" si="40"/>
        <v>3.3988439306358385</v>
      </c>
      <c r="G59" s="1"/>
      <c r="H59" s="1">
        <f>SUM(OSRRefH22_8x_0)</f>
        <v>36.270000000000003</v>
      </c>
      <c r="I59" s="1"/>
      <c r="J59" s="5">
        <f t="shared" si="41"/>
        <v>0.80048554403001559</v>
      </c>
      <c r="K59" s="1"/>
      <c r="L59" s="1">
        <f t="shared" si="42"/>
        <v>140.13</v>
      </c>
      <c r="M59" s="1"/>
      <c r="N59" s="5">
        <f t="shared" si="43"/>
        <v>3.8635235732009923</v>
      </c>
      <c r="O59" s="12"/>
      <c r="P59" s="1">
        <f>SUM(OSRRefP22_8x_0)</f>
        <v>617.35</v>
      </c>
      <c r="Q59" s="1"/>
      <c r="R59" s="5">
        <f t="shared" si="44"/>
        <v>0.21488590005986941</v>
      </c>
      <c r="S59" s="1"/>
      <c r="T59" s="1">
        <f>SUM(OSRRefT22_8x_0)</f>
        <v>949.85</v>
      </c>
      <c r="U59" s="1"/>
      <c r="V59" s="5">
        <f t="shared" si="45"/>
        <v>4.0169909349136292E-4</v>
      </c>
      <c r="W59" s="1"/>
      <c r="X59" s="1">
        <f t="shared" si="46"/>
        <v>-332.5</v>
      </c>
      <c r="Y59" s="1"/>
      <c r="Z59" s="5">
        <f t="shared" si="47"/>
        <v>-0.35005527188503449</v>
      </c>
    </row>
    <row r="60" spans="1:26" s="23" customFormat="1" hidden="1" outlineLevel="2" x14ac:dyDescent="0.25">
      <c r="A60" s="27"/>
      <c r="B60" s="10" t="str">
        <f>CONCATENATE("          ", "6351", " - ", "EQUIPMENT RENTAL")</f>
        <v xml:space="preserve">          6351 - EQUIPMENT RENTAL</v>
      </c>
      <c r="C60" s="10"/>
      <c r="D60" s="6">
        <v>176.4</v>
      </c>
      <c r="E60" s="2"/>
      <c r="F60" s="7">
        <f t="shared" si="40"/>
        <v>3.3988439306358385</v>
      </c>
      <c r="G60" s="2"/>
      <c r="H60" s="6">
        <v>36.270000000000003</v>
      </c>
      <c r="I60" s="2"/>
      <c r="J60" s="7">
        <f t="shared" si="41"/>
        <v>0.80048554403001559</v>
      </c>
      <c r="K60" s="2"/>
      <c r="L60" s="6">
        <f t="shared" si="42"/>
        <v>140.13</v>
      </c>
      <c r="M60" s="2"/>
      <c r="N60" s="7">
        <f t="shared" si="43"/>
        <v>3.8635235732009923</v>
      </c>
      <c r="O60" s="10"/>
      <c r="P60" s="6">
        <v>617.35</v>
      </c>
      <c r="Q60" s="2"/>
      <c r="R60" s="7">
        <f t="shared" si="44"/>
        <v>0.21488590005986941</v>
      </c>
      <c r="S60" s="2"/>
      <c r="T60" s="6">
        <v>949.85</v>
      </c>
      <c r="U60" s="2"/>
      <c r="V60" s="7">
        <f t="shared" si="45"/>
        <v>4.0169909349136292E-4</v>
      </c>
      <c r="W60" s="2"/>
      <c r="X60" s="6">
        <f t="shared" si="46"/>
        <v>-332.5</v>
      </c>
      <c r="Y60" s="2"/>
      <c r="Z60" s="7">
        <f t="shared" si="47"/>
        <v>-0.35005527188503449</v>
      </c>
    </row>
    <row r="61" spans="1:26" s="26" customFormat="1" outlineLevel="1" collapsed="1" x14ac:dyDescent="0.25">
      <c r="A61" s="25"/>
      <c r="B61" s="12" t="str">
        <f>CONCATENATE("     ","Freight out/Postage                               ")</f>
        <v xml:space="preserve">     Freight out/Postage                               </v>
      </c>
      <c r="C61" s="12"/>
      <c r="D61" s="1">
        <f>SUM(OSRRefD22_9x_0)</f>
        <v>30.28</v>
      </c>
      <c r="E61" s="1"/>
      <c r="F61" s="5">
        <f t="shared" si="40"/>
        <v>0.58342967244701349</v>
      </c>
      <c r="G61" s="1"/>
      <c r="H61" s="1">
        <f>SUM(OSRRefH22_9x_0)</f>
        <v>20.010000000000002</v>
      </c>
      <c r="I61" s="1"/>
      <c r="J61" s="5">
        <f t="shared" si="41"/>
        <v>0.44162436548223361</v>
      </c>
      <c r="K61" s="1"/>
      <c r="L61" s="1">
        <f t="shared" si="42"/>
        <v>10.27</v>
      </c>
      <c r="M61" s="1"/>
      <c r="N61" s="5">
        <f t="shared" si="43"/>
        <v>0.51324337831084454</v>
      </c>
      <c r="O61" s="12"/>
      <c r="P61" s="1">
        <f>SUM(OSRRefP22_9x_0)</f>
        <v>280.10000000000002</v>
      </c>
      <c r="Q61" s="1"/>
      <c r="R61" s="5">
        <f t="shared" si="44"/>
        <v>9.749662364423653E-2</v>
      </c>
      <c r="S61" s="1"/>
      <c r="T61" s="1">
        <f>SUM(OSRRefT22_9x_0)</f>
        <v>331.18</v>
      </c>
      <c r="U61" s="1"/>
      <c r="V61" s="5">
        <f t="shared" si="45"/>
        <v>1.4005864692579837E-4</v>
      </c>
      <c r="W61" s="1"/>
      <c r="X61" s="1">
        <f t="shared" si="46"/>
        <v>-51.079999999999984</v>
      </c>
      <c r="Y61" s="1"/>
      <c r="Z61" s="5">
        <f t="shared" si="47"/>
        <v>-0.15423636693037013</v>
      </c>
    </row>
    <row r="62" spans="1:26" s="23" customFormat="1" hidden="1" outlineLevel="2" x14ac:dyDescent="0.25">
      <c r="A62" s="27"/>
      <c r="B62" s="10" t="str">
        <f>CONCATENATE("          ", "6305", " - ", "FREIGHT OUT")</f>
        <v xml:space="preserve">          6305 - FREIGHT OUT</v>
      </c>
      <c r="C62" s="10"/>
      <c r="D62" s="6">
        <v>30.28</v>
      </c>
      <c r="E62" s="2"/>
      <c r="F62" s="7">
        <f t="shared" si="40"/>
        <v>0.58342967244701349</v>
      </c>
      <c r="G62" s="2"/>
      <c r="H62" s="6">
        <v>20.010000000000002</v>
      </c>
      <c r="I62" s="2"/>
      <c r="J62" s="7">
        <f t="shared" si="41"/>
        <v>0.44162436548223361</v>
      </c>
      <c r="K62" s="2"/>
      <c r="L62" s="6">
        <f t="shared" si="42"/>
        <v>10.27</v>
      </c>
      <c r="M62" s="2"/>
      <c r="N62" s="7">
        <f t="shared" si="43"/>
        <v>0.51324337831084454</v>
      </c>
      <c r="O62" s="10"/>
      <c r="P62" s="6">
        <v>280.10000000000002</v>
      </c>
      <c r="Q62" s="2"/>
      <c r="R62" s="7">
        <f t="shared" si="44"/>
        <v>9.749662364423653E-2</v>
      </c>
      <c r="S62" s="2"/>
      <c r="T62" s="6">
        <v>331.18</v>
      </c>
      <c r="U62" s="2"/>
      <c r="V62" s="7">
        <f t="shared" si="45"/>
        <v>1.4005864692579837E-4</v>
      </c>
      <c r="W62" s="2"/>
      <c r="X62" s="6">
        <f t="shared" si="46"/>
        <v>-51.079999999999984</v>
      </c>
      <c r="Y62" s="2"/>
      <c r="Z62" s="7">
        <f t="shared" si="47"/>
        <v>-0.15423636693037013</v>
      </c>
    </row>
    <row r="63" spans="1:26" s="26" customFormat="1" outlineLevel="1" collapsed="1" x14ac:dyDescent="0.25">
      <c r="A63" s="25"/>
      <c r="B63" s="12" t="str">
        <f>CONCATENATE("     ","General                                           ")</f>
        <v xml:space="preserve">     General                                           </v>
      </c>
      <c r="C63" s="12"/>
      <c r="D63" s="1">
        <f>SUM(OSRRefD22_10x_0)</f>
        <v>120</v>
      </c>
      <c r="E63" s="1"/>
      <c r="F63" s="5">
        <f t="shared" si="40"/>
        <v>2.3121387283236996</v>
      </c>
      <c r="G63" s="1"/>
      <c r="H63" s="1">
        <f>SUM(OSRRefH22_10x_0)</f>
        <v>0</v>
      </c>
      <c r="I63" s="1"/>
      <c r="J63" s="5">
        <f t="shared" si="41"/>
        <v>0</v>
      </c>
      <c r="K63" s="1"/>
      <c r="L63" s="1">
        <f t="shared" si="42"/>
        <v>120</v>
      </c>
      <c r="M63" s="1"/>
      <c r="N63" s="5">
        <f t="shared" si="43"/>
        <v>0</v>
      </c>
      <c r="O63" s="12"/>
      <c r="P63" s="1">
        <f>SUM(OSRRefP22_10x_0)</f>
        <v>3554.86</v>
      </c>
      <c r="Q63" s="1"/>
      <c r="R63" s="5">
        <f t="shared" si="44"/>
        <v>1.2373682525096417</v>
      </c>
      <c r="S63" s="1"/>
      <c r="T63" s="1">
        <f>SUM(OSRRefT22_10x_0)</f>
        <v>10781.14</v>
      </c>
      <c r="U63" s="1"/>
      <c r="V63" s="5">
        <f t="shared" si="45"/>
        <v>4.559429557091617E-3</v>
      </c>
      <c r="W63" s="1"/>
      <c r="X63" s="1">
        <f t="shared" si="46"/>
        <v>-7226.2799999999988</v>
      </c>
      <c r="Y63" s="1"/>
      <c r="Z63" s="5">
        <f t="shared" si="47"/>
        <v>-0.67027049087573287</v>
      </c>
    </row>
    <row r="64" spans="1:26" s="23" customFormat="1" hidden="1" outlineLevel="2" x14ac:dyDescent="0.25">
      <c r="A64" s="27"/>
      <c r="B64" s="10" t="str">
        <f>CONCATENATE("          ", "6279", " - ", "GENERAL EXPENSE")</f>
        <v xml:space="preserve">          6279 - GENERAL EXPENSE</v>
      </c>
      <c r="C64" s="10"/>
      <c r="D64" s="6">
        <v>120</v>
      </c>
      <c r="E64" s="2"/>
      <c r="F64" s="7">
        <f t="shared" si="40"/>
        <v>2.3121387283236996</v>
      </c>
      <c r="G64" s="2"/>
      <c r="H64" s="6"/>
      <c r="I64" s="2"/>
      <c r="J64" s="7">
        <f t="shared" si="41"/>
        <v>0</v>
      </c>
      <c r="K64" s="2"/>
      <c r="L64" s="6">
        <f t="shared" si="42"/>
        <v>120</v>
      </c>
      <c r="M64" s="2"/>
      <c r="N64" s="7">
        <f t="shared" si="43"/>
        <v>0</v>
      </c>
      <c r="O64" s="10"/>
      <c r="P64" s="6">
        <v>3554.86</v>
      </c>
      <c r="Q64" s="2"/>
      <c r="R64" s="7">
        <f t="shared" si="44"/>
        <v>1.2373682525096417</v>
      </c>
      <c r="S64" s="2"/>
      <c r="T64" s="6">
        <v>10781.14</v>
      </c>
      <c r="U64" s="2"/>
      <c r="V64" s="7">
        <f t="shared" si="45"/>
        <v>4.559429557091617E-3</v>
      </c>
      <c r="W64" s="2"/>
      <c r="X64" s="6">
        <f t="shared" si="46"/>
        <v>-7226.2799999999988</v>
      </c>
      <c r="Y64" s="2"/>
      <c r="Z64" s="7">
        <f t="shared" si="47"/>
        <v>-0.67027049087573287</v>
      </c>
    </row>
    <row r="65" spans="1:26" s="26" customFormat="1" outlineLevel="1" collapsed="1" x14ac:dyDescent="0.25">
      <c r="A65" s="25"/>
      <c r="B65" s="12" t="str">
        <f>CONCATENATE("     ","Insurance                                         ")</f>
        <v xml:space="preserve">     Insurance                                         </v>
      </c>
      <c r="C65" s="12"/>
      <c r="D65" s="1">
        <f>SUM(OSRRefD22_11x_0)</f>
        <v>243.54</v>
      </c>
      <c r="E65" s="1"/>
      <c r="F65" s="5">
        <f t="shared" si="40"/>
        <v>4.6924855491329476</v>
      </c>
      <c r="G65" s="1"/>
      <c r="H65" s="1">
        <f>SUM(OSRRefH22_11x_0)</f>
        <v>243.54</v>
      </c>
      <c r="I65" s="1"/>
      <c r="J65" s="5">
        <f t="shared" si="41"/>
        <v>5.3749724122710223</v>
      </c>
      <c r="K65" s="1"/>
      <c r="L65" s="1">
        <f t="shared" si="42"/>
        <v>0</v>
      </c>
      <c r="M65" s="1"/>
      <c r="N65" s="5">
        <f t="shared" si="43"/>
        <v>0</v>
      </c>
      <c r="O65" s="12"/>
      <c r="P65" s="1">
        <f>SUM(OSRRefP22_11x_0)</f>
        <v>2435.4</v>
      </c>
      <c r="Q65" s="1"/>
      <c r="R65" s="5">
        <f t="shared" si="44"/>
        <v>0.84770895117163025</v>
      </c>
      <c r="S65" s="1"/>
      <c r="T65" s="1">
        <f>SUM(OSRRefT22_11x_0)</f>
        <v>2435.4</v>
      </c>
      <c r="U65" s="1"/>
      <c r="V65" s="5">
        <f t="shared" si="45"/>
        <v>1.0299499629297946E-3</v>
      </c>
      <c r="W65" s="1"/>
      <c r="X65" s="1">
        <f t="shared" si="46"/>
        <v>0</v>
      </c>
      <c r="Y65" s="1"/>
      <c r="Z65" s="5">
        <f t="shared" si="47"/>
        <v>0</v>
      </c>
    </row>
    <row r="66" spans="1:26" s="23" customFormat="1" hidden="1" outlineLevel="2" x14ac:dyDescent="0.25">
      <c r="A66" s="27"/>
      <c r="B66" s="10" t="str">
        <f>CONCATENATE("          ", "6314", " - ", "LIABILITY INSURANCE")</f>
        <v xml:space="preserve">          6314 - LIABILITY INSURANCE</v>
      </c>
      <c r="C66" s="10"/>
      <c r="D66" s="6">
        <v>243.54</v>
      </c>
      <c r="E66" s="2"/>
      <c r="F66" s="7">
        <f t="shared" si="40"/>
        <v>4.6924855491329476</v>
      </c>
      <c r="G66" s="2"/>
      <c r="H66" s="6">
        <v>243.54</v>
      </c>
      <c r="I66" s="2"/>
      <c r="J66" s="7">
        <f t="shared" si="41"/>
        <v>5.3749724122710223</v>
      </c>
      <c r="K66" s="2"/>
      <c r="L66" s="6">
        <f t="shared" si="42"/>
        <v>0</v>
      </c>
      <c r="M66" s="2"/>
      <c r="N66" s="7">
        <f t="shared" si="43"/>
        <v>0</v>
      </c>
      <c r="O66" s="10"/>
      <c r="P66" s="6">
        <v>2435.4</v>
      </c>
      <c r="Q66" s="2"/>
      <c r="R66" s="7">
        <f t="shared" si="44"/>
        <v>0.84770895117163025</v>
      </c>
      <c r="S66" s="2"/>
      <c r="T66" s="6">
        <v>2435.4</v>
      </c>
      <c r="U66" s="2"/>
      <c r="V66" s="7">
        <f t="shared" si="45"/>
        <v>1.0299499629297946E-3</v>
      </c>
      <c r="W66" s="2"/>
      <c r="X66" s="6">
        <f t="shared" si="46"/>
        <v>0</v>
      </c>
      <c r="Y66" s="2"/>
      <c r="Z66" s="7">
        <f t="shared" si="47"/>
        <v>0</v>
      </c>
    </row>
    <row r="67" spans="1:26" s="26" customFormat="1" outlineLevel="1" collapsed="1" x14ac:dyDescent="0.25">
      <c r="A67" s="25"/>
      <c r="B67" s="12" t="str">
        <f>CONCATENATE("     ","Interest                                          ")</f>
        <v xml:space="preserve">     Interest                                          </v>
      </c>
      <c r="C67" s="12"/>
      <c r="D67" s="1">
        <f>SUM(OSRRefD22_12x_0)</f>
        <v>3213</v>
      </c>
      <c r="E67" s="1"/>
      <c r="F67" s="5">
        <f t="shared" si="40"/>
        <v>61.907514450867055</v>
      </c>
      <c r="G67" s="1"/>
      <c r="H67" s="1">
        <f>SUM(OSRRefH22_12x_0)</f>
        <v>3124.82</v>
      </c>
      <c r="I67" s="1"/>
      <c r="J67" s="5">
        <f t="shared" si="41"/>
        <v>68.96534981240346</v>
      </c>
      <c r="K67" s="1"/>
      <c r="L67" s="1">
        <f t="shared" si="42"/>
        <v>88.179999999999836</v>
      </c>
      <c r="M67" s="1"/>
      <c r="N67" s="5">
        <f t="shared" si="43"/>
        <v>2.8219225427384562E-2</v>
      </c>
      <c r="O67" s="12"/>
      <c r="P67" s="1">
        <f>SUM(OSRRefP22_12x_0)</f>
        <v>39346.85</v>
      </c>
      <c r="Q67" s="1"/>
      <c r="R67" s="5">
        <f t="shared" si="44"/>
        <v>13.695769461036157</v>
      </c>
      <c r="S67" s="1"/>
      <c r="T67" s="1">
        <f>SUM(OSRRefT22_12x_0)</f>
        <v>40493.769999999997</v>
      </c>
      <c r="U67" s="1"/>
      <c r="V67" s="5">
        <f t="shared" si="45"/>
        <v>1.7125136285779594E-2</v>
      </c>
      <c r="W67" s="1"/>
      <c r="X67" s="1">
        <f t="shared" si="46"/>
        <v>-1146.9199999999983</v>
      </c>
      <c r="Y67" s="1"/>
      <c r="Z67" s="5">
        <f t="shared" si="47"/>
        <v>-2.8323369249146187E-2</v>
      </c>
    </row>
    <row r="68" spans="1:26" s="23" customFormat="1" hidden="1" outlineLevel="2" x14ac:dyDescent="0.25">
      <c r="A68" s="27"/>
      <c r="B68" s="10" t="str">
        <f>CONCATENATE("          ", "6401", " - ", "INTEREST EXPENSE")</f>
        <v xml:space="preserve">          6401 - INTEREST EXPENSE</v>
      </c>
      <c r="C68" s="10"/>
      <c r="D68" s="6">
        <v>3213</v>
      </c>
      <c r="E68" s="2"/>
      <c r="F68" s="7">
        <f t="shared" si="40"/>
        <v>61.907514450867055</v>
      </c>
      <c r="G68" s="2"/>
      <c r="H68" s="6">
        <v>3124.82</v>
      </c>
      <c r="I68" s="2"/>
      <c r="J68" s="7">
        <f t="shared" si="41"/>
        <v>68.96534981240346</v>
      </c>
      <c r="K68" s="2"/>
      <c r="L68" s="6">
        <f t="shared" si="42"/>
        <v>88.179999999999836</v>
      </c>
      <c r="M68" s="2"/>
      <c r="N68" s="7">
        <f t="shared" si="43"/>
        <v>2.8219225427384562E-2</v>
      </c>
      <c r="O68" s="10"/>
      <c r="P68" s="6">
        <v>39346.85</v>
      </c>
      <c r="Q68" s="2"/>
      <c r="R68" s="7">
        <f t="shared" si="44"/>
        <v>13.695769461036157</v>
      </c>
      <c r="S68" s="2"/>
      <c r="T68" s="6">
        <v>40493.769999999997</v>
      </c>
      <c r="U68" s="2"/>
      <c r="V68" s="7">
        <f t="shared" si="45"/>
        <v>1.7125136285779594E-2</v>
      </c>
      <c r="W68" s="2"/>
      <c r="X68" s="6">
        <f t="shared" si="46"/>
        <v>-1146.9199999999983</v>
      </c>
      <c r="Y68" s="2"/>
      <c r="Z68" s="7">
        <f t="shared" si="47"/>
        <v>-2.8323369249146187E-2</v>
      </c>
    </row>
    <row r="69" spans="1:26" s="26" customFormat="1" outlineLevel="1" collapsed="1" x14ac:dyDescent="0.25">
      <c r="A69" s="25"/>
      <c r="B69" s="12" t="str">
        <f>CONCATENATE("     ","Rent                                              ")</f>
        <v xml:space="preserve">     Rent                                              </v>
      </c>
      <c r="C69" s="12"/>
      <c r="D69" s="1">
        <f>SUM(OSRRefD22_13x_0)</f>
        <v>0</v>
      </c>
      <c r="E69" s="1"/>
      <c r="F69" s="5">
        <f t="shared" si="40"/>
        <v>0</v>
      </c>
      <c r="G69" s="1"/>
      <c r="H69" s="1">
        <f>SUM(OSRRefH22_13x_0)</f>
        <v>1150</v>
      </c>
      <c r="I69" s="1"/>
      <c r="J69" s="5">
        <f t="shared" si="41"/>
        <v>25.38071065989848</v>
      </c>
      <c r="K69" s="1"/>
      <c r="L69" s="1">
        <f t="shared" si="42"/>
        <v>-1150</v>
      </c>
      <c r="M69" s="1"/>
      <c r="N69" s="5">
        <f t="shared" si="43"/>
        <v>-1</v>
      </c>
      <c r="O69" s="12"/>
      <c r="P69" s="1">
        <f>SUM(OSRRefP22_13x_0)</f>
        <v>0</v>
      </c>
      <c r="Q69" s="1"/>
      <c r="R69" s="5">
        <f t="shared" si="44"/>
        <v>0</v>
      </c>
      <c r="S69" s="1"/>
      <c r="T69" s="1">
        <f>SUM(OSRRefT22_13x_0)</f>
        <v>11500</v>
      </c>
      <c r="U69" s="1"/>
      <c r="V69" s="5">
        <f t="shared" si="45"/>
        <v>4.8634411487610395E-3</v>
      </c>
      <c r="W69" s="1"/>
      <c r="X69" s="1">
        <f t="shared" si="46"/>
        <v>-11500</v>
      </c>
      <c r="Y69" s="1"/>
      <c r="Z69" s="5">
        <f t="shared" si="47"/>
        <v>-1</v>
      </c>
    </row>
    <row r="70" spans="1:26" s="23" customFormat="1" hidden="1" outlineLevel="2" x14ac:dyDescent="0.25">
      <c r="A70" s="27"/>
      <c r="B70" s="10" t="str">
        <f>CONCATENATE("          ", "6273", " - ", "RENT")</f>
        <v xml:space="preserve">          6273 - RENT</v>
      </c>
      <c r="C70" s="10"/>
      <c r="D70" s="6"/>
      <c r="E70" s="2"/>
      <c r="F70" s="7">
        <f t="shared" si="40"/>
        <v>0</v>
      </c>
      <c r="G70" s="2"/>
      <c r="H70" s="6">
        <v>1150</v>
      </c>
      <c r="I70" s="2"/>
      <c r="J70" s="7">
        <f t="shared" si="41"/>
        <v>25.38071065989848</v>
      </c>
      <c r="K70" s="2"/>
      <c r="L70" s="6">
        <f t="shared" si="42"/>
        <v>-1150</v>
      </c>
      <c r="M70" s="2"/>
      <c r="N70" s="7">
        <f t="shared" si="43"/>
        <v>-1</v>
      </c>
      <c r="O70" s="10"/>
      <c r="P70" s="6"/>
      <c r="Q70" s="2"/>
      <c r="R70" s="7">
        <f t="shared" si="44"/>
        <v>0</v>
      </c>
      <c r="S70" s="2"/>
      <c r="T70" s="6">
        <v>11500</v>
      </c>
      <c r="U70" s="2"/>
      <c r="V70" s="7">
        <f t="shared" si="45"/>
        <v>4.8634411487610395E-3</v>
      </c>
      <c r="W70" s="2"/>
      <c r="X70" s="6">
        <f t="shared" si="46"/>
        <v>-11500</v>
      </c>
      <c r="Y70" s="2"/>
      <c r="Z70" s="7">
        <f t="shared" si="47"/>
        <v>-1</v>
      </c>
    </row>
    <row r="71" spans="1:26" s="26" customFormat="1" outlineLevel="1" collapsed="1" x14ac:dyDescent="0.25">
      <c r="A71" s="25"/>
      <c r="B71" s="12" t="str">
        <f>CONCATENATE("     ","Repair and Maintenance                            ")</f>
        <v xml:space="preserve">     Repair and Maintenance                            </v>
      </c>
      <c r="C71" s="12"/>
      <c r="D71" s="1">
        <f>SUM(OSRRefD22_14x_0)</f>
        <v>0</v>
      </c>
      <c r="E71" s="1"/>
      <c r="F71" s="5">
        <f t="shared" si="40"/>
        <v>0</v>
      </c>
      <c r="G71" s="1"/>
      <c r="H71" s="1">
        <f>SUM(OSRRefH22_14x_0)</f>
        <v>180</v>
      </c>
      <c r="I71" s="1"/>
      <c r="J71" s="5">
        <f t="shared" si="41"/>
        <v>3.9726329728536749</v>
      </c>
      <c r="K71" s="1"/>
      <c r="L71" s="1">
        <f t="shared" si="42"/>
        <v>-180</v>
      </c>
      <c r="M71" s="1"/>
      <c r="N71" s="5">
        <f t="shared" si="43"/>
        <v>-1</v>
      </c>
      <c r="O71" s="12"/>
      <c r="P71" s="1">
        <f>SUM(OSRRefP22_14x_0)</f>
        <v>2826.3</v>
      </c>
      <c r="Q71" s="1"/>
      <c r="R71" s="5">
        <f t="shared" si="44"/>
        <v>0.98377260766049879</v>
      </c>
      <c r="S71" s="1"/>
      <c r="T71" s="1">
        <f>SUM(OSRRefT22_14x_0)</f>
        <v>17512.91</v>
      </c>
      <c r="U71" s="1"/>
      <c r="V71" s="5">
        <f t="shared" si="45"/>
        <v>7.4063484459607563E-3</v>
      </c>
      <c r="W71" s="1"/>
      <c r="X71" s="1">
        <f t="shared" si="46"/>
        <v>-14686.61</v>
      </c>
      <c r="Y71" s="1"/>
      <c r="Z71" s="5">
        <f t="shared" si="47"/>
        <v>-0.83861619799336606</v>
      </c>
    </row>
    <row r="72" spans="1:26" s="23" customFormat="1" hidden="1" outlineLevel="2" x14ac:dyDescent="0.25">
      <c r="A72" s="27"/>
      <c r="B72" s="10" t="str">
        <f>CONCATENATE("          ", "6371", " - ", "COMPUTER SOFTWARE MAINTENANCE")</f>
        <v xml:space="preserve">          6371 - COMPUTER SOFTWARE MAINTENANCE</v>
      </c>
      <c r="C72" s="10"/>
      <c r="D72" s="6"/>
      <c r="E72" s="2"/>
      <c r="F72" s="7">
        <f t="shared" si="40"/>
        <v>0</v>
      </c>
      <c r="G72" s="2"/>
      <c r="H72" s="6"/>
      <c r="I72" s="2"/>
      <c r="J72" s="7">
        <f t="shared" si="41"/>
        <v>0</v>
      </c>
      <c r="K72" s="2"/>
      <c r="L72" s="6">
        <f t="shared" si="42"/>
        <v>0</v>
      </c>
      <c r="M72" s="2"/>
      <c r="N72" s="7">
        <f t="shared" si="43"/>
        <v>0</v>
      </c>
      <c r="O72" s="10"/>
      <c r="P72" s="6"/>
      <c r="Q72" s="2"/>
      <c r="R72" s="7">
        <f t="shared" si="44"/>
        <v>0</v>
      </c>
      <c r="S72" s="2"/>
      <c r="T72" s="6">
        <v>1311.93</v>
      </c>
      <c r="U72" s="2"/>
      <c r="V72" s="7">
        <f t="shared" si="45"/>
        <v>5.5482559532991926E-4</v>
      </c>
      <c r="W72" s="2"/>
      <c r="X72" s="6">
        <f t="shared" si="46"/>
        <v>-1311.93</v>
      </c>
      <c r="Y72" s="2"/>
      <c r="Z72" s="7">
        <f t="shared" si="47"/>
        <v>-1</v>
      </c>
    </row>
    <row r="73" spans="1:26" s="23" customFormat="1" hidden="1" outlineLevel="2" x14ac:dyDescent="0.25">
      <c r="A73" s="27"/>
      <c r="B73" s="10" t="str">
        <f>CONCATENATE("          ", "6373", " - ", "MAINTENANCE CONTRACTS")</f>
        <v xml:space="preserve">          6373 - MAINTENANCE CONTRACTS</v>
      </c>
      <c r="C73" s="10"/>
      <c r="D73" s="6"/>
      <c r="E73" s="2"/>
      <c r="F73" s="7">
        <f t="shared" si="40"/>
        <v>0</v>
      </c>
      <c r="G73" s="2"/>
      <c r="H73" s="6"/>
      <c r="I73" s="2"/>
      <c r="J73" s="7">
        <f t="shared" si="41"/>
        <v>0</v>
      </c>
      <c r="K73" s="2"/>
      <c r="L73" s="6">
        <f t="shared" si="42"/>
        <v>0</v>
      </c>
      <c r="M73" s="2"/>
      <c r="N73" s="7">
        <f t="shared" si="43"/>
        <v>0</v>
      </c>
      <c r="O73" s="10"/>
      <c r="P73" s="6">
        <v>1258.05</v>
      </c>
      <c r="Q73" s="2"/>
      <c r="R73" s="7">
        <f t="shared" si="44"/>
        <v>0.43789941940603982</v>
      </c>
      <c r="S73" s="2"/>
      <c r="T73" s="6">
        <v>884.07</v>
      </c>
      <c r="U73" s="2"/>
      <c r="V73" s="7">
        <f t="shared" si="45"/>
        <v>3.7388021012044979E-4</v>
      </c>
      <c r="W73" s="2"/>
      <c r="X73" s="6">
        <f t="shared" si="46"/>
        <v>373.9799999999999</v>
      </c>
      <c r="Y73" s="2"/>
      <c r="Z73" s="7">
        <f t="shared" si="47"/>
        <v>0.42302080152024146</v>
      </c>
    </row>
    <row r="74" spans="1:26" s="23" customFormat="1" hidden="1" outlineLevel="2" x14ac:dyDescent="0.25">
      <c r="A74" s="27"/>
      <c r="B74" s="10" t="str">
        <f>CONCATENATE("          ", "6375", " - ", "OUTSIDE REPAIRS &amp; MAINTENANCE")</f>
        <v xml:space="preserve">          6375 - OUTSIDE REPAIRS &amp; MAINTENANCE</v>
      </c>
      <c r="C74" s="10"/>
      <c r="D74" s="6"/>
      <c r="E74" s="2"/>
      <c r="F74" s="7">
        <f t="shared" si="40"/>
        <v>0</v>
      </c>
      <c r="G74" s="2"/>
      <c r="H74" s="6">
        <v>180</v>
      </c>
      <c r="I74" s="2"/>
      <c r="J74" s="7">
        <f t="shared" si="41"/>
        <v>3.9726329728536749</v>
      </c>
      <c r="K74" s="2"/>
      <c r="L74" s="6">
        <f t="shared" si="42"/>
        <v>-180</v>
      </c>
      <c r="M74" s="2"/>
      <c r="N74" s="7">
        <f t="shared" si="43"/>
        <v>-1</v>
      </c>
      <c r="O74" s="10"/>
      <c r="P74" s="6">
        <v>1568.25</v>
      </c>
      <c r="Q74" s="2"/>
      <c r="R74" s="7">
        <f t="shared" si="44"/>
        <v>0.54587318825445885</v>
      </c>
      <c r="S74" s="2"/>
      <c r="T74" s="6">
        <v>15316.91</v>
      </c>
      <c r="U74" s="2"/>
      <c r="V74" s="7">
        <f t="shared" si="45"/>
        <v>6.4776426405103874E-3</v>
      </c>
      <c r="W74" s="2"/>
      <c r="X74" s="6">
        <f t="shared" si="46"/>
        <v>-13748.66</v>
      </c>
      <c r="Y74" s="2"/>
      <c r="Z74" s="7">
        <f t="shared" si="47"/>
        <v>-0.89761316087905463</v>
      </c>
    </row>
    <row r="75" spans="1:26" s="26" customFormat="1" outlineLevel="1" collapsed="1" x14ac:dyDescent="0.25">
      <c r="A75" s="25"/>
      <c r="B75" s="12" t="str">
        <f>CONCATENATE("     ","Royalty &amp; Commissions                             ")</f>
        <v xml:space="preserve">     Royalty &amp; Commissions                             </v>
      </c>
      <c r="C75" s="12"/>
      <c r="D75" s="1">
        <f>SUM(OSRRefD22_15x_0)</f>
        <v>0</v>
      </c>
      <c r="E75" s="1"/>
      <c r="F75" s="5">
        <f t="shared" ref="F75:F81" si="48">IF(D$12=0,0,D75/D$12)</f>
        <v>0</v>
      </c>
      <c r="G75" s="1"/>
      <c r="H75" s="1">
        <f>SUM(OSRRefH22_15x_0)</f>
        <v>0</v>
      </c>
      <c r="I75" s="1"/>
      <c r="J75" s="5">
        <f t="shared" ref="J75:J81" si="49">IF(H$12=0,0,H75/H$12)</f>
        <v>0</v>
      </c>
      <c r="K75" s="1"/>
      <c r="L75" s="1">
        <f t="shared" ref="L75:L81" si="50">+D75-H75</f>
        <v>0</v>
      </c>
      <c r="M75" s="1"/>
      <c r="N75" s="5">
        <f t="shared" ref="N75:N81" si="51">IF(H75=0,0,L75/H75)</f>
        <v>0</v>
      </c>
      <c r="O75" s="12"/>
      <c r="P75" s="1">
        <f>SUM(OSRRefP22_15x_0)</f>
        <v>185.7</v>
      </c>
      <c r="Q75" s="1"/>
      <c r="R75" s="5">
        <f t="shared" ref="R75:R81" si="52">IF(P$12=0,0,P75/P$12)</f>
        <v>6.4638068585272115E-2</v>
      </c>
      <c r="S75" s="1"/>
      <c r="T75" s="1">
        <f>SUM(OSRRefT22_15x_0)</f>
        <v>24556.14</v>
      </c>
      <c r="U75" s="1"/>
      <c r="V75" s="5">
        <f t="shared" ref="V75:V81" si="53">IF(T$12=0,0,T75/T$12)</f>
        <v>1.0384986237455384E-2</v>
      </c>
      <c r="W75" s="1"/>
      <c r="X75" s="1">
        <f t="shared" ref="X75:X81" si="54">+P75-T75</f>
        <v>-24370.44</v>
      </c>
      <c r="Y75" s="1"/>
      <c r="Z75" s="5">
        <f t="shared" ref="Z75:Z81" si="55">IF(T75=0,0,X75/T75)</f>
        <v>-0.99243773654979972</v>
      </c>
    </row>
    <row r="76" spans="1:26" s="23" customFormat="1" hidden="1" outlineLevel="2" x14ac:dyDescent="0.25">
      <c r="A76" s="27"/>
      <c r="B76" s="10" t="str">
        <f>CONCATENATE("          ", "6254", " - ", "ROYALTY &amp; COMMISSIONS")</f>
        <v xml:space="preserve">          6254 - ROYALTY &amp; COMMISSIONS</v>
      </c>
      <c r="C76" s="10"/>
      <c r="D76" s="6"/>
      <c r="E76" s="2"/>
      <c r="F76" s="7">
        <f t="shared" si="48"/>
        <v>0</v>
      </c>
      <c r="G76" s="2"/>
      <c r="H76" s="6"/>
      <c r="I76" s="2"/>
      <c r="J76" s="7">
        <f t="shared" si="49"/>
        <v>0</v>
      </c>
      <c r="K76" s="2"/>
      <c r="L76" s="6">
        <f t="shared" si="50"/>
        <v>0</v>
      </c>
      <c r="M76" s="2"/>
      <c r="N76" s="7">
        <f t="shared" si="51"/>
        <v>0</v>
      </c>
      <c r="O76" s="10"/>
      <c r="P76" s="6">
        <v>185.7</v>
      </c>
      <c r="Q76" s="2"/>
      <c r="R76" s="7">
        <f t="shared" si="52"/>
        <v>6.4638068585272115E-2</v>
      </c>
      <c r="S76" s="2"/>
      <c r="T76" s="6">
        <v>24556.14</v>
      </c>
      <c r="U76" s="2"/>
      <c r="V76" s="7">
        <f t="shared" si="53"/>
        <v>1.0384986237455384E-2</v>
      </c>
      <c r="W76" s="2"/>
      <c r="X76" s="6">
        <f t="shared" si="54"/>
        <v>-24370.44</v>
      </c>
      <c r="Y76" s="2"/>
      <c r="Z76" s="7">
        <f t="shared" si="55"/>
        <v>-0.99243773654979972</v>
      </c>
    </row>
    <row r="77" spans="1:26" s="26" customFormat="1" outlineLevel="1" collapsed="1" x14ac:dyDescent="0.25">
      <c r="A77" s="25"/>
      <c r="B77" s="12" t="str">
        <f>CONCATENATE("     ","Services                                          ")</f>
        <v xml:space="preserve">     Services                                          </v>
      </c>
      <c r="C77" s="12"/>
      <c r="D77" s="1">
        <f>SUM(OSRRefD22_16x_0)</f>
        <v>440.85</v>
      </c>
      <c r="E77" s="1"/>
      <c r="F77" s="5">
        <f t="shared" si="48"/>
        <v>8.4942196531791918</v>
      </c>
      <c r="G77" s="1"/>
      <c r="H77" s="1">
        <f>SUM(OSRRefH22_16x_0)</f>
        <v>464.1</v>
      </c>
      <c r="I77" s="1"/>
      <c r="J77" s="5">
        <f t="shared" si="49"/>
        <v>10.242772015007725</v>
      </c>
      <c r="K77" s="1"/>
      <c r="L77" s="1">
        <f t="shared" si="50"/>
        <v>-23.25</v>
      </c>
      <c r="M77" s="1"/>
      <c r="N77" s="5">
        <f t="shared" si="51"/>
        <v>-5.009696186166774E-2</v>
      </c>
      <c r="O77" s="12"/>
      <c r="P77" s="1">
        <f>SUM(OSRRefP22_16x_0)</f>
        <v>2446.21</v>
      </c>
      <c r="Q77" s="1"/>
      <c r="R77" s="5">
        <f t="shared" si="52"/>
        <v>0.85147167341937824</v>
      </c>
      <c r="S77" s="1"/>
      <c r="T77" s="1">
        <f>SUM(OSRRefT22_16x_0)</f>
        <v>16180.510000000002</v>
      </c>
      <c r="U77" s="1"/>
      <c r="V77" s="5">
        <f t="shared" si="53"/>
        <v>6.8428659253860439E-3</v>
      </c>
      <c r="W77" s="1"/>
      <c r="X77" s="1">
        <f t="shared" si="54"/>
        <v>-13734.300000000003</v>
      </c>
      <c r="Y77" s="1"/>
      <c r="Z77" s="5">
        <f t="shared" si="55"/>
        <v>-0.84881749709990606</v>
      </c>
    </row>
    <row r="78" spans="1:26" s="23" customFormat="1" hidden="1" outlineLevel="2" x14ac:dyDescent="0.25">
      <c r="A78" s="27"/>
      <c r="B78" s="10" t="str">
        <f>CONCATENATE("          ", "6282", " - ", "JANITORIAL/EXTERMINATOR EXPENS")</f>
        <v xml:space="preserve">          6282 - JANITORIAL/EXTERMINATOR EXPENS</v>
      </c>
      <c r="C78" s="10"/>
      <c r="D78" s="6">
        <v>151.85</v>
      </c>
      <c r="E78" s="2"/>
      <c r="F78" s="7">
        <f t="shared" si="48"/>
        <v>2.9258188824662814</v>
      </c>
      <c r="G78" s="2"/>
      <c r="H78" s="6">
        <v>41</v>
      </c>
      <c r="I78" s="2"/>
      <c r="J78" s="7">
        <f t="shared" si="49"/>
        <v>0.90487751048333709</v>
      </c>
      <c r="K78" s="2"/>
      <c r="L78" s="6">
        <f t="shared" si="50"/>
        <v>110.85</v>
      </c>
      <c r="M78" s="2"/>
      <c r="N78" s="7">
        <f t="shared" si="51"/>
        <v>2.7036585365853658</v>
      </c>
      <c r="O78" s="10"/>
      <c r="P78" s="6">
        <v>2086.81</v>
      </c>
      <c r="Q78" s="2"/>
      <c r="R78" s="7">
        <f t="shared" si="52"/>
        <v>0.72637247121395654</v>
      </c>
      <c r="S78" s="2"/>
      <c r="T78" s="6">
        <v>6046.09</v>
      </c>
      <c r="U78" s="2"/>
      <c r="V78" s="7">
        <f t="shared" si="53"/>
        <v>2.5569393821837073E-3</v>
      </c>
      <c r="W78" s="2"/>
      <c r="X78" s="6">
        <f t="shared" si="54"/>
        <v>-3959.28</v>
      </c>
      <c r="Y78" s="2"/>
      <c r="Z78" s="7">
        <f t="shared" si="55"/>
        <v>-0.65484966317074345</v>
      </c>
    </row>
    <row r="79" spans="1:26" s="23" customFormat="1" hidden="1" outlineLevel="2" x14ac:dyDescent="0.25">
      <c r="A79" s="27"/>
      <c r="B79" s="10" t="str">
        <f>CONCATENATE("          ", "6284", " - ", "TRASH REMOVAL EXPENSE")</f>
        <v xml:space="preserve">          6284 - TRASH REMOVAL EXPENSE</v>
      </c>
      <c r="C79" s="10"/>
      <c r="D79" s="6">
        <v>289</v>
      </c>
      <c r="E79" s="2"/>
      <c r="F79" s="7">
        <f t="shared" si="48"/>
        <v>5.56840077071291</v>
      </c>
      <c r="G79" s="2"/>
      <c r="H79" s="6">
        <v>289</v>
      </c>
      <c r="I79" s="2"/>
      <c r="J79" s="7">
        <f t="shared" si="49"/>
        <v>6.3782829397484004</v>
      </c>
      <c r="K79" s="2"/>
      <c r="L79" s="6">
        <f t="shared" si="50"/>
        <v>0</v>
      </c>
      <c r="M79" s="2"/>
      <c r="N79" s="7">
        <f t="shared" si="51"/>
        <v>0</v>
      </c>
      <c r="O79" s="10"/>
      <c r="P79" s="6">
        <v>1164</v>
      </c>
      <c r="Q79" s="2"/>
      <c r="R79" s="7">
        <f t="shared" si="52"/>
        <v>0.4051626916168915</v>
      </c>
      <c r="S79" s="2"/>
      <c r="T79" s="6">
        <v>2889</v>
      </c>
      <c r="U79" s="2"/>
      <c r="V79" s="7">
        <f t="shared" si="53"/>
        <v>1.221780998153969E-3</v>
      </c>
      <c r="W79" s="2"/>
      <c r="X79" s="6">
        <f t="shared" si="54"/>
        <v>-1725</v>
      </c>
      <c r="Y79" s="2"/>
      <c r="Z79" s="7">
        <f t="shared" si="55"/>
        <v>-0.59709241952232606</v>
      </c>
    </row>
    <row r="80" spans="1:26" s="23" customFormat="1" hidden="1" outlineLevel="2" x14ac:dyDescent="0.25">
      <c r="A80" s="27"/>
      <c r="B80" s="10" t="str">
        <f>CONCATENATE("          ", "6285", " - ", "JANITORIAL SERVICES")</f>
        <v xml:space="preserve">          6285 - JANITORIAL SERVICES</v>
      </c>
      <c r="C80" s="10"/>
      <c r="D80" s="6"/>
      <c r="E80" s="2"/>
      <c r="F80" s="7">
        <f t="shared" si="48"/>
        <v>0</v>
      </c>
      <c r="G80" s="2"/>
      <c r="H80" s="6">
        <v>134.1</v>
      </c>
      <c r="I80" s="2"/>
      <c r="J80" s="7">
        <f t="shared" si="49"/>
        <v>2.959611564775988</v>
      </c>
      <c r="K80" s="2"/>
      <c r="L80" s="6">
        <f t="shared" si="50"/>
        <v>-134.1</v>
      </c>
      <c r="M80" s="2"/>
      <c r="N80" s="7">
        <f t="shared" si="51"/>
        <v>-1</v>
      </c>
      <c r="O80" s="10"/>
      <c r="P80" s="6">
        <v>-804.6</v>
      </c>
      <c r="Q80" s="2"/>
      <c r="R80" s="7">
        <f t="shared" si="52"/>
        <v>-0.28006348941146986</v>
      </c>
      <c r="S80" s="2"/>
      <c r="T80" s="6">
        <v>1187.78</v>
      </c>
      <c r="U80" s="2"/>
      <c r="V80" s="7">
        <f t="shared" si="53"/>
        <v>5.0232157631959894E-4</v>
      </c>
      <c r="W80" s="2"/>
      <c r="X80" s="6">
        <f t="shared" si="54"/>
        <v>-1992.38</v>
      </c>
      <c r="Y80" s="2"/>
      <c r="Z80" s="7">
        <f t="shared" si="55"/>
        <v>-1.6773981713785382</v>
      </c>
    </row>
    <row r="81" spans="1:26" s="23" customFormat="1" hidden="1" outlineLevel="2" x14ac:dyDescent="0.25">
      <c r="A81" s="27"/>
      <c r="B81" s="10" t="str">
        <f>CONCATENATE("          ", "6286", " - ", "LAUNDRY EXPENSE")</f>
        <v xml:space="preserve">          6286 - LAUNDRY EXPENSE</v>
      </c>
      <c r="C81" s="10"/>
      <c r="D81" s="6"/>
      <c r="E81" s="2"/>
      <c r="F81" s="7">
        <f t="shared" si="48"/>
        <v>0</v>
      </c>
      <c r="G81" s="2"/>
      <c r="H81" s="6"/>
      <c r="I81" s="2"/>
      <c r="J81" s="7">
        <f t="shared" si="49"/>
        <v>0</v>
      </c>
      <c r="K81" s="2"/>
      <c r="L81" s="6">
        <f t="shared" si="50"/>
        <v>0</v>
      </c>
      <c r="M81" s="2"/>
      <c r="N81" s="7">
        <f t="shared" si="51"/>
        <v>0</v>
      </c>
      <c r="O81" s="10"/>
      <c r="P81" s="6"/>
      <c r="Q81" s="2"/>
      <c r="R81" s="7">
        <f t="shared" si="52"/>
        <v>0</v>
      </c>
      <c r="S81" s="2"/>
      <c r="T81" s="6">
        <v>6057.64</v>
      </c>
      <c r="U81" s="2"/>
      <c r="V81" s="7">
        <f t="shared" si="53"/>
        <v>2.5618239687287673E-3</v>
      </c>
      <c r="W81" s="2"/>
      <c r="X81" s="6">
        <f t="shared" si="54"/>
        <v>-6057.64</v>
      </c>
      <c r="Y81" s="2"/>
      <c r="Z81" s="7">
        <f t="shared" si="55"/>
        <v>-1</v>
      </c>
    </row>
    <row r="82" spans="1:26" s="26" customFormat="1" outlineLevel="1" collapsed="1" x14ac:dyDescent="0.25">
      <c r="A82" s="25"/>
      <c r="B82" s="12" t="str">
        <f>CONCATENATE("     ","Subscriptions &amp; Dues                              ")</f>
        <v xml:space="preserve">     Subscriptions &amp; Dues                              </v>
      </c>
      <c r="C82" s="12"/>
      <c r="D82" s="1">
        <f>SUM(OSRRefD22_17x_0)</f>
        <v>0</v>
      </c>
      <c r="E82" s="1"/>
      <c r="F82" s="5">
        <f t="shared" ref="F82:F93" si="56">IF(D$12=0,0,D82/D$12)</f>
        <v>0</v>
      </c>
      <c r="G82" s="1"/>
      <c r="H82" s="1">
        <f>SUM(OSRRefH22_17x_0)</f>
        <v>0</v>
      </c>
      <c r="I82" s="1"/>
      <c r="J82" s="5">
        <f t="shared" ref="J82:J93" si="57">IF(H$12=0,0,H82/H$12)</f>
        <v>0</v>
      </c>
      <c r="K82" s="1"/>
      <c r="L82" s="1">
        <f t="shared" ref="L82:L93" si="58">+D82-H82</f>
        <v>0</v>
      </c>
      <c r="M82" s="1"/>
      <c r="N82" s="5">
        <f t="shared" ref="N82:N93" si="59">IF(H82=0,0,L82/H82)</f>
        <v>0</v>
      </c>
      <c r="O82" s="12"/>
      <c r="P82" s="1">
        <f>SUM(OSRRefP22_17x_0)</f>
        <v>0</v>
      </c>
      <c r="Q82" s="1"/>
      <c r="R82" s="5">
        <f t="shared" ref="R82:R93" si="60">IF(P$12=0,0,P82/P$12)</f>
        <v>0</v>
      </c>
      <c r="S82" s="1"/>
      <c r="T82" s="1">
        <f>SUM(OSRRefT22_17x_0)</f>
        <v>1411.2</v>
      </c>
      <c r="U82" s="1"/>
      <c r="V82" s="5">
        <f t="shared" ref="V82:V93" si="61">IF(T$12=0,0,T82/T$12)</f>
        <v>5.9680766514187645E-4</v>
      </c>
      <c r="W82" s="1"/>
      <c r="X82" s="1">
        <f t="shared" ref="X82:X93" si="62">+P82-T82</f>
        <v>-1411.2</v>
      </c>
      <c r="Y82" s="1"/>
      <c r="Z82" s="5">
        <f t="shared" ref="Z82:Z93" si="63">IF(T82=0,0,X82/T82)</f>
        <v>-1</v>
      </c>
    </row>
    <row r="83" spans="1:26" s="23" customFormat="1" hidden="1" outlineLevel="2" x14ac:dyDescent="0.25">
      <c r="A83" s="27"/>
      <c r="B83" s="10" t="str">
        <f>CONCATENATE("          ", "6275", " - ", "SUBSCRIPTIONS")</f>
        <v xml:space="preserve">          6275 - SUBSCRIPTIONS</v>
      </c>
      <c r="C83" s="10"/>
      <c r="D83" s="6"/>
      <c r="E83" s="2"/>
      <c r="F83" s="7">
        <f t="shared" si="56"/>
        <v>0</v>
      </c>
      <c r="G83" s="2"/>
      <c r="H83" s="6"/>
      <c r="I83" s="2"/>
      <c r="J83" s="7">
        <f t="shared" si="57"/>
        <v>0</v>
      </c>
      <c r="K83" s="2"/>
      <c r="L83" s="6">
        <f t="shared" si="58"/>
        <v>0</v>
      </c>
      <c r="M83" s="2"/>
      <c r="N83" s="7">
        <f t="shared" si="59"/>
        <v>0</v>
      </c>
      <c r="O83" s="10"/>
      <c r="P83" s="6"/>
      <c r="Q83" s="2"/>
      <c r="R83" s="7">
        <f t="shared" si="60"/>
        <v>0</v>
      </c>
      <c r="S83" s="2"/>
      <c r="T83" s="6">
        <v>1411.2</v>
      </c>
      <c r="U83" s="2"/>
      <c r="V83" s="7">
        <f t="shared" si="61"/>
        <v>5.9680766514187645E-4</v>
      </c>
      <c r="W83" s="2"/>
      <c r="X83" s="6">
        <f t="shared" si="62"/>
        <v>-1411.2</v>
      </c>
      <c r="Y83" s="2"/>
      <c r="Z83" s="7">
        <f t="shared" si="63"/>
        <v>-1</v>
      </c>
    </row>
    <row r="84" spans="1:26" s="26" customFormat="1" outlineLevel="1" collapsed="1" x14ac:dyDescent="0.25">
      <c r="A84" s="25"/>
      <c r="B84" s="12" t="str">
        <f>CONCATENATE("     ","Supplies                                          ")</f>
        <v xml:space="preserve">     Supplies                                          </v>
      </c>
      <c r="C84" s="12"/>
      <c r="D84" s="1">
        <f>SUM(OSRRefD22_18x_0)</f>
        <v>0</v>
      </c>
      <c r="E84" s="1"/>
      <c r="F84" s="5">
        <f t="shared" si="56"/>
        <v>0</v>
      </c>
      <c r="G84" s="1"/>
      <c r="H84" s="1">
        <f>SUM(OSRRefH22_18x_0)</f>
        <v>130.18</v>
      </c>
      <c r="I84" s="1"/>
      <c r="J84" s="5">
        <f t="shared" si="57"/>
        <v>2.873096446700508</v>
      </c>
      <c r="K84" s="1"/>
      <c r="L84" s="1">
        <f t="shared" si="58"/>
        <v>-130.18</v>
      </c>
      <c r="M84" s="1"/>
      <c r="N84" s="5">
        <f t="shared" si="59"/>
        <v>-1</v>
      </c>
      <c r="O84" s="12"/>
      <c r="P84" s="1">
        <f>SUM(OSRRefP22_18x_0)</f>
        <v>1094.0899999999999</v>
      </c>
      <c r="Q84" s="1"/>
      <c r="R84" s="5">
        <f t="shared" si="60"/>
        <v>0.3808285646659148</v>
      </c>
      <c r="S84" s="1"/>
      <c r="T84" s="1">
        <f>SUM(OSRRefT22_18x_0)</f>
        <v>49637.5</v>
      </c>
      <c r="U84" s="1"/>
      <c r="V84" s="5">
        <f t="shared" si="61"/>
        <v>2.0992092175793575E-2</v>
      </c>
      <c r="W84" s="1"/>
      <c r="X84" s="1">
        <f t="shared" si="62"/>
        <v>-48543.41</v>
      </c>
      <c r="Y84" s="1"/>
      <c r="Z84" s="5">
        <f t="shared" si="63"/>
        <v>-0.97795839838831533</v>
      </c>
    </row>
    <row r="85" spans="1:26" s="23" customFormat="1" hidden="1" outlineLevel="2" x14ac:dyDescent="0.25">
      <c r="A85" s="27"/>
      <c r="B85" s="10" t="str">
        <f>CONCATENATE("          ", "6234", " - ", "EXPENDABLE SUPPLIES &amp; EQUIPMEN")</f>
        <v xml:space="preserve">          6234 - EXPENDABLE SUPPLIES &amp; EQUIPMEN</v>
      </c>
      <c r="C85" s="10"/>
      <c r="D85" s="6"/>
      <c r="E85" s="2"/>
      <c r="F85" s="7">
        <f t="shared" si="56"/>
        <v>0</v>
      </c>
      <c r="G85" s="2"/>
      <c r="H85" s="6"/>
      <c r="I85" s="2"/>
      <c r="J85" s="7">
        <f t="shared" si="57"/>
        <v>0</v>
      </c>
      <c r="K85" s="2"/>
      <c r="L85" s="6">
        <f t="shared" si="58"/>
        <v>0</v>
      </c>
      <c r="M85" s="2"/>
      <c r="N85" s="7">
        <f t="shared" si="59"/>
        <v>0</v>
      </c>
      <c r="O85" s="10"/>
      <c r="P85" s="6">
        <v>316.67</v>
      </c>
      <c r="Q85" s="2"/>
      <c r="R85" s="7">
        <f t="shared" si="60"/>
        <v>0.11022583295044763</v>
      </c>
      <c r="S85" s="2"/>
      <c r="T85" s="6">
        <v>1092.46</v>
      </c>
      <c r="U85" s="2"/>
      <c r="V85" s="7">
        <f t="shared" si="61"/>
        <v>4.6200999281525962E-4</v>
      </c>
      <c r="W85" s="2"/>
      <c r="X85" s="6">
        <f t="shared" si="62"/>
        <v>-775.79</v>
      </c>
      <c r="Y85" s="2"/>
      <c r="Z85" s="7">
        <f t="shared" si="63"/>
        <v>-0.71013126338721777</v>
      </c>
    </row>
    <row r="86" spans="1:26" s="23" customFormat="1" hidden="1" outlineLevel="2" x14ac:dyDescent="0.25">
      <c r="A86" s="27"/>
      <c r="B86" s="10" t="str">
        <f>CONCATENATE("          ", "6235", " - ", "COVID-19 EXPENSES")</f>
        <v xml:space="preserve">          6235 - COVID-19 EXPENSES</v>
      </c>
      <c r="C86" s="10"/>
      <c r="D86" s="6"/>
      <c r="E86" s="2"/>
      <c r="F86" s="7">
        <f t="shared" si="56"/>
        <v>0</v>
      </c>
      <c r="G86" s="2"/>
      <c r="H86" s="6"/>
      <c r="I86" s="2"/>
      <c r="J86" s="7">
        <f t="shared" si="57"/>
        <v>0</v>
      </c>
      <c r="K86" s="2"/>
      <c r="L86" s="6">
        <f t="shared" si="58"/>
        <v>0</v>
      </c>
      <c r="M86" s="2"/>
      <c r="N86" s="7">
        <f t="shared" si="59"/>
        <v>0</v>
      </c>
      <c r="O86" s="10"/>
      <c r="P86" s="6">
        <v>207.27</v>
      </c>
      <c r="Q86" s="2"/>
      <c r="R86" s="7">
        <f t="shared" si="60"/>
        <v>7.2146109185079993E-2</v>
      </c>
      <c r="S86" s="2"/>
      <c r="T86" s="6"/>
      <c r="U86" s="2"/>
      <c r="V86" s="7">
        <f t="shared" si="61"/>
        <v>0</v>
      </c>
      <c r="W86" s="2"/>
      <c r="X86" s="6">
        <f t="shared" si="62"/>
        <v>207.27</v>
      </c>
      <c r="Y86" s="2"/>
      <c r="Z86" s="7">
        <f t="shared" si="63"/>
        <v>0</v>
      </c>
    </row>
    <row r="87" spans="1:26" s="23" customFormat="1" hidden="1" outlineLevel="2" x14ac:dyDescent="0.25">
      <c r="A87" s="27"/>
      <c r="B87" s="10" t="str">
        <f>CONCATENATE("          ", "6237", " - ", "JANITORIAL SUPPLIES")</f>
        <v xml:space="preserve">          6237 - JANITORIAL SUPPLIES</v>
      </c>
      <c r="C87" s="10"/>
      <c r="D87" s="6"/>
      <c r="E87" s="2"/>
      <c r="F87" s="7">
        <f t="shared" si="56"/>
        <v>0</v>
      </c>
      <c r="G87" s="2"/>
      <c r="H87" s="6"/>
      <c r="I87" s="2"/>
      <c r="J87" s="7">
        <f t="shared" si="57"/>
        <v>0</v>
      </c>
      <c r="K87" s="2"/>
      <c r="L87" s="6">
        <f t="shared" si="58"/>
        <v>0</v>
      </c>
      <c r="M87" s="2"/>
      <c r="N87" s="7">
        <f t="shared" si="59"/>
        <v>0</v>
      </c>
      <c r="O87" s="10"/>
      <c r="P87" s="6">
        <v>317.57</v>
      </c>
      <c r="Q87" s="2"/>
      <c r="R87" s="7">
        <f t="shared" si="60"/>
        <v>0.11053910307283182</v>
      </c>
      <c r="S87" s="2"/>
      <c r="T87" s="6">
        <v>4418.97</v>
      </c>
      <c r="U87" s="2"/>
      <c r="V87" s="7">
        <f t="shared" si="61"/>
        <v>1.8688174376643976E-3</v>
      </c>
      <c r="W87" s="2"/>
      <c r="X87" s="6">
        <f t="shared" si="62"/>
        <v>-4101.4000000000005</v>
      </c>
      <c r="Y87" s="2"/>
      <c r="Z87" s="7">
        <f t="shared" si="63"/>
        <v>-0.92813483685112153</v>
      </c>
    </row>
    <row r="88" spans="1:26" s="23" customFormat="1" hidden="1" outlineLevel="2" x14ac:dyDescent="0.25">
      <c r="A88" s="27"/>
      <c r="B88" s="10" t="str">
        <f>CONCATENATE("          ", "6239", " - ", "KITCHEN SUPPLIES")</f>
        <v xml:space="preserve">          6239 - KITCHEN SUPPLIES</v>
      </c>
      <c r="C88" s="10"/>
      <c r="D88" s="6"/>
      <c r="E88" s="2"/>
      <c r="F88" s="7">
        <f t="shared" si="56"/>
        <v>0</v>
      </c>
      <c r="G88" s="2"/>
      <c r="H88" s="6"/>
      <c r="I88" s="2"/>
      <c r="J88" s="7">
        <f t="shared" si="57"/>
        <v>0</v>
      </c>
      <c r="K88" s="2"/>
      <c r="L88" s="6">
        <f t="shared" si="58"/>
        <v>0</v>
      </c>
      <c r="M88" s="2"/>
      <c r="N88" s="7">
        <f t="shared" si="59"/>
        <v>0</v>
      </c>
      <c r="O88" s="10"/>
      <c r="P88" s="6"/>
      <c r="Q88" s="2"/>
      <c r="R88" s="7">
        <f t="shared" si="60"/>
        <v>0</v>
      </c>
      <c r="S88" s="2"/>
      <c r="T88" s="6">
        <v>441.2</v>
      </c>
      <c r="U88" s="2"/>
      <c r="V88" s="7">
        <f t="shared" si="61"/>
        <v>1.8658697694203224E-4</v>
      </c>
      <c r="W88" s="2"/>
      <c r="X88" s="6">
        <f t="shared" si="62"/>
        <v>-441.2</v>
      </c>
      <c r="Y88" s="2"/>
      <c r="Z88" s="7">
        <f t="shared" si="63"/>
        <v>-1</v>
      </c>
    </row>
    <row r="89" spans="1:26" s="23" customFormat="1" hidden="1" outlineLevel="2" x14ac:dyDescent="0.25">
      <c r="A89" s="27"/>
      <c r="B89" s="10" t="str">
        <f>CONCATENATE("          ", "6241", " - ", "OFFICE EXPENSE")</f>
        <v xml:space="preserve">          6241 - OFFICE EXPENSE</v>
      </c>
      <c r="C89" s="10"/>
      <c r="D89" s="6"/>
      <c r="E89" s="2"/>
      <c r="F89" s="7">
        <f t="shared" si="56"/>
        <v>0</v>
      </c>
      <c r="G89" s="2"/>
      <c r="H89" s="6"/>
      <c r="I89" s="2"/>
      <c r="J89" s="7">
        <f t="shared" si="57"/>
        <v>0</v>
      </c>
      <c r="K89" s="2"/>
      <c r="L89" s="6">
        <f t="shared" si="58"/>
        <v>0</v>
      </c>
      <c r="M89" s="2"/>
      <c r="N89" s="7">
        <f t="shared" si="59"/>
        <v>0</v>
      </c>
      <c r="O89" s="10"/>
      <c r="P89" s="6">
        <v>131.30000000000001</v>
      </c>
      <c r="Q89" s="2"/>
      <c r="R89" s="7">
        <f t="shared" si="60"/>
        <v>4.5702630076716377E-2</v>
      </c>
      <c r="S89" s="2"/>
      <c r="T89" s="6">
        <v>2377.21</v>
      </c>
      <c r="U89" s="2"/>
      <c r="V89" s="7">
        <f t="shared" si="61"/>
        <v>1.0053409507170636E-3</v>
      </c>
      <c r="W89" s="2"/>
      <c r="X89" s="6">
        <f t="shared" si="62"/>
        <v>-2245.91</v>
      </c>
      <c r="Y89" s="2"/>
      <c r="Z89" s="7">
        <f t="shared" si="63"/>
        <v>-0.94476718506147961</v>
      </c>
    </row>
    <row r="90" spans="1:26" s="23" customFormat="1" hidden="1" outlineLevel="2" x14ac:dyDescent="0.25">
      <c r="A90" s="27"/>
      <c r="B90" s="10" t="str">
        <f>CONCATENATE("          ", "6243", " - ", "PAPER SUPPLIES")</f>
        <v xml:space="preserve">          6243 - PAPER SUPPLIES</v>
      </c>
      <c r="C90" s="10"/>
      <c r="D90" s="6"/>
      <c r="E90" s="2"/>
      <c r="F90" s="7">
        <f t="shared" si="56"/>
        <v>0</v>
      </c>
      <c r="G90" s="2"/>
      <c r="H90" s="6"/>
      <c r="I90" s="2"/>
      <c r="J90" s="7">
        <f t="shared" si="57"/>
        <v>0</v>
      </c>
      <c r="K90" s="2"/>
      <c r="L90" s="6">
        <f t="shared" si="58"/>
        <v>0</v>
      </c>
      <c r="M90" s="2"/>
      <c r="N90" s="7">
        <f t="shared" si="59"/>
        <v>0</v>
      </c>
      <c r="O90" s="10"/>
      <c r="P90" s="6"/>
      <c r="Q90" s="2"/>
      <c r="R90" s="7">
        <f t="shared" si="60"/>
        <v>0</v>
      </c>
      <c r="S90" s="2"/>
      <c r="T90" s="6">
        <v>4964.92</v>
      </c>
      <c r="U90" s="2"/>
      <c r="V90" s="7">
        <f t="shared" si="61"/>
        <v>2.0997040198527531E-3</v>
      </c>
      <c r="W90" s="2"/>
      <c r="X90" s="6">
        <f t="shared" si="62"/>
        <v>-4964.92</v>
      </c>
      <c r="Y90" s="2"/>
      <c r="Z90" s="7">
        <f t="shared" si="63"/>
        <v>-1</v>
      </c>
    </row>
    <row r="91" spans="1:26" s="23" customFormat="1" hidden="1" outlineLevel="2" x14ac:dyDescent="0.25">
      <c r="A91" s="27"/>
      <c r="B91" s="10" t="str">
        <f>CONCATENATE("          ", "6245", " - ", "PRINTING")</f>
        <v xml:space="preserve">          6245 - PRINTING</v>
      </c>
      <c r="C91" s="10"/>
      <c r="D91" s="6"/>
      <c r="E91" s="2"/>
      <c r="F91" s="7">
        <f t="shared" si="56"/>
        <v>0</v>
      </c>
      <c r="G91" s="2"/>
      <c r="H91" s="6"/>
      <c r="I91" s="2"/>
      <c r="J91" s="7">
        <f t="shared" si="57"/>
        <v>0</v>
      </c>
      <c r="K91" s="2"/>
      <c r="L91" s="6">
        <f t="shared" si="58"/>
        <v>0</v>
      </c>
      <c r="M91" s="2"/>
      <c r="N91" s="7">
        <f t="shared" si="59"/>
        <v>0</v>
      </c>
      <c r="O91" s="10"/>
      <c r="P91" s="6"/>
      <c r="Q91" s="2"/>
      <c r="R91" s="7">
        <f t="shared" si="60"/>
        <v>0</v>
      </c>
      <c r="S91" s="2"/>
      <c r="T91" s="6">
        <v>81.739999999999995</v>
      </c>
      <c r="U91" s="2"/>
      <c r="V91" s="7">
        <f t="shared" si="61"/>
        <v>3.4568493869541506E-5</v>
      </c>
      <c r="W91" s="2"/>
      <c r="X91" s="6">
        <f t="shared" si="62"/>
        <v>-81.739999999999995</v>
      </c>
      <c r="Y91" s="2"/>
      <c r="Z91" s="7">
        <f t="shared" si="63"/>
        <v>-1</v>
      </c>
    </row>
    <row r="92" spans="1:26" s="23" customFormat="1" hidden="1" outlineLevel="2" x14ac:dyDescent="0.25">
      <c r="A92" s="27"/>
      <c r="B92" s="10" t="str">
        <f>CONCATENATE("          ", "6247", " - ", "STORE SUPPLIES")</f>
        <v xml:space="preserve">          6247 - STORE SUPPLIES</v>
      </c>
      <c r="C92" s="10"/>
      <c r="D92" s="6"/>
      <c r="E92" s="2"/>
      <c r="F92" s="7">
        <f t="shared" si="56"/>
        <v>0</v>
      </c>
      <c r="G92" s="2"/>
      <c r="H92" s="6">
        <v>130.18</v>
      </c>
      <c r="I92" s="2"/>
      <c r="J92" s="7">
        <f t="shared" si="57"/>
        <v>2.873096446700508</v>
      </c>
      <c r="K92" s="2"/>
      <c r="L92" s="6">
        <f t="shared" si="58"/>
        <v>-130.18</v>
      </c>
      <c r="M92" s="2"/>
      <c r="N92" s="7">
        <f t="shared" si="59"/>
        <v>-1</v>
      </c>
      <c r="O92" s="10"/>
      <c r="P92" s="6">
        <v>121.28</v>
      </c>
      <c r="Q92" s="2"/>
      <c r="R92" s="7">
        <f t="shared" si="60"/>
        <v>4.2214889380839005E-2</v>
      </c>
      <c r="S92" s="2"/>
      <c r="T92" s="6">
        <v>36107.89</v>
      </c>
      <c r="U92" s="2"/>
      <c r="V92" s="7">
        <f t="shared" si="61"/>
        <v>1.5270312871385848E-2</v>
      </c>
      <c r="W92" s="2"/>
      <c r="X92" s="6">
        <f t="shared" si="62"/>
        <v>-35986.61</v>
      </c>
      <c r="Y92" s="2"/>
      <c r="Z92" s="7">
        <f t="shared" si="63"/>
        <v>-0.99664117731609358</v>
      </c>
    </row>
    <row r="93" spans="1:26" s="23" customFormat="1" hidden="1" outlineLevel="2" x14ac:dyDescent="0.25">
      <c r="A93" s="27"/>
      <c r="B93" s="10" t="str">
        <f>CONCATENATE("          ", "6248", " - ", "UNIFORMS")</f>
        <v xml:space="preserve">          6248 - UNIFORMS</v>
      </c>
      <c r="C93" s="10"/>
      <c r="D93" s="6"/>
      <c r="E93" s="2"/>
      <c r="F93" s="7">
        <f t="shared" si="56"/>
        <v>0</v>
      </c>
      <c r="G93" s="2"/>
      <c r="H93" s="6"/>
      <c r="I93" s="2"/>
      <c r="J93" s="7">
        <f t="shared" si="57"/>
        <v>0</v>
      </c>
      <c r="K93" s="2"/>
      <c r="L93" s="6">
        <f t="shared" si="58"/>
        <v>0</v>
      </c>
      <c r="M93" s="2"/>
      <c r="N93" s="7">
        <f t="shared" si="59"/>
        <v>0</v>
      </c>
      <c r="O93" s="10"/>
      <c r="P93" s="6"/>
      <c r="Q93" s="2"/>
      <c r="R93" s="7">
        <f t="shared" si="60"/>
        <v>0</v>
      </c>
      <c r="S93" s="2"/>
      <c r="T93" s="6">
        <v>153.11000000000001</v>
      </c>
      <c r="U93" s="2"/>
      <c r="V93" s="7">
        <f t="shared" si="61"/>
        <v>6.4751432546678505E-5</v>
      </c>
      <c r="W93" s="2"/>
      <c r="X93" s="6">
        <f t="shared" si="62"/>
        <v>-153.11000000000001</v>
      </c>
      <c r="Y93" s="2"/>
      <c r="Z93" s="7">
        <f t="shared" si="63"/>
        <v>-1</v>
      </c>
    </row>
    <row r="94" spans="1:26" s="26" customFormat="1" outlineLevel="1" collapsed="1" x14ac:dyDescent="0.25">
      <c r="A94" s="25"/>
      <c r="B94" s="12" t="str">
        <f>CONCATENATE("     ","Telephone/Data Lines                              ")</f>
        <v xml:space="preserve">     Telephone/Data Lines                              </v>
      </c>
      <c r="C94" s="12"/>
      <c r="D94" s="1">
        <f>SUM(OSRRefD22_19x_0)</f>
        <v>325.5</v>
      </c>
      <c r="E94" s="1"/>
      <c r="F94" s="5">
        <f t="shared" ref="F94:F101" si="64">IF(D$12=0,0,D94/D$12)</f>
        <v>6.2716763005780347</v>
      </c>
      <c r="G94" s="1"/>
      <c r="H94" s="1">
        <f>SUM(OSRRefH22_19x_0)</f>
        <v>479.57</v>
      </c>
      <c r="I94" s="1"/>
      <c r="J94" s="5">
        <f t="shared" ref="J94:J101" si="65">IF(H$12=0,0,H94/H$12)</f>
        <v>10.584197748841316</v>
      </c>
      <c r="K94" s="1"/>
      <c r="L94" s="1">
        <f t="shared" ref="L94:L101" si="66">+D94-H94</f>
        <v>-154.07</v>
      </c>
      <c r="M94" s="1"/>
      <c r="N94" s="5">
        <f t="shared" ref="N94:N101" si="67">IF(H94=0,0,L94/H94)</f>
        <v>-0.32126696832579182</v>
      </c>
      <c r="O94" s="12"/>
      <c r="P94" s="1">
        <f>SUM(OSRRefP22_19x_0)</f>
        <v>3518.39</v>
      </c>
      <c r="Q94" s="1"/>
      <c r="R94" s="5">
        <f t="shared" ref="R94:R101" si="68">IF(P$12=0,0,P94/P$12)</f>
        <v>1.2246738509948065</v>
      </c>
      <c r="S94" s="1"/>
      <c r="T94" s="1">
        <f>SUM(OSRRefT22_19x_0)</f>
        <v>3975.87</v>
      </c>
      <c r="U94" s="1"/>
      <c r="V94" s="5">
        <f t="shared" ref="V94:V101" si="69">IF(T$12=0,0,T94/T$12)</f>
        <v>1.6814269356630047E-3</v>
      </c>
      <c r="W94" s="1"/>
      <c r="X94" s="1">
        <f t="shared" ref="X94:X101" si="70">+P94-T94</f>
        <v>-457.48</v>
      </c>
      <c r="Y94" s="1"/>
      <c r="Z94" s="5">
        <f t="shared" ref="Z94:Z101" si="71">IF(T94=0,0,X94/T94)</f>
        <v>-0.11506412433002086</v>
      </c>
    </row>
    <row r="95" spans="1:26" s="23" customFormat="1" hidden="1" outlineLevel="2" x14ac:dyDescent="0.25">
      <c r="A95" s="27"/>
      <c r="B95" s="10" t="str">
        <f>CONCATENATE("          ", "6309", " - ", "TELEPHONE")</f>
        <v xml:space="preserve">          6309 - TELEPHONE</v>
      </c>
      <c r="C95" s="10"/>
      <c r="D95" s="6">
        <v>325.5</v>
      </c>
      <c r="E95" s="2"/>
      <c r="F95" s="7">
        <f t="shared" si="64"/>
        <v>6.2716763005780347</v>
      </c>
      <c r="G95" s="2"/>
      <c r="H95" s="6">
        <v>479.57</v>
      </c>
      <c r="I95" s="2"/>
      <c r="J95" s="7">
        <f t="shared" si="65"/>
        <v>10.584197748841316</v>
      </c>
      <c r="K95" s="2"/>
      <c r="L95" s="6">
        <f t="shared" si="66"/>
        <v>-154.07</v>
      </c>
      <c r="M95" s="2"/>
      <c r="N95" s="7">
        <f t="shared" si="67"/>
        <v>-0.32126696832579182</v>
      </c>
      <c r="O95" s="10"/>
      <c r="P95" s="6">
        <v>3518.39</v>
      </c>
      <c r="Q95" s="2"/>
      <c r="R95" s="7">
        <f t="shared" si="68"/>
        <v>1.2246738509948065</v>
      </c>
      <c r="S95" s="2"/>
      <c r="T95" s="6">
        <v>3975.87</v>
      </c>
      <c r="U95" s="2"/>
      <c r="V95" s="7">
        <f t="shared" si="69"/>
        <v>1.6814269356630047E-3</v>
      </c>
      <c r="W95" s="2"/>
      <c r="X95" s="6">
        <f t="shared" si="70"/>
        <v>-457.48</v>
      </c>
      <c r="Y95" s="2"/>
      <c r="Z95" s="7">
        <f t="shared" si="71"/>
        <v>-0.11506412433002086</v>
      </c>
    </row>
    <row r="96" spans="1:26" s="26" customFormat="1" outlineLevel="1" collapsed="1" x14ac:dyDescent="0.25">
      <c r="A96" s="25"/>
      <c r="B96" s="12" t="str">
        <f>CONCATENATE("     ","Training                                          ")</f>
        <v xml:space="preserve">     Training                                          </v>
      </c>
      <c r="C96" s="12"/>
      <c r="D96" s="1">
        <f>SUM(OSRRefD22_20x_0)</f>
        <v>0</v>
      </c>
      <c r="E96" s="1"/>
      <c r="F96" s="5">
        <f t="shared" si="64"/>
        <v>0</v>
      </c>
      <c r="G96" s="1"/>
      <c r="H96" s="1">
        <f>SUM(OSRRefH22_20x_0)</f>
        <v>0</v>
      </c>
      <c r="I96" s="1"/>
      <c r="J96" s="5">
        <f t="shared" si="65"/>
        <v>0</v>
      </c>
      <c r="K96" s="1"/>
      <c r="L96" s="1">
        <f t="shared" si="66"/>
        <v>0</v>
      </c>
      <c r="M96" s="1"/>
      <c r="N96" s="5">
        <f t="shared" si="67"/>
        <v>0</v>
      </c>
      <c r="O96" s="12"/>
      <c r="P96" s="1">
        <f>SUM(OSRRefP22_20x_0)</f>
        <v>0</v>
      </c>
      <c r="Q96" s="1"/>
      <c r="R96" s="5">
        <f t="shared" si="68"/>
        <v>0</v>
      </c>
      <c r="S96" s="1"/>
      <c r="T96" s="1">
        <f>SUM(OSRRefT22_20x_0)</f>
        <v>110</v>
      </c>
      <c r="U96" s="1"/>
      <c r="V96" s="5">
        <f t="shared" si="69"/>
        <v>4.6519871857714293E-5</v>
      </c>
      <c r="W96" s="1"/>
      <c r="X96" s="1">
        <f t="shared" si="70"/>
        <v>-110</v>
      </c>
      <c r="Y96" s="1"/>
      <c r="Z96" s="5">
        <f t="shared" si="71"/>
        <v>-1</v>
      </c>
    </row>
    <row r="97" spans="1:26" s="23" customFormat="1" hidden="1" outlineLevel="2" x14ac:dyDescent="0.25">
      <c r="A97" s="27"/>
      <c r="B97" s="10" t="str">
        <f>CONCATENATE("          ", "6376", " - ", "TRAINING")</f>
        <v xml:space="preserve">          6376 - TRAINING</v>
      </c>
      <c r="C97" s="10"/>
      <c r="D97" s="6"/>
      <c r="E97" s="2"/>
      <c r="F97" s="7">
        <f t="shared" si="64"/>
        <v>0</v>
      </c>
      <c r="G97" s="2"/>
      <c r="H97" s="6"/>
      <c r="I97" s="2"/>
      <c r="J97" s="7">
        <f t="shared" si="65"/>
        <v>0</v>
      </c>
      <c r="K97" s="2"/>
      <c r="L97" s="6">
        <f t="shared" si="66"/>
        <v>0</v>
      </c>
      <c r="M97" s="2"/>
      <c r="N97" s="7">
        <f t="shared" si="67"/>
        <v>0</v>
      </c>
      <c r="O97" s="10"/>
      <c r="P97" s="6"/>
      <c r="Q97" s="2"/>
      <c r="R97" s="7">
        <f t="shared" si="68"/>
        <v>0</v>
      </c>
      <c r="S97" s="2"/>
      <c r="T97" s="6">
        <v>110</v>
      </c>
      <c r="U97" s="2"/>
      <c r="V97" s="7">
        <f t="shared" si="69"/>
        <v>4.6519871857714293E-5</v>
      </c>
      <c r="W97" s="2"/>
      <c r="X97" s="6">
        <f t="shared" si="70"/>
        <v>-110</v>
      </c>
      <c r="Y97" s="2"/>
      <c r="Z97" s="7">
        <f t="shared" si="71"/>
        <v>-1</v>
      </c>
    </row>
    <row r="98" spans="1:26" s="26" customFormat="1" outlineLevel="1" collapsed="1" x14ac:dyDescent="0.25">
      <c r="A98" s="25"/>
      <c r="B98" s="12" t="str">
        <f>CONCATENATE("     ","Travel                                            ")</f>
        <v xml:space="preserve">     Travel                                            </v>
      </c>
      <c r="C98" s="12"/>
      <c r="D98" s="1">
        <f>SUM(OSRRefD22_21x_0)</f>
        <v>0</v>
      </c>
      <c r="E98" s="1"/>
      <c r="F98" s="5">
        <f t="shared" si="64"/>
        <v>0</v>
      </c>
      <c r="G98" s="1"/>
      <c r="H98" s="1">
        <f>SUM(OSRRefH22_21x_0)</f>
        <v>66</v>
      </c>
      <c r="I98" s="1"/>
      <c r="J98" s="5">
        <f t="shared" si="65"/>
        <v>1.4566320900463476</v>
      </c>
      <c r="K98" s="1"/>
      <c r="L98" s="1">
        <f t="shared" si="66"/>
        <v>-66</v>
      </c>
      <c r="M98" s="1"/>
      <c r="N98" s="5">
        <f t="shared" si="67"/>
        <v>-1</v>
      </c>
      <c r="O98" s="12"/>
      <c r="P98" s="1">
        <f>SUM(OSRRefP22_21x_0)</f>
        <v>0</v>
      </c>
      <c r="Q98" s="1"/>
      <c r="R98" s="5">
        <f t="shared" si="68"/>
        <v>0</v>
      </c>
      <c r="S98" s="1"/>
      <c r="T98" s="1">
        <f>SUM(OSRRefT22_21x_0)</f>
        <v>66</v>
      </c>
      <c r="U98" s="1"/>
      <c r="V98" s="5">
        <f t="shared" si="69"/>
        <v>2.7911923114628575E-5</v>
      </c>
      <c r="W98" s="1"/>
      <c r="X98" s="1">
        <f t="shared" si="70"/>
        <v>-66</v>
      </c>
      <c r="Y98" s="1"/>
      <c r="Z98" s="5">
        <f t="shared" si="71"/>
        <v>-1</v>
      </c>
    </row>
    <row r="99" spans="1:26" s="23" customFormat="1" hidden="1" outlineLevel="2" x14ac:dyDescent="0.25">
      <c r="A99" s="27"/>
      <c r="B99" s="10" t="str">
        <f>CONCATENATE("          ", "6298", " - ", "VEHICLE MILEAGE")</f>
        <v xml:space="preserve">          6298 - VEHICLE MILEAGE</v>
      </c>
      <c r="C99" s="10"/>
      <c r="D99" s="6"/>
      <c r="E99" s="2"/>
      <c r="F99" s="7">
        <f t="shared" si="64"/>
        <v>0</v>
      </c>
      <c r="G99" s="2"/>
      <c r="H99" s="6">
        <v>66</v>
      </c>
      <c r="I99" s="2"/>
      <c r="J99" s="7">
        <f t="shared" si="65"/>
        <v>1.4566320900463476</v>
      </c>
      <c r="K99" s="2"/>
      <c r="L99" s="6">
        <f t="shared" si="66"/>
        <v>-66</v>
      </c>
      <c r="M99" s="2"/>
      <c r="N99" s="7">
        <f t="shared" si="67"/>
        <v>-1</v>
      </c>
      <c r="O99" s="10"/>
      <c r="P99" s="6"/>
      <c r="Q99" s="2"/>
      <c r="R99" s="7">
        <f t="shared" si="68"/>
        <v>0</v>
      </c>
      <c r="S99" s="2"/>
      <c r="T99" s="6">
        <v>66</v>
      </c>
      <c r="U99" s="2"/>
      <c r="V99" s="7">
        <f t="shared" si="69"/>
        <v>2.7911923114628575E-5</v>
      </c>
      <c r="W99" s="2"/>
      <c r="X99" s="6">
        <f t="shared" si="70"/>
        <v>-66</v>
      </c>
      <c r="Y99" s="2"/>
      <c r="Z99" s="7">
        <f t="shared" si="71"/>
        <v>-1</v>
      </c>
    </row>
    <row r="100" spans="1:26" s="26" customFormat="1" outlineLevel="1" collapsed="1" x14ac:dyDescent="0.25">
      <c r="A100" s="25"/>
      <c r="B100" s="12" t="str">
        <f>CONCATENATE("     ","Utilities                                         ")</f>
        <v xml:space="preserve">     Utilities                                         </v>
      </c>
      <c r="C100" s="12"/>
      <c r="D100" s="1">
        <f>SUM(OSRRefD22_22x_0)</f>
        <v>1136</v>
      </c>
      <c r="E100" s="1"/>
      <c r="F100" s="5">
        <f t="shared" si="64"/>
        <v>21.888246628131022</v>
      </c>
      <c r="G100" s="1"/>
      <c r="H100" s="1">
        <f>SUM(OSRRefH22_22x_0)</f>
        <v>1691.62</v>
      </c>
      <c r="I100" s="1"/>
      <c r="J100" s="5">
        <f t="shared" si="65"/>
        <v>37.334363275215189</v>
      </c>
      <c r="K100" s="1"/>
      <c r="L100" s="1">
        <f t="shared" si="66"/>
        <v>-555.61999999999989</v>
      </c>
      <c r="M100" s="1"/>
      <c r="N100" s="5">
        <f t="shared" si="67"/>
        <v>-0.32845438100755486</v>
      </c>
      <c r="O100" s="12"/>
      <c r="P100" s="1">
        <f>SUM(OSRRefP22_22x_0)</f>
        <v>5784</v>
      </c>
      <c r="Q100" s="1"/>
      <c r="R100" s="5">
        <f t="shared" si="68"/>
        <v>2.0132826531890897</v>
      </c>
      <c r="S100" s="1"/>
      <c r="T100" s="1">
        <f>SUM(OSRRefT22_22x_0)</f>
        <v>10494.74</v>
      </c>
      <c r="U100" s="1"/>
      <c r="V100" s="5">
        <f t="shared" si="69"/>
        <v>4.4383087270911678E-3</v>
      </c>
      <c r="W100" s="1"/>
      <c r="X100" s="1">
        <f t="shared" si="70"/>
        <v>-4710.74</v>
      </c>
      <c r="Y100" s="1"/>
      <c r="Z100" s="5">
        <f t="shared" si="71"/>
        <v>-0.44886676563688094</v>
      </c>
    </row>
    <row r="101" spans="1:26" s="23" customFormat="1" hidden="1" outlineLevel="2" x14ac:dyDescent="0.25">
      <c r="A101" s="27"/>
      <c r="B101" s="10" t="str">
        <f>CONCATENATE("          ", "6274", " - ", "UTILITIES")</f>
        <v xml:space="preserve">          6274 - UTILITIES</v>
      </c>
      <c r="C101" s="10"/>
      <c r="D101" s="6">
        <v>1136</v>
      </c>
      <c r="E101" s="2"/>
      <c r="F101" s="7">
        <f t="shared" si="64"/>
        <v>21.888246628131022</v>
      </c>
      <c r="G101" s="2"/>
      <c r="H101" s="6">
        <v>1691.62</v>
      </c>
      <c r="I101" s="2"/>
      <c r="J101" s="7">
        <f t="shared" si="65"/>
        <v>37.334363275215189</v>
      </c>
      <c r="K101" s="2"/>
      <c r="L101" s="6">
        <f t="shared" si="66"/>
        <v>-555.61999999999989</v>
      </c>
      <c r="M101" s="2"/>
      <c r="N101" s="7">
        <f t="shared" si="67"/>
        <v>-0.32845438100755486</v>
      </c>
      <c r="O101" s="10"/>
      <c r="P101" s="6">
        <v>5784</v>
      </c>
      <c r="Q101" s="2"/>
      <c r="R101" s="7">
        <f t="shared" si="68"/>
        <v>2.0132826531890897</v>
      </c>
      <c r="S101" s="2"/>
      <c r="T101" s="6">
        <v>10494.74</v>
      </c>
      <c r="U101" s="2"/>
      <c r="V101" s="7">
        <f t="shared" si="69"/>
        <v>4.4383087270911678E-3</v>
      </c>
      <c r="W101" s="2"/>
      <c r="X101" s="6">
        <f t="shared" si="70"/>
        <v>-4710.74</v>
      </c>
      <c r="Y101" s="2"/>
      <c r="Z101" s="7">
        <f t="shared" si="71"/>
        <v>-0.44886676563688094</v>
      </c>
    </row>
    <row r="102" spans="1:26" s="62" customFormat="1" x14ac:dyDescent="0.25">
      <c r="A102" s="37"/>
      <c r="B102" s="37"/>
      <c r="C102" s="37"/>
      <c r="D102" s="1"/>
      <c r="E102" s="1"/>
      <c r="F102" s="5"/>
      <c r="G102" s="1"/>
      <c r="H102" s="1"/>
      <c r="I102" s="1"/>
      <c r="J102" s="5"/>
      <c r="K102" s="1"/>
      <c r="L102" s="1"/>
      <c r="M102" s="1"/>
      <c r="N102" s="5"/>
      <c r="O102" s="37"/>
      <c r="P102" s="1"/>
      <c r="Q102" s="1"/>
      <c r="R102" s="5"/>
      <c r="S102" s="1"/>
      <c r="T102" s="1"/>
      <c r="U102" s="1"/>
      <c r="V102" s="5"/>
      <c r="W102" s="1"/>
      <c r="X102" s="1"/>
      <c r="Y102" s="1"/>
      <c r="Z102" s="5"/>
    </row>
    <row r="103" spans="1:26" s="24" customFormat="1" x14ac:dyDescent="0.25">
      <c r="A103" s="11"/>
      <c r="B103" s="28" t="s">
        <v>292</v>
      </c>
      <c r="C103" s="11"/>
      <c r="D103" s="4">
        <f>SUM(0)</f>
        <v>0</v>
      </c>
      <c r="E103" s="4"/>
      <c r="F103" s="13">
        <f>IF(D$12=0,0,D103/D$12)</f>
        <v>0</v>
      </c>
      <c r="G103" s="4"/>
      <c r="H103" s="4">
        <f>SUM(0)</f>
        <v>0</v>
      </c>
      <c r="I103" s="4"/>
      <c r="J103" s="13">
        <f>IF(H$12=0,0,H103/H$12)</f>
        <v>0</v>
      </c>
      <c r="K103" s="4"/>
      <c r="L103" s="4">
        <f>+D103-H103</f>
        <v>0</v>
      </c>
      <c r="M103" s="4"/>
      <c r="N103" s="13">
        <f>IF(H103=0,0,L103/H103)</f>
        <v>0</v>
      </c>
      <c r="O103" s="11"/>
      <c r="P103" s="4">
        <f>SUM(0)</f>
        <v>0</v>
      </c>
      <c r="Q103" s="4"/>
      <c r="R103" s="13">
        <f>IF(P$12=0,0,P103/P$12)</f>
        <v>0</v>
      </c>
      <c r="S103" s="4"/>
      <c r="T103" s="4">
        <f>SUM(0)</f>
        <v>0</v>
      </c>
      <c r="U103" s="4"/>
      <c r="V103" s="13">
        <f>IF(T$12=0,0,T103/T$12)</f>
        <v>0</v>
      </c>
      <c r="W103" s="4"/>
      <c r="X103" s="4">
        <f>+P103-T103</f>
        <v>0</v>
      </c>
      <c r="Y103" s="4"/>
      <c r="Z103" s="13">
        <f>IF(T103=0,0,X103/T103)</f>
        <v>0</v>
      </c>
    </row>
    <row r="104" spans="1:26" x14ac:dyDescent="0.25">
      <c r="A104" s="9"/>
      <c r="B104" s="11"/>
      <c r="C104" s="11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1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4" customFormat="1" x14ac:dyDescent="0.25">
      <c r="A105" s="11"/>
      <c r="B105" s="29" t="s">
        <v>276</v>
      </c>
      <c r="C105" s="29"/>
      <c r="D105" s="20">
        <f>+D27-D29+D103</f>
        <v>-15722.780000000002</v>
      </c>
      <c r="E105" s="14"/>
      <c r="F105" s="22">
        <f>IF(D$12=0,0,D105/D$12)</f>
        <v>-302.94373795761084</v>
      </c>
      <c r="G105" s="14"/>
      <c r="H105" s="20">
        <f>+H27-H29+H103</f>
        <v>-138341.42000000001</v>
      </c>
      <c r="I105" s="14"/>
      <c r="J105" s="22">
        <f>IF(H$12=0,0,H105/H$12)</f>
        <v>-3053.2204811299939</v>
      </c>
      <c r="K105" s="16"/>
      <c r="L105" s="20">
        <f>+D105-H105</f>
        <v>122618.64000000001</v>
      </c>
      <c r="M105" s="16"/>
      <c r="N105" s="22">
        <f>IF(H105=0,0,L105/H105)</f>
        <v>-0.88634799324743085</v>
      </c>
      <c r="O105" s="28"/>
      <c r="P105" s="20">
        <f>+P27-P29+P103</f>
        <v>-258652.01999999996</v>
      </c>
      <c r="Q105" s="14"/>
      <c r="R105" s="22">
        <f>IF(P$12=0,0,P105/P$12)</f>
        <v>-90.031055511465667</v>
      </c>
      <c r="S105" s="14"/>
      <c r="T105" s="20">
        <f>+T27-T29+T103</f>
        <v>134284.84999999986</v>
      </c>
      <c r="U105" s="14"/>
      <c r="V105" s="22">
        <f>IF(T$12=0,0,T105/T$12)</f>
        <v>5.6790127403930718E-2</v>
      </c>
      <c r="W105" s="16"/>
      <c r="X105" s="20">
        <f>+P105-T105</f>
        <v>-392936.86999999982</v>
      </c>
      <c r="Y105" s="16"/>
      <c r="Z105" s="22">
        <f>IF(T105=0,0,X105/T105)</f>
        <v>-2.9261444608233931</v>
      </c>
    </row>
    <row r="106" spans="1:26" x14ac:dyDescent="0.25">
      <c r="A106" s="9"/>
      <c r="B106" s="11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4" customFormat="1" x14ac:dyDescent="0.25">
      <c r="A107" s="51"/>
      <c r="B107" s="11" t="s">
        <v>127</v>
      </c>
      <c r="C107" s="11"/>
      <c r="D107" s="4">
        <v>19.64</v>
      </c>
      <c r="E107" s="4"/>
      <c r="F107" s="13">
        <f>IF(D$12=0,0,D107/D$12)</f>
        <v>0.37842003853564549</v>
      </c>
      <c r="G107" s="4"/>
      <c r="H107" s="4">
        <v>15115.51</v>
      </c>
      <c r="I107" s="4"/>
      <c r="J107" s="13">
        <f>IF(H$12=0,0,H107/H$12)</f>
        <v>333.6020745972192</v>
      </c>
      <c r="K107" s="4"/>
      <c r="L107" s="4">
        <f>+D107-H107</f>
        <v>-15095.87</v>
      </c>
      <c r="M107" s="4"/>
      <c r="N107" s="13">
        <f>IF(H107=0,0,L107/H107)</f>
        <v>-0.99870067235574589</v>
      </c>
      <c r="O107" s="11"/>
      <c r="P107" s="4">
        <v>601.03</v>
      </c>
      <c r="Q107" s="4"/>
      <c r="R107" s="13">
        <f>IF(P$12=0,0,P107/P$12)</f>
        <v>0.20920526850730267</v>
      </c>
      <c r="S107" s="4"/>
      <c r="T107" s="4">
        <v>268481.23</v>
      </c>
      <c r="U107" s="4"/>
      <c r="V107" s="13">
        <f>IF(T$12=0,0,T107/T$12)</f>
        <v>0.11354284014365015</v>
      </c>
      <c r="W107" s="4"/>
      <c r="X107" s="4">
        <f>+P107-T107</f>
        <v>-267880.19999999995</v>
      </c>
      <c r="Y107" s="4"/>
      <c r="Z107" s="13">
        <f>IF(T107=0,0,X107/T107)</f>
        <v>-0.99776137050623603</v>
      </c>
    </row>
    <row r="108" spans="1:26" x14ac:dyDescent="0.25">
      <c r="A108" s="9"/>
      <c r="B108" s="11"/>
      <c r="C108" s="11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1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4" customFormat="1" ht="15.75" thickBot="1" x14ac:dyDescent="0.3">
      <c r="A109" s="11"/>
      <c r="B109" s="29" t="s">
        <v>125</v>
      </c>
      <c r="C109" s="29"/>
      <c r="D109" s="30">
        <f>+D105-D107</f>
        <v>-15742.420000000002</v>
      </c>
      <c r="E109" s="14"/>
      <c r="F109" s="34">
        <f>IF(D$12=0,0,D109/D$12)</f>
        <v>-303.32215799614647</v>
      </c>
      <c r="G109" s="14"/>
      <c r="H109" s="30">
        <f>+H105-H107</f>
        <v>-153456.93000000002</v>
      </c>
      <c r="I109" s="14"/>
      <c r="J109" s="34">
        <f>IF(H$12=0,0,H109/H$12)</f>
        <v>-3386.8225557272135</v>
      </c>
      <c r="K109" s="16"/>
      <c r="L109" s="30">
        <f>D109-H109</f>
        <v>137714.51</v>
      </c>
      <c r="M109" s="16"/>
      <c r="N109" s="34">
        <f>IF(H109=0,0,L109/H109)</f>
        <v>-0.89741473389308646</v>
      </c>
      <c r="O109" s="28"/>
      <c r="P109" s="30">
        <f>+P105-P107</f>
        <v>-259253.04999999996</v>
      </c>
      <c r="Q109" s="14"/>
      <c r="R109" s="34">
        <f>IF(P$12=0,0,P109/P$12)</f>
        <v>-90.240260779972971</v>
      </c>
      <c r="S109" s="14"/>
      <c r="T109" s="30">
        <f>+T105-T107</f>
        <v>-134196.38000000012</v>
      </c>
      <c r="U109" s="14"/>
      <c r="V109" s="34">
        <f>IF(T$12=0,0,T109/T$12)</f>
        <v>-5.6752712739719442E-2</v>
      </c>
      <c r="W109" s="16"/>
      <c r="X109" s="30">
        <f>P109-T109</f>
        <v>-125056.66999999984</v>
      </c>
      <c r="Y109" s="16"/>
      <c r="Z109" s="34">
        <f>IF(T109=0,0,X109/T109)</f>
        <v>0.93189302125735229</v>
      </c>
    </row>
    <row r="110" spans="1:26" ht="15.75" thickTop="1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4" customFormat="1" ht="15.75" thickBot="1" x14ac:dyDescent="0.3">
      <c r="A112" s="11"/>
      <c r="B112" s="29" t="s">
        <v>293</v>
      </c>
      <c r="C112" s="29"/>
      <c r="D112" s="32">
        <f>SUM(D109:D111)</f>
        <v>-15742.420000000002</v>
      </c>
      <c r="E112" s="14"/>
      <c r="F112" s="35">
        <f>IF(D$12=0,0,D112/D$12)</f>
        <v>-303.32215799614647</v>
      </c>
      <c r="G112" s="14"/>
      <c r="H112" s="32">
        <f>SUM(H109:H111)</f>
        <v>-153456.93000000002</v>
      </c>
      <c r="I112" s="14"/>
      <c r="J112" s="35">
        <f>IF(H$12=0,0,H112/H$12)</f>
        <v>-3386.8225557272135</v>
      </c>
      <c r="K112" s="16"/>
      <c r="L112" s="32">
        <f>+D112-H112</f>
        <v>137714.51</v>
      </c>
      <c r="M112" s="16"/>
      <c r="N112" s="35">
        <f>IF(H112=0,0,L112/H112)</f>
        <v>-0.89741473389308646</v>
      </c>
      <c r="O112" s="28"/>
      <c r="P112" s="32">
        <f>SUM(P109:P111)</f>
        <v>-259253.04999999996</v>
      </c>
      <c r="Q112" s="14"/>
      <c r="R112" s="35">
        <f>IF(P$12=0,0,P112/P$12)</f>
        <v>-90.240260779972971</v>
      </c>
      <c r="S112" s="14"/>
      <c r="T112" s="32">
        <f>SUM(T109:T111)</f>
        <v>-134196.38000000012</v>
      </c>
      <c r="U112" s="14"/>
      <c r="V112" s="35">
        <f>IF(T$12=0,0,T112/T$12)</f>
        <v>-5.6752712739719442E-2</v>
      </c>
      <c r="W112" s="16"/>
      <c r="X112" s="32">
        <f>+P112-T112</f>
        <v>-125056.66999999984</v>
      </c>
      <c r="Y112" s="16"/>
      <c r="Z112" s="35">
        <f>IF(T112=0,0,X112/T112)</f>
        <v>0.93189302125735229</v>
      </c>
    </row>
    <row r="113" spans="1:24" ht="15.75" thickTop="1" x14ac:dyDescent="0.25">
      <c r="A113" s="9"/>
      <c r="C113" s="9"/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25">
      <c r="A114" s="9"/>
      <c r="B114" s="59">
        <v>44330.008791469911</v>
      </c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4" x14ac:dyDescent="0.25">
      <c r="A115" s="9"/>
      <c r="B115" s="52" t="s">
        <v>56</v>
      </c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4" x14ac:dyDescent="0.25">
      <c r="A116" s="9"/>
      <c r="B116" s="55"/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4" x14ac:dyDescent="0.25"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","309", " - ", "Carts")</f>
        <v>Department 309 - Carts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287556.77999999997</v>
      </c>
      <c r="U12" s="4"/>
      <c r="V12" s="13"/>
      <c r="W12" s="4"/>
      <c r="X12" s="4">
        <f t="shared" ref="X12:X14" si="2">+P12-T12</f>
        <v>-287556.77999999997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--64154.32</f>
        <v>64154.32</v>
      </c>
      <c r="U13" s="2"/>
      <c r="V13" s="19"/>
      <c r="W13" s="2"/>
      <c r="X13" s="2">
        <f t="shared" si="2"/>
        <v>-64154.32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--223402.46</f>
        <v>223402.46</v>
      </c>
      <c r="U14" s="2"/>
      <c r="V14" s="19"/>
      <c r="W14" s="2"/>
      <c r="X14" s="2">
        <f t="shared" si="2"/>
        <v>-223402.46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19986.64</v>
      </c>
      <c r="I16" s="4"/>
      <c r="J16" s="13">
        <f t="shared" ref="J16:J18" si="8">IF(H$12=0,0,H16/H$12)</f>
        <v>0</v>
      </c>
      <c r="K16" s="4"/>
      <c r="L16" s="4">
        <f t="shared" ref="L16:L18" si="9">+D16-H16</f>
        <v>-19986.64</v>
      </c>
      <c r="M16" s="4"/>
      <c r="N16" s="13">
        <f t="shared" ref="N16:N18" si="10">IF(H16=0,0,L16/H16)</f>
        <v>-1</v>
      </c>
      <c r="O16" s="11"/>
      <c r="P16" s="4">
        <f>SUM(OSRRefP16x_0)</f>
        <v>0</v>
      </c>
      <c r="Q16" s="4"/>
      <c r="R16" s="13">
        <f t="shared" ref="R16:R18" si="11">IF(P$12=0,0,P16/P$12)</f>
        <v>0</v>
      </c>
      <c r="S16" s="4"/>
      <c r="T16" s="4">
        <f>SUM(OSRRefT16x_0)</f>
        <v>155212.93999999997</v>
      </c>
      <c r="U16" s="4"/>
      <c r="V16" s="13">
        <f t="shared" ref="V16:V18" si="12">IF(T$12=0,0,T16/T$12)</f>
        <v>0.53976449451131003</v>
      </c>
      <c r="W16" s="4"/>
      <c r="X16" s="4">
        <f t="shared" ref="X16:X18" si="13">+P16-T16</f>
        <v>-155212.93999999997</v>
      </c>
      <c r="Y16" s="4"/>
      <c r="Z16" s="13">
        <f t="shared" ref="Z16:Z18" si="14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>
        <v>-389.36</v>
      </c>
      <c r="I17" s="2"/>
      <c r="J17" s="19">
        <f t="shared" si="8"/>
        <v>0</v>
      </c>
      <c r="K17" s="2"/>
      <c r="L17" s="2">
        <f t="shared" si="9"/>
        <v>389.36</v>
      </c>
      <c r="M17" s="2"/>
      <c r="N17" s="19">
        <f t="shared" si="10"/>
        <v>-1</v>
      </c>
      <c r="O17" s="10"/>
      <c r="P17" s="2"/>
      <c r="Q17" s="2"/>
      <c r="R17" s="19">
        <f t="shared" si="11"/>
        <v>0</v>
      </c>
      <c r="S17" s="2"/>
      <c r="T17" s="2">
        <v>138911.60999999999</v>
      </c>
      <c r="U17" s="2"/>
      <c r="V17" s="19">
        <f t="shared" si="12"/>
        <v>0.48307541209774291</v>
      </c>
      <c r="W17" s="2"/>
      <c r="X17" s="2">
        <f t="shared" si="13"/>
        <v>-138911.60999999999</v>
      </c>
      <c r="Y17" s="2"/>
      <c r="Z17" s="19">
        <f t="shared" si="14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>
        <v>20376</v>
      </c>
      <c r="I18" s="2"/>
      <c r="J18" s="19">
        <f t="shared" si="8"/>
        <v>0</v>
      </c>
      <c r="K18" s="2"/>
      <c r="L18" s="2">
        <f t="shared" si="9"/>
        <v>-20376</v>
      </c>
      <c r="M18" s="2"/>
      <c r="N18" s="19">
        <f t="shared" si="10"/>
        <v>-1</v>
      </c>
      <c r="O18" s="10"/>
      <c r="P18" s="2"/>
      <c r="Q18" s="2"/>
      <c r="R18" s="19">
        <f t="shared" si="11"/>
        <v>0</v>
      </c>
      <c r="S18" s="2"/>
      <c r="T18" s="2">
        <v>16301.33</v>
      </c>
      <c r="U18" s="2"/>
      <c r="V18" s="19">
        <f t="shared" si="12"/>
        <v>5.6689082413567161E-2</v>
      </c>
      <c r="W18" s="2"/>
      <c r="X18" s="2">
        <f t="shared" si="13"/>
        <v>-16301.33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-19986.64</v>
      </c>
      <c r="I20" s="14"/>
      <c r="J20" s="22">
        <f>IF(H$12=0,0,H20/H$12)</f>
        <v>0</v>
      </c>
      <c r="K20" s="16"/>
      <c r="L20" s="20">
        <f>+D20-H20</f>
        <v>19986.64</v>
      </c>
      <c r="M20" s="16"/>
      <c r="N20" s="22">
        <f>IF(H20=0,0,L20/H20)</f>
        <v>-1</v>
      </c>
      <c r="O20" s="28"/>
      <c r="P20" s="20">
        <f>P12-P16</f>
        <v>0</v>
      </c>
      <c r="Q20" s="14"/>
      <c r="R20" s="22">
        <f>IF(P$12=0,0,P20/P$12)</f>
        <v>0</v>
      </c>
      <c r="S20" s="14"/>
      <c r="T20" s="20">
        <f>T12-T16</f>
        <v>132343.84</v>
      </c>
      <c r="U20" s="14"/>
      <c r="V20" s="22">
        <f>IF(T$12=0,0,T20/T$12)</f>
        <v>0.46023550548868997</v>
      </c>
      <c r="W20" s="16"/>
      <c r="X20" s="20">
        <f>+P20-T20</f>
        <v>-132343.84</v>
      </c>
      <c r="Y20" s="16"/>
      <c r="Z20" s="22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770.02</v>
      </c>
      <c r="E22" s="21"/>
      <c r="F22" s="31">
        <f t="shared" ref="F22:F31" si="15">IF(D$12=0,0,D22/D$12)</f>
        <v>0</v>
      </c>
      <c r="G22" s="21"/>
      <c r="H22" s="21">
        <f>SUM(OSRRefH22x_0)</f>
        <v>514.18999999999994</v>
      </c>
      <c r="I22" s="21"/>
      <c r="J22" s="31">
        <f t="shared" ref="J22:J31" si="16">IF(H$12=0,0,H22/H$12)</f>
        <v>0</v>
      </c>
      <c r="K22" s="4"/>
      <c r="L22" s="21">
        <f t="shared" ref="L22:L31" si="17">+D22-H22</f>
        <v>255.83000000000004</v>
      </c>
      <c r="M22" s="4"/>
      <c r="N22" s="31">
        <f t="shared" ref="N22:N31" si="18">IF(H22=0,0,L22/H22)</f>
        <v>0.49753981991092799</v>
      </c>
      <c r="O22" s="11"/>
      <c r="P22" s="21">
        <f>SUM(OSRRefP22x_0)</f>
        <v>9491.3799999999992</v>
      </c>
      <c r="Q22" s="21"/>
      <c r="R22" s="31">
        <f t="shared" ref="R22:R31" si="19">IF(P$12=0,0,P22/P$12)</f>
        <v>0</v>
      </c>
      <c r="S22" s="21"/>
      <c r="T22" s="21">
        <f>SUM(OSRRefT22x_0)</f>
        <v>128948.01000000001</v>
      </c>
      <c r="U22" s="21"/>
      <c r="V22" s="31">
        <f t="shared" ref="V22:V31" si="20">IF(T$12=0,0,T22/T$12)</f>
        <v>0.44842625515559059</v>
      </c>
      <c r="W22" s="4"/>
      <c r="X22" s="21">
        <f t="shared" ref="X22:X31" si="21">+P22-T22</f>
        <v>-119456.63</v>
      </c>
      <c r="Y22" s="4"/>
      <c r="Z22" s="31">
        <f t="shared" ref="Z22:Z31" si="22">IF(T22=0,0,X22/T22)</f>
        <v>-0.92639374582050549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0</v>
      </c>
      <c r="I23" s="1"/>
      <c r="J23" s="5">
        <f t="shared" si="16"/>
        <v>0</v>
      </c>
      <c r="K23" s="1"/>
      <c r="L23" s="1">
        <f t="shared" si="17"/>
        <v>0</v>
      </c>
      <c r="M23" s="1"/>
      <c r="N23" s="5">
        <f t="shared" si="18"/>
        <v>0</v>
      </c>
      <c r="O23" s="12"/>
      <c r="P23" s="1">
        <f>SUM(OSRRefP22_0x_0)</f>
        <v>0</v>
      </c>
      <c r="Q23" s="1"/>
      <c r="R23" s="5">
        <f t="shared" si="19"/>
        <v>0</v>
      </c>
      <c r="S23" s="1"/>
      <c r="T23" s="1">
        <f>SUM(OSRRefT22_0x_0)</f>
        <v>12949.68</v>
      </c>
      <c r="U23" s="1"/>
      <c r="V23" s="5">
        <f t="shared" si="20"/>
        <v>4.5033471302606744E-2</v>
      </c>
      <c r="W23" s="1"/>
      <c r="X23" s="1">
        <f t="shared" si="21"/>
        <v>-12949.68</v>
      </c>
      <c r="Y23" s="1"/>
      <c r="Z23" s="5">
        <f t="shared" si="22"/>
        <v>-1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/>
      <c r="I24" s="2"/>
      <c r="J24" s="7">
        <f t="shared" si="16"/>
        <v>0</v>
      </c>
      <c r="K24" s="2"/>
      <c r="L24" s="6">
        <f t="shared" si="17"/>
        <v>0</v>
      </c>
      <c r="M24" s="2"/>
      <c r="N24" s="7">
        <f t="shared" si="18"/>
        <v>0</v>
      </c>
      <c r="O24" s="10"/>
      <c r="P24" s="6"/>
      <c r="Q24" s="2"/>
      <c r="R24" s="7">
        <f t="shared" si="19"/>
        <v>0</v>
      </c>
      <c r="S24" s="2"/>
      <c r="T24" s="6">
        <v>3698.79</v>
      </c>
      <c r="U24" s="2"/>
      <c r="V24" s="7">
        <f t="shared" si="20"/>
        <v>1.2862816171470554E-2</v>
      </c>
      <c r="W24" s="2"/>
      <c r="X24" s="6">
        <f t="shared" si="21"/>
        <v>-3698.79</v>
      </c>
      <c r="Y24" s="2"/>
      <c r="Z24" s="7">
        <f t="shared" si="22"/>
        <v>-1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1342.55</v>
      </c>
      <c r="U25" s="2"/>
      <c r="V25" s="7">
        <f t="shared" si="20"/>
        <v>4.6688170593647627E-3</v>
      </c>
      <c r="W25" s="2"/>
      <c r="X25" s="6">
        <f t="shared" si="21"/>
        <v>-1342.55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/>
      <c r="I26" s="2"/>
      <c r="J26" s="7">
        <f t="shared" si="16"/>
        <v>0</v>
      </c>
      <c r="K26" s="2"/>
      <c r="L26" s="6">
        <f t="shared" si="17"/>
        <v>0</v>
      </c>
      <c r="M26" s="2"/>
      <c r="N26" s="7">
        <f t="shared" si="18"/>
        <v>0</v>
      </c>
      <c r="O26" s="10"/>
      <c r="P26" s="6"/>
      <c r="Q26" s="2"/>
      <c r="R26" s="7">
        <f t="shared" si="19"/>
        <v>0</v>
      </c>
      <c r="S26" s="2"/>
      <c r="T26" s="6">
        <v>4829.7</v>
      </c>
      <c r="U26" s="2"/>
      <c r="V26" s="7">
        <f t="shared" si="20"/>
        <v>1.6795639455971095E-2</v>
      </c>
      <c r="W26" s="2"/>
      <c r="X26" s="6">
        <f t="shared" si="21"/>
        <v>-4829.7</v>
      </c>
      <c r="Y26" s="2"/>
      <c r="Z26" s="7">
        <f t="shared" si="22"/>
        <v>-1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/>
      <c r="I27" s="2"/>
      <c r="J27" s="7">
        <f t="shared" si="16"/>
        <v>0</v>
      </c>
      <c r="K27" s="2"/>
      <c r="L27" s="6">
        <f t="shared" si="17"/>
        <v>0</v>
      </c>
      <c r="M27" s="2"/>
      <c r="N27" s="7">
        <f t="shared" si="18"/>
        <v>0</v>
      </c>
      <c r="O27" s="10"/>
      <c r="P27" s="6"/>
      <c r="Q27" s="2"/>
      <c r="R27" s="7">
        <f t="shared" si="19"/>
        <v>0</v>
      </c>
      <c r="S27" s="2"/>
      <c r="T27" s="6">
        <v>196.77</v>
      </c>
      <c r="U27" s="2"/>
      <c r="V27" s="7">
        <f t="shared" si="20"/>
        <v>6.8428224853540236E-4</v>
      </c>
      <c r="W27" s="2"/>
      <c r="X27" s="6">
        <f t="shared" si="21"/>
        <v>-196.77</v>
      </c>
      <c r="Y27" s="2"/>
      <c r="Z27" s="7">
        <f t="shared" si="22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/>
      <c r="I28" s="2"/>
      <c r="J28" s="7">
        <f t="shared" si="16"/>
        <v>0</v>
      </c>
      <c r="K28" s="2"/>
      <c r="L28" s="6">
        <f t="shared" si="17"/>
        <v>0</v>
      </c>
      <c r="M28" s="2"/>
      <c r="N28" s="7">
        <f t="shared" si="18"/>
        <v>0</v>
      </c>
      <c r="O28" s="10"/>
      <c r="P28" s="6"/>
      <c r="Q28" s="2"/>
      <c r="R28" s="7">
        <f t="shared" si="19"/>
        <v>0</v>
      </c>
      <c r="S28" s="2"/>
      <c r="T28" s="6">
        <v>938.77</v>
      </c>
      <c r="U28" s="2"/>
      <c r="V28" s="7">
        <f t="shared" si="20"/>
        <v>3.2646422038805694E-3</v>
      </c>
      <c r="W28" s="2"/>
      <c r="X28" s="6">
        <f t="shared" si="21"/>
        <v>-938.77</v>
      </c>
      <c r="Y28" s="2"/>
      <c r="Z28" s="7">
        <f t="shared" si="22"/>
        <v>-1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0</v>
      </c>
      <c r="M29" s="2"/>
      <c r="N29" s="7">
        <f t="shared" si="18"/>
        <v>0</v>
      </c>
      <c r="O29" s="10"/>
      <c r="P29" s="6"/>
      <c r="Q29" s="2"/>
      <c r="R29" s="7">
        <f t="shared" si="19"/>
        <v>0</v>
      </c>
      <c r="S29" s="2"/>
      <c r="T29" s="6">
        <v>480.48</v>
      </c>
      <c r="U29" s="2"/>
      <c r="V29" s="7">
        <f t="shared" si="20"/>
        <v>1.670904786178229E-3</v>
      </c>
      <c r="W29" s="2"/>
      <c r="X29" s="6">
        <f t="shared" si="21"/>
        <v>-480.48</v>
      </c>
      <c r="Y29" s="2"/>
      <c r="Z29" s="7">
        <f t="shared" si="22"/>
        <v>-1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/>
      <c r="I30" s="2"/>
      <c r="J30" s="7">
        <f t="shared" si="16"/>
        <v>0</v>
      </c>
      <c r="K30" s="2"/>
      <c r="L30" s="6">
        <f t="shared" si="17"/>
        <v>0</v>
      </c>
      <c r="M30" s="2"/>
      <c r="N30" s="7">
        <f t="shared" si="18"/>
        <v>0</v>
      </c>
      <c r="O30" s="10"/>
      <c r="P30" s="6"/>
      <c r="Q30" s="2"/>
      <c r="R30" s="7">
        <f t="shared" si="19"/>
        <v>0</v>
      </c>
      <c r="S30" s="2"/>
      <c r="T30" s="6">
        <v>575.64</v>
      </c>
      <c r="U30" s="2"/>
      <c r="V30" s="7">
        <f t="shared" si="20"/>
        <v>2.0018307340901511E-3</v>
      </c>
      <c r="W30" s="2"/>
      <c r="X30" s="6">
        <f t="shared" si="21"/>
        <v>-575.64</v>
      </c>
      <c r="Y30" s="2"/>
      <c r="Z30" s="7">
        <f t="shared" si="22"/>
        <v>-1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0"/>
      <c r="P31" s="6"/>
      <c r="Q31" s="2"/>
      <c r="R31" s="7">
        <f t="shared" si="19"/>
        <v>0</v>
      </c>
      <c r="S31" s="2"/>
      <c r="T31" s="6">
        <v>886.98</v>
      </c>
      <c r="U31" s="2"/>
      <c r="V31" s="7">
        <f t="shared" si="20"/>
        <v>3.0845386431159793E-3</v>
      </c>
      <c r="W31" s="2"/>
      <c r="X31" s="6">
        <f t="shared" si="21"/>
        <v>-886.98</v>
      </c>
      <c r="Y31" s="2"/>
      <c r="Z31" s="7">
        <f t="shared" si="22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3">IF(D$12=0,0,D32/D$12)</f>
        <v>0</v>
      </c>
      <c r="G32" s="1"/>
      <c r="H32" s="1">
        <f>SUM(OSRRefH22_1x_0)</f>
        <v>0</v>
      </c>
      <c r="I32" s="1"/>
      <c r="J32" s="5">
        <f t="shared" ref="J32:J37" si="24">IF(H$12=0,0,H32/H$12)</f>
        <v>0</v>
      </c>
      <c r="K32" s="1"/>
      <c r="L32" s="1">
        <f t="shared" ref="L32:L37" si="25">+D32-H32</f>
        <v>0</v>
      </c>
      <c r="M32" s="1"/>
      <c r="N32" s="5">
        <f t="shared" ref="N32:N37" si="26">IF(H32=0,0,L32/H32)</f>
        <v>0</v>
      </c>
      <c r="O32" s="12"/>
      <c r="P32" s="1">
        <f>SUM(OSRRefP22_1x_0)</f>
        <v>0</v>
      </c>
      <c r="Q32" s="1"/>
      <c r="R32" s="5">
        <f t="shared" ref="R32:R37" si="27">IF(P$12=0,0,P32/P$12)</f>
        <v>0</v>
      </c>
      <c r="S32" s="1"/>
      <c r="T32" s="1">
        <f>SUM(OSRRefT22_1x_0)</f>
        <v>74718.25</v>
      </c>
      <c r="U32" s="1"/>
      <c r="V32" s="5">
        <f t="shared" ref="V32:V37" si="28">IF(T$12=0,0,T32/T$12)</f>
        <v>0.25983824829308494</v>
      </c>
      <c r="W32" s="1"/>
      <c r="X32" s="1">
        <f t="shared" ref="X32:X37" si="29">+P32-T32</f>
        <v>-74718.25</v>
      </c>
      <c r="Y32" s="1"/>
      <c r="Z32" s="5">
        <f t="shared" ref="Z32:Z37" si="30">IF(T32=0,0,X32/T32)</f>
        <v>-1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/>
      <c r="I33" s="2"/>
      <c r="J33" s="7">
        <f t="shared" si="24"/>
        <v>0</v>
      </c>
      <c r="K33" s="2"/>
      <c r="L33" s="6">
        <f t="shared" si="25"/>
        <v>0</v>
      </c>
      <c r="M33" s="2"/>
      <c r="N33" s="7">
        <f t="shared" si="26"/>
        <v>0</v>
      </c>
      <c r="O33" s="10"/>
      <c r="P33" s="6"/>
      <c r="Q33" s="2"/>
      <c r="R33" s="7">
        <f t="shared" si="27"/>
        <v>0</v>
      </c>
      <c r="S33" s="2"/>
      <c r="T33" s="6">
        <v>9840</v>
      </c>
      <c r="U33" s="2"/>
      <c r="V33" s="7">
        <f t="shared" si="28"/>
        <v>3.4219328787865828E-2</v>
      </c>
      <c r="W33" s="2"/>
      <c r="X33" s="6">
        <f t="shared" si="29"/>
        <v>-9840</v>
      </c>
      <c r="Y33" s="2"/>
      <c r="Z33" s="7">
        <f t="shared" si="30"/>
        <v>-1</v>
      </c>
    </row>
    <row r="34" spans="1:26" s="23" customFormat="1" hidden="1" outlineLevel="2" x14ac:dyDescent="0.25">
      <c r="A34" s="27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29326.09</v>
      </c>
      <c r="U34" s="2"/>
      <c r="V34" s="7">
        <f t="shared" si="28"/>
        <v>0.10198364997688458</v>
      </c>
      <c r="W34" s="2"/>
      <c r="X34" s="6">
        <f t="shared" si="29"/>
        <v>-29326.09</v>
      </c>
      <c r="Y34" s="2"/>
      <c r="Z34" s="7">
        <f t="shared" si="30"/>
        <v>-1</v>
      </c>
    </row>
    <row r="35" spans="1:26" s="23" customFormat="1" hidden="1" outlineLevel="2" x14ac:dyDescent="0.25">
      <c r="A35" s="27"/>
      <c r="B35" s="10" t="str">
        <f>CONCATENATE("          ", "6006", " - ", "TEMPORARY PART TIME")</f>
        <v xml:space="preserve">          6006 - TEMPORARY PART TIME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2587.42</v>
      </c>
      <c r="U35" s="2"/>
      <c r="V35" s="7">
        <f t="shared" si="28"/>
        <v>8.9979446841768097E-3</v>
      </c>
      <c r="W35" s="2"/>
      <c r="X35" s="6">
        <f t="shared" si="29"/>
        <v>-2587.42</v>
      </c>
      <c r="Y35" s="2"/>
      <c r="Z35" s="7">
        <f t="shared" si="30"/>
        <v>-1</v>
      </c>
    </row>
    <row r="36" spans="1:26" s="23" customFormat="1" hidden="1" outlineLevel="2" x14ac:dyDescent="0.25">
      <c r="A36" s="27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32907.74</v>
      </c>
      <c r="U36" s="2"/>
      <c r="V36" s="7">
        <f t="shared" si="28"/>
        <v>0.11443910312252072</v>
      </c>
      <c r="W36" s="2"/>
      <c r="X36" s="6">
        <f t="shared" si="29"/>
        <v>-32907.74</v>
      </c>
      <c r="Y36" s="2"/>
      <c r="Z36" s="7">
        <f t="shared" si="30"/>
        <v>-1</v>
      </c>
    </row>
    <row r="37" spans="1:26" s="23" customFormat="1" hidden="1" outlineLevel="2" x14ac:dyDescent="0.25">
      <c r="A37" s="27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57</v>
      </c>
      <c r="U37" s="2"/>
      <c r="V37" s="7">
        <f t="shared" si="28"/>
        <v>1.9822172163702767E-4</v>
      </c>
      <c r="W37" s="2"/>
      <c r="X37" s="6">
        <f t="shared" si="29"/>
        <v>-57</v>
      </c>
      <c r="Y37" s="2"/>
      <c r="Z37" s="7">
        <f t="shared" si="30"/>
        <v>-1</v>
      </c>
    </row>
    <row r="38" spans="1:26" s="26" customFormat="1" outlineLevel="1" collapsed="1" x14ac:dyDescent="0.25">
      <c r="A38" s="25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4" si="31">IF(D$12=0,0,D38/D$12)</f>
        <v>0</v>
      </c>
      <c r="G38" s="1"/>
      <c r="H38" s="1">
        <f>SUM(OSRRefH22_2x_0)</f>
        <v>0</v>
      </c>
      <c r="I38" s="1"/>
      <c r="J38" s="5">
        <f t="shared" ref="J38:J54" si="32">IF(H$12=0,0,H38/H$12)</f>
        <v>0</v>
      </c>
      <c r="K38" s="1"/>
      <c r="L38" s="1">
        <f t="shared" ref="L38:L54" si="33">+D38-H38</f>
        <v>0</v>
      </c>
      <c r="M38" s="1"/>
      <c r="N38" s="5">
        <f t="shared" ref="N38:N54" si="34">IF(H38=0,0,L38/H38)</f>
        <v>0</v>
      </c>
      <c r="O38" s="12"/>
      <c r="P38" s="1">
        <f>SUM(OSRRefP22_2x_0)</f>
        <v>0</v>
      </c>
      <c r="Q38" s="1"/>
      <c r="R38" s="5">
        <f t="shared" ref="R38:R54" si="35">IF(P$12=0,0,P38/P$12)</f>
        <v>0</v>
      </c>
      <c r="S38" s="1"/>
      <c r="T38" s="1">
        <f>SUM(OSRRefT22_2x_0)</f>
        <v>910.02</v>
      </c>
      <c r="U38" s="1"/>
      <c r="V38" s="5">
        <f t="shared" ref="V38:V54" si="36">IF(T$12=0,0,T38/T$12)</f>
        <v>3.1646619495461037E-3</v>
      </c>
      <c r="W38" s="1"/>
      <c r="X38" s="1">
        <f t="shared" ref="X38:X54" si="37">+P38-T38</f>
        <v>-910.02</v>
      </c>
      <c r="Y38" s="1"/>
      <c r="Z38" s="5">
        <f t="shared" ref="Z38:Z54" si="38">IF(T38=0,0,X38/T38)</f>
        <v>-1</v>
      </c>
    </row>
    <row r="39" spans="1:26" s="23" customFormat="1" hidden="1" outlineLevel="2" x14ac:dyDescent="0.25">
      <c r="A39" s="27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/>
      <c r="Q39" s="2"/>
      <c r="R39" s="7">
        <f t="shared" si="35"/>
        <v>0</v>
      </c>
      <c r="S39" s="2"/>
      <c r="T39" s="6">
        <v>910.02</v>
      </c>
      <c r="U39" s="2"/>
      <c r="V39" s="7">
        <f t="shared" si="36"/>
        <v>3.1646619495461037E-3</v>
      </c>
      <c r="W39" s="2"/>
      <c r="X39" s="6">
        <f t="shared" si="37"/>
        <v>-910.02</v>
      </c>
      <c r="Y39" s="2"/>
      <c r="Z39" s="7">
        <f t="shared" si="38"/>
        <v>-1</v>
      </c>
    </row>
    <row r="40" spans="1:26" s="26" customFormat="1" outlineLevel="1" collapsed="1" x14ac:dyDescent="0.25">
      <c r="A40" s="25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1"/>
        <v>0</v>
      </c>
      <c r="G40" s="1"/>
      <c r="H40" s="1">
        <f>SUM(OSRRefH22_3x_0)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SUM(OSRRefP22_3x_0)</f>
        <v>0</v>
      </c>
      <c r="Q40" s="1"/>
      <c r="R40" s="5">
        <f t="shared" si="35"/>
        <v>0</v>
      </c>
      <c r="S40" s="1"/>
      <c r="T40" s="1">
        <f>SUM(OSRRefT22_3x_0)</f>
        <v>-18.989999999999998</v>
      </c>
      <c r="U40" s="1"/>
      <c r="V40" s="5">
        <f t="shared" si="36"/>
        <v>-6.6039131471704477E-5</v>
      </c>
      <c r="W40" s="1"/>
      <c r="X40" s="1">
        <f t="shared" si="37"/>
        <v>18.989999999999998</v>
      </c>
      <c r="Y40" s="1"/>
      <c r="Z40" s="5">
        <f t="shared" si="38"/>
        <v>-1</v>
      </c>
    </row>
    <row r="41" spans="1:26" s="23" customFormat="1" hidden="1" outlineLevel="2" x14ac:dyDescent="0.25">
      <c r="A41" s="27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-18.989999999999998</v>
      </c>
      <c r="U41" s="2"/>
      <c r="V41" s="7">
        <f t="shared" si="36"/>
        <v>-6.6039131471704477E-5</v>
      </c>
      <c r="W41" s="2"/>
      <c r="X41" s="6">
        <f t="shared" si="37"/>
        <v>18.989999999999998</v>
      </c>
      <c r="Y41" s="2"/>
      <c r="Z41" s="7">
        <f t="shared" si="38"/>
        <v>-1</v>
      </c>
    </row>
    <row r="42" spans="1:26" s="26" customFormat="1" outlineLevel="1" collapsed="1" x14ac:dyDescent="0.25">
      <c r="A42" s="25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31"/>
        <v>0</v>
      </c>
      <c r="G42" s="1"/>
      <c r="H42" s="1">
        <f>SUM(OSRRefH22_4x_0)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2"/>
      <c r="P42" s="1">
        <f>SUM(OSRRefP22_4x_0)</f>
        <v>0</v>
      </c>
      <c r="Q42" s="1"/>
      <c r="R42" s="5">
        <f t="shared" si="35"/>
        <v>0</v>
      </c>
      <c r="S42" s="1"/>
      <c r="T42" s="1">
        <f>SUM(OSRRefT22_4x_0)</f>
        <v>10541.38</v>
      </c>
      <c r="U42" s="1"/>
      <c r="V42" s="5">
        <f t="shared" si="36"/>
        <v>3.6658429684739133E-2</v>
      </c>
      <c r="W42" s="1"/>
      <c r="X42" s="1">
        <f t="shared" si="37"/>
        <v>-10541.38</v>
      </c>
      <c r="Y42" s="1"/>
      <c r="Z42" s="5">
        <f t="shared" si="38"/>
        <v>-1</v>
      </c>
    </row>
    <row r="43" spans="1:26" s="23" customFormat="1" hidden="1" outlineLevel="2" x14ac:dyDescent="0.25">
      <c r="A43" s="27"/>
      <c r="B43" s="10" t="str">
        <f>CONCATENATE("          ", "6381", " - ", "BANK/CREDIT CARD FEES")</f>
        <v xml:space="preserve">          6381 - BANK/CREDIT CARD FEES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/>
      <c r="Q43" s="2"/>
      <c r="R43" s="7">
        <f t="shared" si="35"/>
        <v>0</v>
      </c>
      <c r="S43" s="2"/>
      <c r="T43" s="6">
        <v>10541.38</v>
      </c>
      <c r="U43" s="2"/>
      <c r="V43" s="7">
        <f t="shared" si="36"/>
        <v>3.6658429684739133E-2</v>
      </c>
      <c r="W43" s="2"/>
      <c r="X43" s="6">
        <f t="shared" si="37"/>
        <v>-10541.38</v>
      </c>
      <c r="Y43" s="2"/>
      <c r="Z43" s="7">
        <f t="shared" si="38"/>
        <v>-1</v>
      </c>
    </row>
    <row r="44" spans="1:26" s="26" customFormat="1" outlineLevel="1" collapsed="1" x14ac:dyDescent="0.25">
      <c r="A44" s="25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588.16999999999996</v>
      </c>
      <c r="E44" s="1"/>
      <c r="F44" s="5">
        <f t="shared" si="31"/>
        <v>0</v>
      </c>
      <c r="G44" s="1"/>
      <c r="H44" s="1">
        <f>SUM(OSRRefH22_5x_0)</f>
        <v>315.43</v>
      </c>
      <c r="I44" s="1"/>
      <c r="J44" s="5">
        <f t="shared" si="32"/>
        <v>0</v>
      </c>
      <c r="K44" s="1"/>
      <c r="L44" s="1">
        <f t="shared" si="33"/>
        <v>272.73999999999995</v>
      </c>
      <c r="M44" s="1"/>
      <c r="N44" s="5">
        <f t="shared" si="34"/>
        <v>0.86466093903560204</v>
      </c>
      <c r="O44" s="12"/>
      <c r="P44" s="1">
        <f>SUM(OSRRefP22_5x_0)</f>
        <v>5617.48</v>
      </c>
      <c r="Q44" s="1"/>
      <c r="R44" s="5">
        <f t="shared" si="35"/>
        <v>0</v>
      </c>
      <c r="S44" s="1"/>
      <c r="T44" s="1">
        <f>SUM(OSRRefT22_5x_0)</f>
        <v>1876.22</v>
      </c>
      <c r="U44" s="1"/>
      <c r="V44" s="5">
        <f t="shared" si="36"/>
        <v>6.5246940099969132E-3</v>
      </c>
      <c r="W44" s="1"/>
      <c r="X44" s="1">
        <f t="shared" si="37"/>
        <v>3741.2599999999993</v>
      </c>
      <c r="Y44" s="1"/>
      <c r="Z44" s="5">
        <f t="shared" si="38"/>
        <v>1.9940412105190219</v>
      </c>
    </row>
    <row r="45" spans="1:26" s="23" customFormat="1" hidden="1" outlineLevel="2" x14ac:dyDescent="0.25">
      <c r="A45" s="27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588.16999999999996</v>
      </c>
      <c r="E45" s="2"/>
      <c r="F45" s="7">
        <f t="shared" si="31"/>
        <v>0</v>
      </c>
      <c r="G45" s="2"/>
      <c r="H45" s="6">
        <v>315.43</v>
      </c>
      <c r="I45" s="2"/>
      <c r="J45" s="7">
        <f t="shared" si="32"/>
        <v>0</v>
      </c>
      <c r="K45" s="2"/>
      <c r="L45" s="6">
        <f t="shared" si="33"/>
        <v>272.73999999999995</v>
      </c>
      <c r="M45" s="2"/>
      <c r="N45" s="7">
        <f t="shared" si="34"/>
        <v>0.86466093903560204</v>
      </c>
      <c r="O45" s="10"/>
      <c r="P45" s="6">
        <v>5617.48</v>
      </c>
      <c r="Q45" s="2"/>
      <c r="R45" s="7">
        <f t="shared" si="35"/>
        <v>0</v>
      </c>
      <c r="S45" s="2"/>
      <c r="T45" s="6">
        <v>1876.22</v>
      </c>
      <c r="U45" s="2"/>
      <c r="V45" s="7">
        <f t="shared" si="36"/>
        <v>6.5246940099969132E-3</v>
      </c>
      <c r="W45" s="2"/>
      <c r="X45" s="6">
        <f t="shared" si="37"/>
        <v>3741.2599999999993</v>
      </c>
      <c r="Y45" s="2"/>
      <c r="Z45" s="7">
        <f t="shared" si="38"/>
        <v>1.9940412105190219</v>
      </c>
    </row>
    <row r="46" spans="1:26" s="26" customFormat="1" outlineLevel="1" collapsed="1" x14ac:dyDescent="0.25">
      <c r="A46" s="25"/>
      <c r="B46" s="12" t="str">
        <f>CONCATENATE("     ","Employees' Appreciation                           ")</f>
        <v xml:space="preserve">     Employees' Appreciation                           </v>
      </c>
      <c r="C46" s="12"/>
      <c r="D46" s="1">
        <f>SUM(OSRRefD22_6x_0)</f>
        <v>0</v>
      </c>
      <c r="E46" s="1"/>
      <c r="F46" s="5">
        <f t="shared" si="31"/>
        <v>0</v>
      </c>
      <c r="G46" s="1"/>
      <c r="H46" s="1">
        <f>SUM(OSRRefH22_6x_0)</f>
        <v>0</v>
      </c>
      <c r="I46" s="1"/>
      <c r="J46" s="5">
        <f t="shared" si="32"/>
        <v>0</v>
      </c>
      <c r="K46" s="1"/>
      <c r="L46" s="1">
        <f t="shared" si="33"/>
        <v>0</v>
      </c>
      <c r="M46" s="1"/>
      <c r="N46" s="5">
        <f t="shared" si="34"/>
        <v>0</v>
      </c>
      <c r="O46" s="12"/>
      <c r="P46" s="1">
        <f>SUM(OSRRefP22_6x_0)</f>
        <v>0</v>
      </c>
      <c r="Q46" s="1"/>
      <c r="R46" s="5">
        <f t="shared" si="35"/>
        <v>0</v>
      </c>
      <c r="S46" s="1"/>
      <c r="T46" s="1">
        <f>SUM(OSRRefT22_6x_0)</f>
        <v>62.26</v>
      </c>
      <c r="U46" s="1"/>
      <c r="V46" s="5">
        <f t="shared" si="36"/>
        <v>2.1651376121265513E-4</v>
      </c>
      <c r="W46" s="1"/>
      <c r="X46" s="1">
        <f t="shared" si="37"/>
        <v>-62.26</v>
      </c>
      <c r="Y46" s="1"/>
      <c r="Z46" s="5">
        <f t="shared" si="38"/>
        <v>-1</v>
      </c>
    </row>
    <row r="47" spans="1:26" s="23" customFormat="1" hidden="1" outlineLevel="2" x14ac:dyDescent="0.25">
      <c r="A47" s="27"/>
      <c r="B47" s="10" t="str">
        <f>CONCATENATE("          ", "6277", " - ", "EMPLOYEE APPRECIATION")</f>
        <v xml:space="preserve">          6277 - EMPLOYEE APPRECIATION</v>
      </c>
      <c r="C47" s="10"/>
      <c r="D47" s="6"/>
      <c r="E47" s="2"/>
      <c r="F47" s="7">
        <f t="shared" si="31"/>
        <v>0</v>
      </c>
      <c r="G47" s="2"/>
      <c r="H47" s="6"/>
      <c r="I47" s="2"/>
      <c r="J47" s="7">
        <f t="shared" si="32"/>
        <v>0</v>
      </c>
      <c r="K47" s="2"/>
      <c r="L47" s="6">
        <f t="shared" si="33"/>
        <v>0</v>
      </c>
      <c r="M47" s="2"/>
      <c r="N47" s="7">
        <f t="shared" si="34"/>
        <v>0</v>
      </c>
      <c r="O47" s="10"/>
      <c r="P47" s="6"/>
      <c r="Q47" s="2"/>
      <c r="R47" s="7">
        <f t="shared" si="35"/>
        <v>0</v>
      </c>
      <c r="S47" s="2"/>
      <c r="T47" s="6">
        <v>62.26</v>
      </c>
      <c r="U47" s="2"/>
      <c r="V47" s="7">
        <f t="shared" si="36"/>
        <v>2.1651376121265513E-4</v>
      </c>
      <c r="W47" s="2"/>
      <c r="X47" s="6">
        <f t="shared" si="37"/>
        <v>-62.26</v>
      </c>
      <c r="Y47" s="2"/>
      <c r="Z47" s="7">
        <f t="shared" si="38"/>
        <v>-1</v>
      </c>
    </row>
    <row r="48" spans="1:26" s="26" customFormat="1" outlineLevel="1" collapsed="1" x14ac:dyDescent="0.25">
      <c r="A48" s="25"/>
      <c r="B48" s="12" t="str">
        <f>CONCATENATE("     ","Equipment Rental                                  ")</f>
        <v xml:space="preserve">     Equipment Rental                                  </v>
      </c>
      <c r="C48" s="12"/>
      <c r="D48" s="1">
        <f>SUM(OSRRefD22_7x_0)</f>
        <v>0</v>
      </c>
      <c r="E48" s="1"/>
      <c r="F48" s="5">
        <f t="shared" si="31"/>
        <v>0</v>
      </c>
      <c r="G48" s="1"/>
      <c r="H48" s="1">
        <f>SUM(OSRRefH22_7x_0)</f>
        <v>0</v>
      </c>
      <c r="I48" s="1"/>
      <c r="J48" s="5">
        <f t="shared" si="32"/>
        <v>0</v>
      </c>
      <c r="K48" s="1"/>
      <c r="L48" s="1">
        <f t="shared" si="33"/>
        <v>0</v>
      </c>
      <c r="M48" s="1"/>
      <c r="N48" s="5">
        <f t="shared" si="34"/>
        <v>0</v>
      </c>
      <c r="O48" s="12"/>
      <c r="P48" s="1">
        <f>SUM(OSRRefP22_7x_0)</f>
        <v>12</v>
      </c>
      <c r="Q48" s="1"/>
      <c r="R48" s="5">
        <f t="shared" si="35"/>
        <v>0</v>
      </c>
      <c r="S48" s="1"/>
      <c r="T48" s="1">
        <f>SUM(OSRRefT22_7x_0)</f>
        <v>12</v>
      </c>
      <c r="U48" s="1"/>
      <c r="V48" s="5">
        <f t="shared" si="36"/>
        <v>4.1730888765690033E-5</v>
      </c>
      <c r="W48" s="1"/>
      <c r="X48" s="1">
        <f t="shared" si="37"/>
        <v>0</v>
      </c>
      <c r="Y48" s="1"/>
      <c r="Z48" s="5">
        <f t="shared" si="38"/>
        <v>0</v>
      </c>
    </row>
    <row r="49" spans="1:26" s="23" customFormat="1" hidden="1" outlineLevel="2" x14ac:dyDescent="0.25">
      <c r="A49" s="27"/>
      <c r="B49" s="10" t="str">
        <f>CONCATENATE("          ", "6351", " - ", "EQUIPMENT RENTAL")</f>
        <v xml:space="preserve">          6351 - EQUIPMENT RENTAL</v>
      </c>
      <c r="C49" s="10"/>
      <c r="D49" s="6"/>
      <c r="E49" s="2"/>
      <c r="F49" s="7">
        <f t="shared" si="31"/>
        <v>0</v>
      </c>
      <c r="G49" s="2"/>
      <c r="H49" s="6"/>
      <c r="I49" s="2"/>
      <c r="J49" s="7">
        <f t="shared" si="32"/>
        <v>0</v>
      </c>
      <c r="K49" s="2"/>
      <c r="L49" s="6">
        <f t="shared" si="33"/>
        <v>0</v>
      </c>
      <c r="M49" s="2"/>
      <c r="N49" s="7">
        <f t="shared" si="34"/>
        <v>0</v>
      </c>
      <c r="O49" s="10"/>
      <c r="P49" s="6">
        <v>12</v>
      </c>
      <c r="Q49" s="2"/>
      <c r="R49" s="7">
        <f t="shared" si="35"/>
        <v>0</v>
      </c>
      <c r="S49" s="2"/>
      <c r="T49" s="6">
        <v>12</v>
      </c>
      <c r="U49" s="2"/>
      <c r="V49" s="7">
        <f t="shared" si="36"/>
        <v>4.1730888765690033E-5</v>
      </c>
      <c r="W49" s="2"/>
      <c r="X49" s="6">
        <f t="shared" si="37"/>
        <v>0</v>
      </c>
      <c r="Y49" s="2"/>
      <c r="Z49" s="7">
        <f t="shared" si="38"/>
        <v>0</v>
      </c>
    </row>
    <row r="50" spans="1:26" s="26" customFormat="1" outlineLevel="1" collapsed="1" x14ac:dyDescent="0.25">
      <c r="A50" s="25"/>
      <c r="B50" s="12" t="str">
        <f>CONCATENATE("     ","General                                           ")</f>
        <v xml:space="preserve">     General                                           </v>
      </c>
      <c r="C50" s="12"/>
      <c r="D50" s="1">
        <f>SUM(OSRRefD22_8x_0)</f>
        <v>0</v>
      </c>
      <c r="E50" s="1"/>
      <c r="F50" s="5">
        <f t="shared" si="31"/>
        <v>0</v>
      </c>
      <c r="G50" s="1"/>
      <c r="H50" s="1">
        <f>SUM(OSRRefH22_8x_0)</f>
        <v>0</v>
      </c>
      <c r="I50" s="1"/>
      <c r="J50" s="5">
        <f t="shared" si="32"/>
        <v>0</v>
      </c>
      <c r="K50" s="1"/>
      <c r="L50" s="1">
        <f t="shared" si="33"/>
        <v>0</v>
      </c>
      <c r="M50" s="1"/>
      <c r="N50" s="5">
        <f t="shared" si="34"/>
        <v>0</v>
      </c>
      <c r="O50" s="12"/>
      <c r="P50" s="1">
        <f>SUM(OSRRefP22_8x_0)</f>
        <v>575</v>
      </c>
      <c r="Q50" s="1"/>
      <c r="R50" s="5">
        <f t="shared" si="35"/>
        <v>0</v>
      </c>
      <c r="S50" s="1"/>
      <c r="T50" s="1">
        <f>SUM(OSRRefT22_8x_0)</f>
        <v>5632.39</v>
      </c>
      <c r="U50" s="1"/>
      <c r="V50" s="5">
        <f t="shared" si="36"/>
        <v>1.9587053381248744E-2</v>
      </c>
      <c r="W50" s="1"/>
      <c r="X50" s="1">
        <f t="shared" si="37"/>
        <v>-5057.3900000000003</v>
      </c>
      <c r="Y50" s="1"/>
      <c r="Z50" s="5">
        <f t="shared" si="38"/>
        <v>-0.89791189885643574</v>
      </c>
    </row>
    <row r="51" spans="1:26" s="23" customFormat="1" hidden="1" outlineLevel="2" x14ac:dyDescent="0.25">
      <c r="A51" s="27"/>
      <c r="B51" s="10" t="str">
        <f>CONCATENATE("          ", "6279", " - ", "GENERAL EXPENSE")</f>
        <v xml:space="preserve">          6279 - GENERAL EXPENSE</v>
      </c>
      <c r="C51" s="10"/>
      <c r="D51" s="6"/>
      <c r="E51" s="2"/>
      <c r="F51" s="7">
        <f t="shared" si="31"/>
        <v>0</v>
      </c>
      <c r="G51" s="2"/>
      <c r="H51" s="6"/>
      <c r="I51" s="2"/>
      <c r="J51" s="7">
        <f t="shared" si="32"/>
        <v>0</v>
      </c>
      <c r="K51" s="2"/>
      <c r="L51" s="6">
        <f t="shared" si="33"/>
        <v>0</v>
      </c>
      <c r="M51" s="2"/>
      <c r="N51" s="7">
        <f t="shared" si="34"/>
        <v>0</v>
      </c>
      <c r="O51" s="10"/>
      <c r="P51" s="6">
        <v>575</v>
      </c>
      <c r="Q51" s="2"/>
      <c r="R51" s="7">
        <f t="shared" si="35"/>
        <v>0</v>
      </c>
      <c r="S51" s="2"/>
      <c r="T51" s="6">
        <v>5632.39</v>
      </c>
      <c r="U51" s="2"/>
      <c r="V51" s="7">
        <f t="shared" si="36"/>
        <v>1.9587053381248744E-2</v>
      </c>
      <c r="W51" s="2"/>
      <c r="X51" s="6">
        <f t="shared" si="37"/>
        <v>-5057.3900000000003</v>
      </c>
      <c r="Y51" s="2"/>
      <c r="Z51" s="7">
        <f t="shared" si="38"/>
        <v>-0.89791189885643574</v>
      </c>
    </row>
    <row r="52" spans="1:26" s="26" customFormat="1" outlineLevel="1" collapsed="1" x14ac:dyDescent="0.25">
      <c r="A52" s="25"/>
      <c r="B52" s="12" t="str">
        <f>CONCATENATE("     ","Repair and Maintenance                            ")</f>
        <v xml:space="preserve">     Repair and Maintenance                            </v>
      </c>
      <c r="C52" s="12"/>
      <c r="D52" s="1">
        <f>SUM(OSRRefD22_9x_0)</f>
        <v>0</v>
      </c>
      <c r="E52" s="1"/>
      <c r="F52" s="5">
        <f t="shared" si="31"/>
        <v>0</v>
      </c>
      <c r="G52" s="1"/>
      <c r="H52" s="1">
        <f>SUM(OSRRefH22_9x_0)</f>
        <v>0</v>
      </c>
      <c r="I52" s="1"/>
      <c r="J52" s="5">
        <f t="shared" si="32"/>
        <v>0</v>
      </c>
      <c r="K52" s="1"/>
      <c r="L52" s="1">
        <f t="shared" si="33"/>
        <v>0</v>
      </c>
      <c r="M52" s="1"/>
      <c r="N52" s="5">
        <f t="shared" si="34"/>
        <v>0</v>
      </c>
      <c r="O52" s="12"/>
      <c r="P52" s="1">
        <f>SUM(OSRRefP22_9x_0)</f>
        <v>1280.28</v>
      </c>
      <c r="Q52" s="1"/>
      <c r="R52" s="5">
        <f t="shared" si="35"/>
        <v>0</v>
      </c>
      <c r="S52" s="1"/>
      <c r="T52" s="1">
        <f>SUM(OSRRefT22_9x_0)</f>
        <v>7318.94</v>
      </c>
      <c r="U52" s="1"/>
      <c r="V52" s="5">
        <f t="shared" si="36"/>
        <v>2.5452155918563285E-2</v>
      </c>
      <c r="W52" s="1"/>
      <c r="X52" s="1">
        <f t="shared" si="37"/>
        <v>-6038.66</v>
      </c>
      <c r="Y52" s="1"/>
      <c r="Z52" s="5">
        <f t="shared" si="38"/>
        <v>-0.82507302970102225</v>
      </c>
    </row>
    <row r="53" spans="1:26" s="23" customFormat="1" hidden="1" outlineLevel="2" x14ac:dyDescent="0.25">
      <c r="A53" s="27"/>
      <c r="B53" s="10" t="str">
        <f>CONCATENATE("          ", "6373", " - ", "MAINTENANCE CONTRACTS")</f>
        <v xml:space="preserve">          6373 - MAINTENANCE CONTRACTS</v>
      </c>
      <c r="C53" s="10"/>
      <c r="D53" s="6"/>
      <c r="E53" s="2"/>
      <c r="F53" s="7">
        <f t="shared" si="31"/>
        <v>0</v>
      </c>
      <c r="G53" s="2"/>
      <c r="H53" s="6"/>
      <c r="I53" s="2"/>
      <c r="J53" s="7">
        <f t="shared" si="32"/>
        <v>0</v>
      </c>
      <c r="K53" s="2"/>
      <c r="L53" s="6">
        <f t="shared" si="33"/>
        <v>0</v>
      </c>
      <c r="M53" s="2"/>
      <c r="N53" s="7">
        <f t="shared" si="34"/>
        <v>0</v>
      </c>
      <c r="O53" s="10"/>
      <c r="P53" s="6">
        <v>262.58999999999997</v>
      </c>
      <c r="Q53" s="2"/>
      <c r="R53" s="7">
        <f t="shared" si="35"/>
        <v>0</v>
      </c>
      <c r="S53" s="2"/>
      <c r="T53" s="6">
        <v>141.44999999999999</v>
      </c>
      <c r="U53" s="2"/>
      <c r="V53" s="7">
        <f t="shared" si="36"/>
        <v>4.9190285132557124E-4</v>
      </c>
      <c r="W53" s="2"/>
      <c r="X53" s="6">
        <f t="shared" si="37"/>
        <v>121.13999999999999</v>
      </c>
      <c r="Y53" s="2"/>
      <c r="Z53" s="7">
        <f t="shared" si="38"/>
        <v>0.8564156945917285</v>
      </c>
    </row>
    <row r="54" spans="1:26" s="23" customFormat="1" hidden="1" outlineLevel="2" x14ac:dyDescent="0.25">
      <c r="A54" s="27"/>
      <c r="B54" s="10" t="str">
        <f>CONCATENATE("          ", "6375", " - ", "OUTSIDE REPAIRS &amp; MAINTENANCE")</f>
        <v xml:space="preserve">          6375 - OUTSIDE REPAIRS &amp; MAINTENANCE</v>
      </c>
      <c r="C54" s="10"/>
      <c r="D54" s="6"/>
      <c r="E54" s="2"/>
      <c r="F54" s="7">
        <f t="shared" si="31"/>
        <v>0</v>
      </c>
      <c r="G54" s="2"/>
      <c r="H54" s="6"/>
      <c r="I54" s="2"/>
      <c r="J54" s="7">
        <f t="shared" si="32"/>
        <v>0</v>
      </c>
      <c r="K54" s="2"/>
      <c r="L54" s="6">
        <f t="shared" si="33"/>
        <v>0</v>
      </c>
      <c r="M54" s="2"/>
      <c r="N54" s="7">
        <f t="shared" si="34"/>
        <v>0</v>
      </c>
      <c r="O54" s="10"/>
      <c r="P54" s="6">
        <v>1017.69</v>
      </c>
      <c r="Q54" s="2"/>
      <c r="R54" s="7">
        <f t="shared" si="35"/>
        <v>0</v>
      </c>
      <c r="S54" s="2"/>
      <c r="T54" s="6">
        <v>7177.49</v>
      </c>
      <c r="U54" s="2"/>
      <c r="V54" s="7">
        <f t="shared" si="36"/>
        <v>2.4960253067237714E-2</v>
      </c>
      <c r="W54" s="2"/>
      <c r="X54" s="6">
        <f t="shared" si="37"/>
        <v>-6159.7999999999993</v>
      </c>
      <c r="Y54" s="2"/>
      <c r="Z54" s="7">
        <f t="shared" si="38"/>
        <v>-0.85821087873337332</v>
      </c>
    </row>
    <row r="55" spans="1:26" s="26" customFormat="1" outlineLevel="1" collapsed="1" x14ac:dyDescent="0.25">
      <c r="A55" s="25"/>
      <c r="B55" s="12" t="str">
        <f>CONCATENATE("     ","Services                                          ")</f>
        <v xml:space="preserve">     Services                                          </v>
      </c>
      <c r="C55" s="12"/>
      <c r="D55" s="1">
        <f>SUM(OSRRefD22_10x_0)</f>
        <v>151.85</v>
      </c>
      <c r="E55" s="1"/>
      <c r="F55" s="5">
        <f t="shared" ref="F55:F58" si="39">IF(D$12=0,0,D55/D$12)</f>
        <v>0</v>
      </c>
      <c r="G55" s="1"/>
      <c r="H55" s="1">
        <f>SUM(OSRRefH22_10x_0)</f>
        <v>28.84</v>
      </c>
      <c r="I55" s="1"/>
      <c r="J55" s="5">
        <f t="shared" ref="J55:J58" si="40">IF(H$12=0,0,H55/H$12)</f>
        <v>0</v>
      </c>
      <c r="K55" s="1"/>
      <c r="L55" s="1">
        <f t="shared" ref="L55:L58" si="41">+D55-H55</f>
        <v>123.00999999999999</v>
      </c>
      <c r="M55" s="1"/>
      <c r="N55" s="5">
        <f t="shared" ref="N55:N58" si="42">IF(H55=0,0,L55/H55)</f>
        <v>4.2652565880721216</v>
      </c>
      <c r="O55" s="12"/>
      <c r="P55" s="1">
        <f>SUM(OSRRefP22_10x_0)</f>
        <v>1612.3</v>
      </c>
      <c r="Q55" s="1"/>
      <c r="R55" s="5">
        <f t="shared" ref="R55:R58" si="43">IF(P$12=0,0,P55/P$12)</f>
        <v>0</v>
      </c>
      <c r="S55" s="1"/>
      <c r="T55" s="1">
        <f>SUM(OSRRefT22_10x_0)</f>
        <v>3556.2400000000002</v>
      </c>
      <c r="U55" s="1"/>
      <c r="V55" s="5">
        <f t="shared" ref="V55:V58" si="44">IF(T$12=0,0,T55/T$12)</f>
        <v>1.2367087988674795E-2</v>
      </c>
      <c r="W55" s="1"/>
      <c r="X55" s="1">
        <f t="shared" ref="X55:X58" si="45">+P55-T55</f>
        <v>-1943.9400000000003</v>
      </c>
      <c r="Y55" s="1"/>
      <c r="Z55" s="5">
        <f t="shared" ref="Z55:Z58" si="46">IF(T55=0,0,X55/T55)</f>
        <v>-0.54662789912941767</v>
      </c>
    </row>
    <row r="56" spans="1:26" s="23" customFormat="1" hidden="1" outlineLevel="2" x14ac:dyDescent="0.25">
      <c r="A56" s="27"/>
      <c r="B56" s="10" t="str">
        <f>CONCATENATE("          ", "6282", " - ", "JANITORIAL/EXTERMINATOR EXPENS")</f>
        <v xml:space="preserve">          6282 - JANITORIAL/EXTERMINATOR EXPENS</v>
      </c>
      <c r="C56" s="10"/>
      <c r="D56" s="6">
        <v>151.85</v>
      </c>
      <c r="E56" s="2"/>
      <c r="F56" s="7">
        <f t="shared" si="39"/>
        <v>0</v>
      </c>
      <c r="G56" s="2"/>
      <c r="H56" s="6"/>
      <c r="I56" s="2"/>
      <c r="J56" s="7">
        <f t="shared" si="40"/>
        <v>0</v>
      </c>
      <c r="K56" s="2"/>
      <c r="L56" s="6">
        <f t="shared" si="41"/>
        <v>151.85</v>
      </c>
      <c r="M56" s="2"/>
      <c r="N56" s="7">
        <f t="shared" si="42"/>
        <v>0</v>
      </c>
      <c r="O56" s="10"/>
      <c r="P56" s="6">
        <v>1785.34</v>
      </c>
      <c r="Q56" s="2"/>
      <c r="R56" s="7">
        <f t="shared" si="43"/>
        <v>0</v>
      </c>
      <c r="S56" s="2"/>
      <c r="T56" s="6">
        <v>3093.3</v>
      </c>
      <c r="U56" s="2"/>
      <c r="V56" s="7">
        <f t="shared" si="44"/>
        <v>1.075717985157575E-2</v>
      </c>
      <c r="W56" s="2"/>
      <c r="X56" s="6">
        <f t="shared" si="45"/>
        <v>-1307.9600000000003</v>
      </c>
      <c r="Y56" s="2"/>
      <c r="Z56" s="7">
        <f t="shared" si="46"/>
        <v>-0.42283645297901923</v>
      </c>
    </row>
    <row r="57" spans="1:26" s="23" customFormat="1" hidden="1" outlineLevel="2" x14ac:dyDescent="0.25">
      <c r="A57" s="27"/>
      <c r="B57" s="10" t="str">
        <f>CONCATENATE("          ", "6285", " - ", "JANITORIAL SERVICES")</f>
        <v xml:space="preserve">          6285 - JANITORIAL SERVICES</v>
      </c>
      <c r="C57" s="10"/>
      <c r="D57" s="6"/>
      <c r="E57" s="2"/>
      <c r="F57" s="7">
        <f t="shared" si="39"/>
        <v>0</v>
      </c>
      <c r="G57" s="2"/>
      <c r="H57" s="6">
        <v>28.84</v>
      </c>
      <c r="I57" s="2"/>
      <c r="J57" s="7">
        <f t="shared" si="40"/>
        <v>0</v>
      </c>
      <c r="K57" s="2"/>
      <c r="L57" s="6">
        <f t="shared" si="41"/>
        <v>-28.84</v>
      </c>
      <c r="M57" s="2"/>
      <c r="N57" s="7">
        <f t="shared" si="42"/>
        <v>-1</v>
      </c>
      <c r="O57" s="10"/>
      <c r="P57" s="6">
        <v>-173.04</v>
      </c>
      <c r="Q57" s="2"/>
      <c r="R57" s="7">
        <f t="shared" si="43"/>
        <v>0</v>
      </c>
      <c r="S57" s="2"/>
      <c r="T57" s="6">
        <v>276.94</v>
      </c>
      <c r="U57" s="2"/>
      <c r="V57" s="7">
        <f t="shared" si="44"/>
        <v>9.6307936123084985E-4</v>
      </c>
      <c r="W57" s="2"/>
      <c r="X57" s="6">
        <f t="shared" si="45"/>
        <v>-449.98</v>
      </c>
      <c r="Y57" s="2"/>
      <c r="Z57" s="7">
        <f t="shared" si="46"/>
        <v>-1.6248284827038348</v>
      </c>
    </row>
    <row r="58" spans="1:26" s="23" customFormat="1" hidden="1" outlineLevel="2" x14ac:dyDescent="0.25">
      <c r="A58" s="27"/>
      <c r="B58" s="10" t="str">
        <f>CONCATENATE("          ", "6286", " - ", "LAUNDRY EXPENSE")</f>
        <v xml:space="preserve">          6286 - LAUNDRY EXPENSE</v>
      </c>
      <c r="C58" s="10"/>
      <c r="D58" s="6"/>
      <c r="E58" s="2"/>
      <c r="F58" s="7">
        <f t="shared" si="39"/>
        <v>0</v>
      </c>
      <c r="G58" s="2"/>
      <c r="H58" s="6"/>
      <c r="I58" s="2"/>
      <c r="J58" s="7">
        <f t="shared" si="40"/>
        <v>0</v>
      </c>
      <c r="K58" s="2"/>
      <c r="L58" s="6">
        <f t="shared" si="41"/>
        <v>0</v>
      </c>
      <c r="M58" s="2"/>
      <c r="N58" s="7">
        <f t="shared" si="42"/>
        <v>0</v>
      </c>
      <c r="O58" s="10"/>
      <c r="P58" s="6"/>
      <c r="Q58" s="2"/>
      <c r="R58" s="7">
        <f t="shared" si="43"/>
        <v>0</v>
      </c>
      <c r="S58" s="2"/>
      <c r="T58" s="6">
        <v>186</v>
      </c>
      <c r="U58" s="2"/>
      <c r="V58" s="7">
        <f t="shared" si="44"/>
        <v>6.4682877586819554E-4</v>
      </c>
      <c r="W58" s="2"/>
      <c r="X58" s="6">
        <f t="shared" si="45"/>
        <v>-186</v>
      </c>
      <c r="Y58" s="2"/>
      <c r="Z58" s="7">
        <f t="shared" si="46"/>
        <v>-1</v>
      </c>
    </row>
    <row r="59" spans="1:26" s="26" customFormat="1" outlineLevel="1" collapsed="1" x14ac:dyDescent="0.25">
      <c r="A59" s="25"/>
      <c r="B59" s="12" t="str">
        <f>CONCATENATE("     ","Supplies                                          ")</f>
        <v xml:space="preserve">     Supplies                                          </v>
      </c>
      <c r="C59" s="12"/>
      <c r="D59" s="1">
        <f>SUM(OSRRefD22_11x_0)</f>
        <v>0</v>
      </c>
      <c r="E59" s="1"/>
      <c r="F59" s="5">
        <f t="shared" ref="F59:F62" si="47">IF(D$12=0,0,D59/D$12)</f>
        <v>0</v>
      </c>
      <c r="G59" s="1"/>
      <c r="H59" s="1">
        <f>SUM(OSRRefH22_11x_0)</f>
        <v>40.9</v>
      </c>
      <c r="I59" s="1"/>
      <c r="J59" s="5">
        <f t="shared" ref="J59:J62" si="48">IF(H$12=0,0,H59/H$12)</f>
        <v>0</v>
      </c>
      <c r="K59" s="1"/>
      <c r="L59" s="1">
        <f t="shared" ref="L59:L62" si="49">+D59-H59</f>
        <v>-40.9</v>
      </c>
      <c r="M59" s="1"/>
      <c r="N59" s="5">
        <f t="shared" ref="N59:N62" si="50">IF(H59=0,0,L59/H59)</f>
        <v>-1</v>
      </c>
      <c r="O59" s="12"/>
      <c r="P59" s="1">
        <f>SUM(OSRRefP22_11x_0)</f>
        <v>0</v>
      </c>
      <c r="Q59" s="1"/>
      <c r="R59" s="5">
        <f t="shared" ref="R59:R62" si="51">IF(P$12=0,0,P59/P$12)</f>
        <v>0</v>
      </c>
      <c r="S59" s="1"/>
      <c r="T59" s="1">
        <f>SUM(OSRRefT22_11x_0)</f>
        <v>10479.52</v>
      </c>
      <c r="U59" s="1"/>
      <c r="V59" s="5">
        <f t="shared" ref="V59:V62" si="52">IF(T$12=0,0,T59/T$12)</f>
        <v>3.6443306953152003E-2</v>
      </c>
      <c r="W59" s="1"/>
      <c r="X59" s="1">
        <f t="shared" ref="X59:X62" si="53">+P59-T59</f>
        <v>-10479.52</v>
      </c>
      <c r="Y59" s="1"/>
      <c r="Z59" s="5">
        <f t="shared" ref="Z59:Z62" si="54">IF(T59=0,0,X59/T59)</f>
        <v>-1</v>
      </c>
    </row>
    <row r="60" spans="1:26" s="23" customFormat="1" hidden="1" outlineLevel="2" x14ac:dyDescent="0.25">
      <c r="A60" s="27"/>
      <c r="B60" s="10" t="str">
        <f>CONCATENATE("          ", "6237", " - ", "JANITORIAL SUPPLIES")</f>
        <v xml:space="preserve">          6237 - JANITORIAL SUPPLIES</v>
      </c>
      <c r="C60" s="10"/>
      <c r="D60" s="6"/>
      <c r="E60" s="2"/>
      <c r="F60" s="7">
        <f t="shared" si="47"/>
        <v>0</v>
      </c>
      <c r="G60" s="2"/>
      <c r="H60" s="6"/>
      <c r="I60" s="2"/>
      <c r="J60" s="7">
        <f t="shared" si="48"/>
        <v>0</v>
      </c>
      <c r="K60" s="2"/>
      <c r="L60" s="6">
        <f t="shared" si="49"/>
        <v>0</v>
      </c>
      <c r="M60" s="2"/>
      <c r="N60" s="7">
        <f t="shared" si="50"/>
        <v>0</v>
      </c>
      <c r="O60" s="10"/>
      <c r="P60" s="6"/>
      <c r="Q60" s="2"/>
      <c r="R60" s="7">
        <f t="shared" si="51"/>
        <v>0</v>
      </c>
      <c r="S60" s="2"/>
      <c r="T60" s="6">
        <v>1096.97</v>
      </c>
      <c r="U60" s="2"/>
      <c r="V60" s="7">
        <f t="shared" si="52"/>
        <v>3.8147944207749165E-3</v>
      </c>
      <c r="W60" s="2"/>
      <c r="X60" s="6">
        <f t="shared" si="53"/>
        <v>-1096.97</v>
      </c>
      <c r="Y60" s="2"/>
      <c r="Z60" s="7">
        <f t="shared" si="54"/>
        <v>-1</v>
      </c>
    </row>
    <row r="61" spans="1:26" s="23" customFormat="1" hidden="1" outlineLevel="2" x14ac:dyDescent="0.25">
      <c r="A61" s="27"/>
      <c r="B61" s="10" t="str">
        <f>CONCATENATE("          ", "6243", " - ", "PAPER SUPPLIES")</f>
        <v xml:space="preserve">          6243 - PAPER SUPPLIES</v>
      </c>
      <c r="C61" s="10"/>
      <c r="D61" s="6"/>
      <c r="E61" s="2"/>
      <c r="F61" s="7">
        <f t="shared" si="47"/>
        <v>0</v>
      </c>
      <c r="G61" s="2"/>
      <c r="H61" s="6"/>
      <c r="I61" s="2"/>
      <c r="J61" s="7">
        <f t="shared" si="48"/>
        <v>0</v>
      </c>
      <c r="K61" s="2"/>
      <c r="L61" s="6">
        <f t="shared" si="49"/>
        <v>0</v>
      </c>
      <c r="M61" s="2"/>
      <c r="N61" s="7">
        <f t="shared" si="50"/>
        <v>0</v>
      </c>
      <c r="O61" s="10"/>
      <c r="P61" s="6"/>
      <c r="Q61" s="2"/>
      <c r="R61" s="7">
        <f t="shared" si="51"/>
        <v>0</v>
      </c>
      <c r="S61" s="2"/>
      <c r="T61" s="6">
        <v>741.91</v>
      </c>
      <c r="U61" s="2"/>
      <c r="V61" s="7">
        <f t="shared" si="52"/>
        <v>2.5800469736794243E-3</v>
      </c>
      <c r="W61" s="2"/>
      <c r="X61" s="6">
        <f t="shared" si="53"/>
        <v>-741.91</v>
      </c>
      <c r="Y61" s="2"/>
      <c r="Z61" s="7">
        <f t="shared" si="54"/>
        <v>-1</v>
      </c>
    </row>
    <row r="62" spans="1:26" s="23" customFormat="1" hidden="1" outlineLevel="2" x14ac:dyDescent="0.25">
      <c r="A62" s="27"/>
      <c r="B62" s="10" t="str">
        <f>CONCATENATE("          ", "6247", " - ", "STORE SUPPLIES")</f>
        <v xml:space="preserve">          6247 - STORE SUPPLIES</v>
      </c>
      <c r="C62" s="10"/>
      <c r="D62" s="6"/>
      <c r="E62" s="2"/>
      <c r="F62" s="7">
        <f t="shared" si="47"/>
        <v>0</v>
      </c>
      <c r="G62" s="2"/>
      <c r="H62" s="6">
        <v>40.9</v>
      </c>
      <c r="I62" s="2"/>
      <c r="J62" s="7">
        <f t="shared" si="48"/>
        <v>0</v>
      </c>
      <c r="K62" s="2"/>
      <c r="L62" s="6">
        <f t="shared" si="49"/>
        <v>-40.9</v>
      </c>
      <c r="M62" s="2"/>
      <c r="N62" s="7">
        <f t="shared" si="50"/>
        <v>-1</v>
      </c>
      <c r="O62" s="10"/>
      <c r="P62" s="6"/>
      <c r="Q62" s="2"/>
      <c r="R62" s="7">
        <f t="shared" si="51"/>
        <v>0</v>
      </c>
      <c r="S62" s="2"/>
      <c r="T62" s="6">
        <v>8640.64</v>
      </c>
      <c r="U62" s="2"/>
      <c r="V62" s="7">
        <f t="shared" si="52"/>
        <v>3.0048465558697661E-2</v>
      </c>
      <c r="W62" s="2"/>
      <c r="X62" s="6">
        <f t="shared" si="53"/>
        <v>-8640.64</v>
      </c>
      <c r="Y62" s="2"/>
      <c r="Z62" s="7">
        <f t="shared" si="54"/>
        <v>-1</v>
      </c>
    </row>
    <row r="63" spans="1:26" s="26" customFormat="1" outlineLevel="1" collapsed="1" x14ac:dyDescent="0.25">
      <c r="A63" s="25"/>
      <c r="B63" s="12" t="str">
        <f>CONCATENATE("     ","Telephone/Data Lines                              ")</f>
        <v xml:space="preserve">     Telephone/Data Lines                              </v>
      </c>
      <c r="C63" s="12"/>
      <c r="D63" s="1">
        <f>SUM(OSRRefD22_12x_0)</f>
        <v>30</v>
      </c>
      <c r="E63" s="1"/>
      <c r="F63" s="5">
        <f t="shared" ref="F63:F64" si="55">IF(D$12=0,0,D63/D$12)</f>
        <v>0</v>
      </c>
      <c r="G63" s="1"/>
      <c r="H63" s="1">
        <f>SUM(OSRRefH22_12x_0)</f>
        <v>129.02000000000001</v>
      </c>
      <c r="I63" s="1"/>
      <c r="J63" s="5">
        <f t="shared" ref="J63:J64" si="56">IF(H$12=0,0,H63/H$12)</f>
        <v>0</v>
      </c>
      <c r="K63" s="1"/>
      <c r="L63" s="1">
        <f t="shared" ref="L63:L64" si="57">+D63-H63</f>
        <v>-99.02000000000001</v>
      </c>
      <c r="M63" s="1"/>
      <c r="N63" s="5">
        <f t="shared" ref="N63:N64" si="58">IF(H63=0,0,L63/H63)</f>
        <v>-0.76747791040148816</v>
      </c>
      <c r="O63" s="12"/>
      <c r="P63" s="1">
        <f>SUM(OSRRefP22_12x_0)</f>
        <v>394.32</v>
      </c>
      <c r="Q63" s="1"/>
      <c r="R63" s="5">
        <f t="shared" ref="R63:R64" si="59">IF(P$12=0,0,P63/P$12)</f>
        <v>0</v>
      </c>
      <c r="S63" s="1"/>
      <c r="T63" s="1">
        <f>SUM(OSRRefT22_12x_0)</f>
        <v>910.1</v>
      </c>
      <c r="U63" s="1"/>
      <c r="V63" s="5">
        <f t="shared" ref="V63:V64" si="60">IF(T$12=0,0,T63/T$12)</f>
        <v>3.1649401554712086E-3</v>
      </c>
      <c r="W63" s="1"/>
      <c r="X63" s="1">
        <f t="shared" ref="X63:X64" si="61">+P63-T63</f>
        <v>-515.78</v>
      </c>
      <c r="Y63" s="1"/>
      <c r="Z63" s="5">
        <f t="shared" ref="Z63:Z64" si="62">IF(T63=0,0,X63/T63)</f>
        <v>-0.56672893088671572</v>
      </c>
    </row>
    <row r="64" spans="1:26" s="23" customFormat="1" hidden="1" outlineLevel="2" x14ac:dyDescent="0.25">
      <c r="A64" s="27"/>
      <c r="B64" s="10" t="str">
        <f>CONCATENATE("          ", "6309", " - ", "TELEPHONE")</f>
        <v xml:space="preserve">          6309 - TELEPHONE</v>
      </c>
      <c r="C64" s="10"/>
      <c r="D64" s="6">
        <v>30</v>
      </c>
      <c r="E64" s="2"/>
      <c r="F64" s="7">
        <f t="shared" si="55"/>
        <v>0</v>
      </c>
      <c r="G64" s="2"/>
      <c r="H64" s="6">
        <v>129.02000000000001</v>
      </c>
      <c r="I64" s="2"/>
      <c r="J64" s="7">
        <f t="shared" si="56"/>
        <v>0</v>
      </c>
      <c r="K64" s="2"/>
      <c r="L64" s="6">
        <f t="shared" si="57"/>
        <v>-99.02000000000001</v>
      </c>
      <c r="M64" s="2"/>
      <c r="N64" s="7">
        <f t="shared" si="58"/>
        <v>-0.76747791040148816</v>
      </c>
      <c r="O64" s="10"/>
      <c r="P64" s="6">
        <v>394.32</v>
      </c>
      <c r="Q64" s="2"/>
      <c r="R64" s="7">
        <f t="shared" si="59"/>
        <v>0</v>
      </c>
      <c r="S64" s="2"/>
      <c r="T64" s="6">
        <v>910.1</v>
      </c>
      <c r="U64" s="2"/>
      <c r="V64" s="7">
        <f t="shared" si="60"/>
        <v>3.1649401554712086E-3</v>
      </c>
      <c r="W64" s="2"/>
      <c r="X64" s="6">
        <f t="shared" si="61"/>
        <v>-515.78</v>
      </c>
      <c r="Y64" s="2"/>
      <c r="Z64" s="7">
        <f t="shared" si="62"/>
        <v>-0.56672893088671572</v>
      </c>
    </row>
    <row r="65" spans="1:26" s="62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4" customFormat="1" x14ac:dyDescent="0.25">
      <c r="A66" s="11"/>
      <c r="B66" s="28" t="s">
        <v>292</v>
      </c>
      <c r="C66" s="11"/>
      <c r="D66" s="4">
        <f>SUM(0)</f>
        <v>0</v>
      </c>
      <c r="E66" s="4"/>
      <c r="F66" s="13">
        <f>IF(D$12=0,0,D66/D$12)</f>
        <v>0</v>
      </c>
      <c r="G66" s="4"/>
      <c r="H66" s="4">
        <f>SUM(0)</f>
        <v>0</v>
      </c>
      <c r="I66" s="4"/>
      <c r="J66" s="13">
        <f>IF(H$12=0,0,H66/H$12)</f>
        <v>0</v>
      </c>
      <c r="K66" s="4"/>
      <c r="L66" s="4">
        <f>+D66-H66</f>
        <v>0</v>
      </c>
      <c r="M66" s="4"/>
      <c r="N66" s="13">
        <f>IF(H66=0,0,L66/H66)</f>
        <v>0</v>
      </c>
      <c r="O66" s="11"/>
      <c r="P66" s="4">
        <f>SUM(0)</f>
        <v>0</v>
      </c>
      <c r="Q66" s="4"/>
      <c r="R66" s="13">
        <f>IF(P$12=0,0,P66/P$12)</f>
        <v>0</v>
      </c>
      <c r="S66" s="4"/>
      <c r="T66" s="4">
        <f>SUM(0)</f>
        <v>0</v>
      </c>
      <c r="U66" s="4"/>
      <c r="V66" s="13">
        <f>IF(T$12=0,0,T66/T$12)</f>
        <v>0</v>
      </c>
      <c r="W66" s="4"/>
      <c r="X66" s="4">
        <f>+P66-T66</f>
        <v>0</v>
      </c>
      <c r="Y66" s="4"/>
      <c r="Z66" s="13">
        <f>IF(T66=0,0,X66/T66)</f>
        <v>0</v>
      </c>
    </row>
    <row r="67" spans="1:26" x14ac:dyDescent="0.25">
      <c r="A67" s="9"/>
      <c r="B67" s="11"/>
      <c r="C67" s="11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1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4" customFormat="1" x14ac:dyDescent="0.25">
      <c r="A68" s="11"/>
      <c r="B68" s="29" t="s">
        <v>276</v>
      </c>
      <c r="C68" s="29"/>
      <c r="D68" s="20">
        <f>+D20-D22+D66</f>
        <v>-770.02</v>
      </c>
      <c r="E68" s="14"/>
      <c r="F68" s="22">
        <f>IF(D$12=0,0,D68/D$12)</f>
        <v>0</v>
      </c>
      <c r="G68" s="14"/>
      <c r="H68" s="20">
        <f>+H20-H22+H66</f>
        <v>-20500.829999999998</v>
      </c>
      <c r="I68" s="14"/>
      <c r="J68" s="22">
        <f>IF(H$12=0,0,H68/H$12)</f>
        <v>0</v>
      </c>
      <c r="K68" s="16"/>
      <c r="L68" s="20">
        <f>+D68-H68</f>
        <v>19730.809999999998</v>
      </c>
      <c r="M68" s="16"/>
      <c r="N68" s="22">
        <f>IF(H68=0,0,L68/H68)</f>
        <v>-0.9624395695198682</v>
      </c>
      <c r="O68" s="28"/>
      <c r="P68" s="20">
        <f>+P20-P22+P66</f>
        <v>-9491.3799999999992</v>
      </c>
      <c r="Q68" s="14"/>
      <c r="R68" s="22">
        <f>IF(P$12=0,0,P68/P$12)</f>
        <v>0</v>
      </c>
      <c r="S68" s="14"/>
      <c r="T68" s="20">
        <f>+T20-T22+T66</f>
        <v>3395.8299999999872</v>
      </c>
      <c r="U68" s="14"/>
      <c r="V68" s="22">
        <f>IF(T$12=0,0,T68/T$12)</f>
        <v>1.1809250333099389E-2</v>
      </c>
      <c r="W68" s="16"/>
      <c r="X68" s="20">
        <f>+P68-T68</f>
        <v>-12887.209999999986</v>
      </c>
      <c r="Y68" s="16"/>
      <c r="Z68" s="22">
        <f>IF(T68=0,0,X68/T68)</f>
        <v>-3.7950103509304163</v>
      </c>
    </row>
    <row r="69" spans="1:26" x14ac:dyDescent="0.25">
      <c r="A69" s="9"/>
      <c r="B69" s="11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4" customFormat="1" x14ac:dyDescent="0.25">
      <c r="A70" s="51"/>
      <c r="B70" s="11" t="s">
        <v>127</v>
      </c>
      <c r="C70" s="11"/>
      <c r="D70" s="4"/>
      <c r="E70" s="4"/>
      <c r="F70" s="13">
        <f>IF(D$12=0,0,D70/D$12)</f>
        <v>0</v>
      </c>
      <c r="G70" s="4"/>
      <c r="H70" s="4">
        <v>1837.6</v>
      </c>
      <c r="I70" s="4"/>
      <c r="J70" s="13">
        <f>IF(H$12=0,0,H70/H$12)</f>
        <v>0</v>
      </c>
      <c r="K70" s="4"/>
      <c r="L70" s="4">
        <f>+D70-H70</f>
        <v>-1837.6</v>
      </c>
      <c r="M70" s="4"/>
      <c r="N70" s="13">
        <f>IF(H70=0,0,L70/H70)</f>
        <v>-1</v>
      </c>
      <c r="O70" s="11"/>
      <c r="P70" s="4"/>
      <c r="Q70" s="4"/>
      <c r="R70" s="13">
        <f>IF(P$12=0,0,P70/P$12)</f>
        <v>0</v>
      </c>
      <c r="S70" s="4"/>
      <c r="T70" s="4">
        <v>32650.01</v>
      </c>
      <c r="U70" s="4"/>
      <c r="V70" s="13">
        <f>IF(T$12=0,0,T70/T$12)</f>
        <v>0.11354282795905561</v>
      </c>
      <c r="W70" s="4"/>
      <c r="X70" s="4">
        <f>+P70-T70</f>
        <v>-32650.01</v>
      </c>
      <c r="Y70" s="4"/>
      <c r="Z70" s="13">
        <f>IF(T70=0,0,X70/T70)</f>
        <v>-1</v>
      </c>
    </row>
    <row r="71" spans="1:26" x14ac:dyDescent="0.25">
      <c r="A71" s="9"/>
      <c r="B71" s="11"/>
      <c r="C71" s="11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1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4" customFormat="1" ht="15.75" thickBot="1" x14ac:dyDescent="0.3">
      <c r="A72" s="11"/>
      <c r="B72" s="29" t="s">
        <v>125</v>
      </c>
      <c r="C72" s="29"/>
      <c r="D72" s="30">
        <f>+D68-D70</f>
        <v>-770.02</v>
      </c>
      <c r="E72" s="14"/>
      <c r="F72" s="34">
        <f>IF(D$12=0,0,D72/D$12)</f>
        <v>0</v>
      </c>
      <c r="G72" s="14"/>
      <c r="H72" s="30">
        <f>+H68-H70</f>
        <v>-22338.429999999997</v>
      </c>
      <c r="I72" s="14"/>
      <c r="J72" s="34">
        <f>IF(H$12=0,0,H72/H$12)</f>
        <v>0</v>
      </c>
      <c r="K72" s="16"/>
      <c r="L72" s="30">
        <f>D72-H72</f>
        <v>21568.409999999996</v>
      </c>
      <c r="M72" s="16"/>
      <c r="N72" s="34">
        <f>IF(H72=0,0,L72/H72)</f>
        <v>-0.96552935904627135</v>
      </c>
      <c r="O72" s="28"/>
      <c r="P72" s="30">
        <f>+P68-P70</f>
        <v>-9491.3799999999992</v>
      </c>
      <c r="Q72" s="14"/>
      <c r="R72" s="34">
        <f>IF(P$12=0,0,P72/P$12)</f>
        <v>0</v>
      </c>
      <c r="S72" s="14"/>
      <c r="T72" s="30">
        <f>+T68-T70</f>
        <v>-29254.180000000011</v>
      </c>
      <c r="U72" s="14"/>
      <c r="V72" s="34">
        <f>IF(T$12=0,0,T72/T$12)</f>
        <v>-0.10173357762595622</v>
      </c>
      <c r="W72" s="16"/>
      <c r="X72" s="30">
        <f>P72-T72</f>
        <v>19762.80000000001</v>
      </c>
      <c r="Y72" s="16"/>
      <c r="Z72" s="34">
        <f>IF(T72=0,0,X72/T72)</f>
        <v>-0.6755547412369789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ht="15.75" thickBot="1" x14ac:dyDescent="0.3">
      <c r="A75" s="11"/>
      <c r="B75" s="29" t="s">
        <v>293</v>
      </c>
      <c r="C75" s="29"/>
      <c r="D75" s="32">
        <f>SUM(D72:D74)</f>
        <v>-770.02</v>
      </c>
      <c r="E75" s="14"/>
      <c r="F75" s="35">
        <f>IF(D$12=0,0,D75/D$12)</f>
        <v>0</v>
      </c>
      <c r="G75" s="14"/>
      <c r="H75" s="32">
        <f>SUM(H72:H74)</f>
        <v>-22338.429999999997</v>
      </c>
      <c r="I75" s="14"/>
      <c r="J75" s="35">
        <f>IF(H$12=0,0,H75/H$12)</f>
        <v>0</v>
      </c>
      <c r="K75" s="16"/>
      <c r="L75" s="32">
        <f>+D75-H75</f>
        <v>21568.409999999996</v>
      </c>
      <c r="M75" s="16"/>
      <c r="N75" s="35">
        <f>IF(H75=0,0,L75/H75)</f>
        <v>-0.96552935904627135</v>
      </c>
      <c r="O75" s="28"/>
      <c r="P75" s="32">
        <f>SUM(P72:P74)</f>
        <v>-9491.3799999999992</v>
      </c>
      <c r="Q75" s="14"/>
      <c r="R75" s="35">
        <f>IF(P$12=0,0,P75/P$12)</f>
        <v>0</v>
      </c>
      <c r="S75" s="14"/>
      <c r="T75" s="32">
        <f>SUM(T72:T74)</f>
        <v>-29254.180000000011</v>
      </c>
      <c r="U75" s="14"/>
      <c r="V75" s="35">
        <f>IF(T$12=0,0,T75/T$12)</f>
        <v>-0.10173357762595622</v>
      </c>
      <c r="W75" s="16"/>
      <c r="X75" s="32">
        <f>+P75-T75</f>
        <v>19762.80000000001</v>
      </c>
      <c r="Y75" s="16"/>
      <c r="Z75" s="35">
        <f>IF(T75=0,0,X75/T75)</f>
        <v>-0.6755547412369789</v>
      </c>
    </row>
    <row r="76" spans="1:26" ht="15.75" thickTop="1" x14ac:dyDescent="0.25">
      <c r="A76" s="9"/>
      <c r="C76" s="9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25">
      <c r="A77" s="9"/>
      <c r="B77" s="59">
        <v>44330.00886898148</v>
      </c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25">
      <c r="A78" s="9"/>
      <c r="B78" s="52" t="s">
        <v>56</v>
      </c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55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","313", " - ", "Convenience Store")</f>
        <v>Department 313 - Convenience Store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45.309999999999995</v>
      </c>
      <c r="I12" s="4"/>
      <c r="J12" s="13"/>
      <c r="K12" s="4"/>
      <c r="L12" s="4">
        <f t="shared" ref="L12:L18" si="0">+D12-H12</f>
        <v>-45.309999999999995</v>
      </c>
      <c r="M12" s="4"/>
      <c r="N12" s="13">
        <f t="shared" ref="N12:N18" si="1">IF(H12=0,0,L12/H12)</f>
        <v>-1</v>
      </c>
      <c r="O12" s="11"/>
      <c r="P12" s="4">
        <f>SUM(OSRRefP13x_0)</f>
        <v>0</v>
      </c>
      <c r="Q12" s="4"/>
      <c r="R12" s="13"/>
      <c r="S12" s="4"/>
      <c r="T12" s="4">
        <f>SUM(OSRRefT13x_0)</f>
        <v>495854.37000000005</v>
      </c>
      <c r="U12" s="4"/>
      <c r="V12" s="13"/>
      <c r="W12" s="4"/>
      <c r="X12" s="4">
        <f t="shared" ref="X12:X18" si="2">+P12-T12</f>
        <v>-495854.37000000005</v>
      </c>
      <c r="Y12" s="4"/>
      <c r="Z12" s="13">
        <f t="shared" ref="Z12:Z18" si="3">IF(T12=0,0,X12/T12)</f>
        <v>-1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18" si="4">0</f>
        <v>0</v>
      </c>
      <c r="E13" s="2"/>
      <c r="F13" s="19"/>
      <c r="G13" s="2"/>
      <c r="H13" s="2">
        <f>--1.35</f>
        <v>1.35</v>
      </c>
      <c r="I13" s="2"/>
      <c r="J13" s="19"/>
      <c r="K13" s="2"/>
      <c r="L13" s="2">
        <f t="shared" si="0"/>
        <v>-1.35</v>
      </c>
      <c r="M13" s="2"/>
      <c r="N13" s="19">
        <f t="shared" si="1"/>
        <v>-1</v>
      </c>
      <c r="O13" s="10"/>
      <c r="P13" s="2">
        <f t="shared" ref="P13:P18" si="5">0</f>
        <v>0</v>
      </c>
      <c r="Q13" s="2"/>
      <c r="R13" s="19"/>
      <c r="S13" s="2"/>
      <c r="T13" s="2">
        <f>--104992.39</f>
        <v>104992.39</v>
      </c>
      <c r="U13" s="2"/>
      <c r="V13" s="19"/>
      <c r="W13" s="2"/>
      <c r="X13" s="2">
        <f t="shared" si="2"/>
        <v>-104992.39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"4034", " - ", "TAXABLE SALES-SODA")</f>
        <v xml:space="preserve">          4034 - TAXABLE SALES-SODA</v>
      </c>
      <c r="C14" s="10"/>
      <c r="D14" s="2">
        <f t="shared" si="4"/>
        <v>0</v>
      </c>
      <c r="E14" s="2"/>
      <c r="F14" s="19"/>
      <c r="G14" s="2"/>
      <c r="H14" s="2">
        <f>--3.4</f>
        <v>3.4</v>
      </c>
      <c r="I14" s="2"/>
      <c r="J14" s="19"/>
      <c r="K14" s="2"/>
      <c r="L14" s="2">
        <f t="shared" si="0"/>
        <v>-3.4</v>
      </c>
      <c r="M14" s="2"/>
      <c r="N14" s="19">
        <f t="shared" si="1"/>
        <v>-1</v>
      </c>
      <c r="O14" s="10"/>
      <c r="P14" s="2">
        <f t="shared" si="5"/>
        <v>0</v>
      </c>
      <c r="Q14" s="2"/>
      <c r="R14" s="19"/>
      <c r="S14" s="2"/>
      <c r="T14" s="2">
        <f>--3121.95</f>
        <v>3121.95</v>
      </c>
      <c r="U14" s="2"/>
      <c r="V14" s="19"/>
      <c r="W14" s="2"/>
      <c r="X14" s="2">
        <f t="shared" si="2"/>
        <v>-3121.95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"4132", " - ", "NON-TAXABLE SALES-JUICE")</f>
        <v xml:space="preserve">          4132 - NON-TAXABLE SALES-JUICE</v>
      </c>
      <c r="C15" s="10"/>
      <c r="D15" s="2">
        <f t="shared" si="4"/>
        <v>0</v>
      </c>
      <c r="E15" s="2"/>
      <c r="F15" s="19"/>
      <c r="G15" s="2"/>
      <c r="H15" s="2">
        <f>--0.05</f>
        <v>0.05</v>
      </c>
      <c r="I15" s="2"/>
      <c r="J15" s="19"/>
      <c r="K15" s="2"/>
      <c r="L15" s="2">
        <f t="shared" si="0"/>
        <v>-0.05</v>
      </c>
      <c r="M15" s="2"/>
      <c r="N15" s="19">
        <f t="shared" si="1"/>
        <v>-1</v>
      </c>
      <c r="O15" s="10"/>
      <c r="P15" s="2">
        <f t="shared" si="5"/>
        <v>0</v>
      </c>
      <c r="Q15" s="2"/>
      <c r="R15" s="19"/>
      <c r="S15" s="2"/>
      <c r="T15" s="2">
        <f>--386093.8</f>
        <v>386093.8</v>
      </c>
      <c r="U15" s="2"/>
      <c r="V15" s="19"/>
      <c r="W15" s="2"/>
      <c r="X15" s="2">
        <f t="shared" si="2"/>
        <v>-386093.8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"4133", " - ", "NON-TAXABLE SALES-CANDY")</f>
        <v xml:space="preserve">          4133 - NON-TAXABLE SALES-CANDY</v>
      </c>
      <c r="C16" s="10"/>
      <c r="D16" s="2">
        <f t="shared" si="4"/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 t="shared" si="5"/>
        <v>0</v>
      </c>
      <c r="Q16" s="2"/>
      <c r="R16" s="19"/>
      <c r="S16" s="2"/>
      <c r="T16" s="2">
        <f>--1.59</f>
        <v>1.59</v>
      </c>
      <c r="U16" s="2"/>
      <c r="V16" s="19"/>
      <c r="W16" s="2"/>
      <c r="X16" s="2">
        <f t="shared" si="2"/>
        <v>-1.59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"4134", " - ", "NON-TAXABLE SALES-SODA")</f>
        <v xml:space="preserve">          4134 - NON-TAXABLE SALES-SODA</v>
      </c>
      <c r="C17" s="10"/>
      <c r="D17" s="2">
        <f t="shared" si="4"/>
        <v>0</v>
      </c>
      <c r="E17" s="2"/>
      <c r="F17" s="19"/>
      <c r="G17" s="2"/>
      <c r="H17" s="2">
        <f>--35.86</f>
        <v>35.86</v>
      </c>
      <c r="I17" s="2"/>
      <c r="J17" s="19"/>
      <c r="K17" s="2"/>
      <c r="L17" s="2">
        <f t="shared" si="0"/>
        <v>-35.86</v>
      </c>
      <c r="M17" s="2"/>
      <c r="N17" s="19">
        <f t="shared" si="1"/>
        <v>-1</v>
      </c>
      <c r="O17" s="10"/>
      <c r="P17" s="2">
        <f t="shared" si="5"/>
        <v>0</v>
      </c>
      <c r="Q17" s="2"/>
      <c r="R17" s="19"/>
      <c r="S17" s="2"/>
      <c r="T17" s="2">
        <f>--71.2</f>
        <v>71.2</v>
      </c>
      <c r="U17" s="2"/>
      <c r="V17" s="19"/>
      <c r="W17" s="2"/>
      <c r="X17" s="2">
        <f t="shared" si="2"/>
        <v>-71.2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"4137", " - ", "NON-TAXABLE SALES-WATER")</f>
        <v xml:space="preserve">          4137 - NON-TAXABLE SALES-WATER</v>
      </c>
      <c r="C18" s="10"/>
      <c r="D18" s="2">
        <f t="shared" si="4"/>
        <v>0</v>
      </c>
      <c r="E18" s="2"/>
      <c r="F18" s="19"/>
      <c r="G18" s="2"/>
      <c r="H18" s="2">
        <f>--4.65</f>
        <v>4.6500000000000004</v>
      </c>
      <c r="I18" s="2"/>
      <c r="J18" s="19"/>
      <c r="K18" s="2"/>
      <c r="L18" s="2">
        <f t="shared" si="0"/>
        <v>-4.6500000000000004</v>
      </c>
      <c r="M18" s="2"/>
      <c r="N18" s="19">
        <f t="shared" si="1"/>
        <v>-1</v>
      </c>
      <c r="O18" s="10"/>
      <c r="P18" s="2">
        <f t="shared" si="5"/>
        <v>0</v>
      </c>
      <c r="Q18" s="2"/>
      <c r="R18" s="19"/>
      <c r="S18" s="2"/>
      <c r="T18" s="2">
        <f>--1573.44</f>
        <v>1573.44</v>
      </c>
      <c r="U18" s="2"/>
      <c r="V18" s="19"/>
      <c r="W18" s="2"/>
      <c r="X18" s="2">
        <f t="shared" si="2"/>
        <v>-1573.44</v>
      </c>
      <c r="Y18" s="2"/>
      <c r="Z18" s="19">
        <f t="shared" si="3"/>
        <v>-1</v>
      </c>
    </row>
    <row r="19" spans="1:26" x14ac:dyDescent="0.25">
      <c r="A19" s="9"/>
      <c r="B19" s="11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collapsed="1" x14ac:dyDescent="0.25">
      <c r="A20" s="11"/>
      <c r="B20" s="28" t="s">
        <v>256</v>
      </c>
      <c r="C20" s="11"/>
      <c r="D20" s="4">
        <f>SUM(OSRRefD16x_0)</f>
        <v>0</v>
      </c>
      <c r="E20" s="4"/>
      <c r="F20" s="13">
        <f t="shared" ref="F20:F22" si="6">IF(D$12=0,0,D20/D$12)</f>
        <v>0</v>
      </c>
      <c r="G20" s="4"/>
      <c r="H20" s="4">
        <f>SUM(OSRRefH16x_0)</f>
        <v>7097.9</v>
      </c>
      <c r="I20" s="4"/>
      <c r="J20" s="13">
        <f t="shared" ref="J20:J22" si="7">IF(H$12=0,0,H20/H$12)</f>
        <v>156.65195321121166</v>
      </c>
      <c r="K20" s="4"/>
      <c r="L20" s="4">
        <f t="shared" ref="L20:L22" si="8">+D20-H20</f>
        <v>-7097.9</v>
      </c>
      <c r="M20" s="4"/>
      <c r="N20" s="13">
        <f t="shared" ref="N20:N22" si="9">IF(H20=0,0,L20/H20)</f>
        <v>-1</v>
      </c>
      <c r="O20" s="11"/>
      <c r="P20" s="4">
        <f>SUM(OSRRefP16x_0)</f>
        <v>-613.59</v>
      </c>
      <c r="Q20" s="4"/>
      <c r="R20" s="13">
        <f t="shared" ref="R20:R22" si="10">IF(P$12=0,0,P20/P$12)</f>
        <v>0</v>
      </c>
      <c r="S20" s="4"/>
      <c r="T20" s="4">
        <f>SUM(OSRRefT16x_0)</f>
        <v>242137.47999999998</v>
      </c>
      <c r="U20" s="4"/>
      <c r="V20" s="13">
        <f t="shared" ref="V20:V22" si="11">IF(T$12=0,0,T20/T$12)</f>
        <v>0.4883237794193484</v>
      </c>
      <c r="W20" s="4"/>
      <c r="X20" s="4">
        <f t="shared" ref="X20:X22" si="12">+P20-T20</f>
        <v>-242751.06999999998</v>
      </c>
      <c r="Y20" s="4"/>
      <c r="Z20" s="13">
        <f t="shared" ref="Z20:Z22" si="13">IF(T20=0,0,X20/T20)</f>
        <v>-1.0025340562724945</v>
      </c>
    </row>
    <row r="21" spans="1:26" s="23" customFormat="1" hidden="1" outlineLevel="1" x14ac:dyDescent="0.25">
      <c r="A21" s="44"/>
      <c r="B21" s="10" t="str">
        <f>CONCATENATE("          ", "5053", " - ", "PURCHASES @ COST-FOOD")</f>
        <v xml:space="preserve">          5053 - PURCHASES @ COST-FOOD</v>
      </c>
      <c r="C21" s="10"/>
      <c r="D21" s="2"/>
      <c r="E21" s="2"/>
      <c r="F21" s="19">
        <f t="shared" si="6"/>
        <v>0</v>
      </c>
      <c r="G21" s="2"/>
      <c r="H21" s="2">
        <v>-630.1</v>
      </c>
      <c r="I21" s="2"/>
      <c r="J21" s="19">
        <f t="shared" si="7"/>
        <v>-13.906422423306115</v>
      </c>
      <c r="K21" s="2"/>
      <c r="L21" s="2">
        <f t="shared" si="8"/>
        <v>630.1</v>
      </c>
      <c r="M21" s="2"/>
      <c r="N21" s="19">
        <f t="shared" si="9"/>
        <v>-1</v>
      </c>
      <c r="O21" s="10"/>
      <c r="P21" s="2">
        <v>-613.59</v>
      </c>
      <c r="Q21" s="2"/>
      <c r="R21" s="19">
        <f t="shared" si="10"/>
        <v>0</v>
      </c>
      <c r="S21" s="2"/>
      <c r="T21" s="2">
        <v>237725.49</v>
      </c>
      <c r="U21" s="2"/>
      <c r="V21" s="19">
        <f t="shared" si="11"/>
        <v>0.47942602583093091</v>
      </c>
      <c r="W21" s="2"/>
      <c r="X21" s="2">
        <f t="shared" si="12"/>
        <v>-238339.08</v>
      </c>
      <c r="Y21" s="2"/>
      <c r="Z21" s="19">
        <f t="shared" si="13"/>
        <v>-1.0025810862772857</v>
      </c>
    </row>
    <row r="22" spans="1:26" s="23" customFormat="1" hidden="1" outlineLevel="1" x14ac:dyDescent="0.25">
      <c r="A22" s="44"/>
      <c r="B22" s="10" t="str">
        <f>CONCATENATE("          ", "5059", " - ", "PURCHASES @ COST-FOOD")</f>
        <v xml:space="preserve">          5059 - PURCHASES @ COST-FOOD</v>
      </c>
      <c r="C22" s="10"/>
      <c r="D22" s="2"/>
      <c r="E22" s="2"/>
      <c r="F22" s="19">
        <f t="shared" si="6"/>
        <v>0</v>
      </c>
      <c r="G22" s="2"/>
      <c r="H22" s="2">
        <v>7728</v>
      </c>
      <c r="I22" s="2"/>
      <c r="J22" s="19">
        <f t="shared" si="7"/>
        <v>170.55837563451777</v>
      </c>
      <c r="K22" s="2"/>
      <c r="L22" s="2">
        <f t="shared" si="8"/>
        <v>-7728</v>
      </c>
      <c r="M22" s="2"/>
      <c r="N22" s="19">
        <f t="shared" si="9"/>
        <v>-1</v>
      </c>
      <c r="O22" s="10"/>
      <c r="P22" s="2"/>
      <c r="Q22" s="2"/>
      <c r="R22" s="19">
        <f t="shared" si="10"/>
        <v>0</v>
      </c>
      <c r="S22" s="2"/>
      <c r="T22" s="2">
        <v>4411.99</v>
      </c>
      <c r="U22" s="2"/>
      <c r="V22" s="19">
        <f t="shared" si="11"/>
        <v>8.8977535884175018E-3</v>
      </c>
      <c r="W22" s="2"/>
      <c r="X22" s="2">
        <f t="shared" si="12"/>
        <v>-4411.99</v>
      </c>
      <c r="Y22" s="2"/>
      <c r="Z22" s="19">
        <f t="shared" si="13"/>
        <v>-1</v>
      </c>
    </row>
    <row r="23" spans="1:26" x14ac:dyDescent="0.25">
      <c r="A23" s="9"/>
      <c r="B23" s="11"/>
      <c r="C23" s="11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1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x14ac:dyDescent="0.25">
      <c r="A24" s="11"/>
      <c r="B24" s="29" t="s">
        <v>107</v>
      </c>
      <c r="C24" s="29"/>
      <c r="D24" s="20">
        <f>D12-D20</f>
        <v>0</v>
      </c>
      <c r="E24" s="14"/>
      <c r="F24" s="22">
        <f>IF(D$12=0,0,D24/D$12)</f>
        <v>0</v>
      </c>
      <c r="G24" s="14"/>
      <c r="H24" s="20">
        <f>H12-H20</f>
        <v>-7052.5899999999992</v>
      </c>
      <c r="I24" s="14"/>
      <c r="J24" s="22">
        <f>IF(H$12=0,0,H24/H$12)</f>
        <v>-155.65195321121166</v>
      </c>
      <c r="K24" s="16"/>
      <c r="L24" s="20">
        <f>+D24-H24</f>
        <v>7052.5899999999992</v>
      </c>
      <c r="M24" s="16"/>
      <c r="N24" s="22">
        <f>IF(H24=0,0,L24/H24)</f>
        <v>-1</v>
      </c>
      <c r="O24" s="28"/>
      <c r="P24" s="20">
        <f>P12-P20</f>
        <v>613.59</v>
      </c>
      <c r="Q24" s="14"/>
      <c r="R24" s="22">
        <f>IF(P$12=0,0,P24/P$12)</f>
        <v>0</v>
      </c>
      <c r="S24" s="14"/>
      <c r="T24" s="20">
        <f>T12-T20</f>
        <v>253716.89000000007</v>
      </c>
      <c r="U24" s="14"/>
      <c r="V24" s="22">
        <f>IF(T$12=0,0,T24/T$12)</f>
        <v>0.51167622058065165</v>
      </c>
      <c r="W24" s="16"/>
      <c r="X24" s="20">
        <f>+P24-T24</f>
        <v>-253103.30000000008</v>
      </c>
      <c r="Y24" s="16"/>
      <c r="Z24" s="22">
        <f>IF(T24=0,0,X24/T24)</f>
        <v>-0.99758159576999383</v>
      </c>
    </row>
    <row r="25" spans="1:26" x14ac:dyDescent="0.25">
      <c r="A25" s="9"/>
      <c r="B25" s="11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4" customFormat="1" x14ac:dyDescent="0.25">
      <c r="A26" s="11"/>
      <c r="B26" s="28" t="s">
        <v>294</v>
      </c>
      <c r="C26" s="11"/>
      <c r="D26" s="21">
        <f>SUM(OSRRefD22x_0)</f>
        <v>102.28</v>
      </c>
      <c r="E26" s="21"/>
      <c r="F26" s="31">
        <f t="shared" ref="F26:F35" si="14">IF(D$12=0,0,D26/D$12)</f>
        <v>0</v>
      </c>
      <c r="G26" s="21"/>
      <c r="H26" s="21">
        <f>SUM(OSRRefH22x_0)</f>
        <v>7285.51</v>
      </c>
      <c r="I26" s="21"/>
      <c r="J26" s="31">
        <f t="shared" ref="J26:J35" si="15">IF(H$12=0,0,H26/H$12)</f>
        <v>160.79254027808432</v>
      </c>
      <c r="K26" s="4"/>
      <c r="L26" s="21">
        <f t="shared" ref="L26:L35" si="16">+D26-H26</f>
        <v>-7183.2300000000005</v>
      </c>
      <c r="M26" s="4"/>
      <c r="N26" s="31">
        <f t="shared" ref="N26:N35" si="17">IF(H26=0,0,L26/H26)</f>
        <v>-0.98596117498980862</v>
      </c>
      <c r="O26" s="11"/>
      <c r="P26" s="21">
        <f>SUM(OSRRefP22x_0)</f>
        <v>46750.96</v>
      </c>
      <c r="Q26" s="21"/>
      <c r="R26" s="31">
        <f t="shared" ref="R26:R35" si="18">IF(P$12=0,0,P26/P$12)</f>
        <v>0</v>
      </c>
      <c r="S26" s="21"/>
      <c r="T26" s="21">
        <f>SUM(OSRRefT22x_0)</f>
        <v>182001.07000000004</v>
      </c>
      <c r="U26" s="21"/>
      <c r="V26" s="31">
        <f t="shared" ref="V26:V35" si="19">IF(T$12=0,0,T26/T$12)</f>
        <v>0.36704540891713833</v>
      </c>
      <c r="W26" s="4"/>
      <c r="X26" s="21">
        <f t="shared" ref="X26:X35" si="20">+P26-T26</f>
        <v>-135250.11000000004</v>
      </c>
      <c r="Y26" s="4"/>
      <c r="Z26" s="31">
        <f t="shared" ref="Z26:Z35" si="21">IF(T26=0,0,X26/T26)</f>
        <v>-0.74312810358752301</v>
      </c>
    </row>
    <row r="27" spans="1:26" s="26" customFormat="1" outlineLevel="1" collapsed="1" x14ac:dyDescent="0.25">
      <c r="A27" s="25"/>
      <c r="B27" s="12" t="str">
        <f>CONCATENATE("     ","*Benefits                                         ")</f>
        <v xml:space="preserve">     *Benefits                                         </v>
      </c>
      <c r="C27" s="12"/>
      <c r="D27" s="1">
        <f>SUM(OSRRefD22_0x_0)</f>
        <v>0</v>
      </c>
      <c r="E27" s="1"/>
      <c r="F27" s="5">
        <f t="shared" si="14"/>
        <v>0</v>
      </c>
      <c r="G27" s="1"/>
      <c r="H27" s="1">
        <f>SUM(OSRRefH22_0x_0)</f>
        <v>4223.4800000000005</v>
      </c>
      <c r="I27" s="1"/>
      <c r="J27" s="5">
        <f t="shared" si="15"/>
        <v>93.212977267711338</v>
      </c>
      <c r="K27" s="1"/>
      <c r="L27" s="1">
        <f t="shared" si="16"/>
        <v>-4223.4800000000005</v>
      </c>
      <c r="M27" s="1"/>
      <c r="N27" s="5">
        <f t="shared" si="17"/>
        <v>-1</v>
      </c>
      <c r="O27" s="12"/>
      <c r="P27" s="1">
        <f>SUM(OSRRefP22_0x_0)</f>
        <v>21787.579999999998</v>
      </c>
      <c r="Q27" s="1"/>
      <c r="R27" s="5">
        <f t="shared" si="18"/>
        <v>0</v>
      </c>
      <c r="S27" s="1"/>
      <c r="T27" s="1">
        <f>SUM(OSRRefT22_0x_0)</f>
        <v>43269.87</v>
      </c>
      <c r="U27" s="1"/>
      <c r="V27" s="5">
        <f t="shared" si="19"/>
        <v>8.7263262396981595E-2</v>
      </c>
      <c r="W27" s="1"/>
      <c r="X27" s="1">
        <f t="shared" si="20"/>
        <v>-21482.290000000005</v>
      </c>
      <c r="Y27" s="1"/>
      <c r="Z27" s="5">
        <f t="shared" si="21"/>
        <v>-0.49647225656097427</v>
      </c>
    </row>
    <row r="28" spans="1:26" s="23" customFormat="1" hidden="1" outlineLevel="2" x14ac:dyDescent="0.25">
      <c r="A28" s="27"/>
      <c r="B28" s="10" t="str">
        <f>CONCATENATE("          ", "6111", " - ", "F.I.C.A.")</f>
        <v xml:space="preserve">          6111 - F.I.C.A.</v>
      </c>
      <c r="C28" s="10"/>
      <c r="D28" s="6"/>
      <c r="E28" s="2"/>
      <c r="F28" s="7">
        <f t="shared" si="14"/>
        <v>0</v>
      </c>
      <c r="G28" s="2"/>
      <c r="H28" s="6">
        <v>536.52</v>
      </c>
      <c r="I28" s="2"/>
      <c r="J28" s="7">
        <f t="shared" si="15"/>
        <v>11.841094681085854</v>
      </c>
      <c r="K28" s="2"/>
      <c r="L28" s="6">
        <f t="shared" si="16"/>
        <v>-536.52</v>
      </c>
      <c r="M28" s="2"/>
      <c r="N28" s="7">
        <f t="shared" si="17"/>
        <v>-1</v>
      </c>
      <c r="O28" s="10"/>
      <c r="P28" s="6">
        <v>1924.35</v>
      </c>
      <c r="Q28" s="2"/>
      <c r="R28" s="7">
        <f t="shared" si="18"/>
        <v>0</v>
      </c>
      <c r="S28" s="2"/>
      <c r="T28" s="6">
        <v>5054.46</v>
      </c>
      <c r="U28" s="2"/>
      <c r="V28" s="7">
        <f t="shared" si="19"/>
        <v>1.0193436431749104E-2</v>
      </c>
      <c r="W28" s="2"/>
      <c r="X28" s="6">
        <f t="shared" si="20"/>
        <v>-3130.11</v>
      </c>
      <c r="Y28" s="2"/>
      <c r="Z28" s="7">
        <f t="shared" si="21"/>
        <v>-0.61927683669472111</v>
      </c>
    </row>
    <row r="29" spans="1:26" s="23" customFormat="1" hidden="1" outlineLevel="2" x14ac:dyDescent="0.25">
      <c r="A29" s="27"/>
      <c r="B29" s="10" t="str">
        <f>CONCATENATE("          ", "6112", " - ", "COMPENSATION INSURANCE")</f>
        <v xml:space="preserve">          6112 - COMPENSATION INSURANCE</v>
      </c>
      <c r="C29" s="10"/>
      <c r="D29" s="6"/>
      <c r="E29" s="2"/>
      <c r="F29" s="7">
        <f t="shared" si="14"/>
        <v>0</v>
      </c>
      <c r="G29" s="2"/>
      <c r="H29" s="6">
        <v>88.84</v>
      </c>
      <c r="I29" s="2"/>
      <c r="J29" s="7">
        <f t="shared" si="15"/>
        <v>1.960715073935114</v>
      </c>
      <c r="K29" s="2"/>
      <c r="L29" s="6">
        <f t="shared" si="16"/>
        <v>-88.84</v>
      </c>
      <c r="M29" s="2"/>
      <c r="N29" s="7">
        <f t="shared" si="17"/>
        <v>-1</v>
      </c>
      <c r="O29" s="10"/>
      <c r="P29" s="6">
        <v>499.06</v>
      </c>
      <c r="Q29" s="2"/>
      <c r="R29" s="7">
        <f t="shared" si="18"/>
        <v>0</v>
      </c>
      <c r="S29" s="2"/>
      <c r="T29" s="6">
        <v>1811.81</v>
      </c>
      <c r="U29" s="2"/>
      <c r="V29" s="7">
        <f t="shared" si="19"/>
        <v>3.6539155639588286E-3</v>
      </c>
      <c r="W29" s="2"/>
      <c r="X29" s="6">
        <f t="shared" si="20"/>
        <v>-1312.75</v>
      </c>
      <c r="Y29" s="2"/>
      <c r="Z29" s="7">
        <f t="shared" si="21"/>
        <v>-0.72455169140252018</v>
      </c>
    </row>
    <row r="30" spans="1:26" s="23" customFormat="1" hidden="1" outlineLevel="2" x14ac:dyDescent="0.25">
      <c r="A30" s="27"/>
      <c r="B30" s="10" t="str">
        <f>CONCATENATE("          ", "6113", " - ", "GROUP INSURANCE")</f>
        <v xml:space="preserve">          6113 - GROUP INSURANCE</v>
      </c>
      <c r="C30" s="10"/>
      <c r="D30" s="6"/>
      <c r="E30" s="2"/>
      <c r="F30" s="7">
        <f t="shared" si="14"/>
        <v>0</v>
      </c>
      <c r="G30" s="2"/>
      <c r="H30" s="6">
        <v>2021.26</v>
      </c>
      <c r="I30" s="2"/>
      <c r="J30" s="7">
        <f t="shared" si="15"/>
        <v>44.609578459501222</v>
      </c>
      <c r="K30" s="2"/>
      <c r="L30" s="6">
        <f t="shared" si="16"/>
        <v>-2021.26</v>
      </c>
      <c r="M30" s="2"/>
      <c r="N30" s="7">
        <f t="shared" si="17"/>
        <v>-1</v>
      </c>
      <c r="O30" s="10"/>
      <c r="P30" s="6">
        <v>12083.19</v>
      </c>
      <c r="Q30" s="2"/>
      <c r="R30" s="7">
        <f t="shared" si="18"/>
        <v>0</v>
      </c>
      <c r="S30" s="2"/>
      <c r="T30" s="6">
        <v>20204.86</v>
      </c>
      <c r="U30" s="2"/>
      <c r="V30" s="7">
        <f t="shared" si="19"/>
        <v>4.0747568686346353E-2</v>
      </c>
      <c r="W30" s="2"/>
      <c r="X30" s="6">
        <f t="shared" si="20"/>
        <v>-8121.67</v>
      </c>
      <c r="Y30" s="2"/>
      <c r="Z30" s="7">
        <f t="shared" si="21"/>
        <v>-0.40196616061680207</v>
      </c>
    </row>
    <row r="31" spans="1:26" s="23" customFormat="1" hidden="1" outlineLevel="2" x14ac:dyDescent="0.25">
      <c r="A31" s="27"/>
      <c r="B31" s="10" t="str">
        <f>CONCATENATE("          ", "6114", " - ", "STATE UNEMPLOYMENT INSURANCE")</f>
        <v xml:space="preserve">          6114 - STATE UNEMPLOYMENT INSURANCE</v>
      </c>
      <c r="C31" s="10"/>
      <c r="D31" s="6"/>
      <c r="E31" s="2"/>
      <c r="F31" s="7">
        <f t="shared" si="14"/>
        <v>0</v>
      </c>
      <c r="G31" s="2"/>
      <c r="H31" s="6">
        <v>12.16</v>
      </c>
      <c r="I31" s="2"/>
      <c r="J31" s="7">
        <f t="shared" si="15"/>
        <v>0.26837342749944826</v>
      </c>
      <c r="K31" s="2"/>
      <c r="L31" s="6">
        <f t="shared" si="16"/>
        <v>-12.16</v>
      </c>
      <c r="M31" s="2"/>
      <c r="N31" s="7">
        <f t="shared" si="17"/>
        <v>-1</v>
      </c>
      <c r="O31" s="10"/>
      <c r="P31" s="6">
        <v>70.14</v>
      </c>
      <c r="Q31" s="2"/>
      <c r="R31" s="7">
        <f t="shared" si="18"/>
        <v>0</v>
      </c>
      <c r="S31" s="2"/>
      <c r="T31" s="6">
        <v>280.82</v>
      </c>
      <c r="U31" s="2"/>
      <c r="V31" s="7">
        <f t="shared" si="19"/>
        <v>5.6633563600538589E-4</v>
      </c>
      <c r="W31" s="2"/>
      <c r="X31" s="6">
        <f t="shared" si="20"/>
        <v>-210.68</v>
      </c>
      <c r="Y31" s="2"/>
      <c r="Z31" s="7">
        <f t="shared" si="21"/>
        <v>-0.75023146499537074</v>
      </c>
    </row>
    <row r="32" spans="1:26" s="23" customFormat="1" hidden="1" outlineLevel="2" x14ac:dyDescent="0.25">
      <c r="A32" s="27"/>
      <c r="B32" s="10" t="str">
        <f>CONCATENATE("          ", "6115", " - ", "P.E.R.S.")</f>
        <v xml:space="preserve">          6115 - P.E.R.S.</v>
      </c>
      <c r="C32" s="10"/>
      <c r="D32" s="6"/>
      <c r="E32" s="2"/>
      <c r="F32" s="7">
        <f t="shared" si="14"/>
        <v>0</v>
      </c>
      <c r="G32" s="2"/>
      <c r="H32" s="6">
        <v>568.97</v>
      </c>
      <c r="I32" s="2"/>
      <c r="J32" s="7">
        <f t="shared" si="15"/>
        <v>12.557272125358642</v>
      </c>
      <c r="K32" s="2"/>
      <c r="L32" s="6">
        <f t="shared" si="16"/>
        <v>-568.97</v>
      </c>
      <c r="M32" s="2"/>
      <c r="N32" s="7">
        <f t="shared" si="17"/>
        <v>-1</v>
      </c>
      <c r="O32" s="10"/>
      <c r="P32" s="6">
        <v>3490.92</v>
      </c>
      <c r="Q32" s="2"/>
      <c r="R32" s="7">
        <f t="shared" si="18"/>
        <v>0</v>
      </c>
      <c r="S32" s="2"/>
      <c r="T32" s="6">
        <v>6491.94</v>
      </c>
      <c r="U32" s="2"/>
      <c r="V32" s="7">
        <f t="shared" si="19"/>
        <v>1.30924327640795E-2</v>
      </c>
      <c r="W32" s="2"/>
      <c r="X32" s="6">
        <f t="shared" si="20"/>
        <v>-3001.0199999999995</v>
      </c>
      <c r="Y32" s="2"/>
      <c r="Z32" s="7">
        <f t="shared" si="21"/>
        <v>-0.46226859767650341</v>
      </c>
    </row>
    <row r="33" spans="1:26" s="23" customFormat="1" hidden="1" outlineLevel="2" x14ac:dyDescent="0.25">
      <c r="A33" s="27"/>
      <c r="B33" s="10" t="str">
        <f>CONCATENATE("          ", "6118", " - ", "VACATION")</f>
        <v xml:space="preserve">          6118 - VACATION</v>
      </c>
      <c r="C33" s="10"/>
      <c r="D33" s="6"/>
      <c r="E33" s="2"/>
      <c r="F33" s="7">
        <f t="shared" si="14"/>
        <v>0</v>
      </c>
      <c r="G33" s="2"/>
      <c r="H33" s="6">
        <v>610.59</v>
      </c>
      <c r="I33" s="2"/>
      <c r="J33" s="7">
        <f t="shared" si="15"/>
        <v>13.475833149415143</v>
      </c>
      <c r="K33" s="2"/>
      <c r="L33" s="6">
        <f t="shared" si="16"/>
        <v>-610.59</v>
      </c>
      <c r="M33" s="2"/>
      <c r="N33" s="7">
        <f t="shared" si="17"/>
        <v>-1</v>
      </c>
      <c r="O33" s="10"/>
      <c r="P33" s="6">
        <v>2035.3</v>
      </c>
      <c r="Q33" s="2"/>
      <c r="R33" s="7">
        <f t="shared" si="18"/>
        <v>0</v>
      </c>
      <c r="S33" s="2"/>
      <c r="T33" s="6">
        <v>4786.55</v>
      </c>
      <c r="U33" s="2"/>
      <c r="V33" s="7">
        <f t="shared" si="19"/>
        <v>9.6531366659126146E-3</v>
      </c>
      <c r="W33" s="2"/>
      <c r="X33" s="6">
        <f t="shared" si="20"/>
        <v>-2751.25</v>
      </c>
      <c r="Y33" s="2"/>
      <c r="Z33" s="7">
        <f t="shared" si="21"/>
        <v>-0.57478768632940214</v>
      </c>
    </row>
    <row r="34" spans="1:26" s="23" customFormat="1" hidden="1" outlineLevel="2" x14ac:dyDescent="0.25">
      <c r="A34" s="27"/>
      <c r="B34" s="10" t="str">
        <f>CONCATENATE("          ", "6119", " - ", "SICK LEAVE")</f>
        <v xml:space="preserve">          6119 - SICK LEAVE</v>
      </c>
      <c r="C34" s="10"/>
      <c r="D34" s="6"/>
      <c r="E34" s="2"/>
      <c r="F34" s="7">
        <f t="shared" si="14"/>
        <v>0</v>
      </c>
      <c r="G34" s="2"/>
      <c r="H34" s="6">
        <v>385.14</v>
      </c>
      <c r="I34" s="2"/>
      <c r="J34" s="7">
        <f t="shared" si="15"/>
        <v>8.5001103509159126</v>
      </c>
      <c r="K34" s="2"/>
      <c r="L34" s="6">
        <f t="shared" si="16"/>
        <v>-385.14</v>
      </c>
      <c r="M34" s="2"/>
      <c r="N34" s="7">
        <f t="shared" si="17"/>
        <v>-1</v>
      </c>
      <c r="O34" s="10"/>
      <c r="P34" s="6">
        <v>1283.8</v>
      </c>
      <c r="Q34" s="2"/>
      <c r="R34" s="7">
        <f t="shared" si="18"/>
        <v>0</v>
      </c>
      <c r="S34" s="2"/>
      <c r="T34" s="6">
        <v>3228.78</v>
      </c>
      <c r="U34" s="2"/>
      <c r="V34" s="7">
        <f t="shared" si="19"/>
        <v>6.5115489453082768E-3</v>
      </c>
      <c r="W34" s="2"/>
      <c r="X34" s="6">
        <f t="shared" si="20"/>
        <v>-1944.9800000000002</v>
      </c>
      <c r="Y34" s="2"/>
      <c r="Z34" s="7">
        <f t="shared" si="21"/>
        <v>-0.60238851826386441</v>
      </c>
    </row>
    <row r="35" spans="1:26" s="23" customFormat="1" hidden="1" outlineLevel="2" x14ac:dyDescent="0.25">
      <c r="A35" s="27"/>
      <c r="B35" s="10" t="str">
        <f>CONCATENATE("          ", "6156", " - ", "EMPLOYEE MEALS")</f>
        <v xml:space="preserve">          6156 - EMPLOYEE MEALS</v>
      </c>
      <c r="C35" s="10"/>
      <c r="D35" s="6"/>
      <c r="E35" s="2"/>
      <c r="F35" s="7">
        <f t="shared" si="14"/>
        <v>0</v>
      </c>
      <c r="G35" s="2"/>
      <c r="H35" s="6"/>
      <c r="I35" s="2"/>
      <c r="J35" s="7">
        <f t="shared" si="15"/>
        <v>0</v>
      </c>
      <c r="K35" s="2"/>
      <c r="L35" s="6">
        <f t="shared" si="16"/>
        <v>0</v>
      </c>
      <c r="M35" s="2"/>
      <c r="N35" s="7">
        <f t="shared" si="17"/>
        <v>0</v>
      </c>
      <c r="O35" s="10"/>
      <c r="P35" s="6">
        <v>400.82</v>
      </c>
      <c r="Q35" s="2"/>
      <c r="R35" s="7">
        <f t="shared" si="18"/>
        <v>0</v>
      </c>
      <c r="S35" s="2"/>
      <c r="T35" s="6">
        <v>1410.65</v>
      </c>
      <c r="U35" s="2"/>
      <c r="V35" s="7">
        <f t="shared" si="19"/>
        <v>2.844887703621529E-3</v>
      </c>
      <c r="W35" s="2"/>
      <c r="X35" s="6">
        <f t="shared" si="20"/>
        <v>-1009.8300000000002</v>
      </c>
      <c r="Y35" s="2"/>
      <c r="Z35" s="7">
        <f t="shared" si="21"/>
        <v>-0.71586148229539581</v>
      </c>
    </row>
    <row r="36" spans="1:26" s="26" customFormat="1" outlineLevel="1" collapsed="1" x14ac:dyDescent="0.25">
      <c r="A36" s="25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0</v>
      </c>
      <c r="E36" s="1"/>
      <c r="F36" s="5">
        <f t="shared" ref="F36:F42" si="22">IF(D$12=0,0,D36/D$12)</f>
        <v>0</v>
      </c>
      <c r="G36" s="1"/>
      <c r="H36" s="1">
        <f>SUM(OSRRefH22_1x_0)</f>
        <v>2817.79</v>
      </c>
      <c r="I36" s="1"/>
      <c r="J36" s="5">
        <f t="shared" ref="J36:J42" si="23">IF(H$12=0,0,H36/H$12)</f>
        <v>62.189141469874208</v>
      </c>
      <c r="K36" s="1"/>
      <c r="L36" s="1">
        <f t="shared" ref="L36:L42" si="24">+D36-H36</f>
        <v>-2817.79</v>
      </c>
      <c r="M36" s="1"/>
      <c r="N36" s="5">
        <f t="shared" ref="N36:N42" si="25">IF(H36=0,0,L36/H36)</f>
        <v>-1</v>
      </c>
      <c r="O36" s="12"/>
      <c r="P36" s="1">
        <f>SUM(OSRRefP22_1x_0)</f>
        <v>23136.42</v>
      </c>
      <c r="Q36" s="1"/>
      <c r="R36" s="5">
        <f t="shared" ref="R36:R42" si="26">IF(P$12=0,0,P36/P$12)</f>
        <v>0</v>
      </c>
      <c r="S36" s="1"/>
      <c r="T36" s="1">
        <f>SUM(OSRRefT22_1x_0)</f>
        <v>108091.19</v>
      </c>
      <c r="U36" s="1"/>
      <c r="V36" s="5">
        <f t="shared" ref="V36:V42" si="27">IF(T$12=0,0,T36/T$12)</f>
        <v>0.21798979002645472</v>
      </c>
      <c r="W36" s="1"/>
      <c r="X36" s="1">
        <f t="shared" ref="X36:X42" si="28">+P36-T36</f>
        <v>-84954.77</v>
      </c>
      <c r="Y36" s="1"/>
      <c r="Z36" s="5">
        <f t="shared" ref="Z36:Z42" si="29">IF(T36=0,0,X36/T36)</f>
        <v>-0.78595461850313608</v>
      </c>
    </row>
    <row r="37" spans="1:26" s="23" customFormat="1" hidden="1" outlineLevel="2" x14ac:dyDescent="0.25">
      <c r="A37" s="27"/>
      <c r="B37" s="10" t="str">
        <f>CONCATENATE("          ", "6002", " - ", "STAFF SALARIES")</f>
        <v xml:space="preserve">          6002 - STAFF SALARIES</v>
      </c>
      <c r="C37" s="10"/>
      <c r="D37" s="6"/>
      <c r="E37" s="2"/>
      <c r="F37" s="7">
        <f t="shared" si="22"/>
        <v>0</v>
      </c>
      <c r="G37" s="2"/>
      <c r="H37" s="6">
        <v>6436.12</v>
      </c>
      <c r="I37" s="2"/>
      <c r="J37" s="7">
        <f t="shared" si="23"/>
        <v>142.04634738468332</v>
      </c>
      <c r="K37" s="2"/>
      <c r="L37" s="6">
        <f t="shared" si="24"/>
        <v>-6436.12</v>
      </c>
      <c r="M37" s="2"/>
      <c r="N37" s="7">
        <f t="shared" si="25"/>
        <v>-1</v>
      </c>
      <c r="O37" s="10"/>
      <c r="P37" s="6">
        <v>23136.42</v>
      </c>
      <c r="Q37" s="2"/>
      <c r="R37" s="7">
        <f t="shared" si="26"/>
        <v>0</v>
      </c>
      <c r="S37" s="2"/>
      <c r="T37" s="6">
        <v>58067.23</v>
      </c>
      <c r="U37" s="2"/>
      <c r="V37" s="7">
        <f t="shared" si="27"/>
        <v>0.11710541141343575</v>
      </c>
      <c r="W37" s="2"/>
      <c r="X37" s="6">
        <f t="shared" si="28"/>
        <v>-34930.810000000005</v>
      </c>
      <c r="Y37" s="2"/>
      <c r="Z37" s="7">
        <f t="shared" si="29"/>
        <v>-0.60155805606707957</v>
      </c>
    </row>
    <row r="38" spans="1:26" s="23" customFormat="1" hidden="1" outlineLevel="2" x14ac:dyDescent="0.25">
      <c r="A38" s="27"/>
      <c r="B38" s="10" t="str">
        <f>CONCATENATE("          ", "6004", " - ", "STAFF HOURLY")</f>
        <v xml:space="preserve">          6004 - STAFF HOURLY</v>
      </c>
      <c r="C38" s="10"/>
      <c r="D38" s="6"/>
      <c r="E38" s="2"/>
      <c r="F38" s="7">
        <f t="shared" si="22"/>
        <v>0</v>
      </c>
      <c r="G38" s="2"/>
      <c r="H38" s="6">
        <v>-3618.33</v>
      </c>
      <c r="I38" s="2"/>
      <c r="J38" s="7">
        <f t="shared" si="23"/>
        <v>-79.8572059148091</v>
      </c>
      <c r="K38" s="2"/>
      <c r="L38" s="6">
        <f t="shared" si="24"/>
        <v>3618.33</v>
      </c>
      <c r="M38" s="2"/>
      <c r="N38" s="7">
        <f t="shared" si="25"/>
        <v>-1</v>
      </c>
      <c r="O38" s="10"/>
      <c r="P38" s="6"/>
      <c r="Q38" s="2"/>
      <c r="R38" s="7">
        <f t="shared" si="26"/>
        <v>0</v>
      </c>
      <c r="S38" s="2"/>
      <c r="T38" s="6">
        <v>-3618.33</v>
      </c>
      <c r="U38" s="2"/>
      <c r="V38" s="7">
        <f t="shared" si="27"/>
        <v>-7.2971626729840047E-3</v>
      </c>
      <c r="W38" s="2"/>
      <c r="X38" s="6">
        <f t="shared" si="28"/>
        <v>3618.33</v>
      </c>
      <c r="Y38" s="2"/>
      <c r="Z38" s="7">
        <f t="shared" si="29"/>
        <v>-1</v>
      </c>
    </row>
    <row r="39" spans="1:26" s="23" customFormat="1" hidden="1" outlineLevel="2" x14ac:dyDescent="0.25">
      <c r="A39" s="27"/>
      <c r="B39" s="10" t="str">
        <f>CONCATENATE("          ", "6005", " - ", "TEMPORARY WAGES-HOURLY")</f>
        <v xml:space="preserve">          6005 - TEMPORARY WAGES-HOURLY</v>
      </c>
      <c r="C39" s="10"/>
      <c r="D39" s="6"/>
      <c r="E39" s="2"/>
      <c r="F39" s="7">
        <f t="shared" si="22"/>
        <v>0</v>
      </c>
      <c r="G39" s="2"/>
      <c r="H39" s="6"/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0"/>
      <c r="P39" s="6"/>
      <c r="Q39" s="2"/>
      <c r="R39" s="7">
        <f t="shared" si="26"/>
        <v>0</v>
      </c>
      <c r="S39" s="2"/>
      <c r="T39" s="6">
        <v>1174.26</v>
      </c>
      <c r="U39" s="2"/>
      <c r="V39" s="7">
        <f t="shared" si="27"/>
        <v>2.3681549887318728E-3</v>
      </c>
      <c r="W39" s="2"/>
      <c r="X39" s="6">
        <f t="shared" si="28"/>
        <v>-1174.26</v>
      </c>
      <c r="Y39" s="2"/>
      <c r="Z39" s="7">
        <f t="shared" si="29"/>
        <v>-1</v>
      </c>
    </row>
    <row r="40" spans="1:26" s="23" customFormat="1" hidden="1" outlineLevel="2" x14ac:dyDescent="0.25">
      <c r="A40" s="27"/>
      <c r="B40" s="10" t="str">
        <f>CONCATENATE("          ", "6006", " - ", "TEMPORARY PART TIME")</f>
        <v xml:space="preserve">          6006 - TEMPORARY PART TIME</v>
      </c>
      <c r="C40" s="10"/>
      <c r="D40" s="6"/>
      <c r="E40" s="2"/>
      <c r="F40" s="7">
        <f t="shared" si="22"/>
        <v>0</v>
      </c>
      <c r="G40" s="2"/>
      <c r="H40" s="6"/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0"/>
      <c r="P40" s="6"/>
      <c r="Q40" s="2"/>
      <c r="R40" s="7">
        <f t="shared" si="26"/>
        <v>0</v>
      </c>
      <c r="S40" s="2"/>
      <c r="T40" s="6">
        <v>4878.2700000000004</v>
      </c>
      <c r="U40" s="2"/>
      <c r="V40" s="7">
        <f t="shared" si="27"/>
        <v>9.8381103306601891E-3</v>
      </c>
      <c r="W40" s="2"/>
      <c r="X40" s="6">
        <f t="shared" si="28"/>
        <v>-4878.2700000000004</v>
      </c>
      <c r="Y40" s="2"/>
      <c r="Z40" s="7">
        <f t="shared" si="29"/>
        <v>-1</v>
      </c>
    </row>
    <row r="41" spans="1:26" s="23" customFormat="1" hidden="1" outlineLevel="2" x14ac:dyDescent="0.25">
      <c r="A41" s="27"/>
      <c r="B41" s="10" t="str">
        <f>CONCATENATE("          ", "6007", " - ", "STUDENT HOURLY")</f>
        <v xml:space="preserve">          6007 - STUDENT HOURLY</v>
      </c>
      <c r="C41" s="10"/>
      <c r="D41" s="6"/>
      <c r="E41" s="2"/>
      <c r="F41" s="7">
        <f t="shared" si="22"/>
        <v>0</v>
      </c>
      <c r="G41" s="2"/>
      <c r="H41" s="6"/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0"/>
      <c r="P41" s="6"/>
      <c r="Q41" s="2"/>
      <c r="R41" s="7">
        <f t="shared" si="26"/>
        <v>0</v>
      </c>
      <c r="S41" s="2"/>
      <c r="T41" s="6">
        <v>44034.28</v>
      </c>
      <c r="U41" s="2"/>
      <c r="V41" s="7">
        <f t="shared" si="27"/>
        <v>8.8804864218500271E-2</v>
      </c>
      <c r="W41" s="2"/>
      <c r="X41" s="6">
        <f t="shared" si="28"/>
        <v>-44034.28</v>
      </c>
      <c r="Y41" s="2"/>
      <c r="Z41" s="7">
        <f t="shared" si="29"/>
        <v>-1</v>
      </c>
    </row>
    <row r="42" spans="1:26" s="23" customFormat="1" hidden="1" outlineLevel="2" x14ac:dyDescent="0.25">
      <c r="A42" s="27"/>
      <c r="B42" s="10" t="str">
        <f>CONCATENATE("          ", "6008", " - ", "STUDENT HOURLY-FICA EXEMPT")</f>
        <v xml:space="preserve">          6008 - STUDENT HOURLY-FICA EXEMPT</v>
      </c>
      <c r="C42" s="10"/>
      <c r="D42" s="6"/>
      <c r="E42" s="2"/>
      <c r="F42" s="7">
        <f t="shared" si="22"/>
        <v>0</v>
      </c>
      <c r="G42" s="2"/>
      <c r="H42" s="6"/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0"/>
      <c r="P42" s="6"/>
      <c r="Q42" s="2"/>
      <c r="R42" s="7">
        <f t="shared" si="26"/>
        <v>0</v>
      </c>
      <c r="S42" s="2"/>
      <c r="T42" s="6">
        <v>3555.48</v>
      </c>
      <c r="U42" s="2"/>
      <c r="V42" s="7">
        <f t="shared" si="27"/>
        <v>7.1704117481106392E-3</v>
      </c>
      <c r="W42" s="2"/>
      <c r="X42" s="6">
        <f t="shared" si="28"/>
        <v>-3555.48</v>
      </c>
      <c r="Y42" s="2"/>
      <c r="Z42" s="7">
        <f t="shared" si="29"/>
        <v>-1</v>
      </c>
    </row>
    <row r="43" spans="1:26" s="26" customFormat="1" outlineLevel="1" collapsed="1" x14ac:dyDescent="0.25">
      <c r="A43" s="25"/>
      <c r="B43" s="12" t="str">
        <f>CONCATENATE("     ","Advertising/Promo                                 ")</f>
        <v xml:space="preserve">     Advertising/Promo                                 </v>
      </c>
      <c r="C43" s="12"/>
      <c r="D43" s="1">
        <f>SUM(OSRRefD22_2x_0)</f>
        <v>0</v>
      </c>
      <c r="E43" s="1"/>
      <c r="F43" s="5">
        <f t="shared" ref="F43:F58" si="30">IF(D$12=0,0,D43/D$12)</f>
        <v>0</v>
      </c>
      <c r="G43" s="1"/>
      <c r="H43" s="1">
        <f>SUM(OSRRefH22_2x_0)</f>
        <v>0</v>
      </c>
      <c r="I43" s="1"/>
      <c r="J43" s="5">
        <f t="shared" ref="J43:J58" si="31">IF(H$12=0,0,H43/H$12)</f>
        <v>0</v>
      </c>
      <c r="K43" s="1"/>
      <c r="L43" s="1">
        <f t="shared" ref="L43:L58" si="32">+D43-H43</f>
        <v>0</v>
      </c>
      <c r="M43" s="1"/>
      <c r="N43" s="5">
        <f t="shared" ref="N43:N58" si="33">IF(H43=0,0,L43/H43)</f>
        <v>0</v>
      </c>
      <c r="O43" s="12"/>
      <c r="P43" s="1">
        <f>SUM(OSRRefP22_2x_0)</f>
        <v>0</v>
      </c>
      <c r="Q43" s="1"/>
      <c r="R43" s="5">
        <f t="shared" ref="R43:R58" si="34">IF(P$12=0,0,P43/P$12)</f>
        <v>0</v>
      </c>
      <c r="S43" s="1"/>
      <c r="T43" s="1">
        <f>SUM(OSRRefT22_2x_0)</f>
        <v>1464.31</v>
      </c>
      <c r="U43" s="1"/>
      <c r="V43" s="5">
        <f t="shared" ref="V43:V58" si="35">IF(T$12=0,0,T43/T$12)</f>
        <v>2.9531049610392662E-3</v>
      </c>
      <c r="W43" s="1"/>
      <c r="X43" s="1">
        <f t="shared" ref="X43:X58" si="36">+P43-T43</f>
        <v>-1464.31</v>
      </c>
      <c r="Y43" s="1"/>
      <c r="Z43" s="5">
        <f t="shared" ref="Z43:Z58" si="37">IF(T43=0,0,X43/T43)</f>
        <v>-1</v>
      </c>
    </row>
    <row r="44" spans="1:26" s="23" customFormat="1" hidden="1" outlineLevel="2" x14ac:dyDescent="0.25">
      <c r="A44" s="27"/>
      <c r="B44" s="10" t="str">
        <f>CONCATENATE("          ", "6362", " - ", "ADVERTISING EXPENSE")</f>
        <v xml:space="preserve">          6362 - ADVERTISING EXPENSE</v>
      </c>
      <c r="C44" s="10"/>
      <c r="D44" s="6"/>
      <c r="E44" s="2"/>
      <c r="F44" s="7">
        <f t="shared" si="30"/>
        <v>0</v>
      </c>
      <c r="G44" s="2"/>
      <c r="H44" s="6"/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0"/>
      <c r="P44" s="6"/>
      <c r="Q44" s="2"/>
      <c r="R44" s="7">
        <f t="shared" si="34"/>
        <v>0</v>
      </c>
      <c r="S44" s="2"/>
      <c r="T44" s="6">
        <v>1464.31</v>
      </c>
      <c r="U44" s="2"/>
      <c r="V44" s="7">
        <f t="shared" si="35"/>
        <v>2.9531049610392662E-3</v>
      </c>
      <c r="W44" s="2"/>
      <c r="X44" s="6">
        <f t="shared" si="36"/>
        <v>-1464.31</v>
      </c>
      <c r="Y44" s="2"/>
      <c r="Z44" s="7">
        <f t="shared" si="37"/>
        <v>-1</v>
      </c>
    </row>
    <row r="45" spans="1:26" s="26" customFormat="1" outlineLevel="1" collapsed="1" x14ac:dyDescent="0.25">
      <c r="A45" s="25"/>
      <c r="B45" s="12" t="str">
        <f>CONCATENATE("     ","Bad Debts/Over/Short                              ")</f>
        <v xml:space="preserve">     Bad Debts/Over/Short                              </v>
      </c>
      <c r="C45" s="12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2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-198.56</v>
      </c>
      <c r="U45" s="1"/>
      <c r="V45" s="5">
        <f t="shared" si="35"/>
        <v>-4.0044015342649894E-4</v>
      </c>
      <c r="W45" s="1"/>
      <c r="X45" s="1">
        <f t="shared" si="36"/>
        <v>198.56</v>
      </c>
      <c r="Y45" s="1"/>
      <c r="Z45" s="5">
        <f t="shared" si="37"/>
        <v>-1</v>
      </c>
    </row>
    <row r="46" spans="1:26" s="23" customFormat="1" hidden="1" outlineLevel="2" x14ac:dyDescent="0.25">
      <c r="A46" s="27"/>
      <c r="B46" s="10" t="str">
        <f>CONCATENATE("          ", "6272", " - ", "CASH (OVER/SHORT)")</f>
        <v xml:space="preserve">          6272 - CASH (OVER/SHORT)</v>
      </c>
      <c r="C46" s="10"/>
      <c r="D46" s="6"/>
      <c r="E46" s="2"/>
      <c r="F46" s="7">
        <f t="shared" si="30"/>
        <v>0</v>
      </c>
      <c r="G46" s="2"/>
      <c r="H46" s="6"/>
      <c r="I46" s="2"/>
      <c r="J46" s="7">
        <f t="shared" si="31"/>
        <v>0</v>
      </c>
      <c r="K46" s="2"/>
      <c r="L46" s="6">
        <f t="shared" si="32"/>
        <v>0</v>
      </c>
      <c r="M46" s="2"/>
      <c r="N46" s="7">
        <f t="shared" si="33"/>
        <v>0</v>
      </c>
      <c r="O46" s="10"/>
      <c r="P46" s="6"/>
      <c r="Q46" s="2"/>
      <c r="R46" s="7">
        <f t="shared" si="34"/>
        <v>0</v>
      </c>
      <c r="S46" s="2"/>
      <c r="T46" s="6">
        <v>-198.56</v>
      </c>
      <c r="U46" s="2"/>
      <c r="V46" s="7">
        <f t="shared" si="35"/>
        <v>-4.0044015342649894E-4</v>
      </c>
      <c r="W46" s="2"/>
      <c r="X46" s="6">
        <f t="shared" si="36"/>
        <v>198.56</v>
      </c>
      <c r="Y46" s="2"/>
      <c r="Z46" s="7">
        <f t="shared" si="37"/>
        <v>-1</v>
      </c>
    </row>
    <row r="47" spans="1:26" s="26" customFormat="1" outlineLevel="1" collapsed="1" x14ac:dyDescent="0.25">
      <c r="A47" s="25"/>
      <c r="B47" s="12" t="str">
        <f>CONCATENATE("     ","Bank/card Fees                                    ")</f>
        <v xml:space="preserve">     Bank/card Fees                                    </v>
      </c>
      <c r="C47" s="12"/>
      <c r="D47" s="1">
        <f>SUM(OSRRefD22_4x_0)</f>
        <v>0</v>
      </c>
      <c r="E47" s="1"/>
      <c r="F47" s="5">
        <f t="shared" si="30"/>
        <v>0</v>
      </c>
      <c r="G47" s="1"/>
      <c r="H47" s="1">
        <f>SUM(OSRRefH22_4x_0)</f>
        <v>60</v>
      </c>
      <c r="I47" s="1"/>
      <c r="J47" s="5">
        <f t="shared" si="31"/>
        <v>1.324210990951225</v>
      </c>
      <c r="K47" s="1"/>
      <c r="L47" s="1">
        <f t="shared" si="32"/>
        <v>-60</v>
      </c>
      <c r="M47" s="1"/>
      <c r="N47" s="5">
        <f t="shared" si="33"/>
        <v>-1</v>
      </c>
      <c r="O47" s="12"/>
      <c r="P47" s="1">
        <f>SUM(OSRRefP22_4x_0)</f>
        <v>240</v>
      </c>
      <c r="Q47" s="1"/>
      <c r="R47" s="5">
        <f t="shared" si="34"/>
        <v>0</v>
      </c>
      <c r="S47" s="1"/>
      <c r="T47" s="1">
        <f>SUM(OSRRefT22_4x_0)</f>
        <v>18133.439999999999</v>
      </c>
      <c r="U47" s="1"/>
      <c r="V47" s="5">
        <f t="shared" si="35"/>
        <v>3.6570092142174722E-2</v>
      </c>
      <c r="W47" s="1"/>
      <c r="X47" s="1">
        <f t="shared" si="36"/>
        <v>-17893.439999999999</v>
      </c>
      <c r="Y47" s="1"/>
      <c r="Z47" s="5">
        <f t="shared" si="37"/>
        <v>-0.98676478373656629</v>
      </c>
    </row>
    <row r="48" spans="1:26" s="23" customFormat="1" hidden="1" outlineLevel="2" x14ac:dyDescent="0.25">
      <c r="A48" s="27"/>
      <c r="B48" s="10" t="str">
        <f>CONCATENATE("          ", "6381", " - ", "BANK/CREDIT CARD FEES")</f>
        <v xml:space="preserve">          6381 - BANK/CREDIT CARD FEES</v>
      </c>
      <c r="C48" s="10"/>
      <c r="D48" s="6"/>
      <c r="E48" s="2"/>
      <c r="F48" s="7">
        <f t="shared" si="30"/>
        <v>0</v>
      </c>
      <c r="G48" s="2"/>
      <c r="H48" s="6">
        <v>60</v>
      </c>
      <c r="I48" s="2"/>
      <c r="J48" s="7">
        <f t="shared" si="31"/>
        <v>1.324210990951225</v>
      </c>
      <c r="K48" s="2"/>
      <c r="L48" s="6">
        <f t="shared" si="32"/>
        <v>-60</v>
      </c>
      <c r="M48" s="2"/>
      <c r="N48" s="7">
        <f t="shared" si="33"/>
        <v>-1</v>
      </c>
      <c r="O48" s="10"/>
      <c r="P48" s="6">
        <v>240</v>
      </c>
      <c r="Q48" s="2"/>
      <c r="R48" s="7">
        <f t="shared" si="34"/>
        <v>0</v>
      </c>
      <c r="S48" s="2"/>
      <c r="T48" s="6">
        <v>18133.439999999999</v>
      </c>
      <c r="U48" s="2"/>
      <c r="V48" s="7">
        <f t="shared" si="35"/>
        <v>3.6570092142174722E-2</v>
      </c>
      <c r="W48" s="2"/>
      <c r="X48" s="6">
        <f t="shared" si="36"/>
        <v>-17893.439999999999</v>
      </c>
      <c r="Y48" s="2"/>
      <c r="Z48" s="7">
        <f t="shared" si="37"/>
        <v>-0.98676478373656629</v>
      </c>
    </row>
    <row r="49" spans="1:26" s="26" customFormat="1" outlineLevel="1" collapsed="1" x14ac:dyDescent="0.25">
      <c r="A49" s="25"/>
      <c r="B49" s="12" t="str">
        <f>CONCATENATE("     ","Discounts and Markdowns                           ")</f>
        <v xml:space="preserve">     Discounts and Markdowns                           </v>
      </c>
      <c r="C49" s="12"/>
      <c r="D49" s="1">
        <f>SUM(OSRRefD22_5x_0)</f>
        <v>0</v>
      </c>
      <c r="E49" s="1"/>
      <c r="F49" s="5">
        <f t="shared" si="30"/>
        <v>0</v>
      </c>
      <c r="G49" s="1"/>
      <c r="H49" s="1">
        <f>SUM(OSRRefH22_5x_0)</f>
        <v>0</v>
      </c>
      <c r="I49" s="1"/>
      <c r="J49" s="5">
        <f t="shared" si="31"/>
        <v>0</v>
      </c>
      <c r="K49" s="1"/>
      <c r="L49" s="1">
        <f t="shared" si="32"/>
        <v>0</v>
      </c>
      <c r="M49" s="1"/>
      <c r="N49" s="5">
        <f t="shared" si="33"/>
        <v>0</v>
      </c>
      <c r="O49" s="12"/>
      <c r="P49" s="1">
        <f>SUM(OSRRefP22_5x_0)</f>
        <v>0</v>
      </c>
      <c r="Q49" s="1"/>
      <c r="R49" s="5">
        <f t="shared" si="34"/>
        <v>0</v>
      </c>
      <c r="S49" s="1"/>
      <c r="T49" s="1">
        <f>SUM(OSRRefT22_5x_0)</f>
        <v>125.87</v>
      </c>
      <c r="U49" s="1"/>
      <c r="V49" s="5">
        <f t="shared" si="35"/>
        <v>2.5384469234384277E-4</v>
      </c>
      <c r="W49" s="1"/>
      <c r="X49" s="1">
        <f t="shared" si="36"/>
        <v>-125.87</v>
      </c>
      <c r="Y49" s="1"/>
      <c r="Z49" s="5">
        <f t="shared" si="37"/>
        <v>-1</v>
      </c>
    </row>
    <row r="50" spans="1:26" s="23" customFormat="1" hidden="1" outlineLevel="2" x14ac:dyDescent="0.25">
      <c r="A50" s="27"/>
      <c r="B50" s="10" t="str">
        <f>CONCATENATE("          ", "6382", " - ", "DISCOUNTS/MARK DOWNS")</f>
        <v xml:space="preserve">          6382 - DISCOUNTS/MARK DOWNS</v>
      </c>
      <c r="C50" s="10"/>
      <c r="D50" s="6"/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0</v>
      </c>
      <c r="M50" s="2"/>
      <c r="N50" s="7">
        <f t="shared" si="33"/>
        <v>0</v>
      </c>
      <c r="O50" s="10"/>
      <c r="P50" s="6"/>
      <c r="Q50" s="2"/>
      <c r="R50" s="7">
        <f t="shared" si="34"/>
        <v>0</v>
      </c>
      <c r="S50" s="2"/>
      <c r="T50" s="6">
        <v>125.87</v>
      </c>
      <c r="U50" s="2"/>
      <c r="V50" s="7">
        <f t="shared" si="35"/>
        <v>2.5384469234384277E-4</v>
      </c>
      <c r="W50" s="2"/>
      <c r="X50" s="6">
        <f t="shared" si="36"/>
        <v>-125.87</v>
      </c>
      <c r="Y50" s="2"/>
      <c r="Z50" s="7">
        <f t="shared" si="37"/>
        <v>-1</v>
      </c>
    </row>
    <row r="51" spans="1:26" s="26" customFormat="1" outlineLevel="1" collapsed="1" x14ac:dyDescent="0.25">
      <c r="A51" s="25"/>
      <c r="B51" s="12" t="str">
        <f>CONCATENATE("     ","Freight out/Postage                               ")</f>
        <v xml:space="preserve">     Freight out/Postage                               </v>
      </c>
      <c r="C51" s="12"/>
      <c r="D51" s="1">
        <f>SUM(OSRRefD22_6x_0)</f>
        <v>30.28</v>
      </c>
      <c r="E51" s="1"/>
      <c r="F51" s="5">
        <f t="shared" si="30"/>
        <v>0</v>
      </c>
      <c r="G51" s="1"/>
      <c r="H51" s="1">
        <f>SUM(OSRRefH22_6x_0)</f>
        <v>20.010000000000002</v>
      </c>
      <c r="I51" s="1"/>
      <c r="J51" s="5">
        <f t="shared" si="31"/>
        <v>0.44162436548223361</v>
      </c>
      <c r="K51" s="1"/>
      <c r="L51" s="1">
        <f t="shared" si="32"/>
        <v>10.27</v>
      </c>
      <c r="M51" s="1"/>
      <c r="N51" s="5">
        <f t="shared" si="33"/>
        <v>0.51324337831084454</v>
      </c>
      <c r="O51" s="12"/>
      <c r="P51" s="1">
        <f>SUM(OSRRefP22_6x_0)</f>
        <v>280.10000000000002</v>
      </c>
      <c r="Q51" s="1"/>
      <c r="R51" s="5">
        <f t="shared" si="34"/>
        <v>0</v>
      </c>
      <c r="S51" s="1"/>
      <c r="T51" s="1">
        <f>SUM(OSRRefT22_6x_0)</f>
        <v>331.18</v>
      </c>
      <c r="U51" s="1"/>
      <c r="V51" s="5">
        <f t="shared" si="35"/>
        <v>6.6789771359683687E-4</v>
      </c>
      <c r="W51" s="1"/>
      <c r="X51" s="1">
        <f t="shared" si="36"/>
        <v>-51.079999999999984</v>
      </c>
      <c r="Y51" s="1"/>
      <c r="Z51" s="5">
        <f t="shared" si="37"/>
        <v>-0.15423636693037013</v>
      </c>
    </row>
    <row r="52" spans="1:26" s="23" customFormat="1" hidden="1" outlineLevel="2" x14ac:dyDescent="0.25">
      <c r="A52" s="27"/>
      <c r="B52" s="10" t="str">
        <f>CONCATENATE("          ", "6305", " - ", "FREIGHT OUT")</f>
        <v xml:space="preserve">          6305 - FREIGHT OUT</v>
      </c>
      <c r="C52" s="10"/>
      <c r="D52" s="6">
        <v>30.28</v>
      </c>
      <c r="E52" s="2"/>
      <c r="F52" s="7">
        <f t="shared" si="30"/>
        <v>0</v>
      </c>
      <c r="G52" s="2"/>
      <c r="H52" s="6">
        <v>20.010000000000002</v>
      </c>
      <c r="I52" s="2"/>
      <c r="J52" s="7">
        <f t="shared" si="31"/>
        <v>0.44162436548223361</v>
      </c>
      <c r="K52" s="2"/>
      <c r="L52" s="6">
        <f t="shared" si="32"/>
        <v>10.27</v>
      </c>
      <c r="M52" s="2"/>
      <c r="N52" s="7">
        <f t="shared" si="33"/>
        <v>0.51324337831084454</v>
      </c>
      <c r="O52" s="10"/>
      <c r="P52" s="6">
        <v>280.10000000000002</v>
      </c>
      <c r="Q52" s="2"/>
      <c r="R52" s="7">
        <f t="shared" si="34"/>
        <v>0</v>
      </c>
      <c r="S52" s="2"/>
      <c r="T52" s="6">
        <v>331.18</v>
      </c>
      <c r="U52" s="2"/>
      <c r="V52" s="7">
        <f t="shared" si="35"/>
        <v>6.6789771359683687E-4</v>
      </c>
      <c r="W52" s="2"/>
      <c r="X52" s="6">
        <f t="shared" si="36"/>
        <v>-51.079999999999984</v>
      </c>
      <c r="Y52" s="2"/>
      <c r="Z52" s="7">
        <f t="shared" si="37"/>
        <v>-0.15423636693037013</v>
      </c>
    </row>
    <row r="53" spans="1:26" s="26" customFormat="1" outlineLevel="1" collapsed="1" x14ac:dyDescent="0.25">
      <c r="A53" s="25"/>
      <c r="B53" s="12" t="str">
        <f>CONCATENATE("     ","General                                           ")</f>
        <v xml:space="preserve">     General                                           </v>
      </c>
      <c r="C53" s="12"/>
      <c r="D53" s="1">
        <f>SUM(OSRRefD22_7x_0)</f>
        <v>0</v>
      </c>
      <c r="E53" s="1"/>
      <c r="F53" s="5">
        <f t="shared" si="30"/>
        <v>0</v>
      </c>
      <c r="G53" s="1"/>
      <c r="H53" s="1">
        <f>SUM(OSRRefH22_7x_0)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2"/>
      <c r="P53" s="1">
        <f>SUM(OSRRefP22_7x_0)</f>
        <v>160</v>
      </c>
      <c r="Q53" s="1"/>
      <c r="R53" s="5">
        <f t="shared" si="34"/>
        <v>0</v>
      </c>
      <c r="S53" s="1"/>
      <c r="T53" s="1">
        <f>SUM(OSRRefT22_7x_0)</f>
        <v>1192.3499999999999</v>
      </c>
      <c r="U53" s="1"/>
      <c r="V53" s="5">
        <f t="shared" si="35"/>
        <v>2.4046374745068794E-3</v>
      </c>
      <c r="W53" s="1"/>
      <c r="X53" s="1">
        <f t="shared" si="36"/>
        <v>-1032.3499999999999</v>
      </c>
      <c r="Y53" s="1"/>
      <c r="Z53" s="5">
        <f t="shared" si="37"/>
        <v>-0.86581121315050114</v>
      </c>
    </row>
    <row r="54" spans="1:26" s="23" customFormat="1" hidden="1" outlineLevel="2" x14ac:dyDescent="0.25">
      <c r="A54" s="27"/>
      <c r="B54" s="10" t="str">
        <f>CONCATENATE("          ", "6279", " - ", "GENERAL EXPENSE")</f>
        <v xml:space="preserve">          6279 - GENERAL EXPENSE</v>
      </c>
      <c r="C54" s="10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0"/>
      <c r="P54" s="6">
        <v>160</v>
      </c>
      <c r="Q54" s="2"/>
      <c r="R54" s="7">
        <f t="shared" si="34"/>
        <v>0</v>
      </c>
      <c r="S54" s="2"/>
      <c r="T54" s="6">
        <v>1192.3499999999999</v>
      </c>
      <c r="U54" s="2"/>
      <c r="V54" s="7">
        <f t="shared" si="35"/>
        <v>2.4046374745068794E-3</v>
      </c>
      <c r="W54" s="2"/>
      <c r="X54" s="6">
        <f t="shared" si="36"/>
        <v>-1032.3499999999999</v>
      </c>
      <c r="Y54" s="2"/>
      <c r="Z54" s="7">
        <f t="shared" si="37"/>
        <v>-0.86581121315050114</v>
      </c>
    </row>
    <row r="55" spans="1:26" s="26" customFormat="1" outlineLevel="1" collapsed="1" x14ac:dyDescent="0.25">
      <c r="A55" s="25"/>
      <c r="B55" s="12" t="str">
        <f>CONCATENATE("     ","Repair and Maintenance                            ")</f>
        <v xml:space="preserve">     Repair and Maintenance                            </v>
      </c>
      <c r="C55" s="12"/>
      <c r="D55" s="1">
        <f>SUM(OSRRefD22_8x_0)</f>
        <v>0</v>
      </c>
      <c r="E55" s="1"/>
      <c r="F55" s="5">
        <f t="shared" si="30"/>
        <v>0</v>
      </c>
      <c r="G55" s="1"/>
      <c r="H55" s="1">
        <f>SUM(OSRRefH22_8x_0)</f>
        <v>0</v>
      </c>
      <c r="I55" s="1"/>
      <c r="J55" s="5">
        <f t="shared" si="31"/>
        <v>0</v>
      </c>
      <c r="K55" s="1"/>
      <c r="L55" s="1">
        <f t="shared" si="32"/>
        <v>0</v>
      </c>
      <c r="M55" s="1"/>
      <c r="N55" s="5">
        <f t="shared" si="33"/>
        <v>0</v>
      </c>
      <c r="O55" s="12"/>
      <c r="P55" s="1">
        <f>SUM(OSRRefP22_8x_0)</f>
        <v>72.36</v>
      </c>
      <c r="Q55" s="1"/>
      <c r="R55" s="5">
        <f t="shared" si="34"/>
        <v>0</v>
      </c>
      <c r="S55" s="1"/>
      <c r="T55" s="1">
        <f>SUM(OSRRefT22_8x_0)</f>
        <v>1088.6200000000001</v>
      </c>
      <c r="U55" s="1"/>
      <c r="V55" s="5">
        <f t="shared" si="35"/>
        <v>2.1954429886339409E-3</v>
      </c>
      <c r="W55" s="1"/>
      <c r="X55" s="1">
        <f t="shared" si="36"/>
        <v>-1016.2600000000001</v>
      </c>
      <c r="Y55" s="1"/>
      <c r="Z55" s="5">
        <f t="shared" si="37"/>
        <v>-0.93353052488471644</v>
      </c>
    </row>
    <row r="56" spans="1:26" s="23" customFormat="1" hidden="1" outlineLevel="2" x14ac:dyDescent="0.25">
      <c r="A56" s="27"/>
      <c r="B56" s="10" t="str">
        <f>CONCATENATE("          ", "6371", " - ", "COMPUTER SOFTWARE MAINTENANCE")</f>
        <v xml:space="preserve">          6371 - COMPUTER SOFTWARE MAINTENANCE</v>
      </c>
      <c r="C56" s="10"/>
      <c r="D56" s="6"/>
      <c r="E56" s="2"/>
      <c r="F56" s="7">
        <f t="shared" si="30"/>
        <v>0</v>
      </c>
      <c r="G56" s="2"/>
      <c r="H56" s="6"/>
      <c r="I56" s="2"/>
      <c r="J56" s="7">
        <f t="shared" si="31"/>
        <v>0</v>
      </c>
      <c r="K56" s="2"/>
      <c r="L56" s="6">
        <f t="shared" si="32"/>
        <v>0</v>
      </c>
      <c r="M56" s="2"/>
      <c r="N56" s="7">
        <f t="shared" si="33"/>
        <v>0</v>
      </c>
      <c r="O56" s="10"/>
      <c r="P56" s="6"/>
      <c r="Q56" s="2"/>
      <c r="R56" s="7">
        <f t="shared" si="34"/>
        <v>0</v>
      </c>
      <c r="S56" s="2"/>
      <c r="T56" s="6">
        <v>437.31</v>
      </c>
      <c r="U56" s="2"/>
      <c r="V56" s="7">
        <f t="shared" si="35"/>
        <v>8.8193233025252952E-4</v>
      </c>
      <c r="W56" s="2"/>
      <c r="X56" s="6">
        <f t="shared" si="36"/>
        <v>-437.31</v>
      </c>
      <c r="Y56" s="2"/>
      <c r="Z56" s="7">
        <f t="shared" si="37"/>
        <v>-1</v>
      </c>
    </row>
    <row r="57" spans="1:26" s="23" customFormat="1" hidden="1" outlineLevel="2" x14ac:dyDescent="0.25">
      <c r="A57" s="27"/>
      <c r="B57" s="10" t="str">
        <f>CONCATENATE("          ", "6373", " - ", "MAINTENANCE CONTRACTS")</f>
        <v xml:space="preserve">          6373 - MAINTENANCE CONTRACTS</v>
      </c>
      <c r="C57" s="10"/>
      <c r="D57" s="6"/>
      <c r="E57" s="2"/>
      <c r="F57" s="7">
        <f t="shared" si="30"/>
        <v>0</v>
      </c>
      <c r="G57" s="2"/>
      <c r="H57" s="6"/>
      <c r="I57" s="2"/>
      <c r="J57" s="7">
        <f t="shared" si="31"/>
        <v>0</v>
      </c>
      <c r="K57" s="2"/>
      <c r="L57" s="6">
        <f t="shared" si="32"/>
        <v>0</v>
      </c>
      <c r="M57" s="2"/>
      <c r="N57" s="7">
        <f t="shared" si="33"/>
        <v>0</v>
      </c>
      <c r="O57" s="10"/>
      <c r="P57" s="6">
        <v>72.36</v>
      </c>
      <c r="Q57" s="2"/>
      <c r="R57" s="7">
        <f t="shared" si="34"/>
        <v>0</v>
      </c>
      <c r="S57" s="2"/>
      <c r="T57" s="6">
        <v>70.73</v>
      </c>
      <c r="U57" s="2"/>
      <c r="V57" s="7">
        <f t="shared" si="35"/>
        <v>1.4264268761007389E-4</v>
      </c>
      <c r="W57" s="2"/>
      <c r="X57" s="6">
        <f t="shared" si="36"/>
        <v>1.6299999999999955</v>
      </c>
      <c r="Y57" s="2"/>
      <c r="Z57" s="7">
        <f t="shared" si="37"/>
        <v>2.3045383854092966E-2</v>
      </c>
    </row>
    <row r="58" spans="1:26" s="23" customFormat="1" hidden="1" outlineLevel="2" x14ac:dyDescent="0.25">
      <c r="A58" s="27"/>
      <c r="B58" s="10" t="str">
        <f>CONCATENATE("          ", "6375", " - ", "OUTSIDE REPAIRS &amp; MAINTENANCE")</f>
        <v xml:space="preserve">          6375 - OUTSIDE REPAIRS &amp; MAINTENANCE</v>
      </c>
      <c r="C58" s="10"/>
      <c r="D58" s="6"/>
      <c r="E58" s="2"/>
      <c r="F58" s="7">
        <f t="shared" si="30"/>
        <v>0</v>
      </c>
      <c r="G58" s="2"/>
      <c r="H58" s="6"/>
      <c r="I58" s="2"/>
      <c r="J58" s="7">
        <f t="shared" si="31"/>
        <v>0</v>
      </c>
      <c r="K58" s="2"/>
      <c r="L58" s="6">
        <f t="shared" si="32"/>
        <v>0</v>
      </c>
      <c r="M58" s="2"/>
      <c r="N58" s="7">
        <f t="shared" si="33"/>
        <v>0</v>
      </c>
      <c r="O58" s="10"/>
      <c r="P58" s="6"/>
      <c r="Q58" s="2"/>
      <c r="R58" s="7">
        <f t="shared" si="34"/>
        <v>0</v>
      </c>
      <c r="S58" s="2"/>
      <c r="T58" s="6">
        <v>580.58000000000004</v>
      </c>
      <c r="U58" s="2"/>
      <c r="V58" s="7">
        <f t="shared" si="35"/>
        <v>1.1708679707713376E-3</v>
      </c>
      <c r="W58" s="2"/>
      <c r="X58" s="6">
        <f t="shared" si="36"/>
        <v>-580.58000000000004</v>
      </c>
      <c r="Y58" s="2"/>
      <c r="Z58" s="7">
        <f t="shared" si="37"/>
        <v>-1</v>
      </c>
    </row>
    <row r="59" spans="1:26" s="26" customFormat="1" outlineLevel="1" collapsed="1" x14ac:dyDescent="0.25">
      <c r="A59" s="25"/>
      <c r="B59" s="12" t="str">
        <f>CONCATENATE("     ","Services                                          ")</f>
        <v xml:space="preserve">     Services                                          </v>
      </c>
      <c r="C59" s="12"/>
      <c r="D59" s="1">
        <f>SUM(OSRRefD22_9x_0)</f>
        <v>0</v>
      </c>
      <c r="E59" s="1"/>
      <c r="F59" s="5">
        <f t="shared" ref="F59:F67" si="38">IF(D$12=0,0,D59/D$12)</f>
        <v>0</v>
      </c>
      <c r="G59" s="1"/>
      <c r="H59" s="1">
        <f>SUM(OSRRefH22_9x_0)</f>
        <v>0</v>
      </c>
      <c r="I59" s="1"/>
      <c r="J59" s="5">
        <f t="shared" ref="J59:J67" si="39">IF(H$12=0,0,H59/H$12)</f>
        <v>0</v>
      </c>
      <c r="K59" s="1"/>
      <c r="L59" s="1">
        <f t="shared" ref="L59:L67" si="40">+D59-H59</f>
        <v>0</v>
      </c>
      <c r="M59" s="1"/>
      <c r="N59" s="5">
        <f t="shared" ref="N59:N67" si="41">IF(H59=0,0,L59/H59)</f>
        <v>0</v>
      </c>
      <c r="O59" s="12"/>
      <c r="P59" s="1">
        <f>SUM(OSRRefP22_9x_0)</f>
        <v>0</v>
      </c>
      <c r="Q59" s="1"/>
      <c r="R59" s="5">
        <f t="shared" ref="R59:R67" si="42">IF(P$12=0,0,P59/P$12)</f>
        <v>0</v>
      </c>
      <c r="S59" s="1"/>
      <c r="T59" s="1">
        <f>SUM(OSRRefT22_9x_0)</f>
        <v>1180.31</v>
      </c>
      <c r="U59" s="1"/>
      <c r="V59" s="5">
        <f t="shared" ref="V59:V67" si="43">IF(T$12=0,0,T59/T$12)</f>
        <v>2.3803561517467312E-3</v>
      </c>
      <c r="W59" s="1"/>
      <c r="X59" s="1">
        <f t="shared" ref="X59:X67" si="44">+P59-T59</f>
        <v>-1180.31</v>
      </c>
      <c r="Y59" s="1"/>
      <c r="Z59" s="5">
        <f t="shared" ref="Z59:Z67" si="45">IF(T59=0,0,X59/T59)</f>
        <v>-1</v>
      </c>
    </row>
    <row r="60" spans="1:26" s="23" customFormat="1" hidden="1" outlineLevel="2" x14ac:dyDescent="0.25">
      <c r="A60" s="27"/>
      <c r="B60" s="10" t="str">
        <f>CONCATENATE("          ", "6286", " - ", "LAUNDRY EXPENSE")</f>
        <v xml:space="preserve">          6286 - LAUNDRY EXPENSE</v>
      </c>
      <c r="C60" s="10"/>
      <c r="D60" s="6"/>
      <c r="E60" s="2"/>
      <c r="F60" s="7">
        <f t="shared" si="38"/>
        <v>0</v>
      </c>
      <c r="G60" s="2"/>
      <c r="H60" s="6"/>
      <c r="I60" s="2"/>
      <c r="J60" s="7">
        <f t="shared" si="39"/>
        <v>0</v>
      </c>
      <c r="K60" s="2"/>
      <c r="L60" s="6">
        <f t="shared" si="40"/>
        <v>0</v>
      </c>
      <c r="M60" s="2"/>
      <c r="N60" s="7">
        <f t="shared" si="41"/>
        <v>0</v>
      </c>
      <c r="O60" s="10"/>
      <c r="P60" s="6"/>
      <c r="Q60" s="2"/>
      <c r="R60" s="7">
        <f t="shared" si="42"/>
        <v>0</v>
      </c>
      <c r="S60" s="2"/>
      <c r="T60" s="6">
        <v>1180.31</v>
      </c>
      <c r="U60" s="2"/>
      <c r="V60" s="7">
        <f t="shared" si="43"/>
        <v>2.3803561517467312E-3</v>
      </c>
      <c r="W60" s="2"/>
      <c r="X60" s="6">
        <f t="shared" si="44"/>
        <v>-1180.31</v>
      </c>
      <c r="Y60" s="2"/>
      <c r="Z60" s="7">
        <f t="shared" si="45"/>
        <v>-1</v>
      </c>
    </row>
    <row r="61" spans="1:26" s="26" customFormat="1" outlineLevel="1" collapsed="1" x14ac:dyDescent="0.25">
      <c r="A61" s="25"/>
      <c r="B61" s="12" t="str">
        <f>CONCATENATE("     ","Supplies                                          ")</f>
        <v xml:space="preserve">     Supplies                                          </v>
      </c>
      <c r="C61" s="12"/>
      <c r="D61" s="1">
        <f>SUM(OSRRefD22_10x_0)</f>
        <v>0</v>
      </c>
      <c r="E61" s="1"/>
      <c r="F61" s="5">
        <f t="shared" si="38"/>
        <v>0</v>
      </c>
      <c r="G61" s="1"/>
      <c r="H61" s="1">
        <f>SUM(OSRRefH22_10x_0)</f>
        <v>39.28</v>
      </c>
      <c r="I61" s="1"/>
      <c r="J61" s="5">
        <f t="shared" si="39"/>
        <v>0.86691679540940203</v>
      </c>
      <c r="K61" s="1"/>
      <c r="L61" s="1">
        <f t="shared" si="40"/>
        <v>-39.28</v>
      </c>
      <c r="M61" s="1"/>
      <c r="N61" s="5">
        <f t="shared" si="41"/>
        <v>-1</v>
      </c>
      <c r="O61" s="12"/>
      <c r="P61" s="1">
        <f>SUM(OSRRefP22_10x_0)</f>
        <v>0</v>
      </c>
      <c r="Q61" s="1"/>
      <c r="R61" s="5">
        <f t="shared" si="42"/>
        <v>0</v>
      </c>
      <c r="S61" s="1"/>
      <c r="T61" s="1">
        <f>SUM(OSRRefT22_10x_0)</f>
        <v>5975.7599999999993</v>
      </c>
      <c r="U61" s="1"/>
      <c r="V61" s="5">
        <f t="shared" si="43"/>
        <v>1.2051441635978722E-2</v>
      </c>
      <c r="W61" s="1"/>
      <c r="X61" s="1">
        <f t="shared" si="44"/>
        <v>-5975.7599999999993</v>
      </c>
      <c r="Y61" s="1"/>
      <c r="Z61" s="5">
        <f t="shared" si="45"/>
        <v>-1</v>
      </c>
    </row>
    <row r="62" spans="1:26" s="23" customFormat="1" hidden="1" outlineLevel="2" x14ac:dyDescent="0.25">
      <c r="A62" s="27"/>
      <c r="B62" s="10" t="str">
        <f>CONCATENATE("          ", "6234", " - ", "EXPENDABLE SUPPLIES &amp; EQUIPMEN")</f>
        <v xml:space="preserve">          6234 - EXPENDABLE SUPPLIES &amp; EQUIPMEN</v>
      </c>
      <c r="C62" s="10"/>
      <c r="D62" s="6"/>
      <c r="E62" s="2"/>
      <c r="F62" s="7">
        <f t="shared" si="38"/>
        <v>0</v>
      </c>
      <c r="G62" s="2"/>
      <c r="H62" s="6"/>
      <c r="I62" s="2"/>
      <c r="J62" s="7">
        <f t="shared" si="39"/>
        <v>0</v>
      </c>
      <c r="K62" s="2"/>
      <c r="L62" s="6">
        <f t="shared" si="40"/>
        <v>0</v>
      </c>
      <c r="M62" s="2"/>
      <c r="N62" s="7">
        <f t="shared" si="41"/>
        <v>0</v>
      </c>
      <c r="O62" s="10"/>
      <c r="P62" s="6"/>
      <c r="Q62" s="2"/>
      <c r="R62" s="7">
        <f t="shared" si="42"/>
        <v>0</v>
      </c>
      <c r="S62" s="2"/>
      <c r="T62" s="6">
        <v>354.82</v>
      </c>
      <c r="U62" s="2"/>
      <c r="V62" s="7">
        <f t="shared" si="43"/>
        <v>7.1557300180696186E-4</v>
      </c>
      <c r="W62" s="2"/>
      <c r="X62" s="6">
        <f t="shared" si="44"/>
        <v>-354.82</v>
      </c>
      <c r="Y62" s="2"/>
      <c r="Z62" s="7">
        <f t="shared" si="45"/>
        <v>-1</v>
      </c>
    </row>
    <row r="63" spans="1:26" s="23" customFormat="1" hidden="1" outlineLevel="2" x14ac:dyDescent="0.25">
      <c r="A63" s="27"/>
      <c r="B63" s="10" t="str">
        <f>CONCATENATE("          ", "6237", " - ", "JANITORIAL SUPPLIES")</f>
        <v xml:space="preserve">          6237 - JANITORIAL SUPPLIES</v>
      </c>
      <c r="C63" s="10"/>
      <c r="D63" s="6"/>
      <c r="E63" s="2"/>
      <c r="F63" s="7">
        <f t="shared" si="38"/>
        <v>0</v>
      </c>
      <c r="G63" s="2"/>
      <c r="H63" s="6"/>
      <c r="I63" s="2"/>
      <c r="J63" s="7">
        <f t="shared" si="39"/>
        <v>0</v>
      </c>
      <c r="K63" s="2"/>
      <c r="L63" s="6">
        <f t="shared" si="40"/>
        <v>0</v>
      </c>
      <c r="M63" s="2"/>
      <c r="N63" s="7">
        <f t="shared" si="41"/>
        <v>0</v>
      </c>
      <c r="O63" s="10"/>
      <c r="P63" s="6"/>
      <c r="Q63" s="2"/>
      <c r="R63" s="7">
        <f t="shared" si="42"/>
        <v>0</v>
      </c>
      <c r="S63" s="2"/>
      <c r="T63" s="6">
        <v>151.25</v>
      </c>
      <c r="U63" s="2"/>
      <c r="V63" s="7">
        <f t="shared" si="43"/>
        <v>3.050290753714644E-4</v>
      </c>
      <c r="W63" s="2"/>
      <c r="X63" s="6">
        <f t="shared" si="44"/>
        <v>-151.25</v>
      </c>
      <c r="Y63" s="2"/>
      <c r="Z63" s="7">
        <f t="shared" si="45"/>
        <v>-1</v>
      </c>
    </row>
    <row r="64" spans="1:26" s="23" customFormat="1" hidden="1" outlineLevel="2" x14ac:dyDescent="0.25">
      <c r="A64" s="27"/>
      <c r="B64" s="10" t="str">
        <f>CONCATENATE("          ", "6241", " - ", "OFFICE EXPENSE")</f>
        <v xml:space="preserve">          6241 - OFFICE EXPENSE</v>
      </c>
      <c r="C64" s="10"/>
      <c r="D64" s="6"/>
      <c r="E64" s="2"/>
      <c r="F64" s="7">
        <f t="shared" si="38"/>
        <v>0</v>
      </c>
      <c r="G64" s="2"/>
      <c r="H64" s="6"/>
      <c r="I64" s="2"/>
      <c r="J64" s="7">
        <f t="shared" si="39"/>
        <v>0</v>
      </c>
      <c r="K64" s="2"/>
      <c r="L64" s="6">
        <f t="shared" si="40"/>
        <v>0</v>
      </c>
      <c r="M64" s="2"/>
      <c r="N64" s="7">
        <f t="shared" si="41"/>
        <v>0</v>
      </c>
      <c r="O64" s="10"/>
      <c r="P64" s="6"/>
      <c r="Q64" s="2"/>
      <c r="R64" s="7">
        <f t="shared" si="42"/>
        <v>0</v>
      </c>
      <c r="S64" s="2"/>
      <c r="T64" s="6">
        <v>328.56</v>
      </c>
      <c r="U64" s="2"/>
      <c r="V64" s="7">
        <f t="shared" si="43"/>
        <v>6.6261390415899729E-4</v>
      </c>
      <c r="W64" s="2"/>
      <c r="X64" s="6">
        <f t="shared" si="44"/>
        <v>-328.56</v>
      </c>
      <c r="Y64" s="2"/>
      <c r="Z64" s="7">
        <f t="shared" si="45"/>
        <v>-1</v>
      </c>
    </row>
    <row r="65" spans="1:26" s="23" customFormat="1" hidden="1" outlineLevel="2" x14ac:dyDescent="0.25">
      <c r="A65" s="27"/>
      <c r="B65" s="10" t="str">
        <f>CONCATENATE("          ", "6245", " - ", "PRINTING")</f>
        <v xml:space="preserve">          6245 - PRINTING</v>
      </c>
      <c r="C65" s="10"/>
      <c r="D65" s="6"/>
      <c r="E65" s="2"/>
      <c r="F65" s="7">
        <f t="shared" si="38"/>
        <v>0</v>
      </c>
      <c r="G65" s="2"/>
      <c r="H65" s="6"/>
      <c r="I65" s="2"/>
      <c r="J65" s="7">
        <f t="shared" si="39"/>
        <v>0</v>
      </c>
      <c r="K65" s="2"/>
      <c r="L65" s="6">
        <f t="shared" si="40"/>
        <v>0</v>
      </c>
      <c r="M65" s="2"/>
      <c r="N65" s="7">
        <f t="shared" si="41"/>
        <v>0</v>
      </c>
      <c r="O65" s="10"/>
      <c r="P65" s="6"/>
      <c r="Q65" s="2"/>
      <c r="R65" s="7">
        <f t="shared" si="42"/>
        <v>0</v>
      </c>
      <c r="S65" s="2"/>
      <c r="T65" s="6">
        <v>81.739999999999995</v>
      </c>
      <c r="U65" s="2"/>
      <c r="V65" s="7">
        <f t="shared" si="43"/>
        <v>1.6484678757595699E-4</v>
      </c>
      <c r="W65" s="2"/>
      <c r="X65" s="6">
        <f t="shared" si="44"/>
        <v>-81.739999999999995</v>
      </c>
      <c r="Y65" s="2"/>
      <c r="Z65" s="7">
        <f t="shared" si="45"/>
        <v>-1</v>
      </c>
    </row>
    <row r="66" spans="1:26" s="23" customFormat="1" hidden="1" outlineLevel="2" x14ac:dyDescent="0.25">
      <c r="A66" s="27"/>
      <c r="B66" s="10" t="str">
        <f>CONCATENATE("          ", "6247", " - ", "STORE SUPPLIES")</f>
        <v xml:space="preserve">          6247 - STORE SUPPLIES</v>
      </c>
      <c r="C66" s="10"/>
      <c r="D66" s="6"/>
      <c r="E66" s="2"/>
      <c r="F66" s="7">
        <f t="shared" si="38"/>
        <v>0</v>
      </c>
      <c r="G66" s="2"/>
      <c r="H66" s="6">
        <v>39.28</v>
      </c>
      <c r="I66" s="2"/>
      <c r="J66" s="7">
        <f t="shared" si="39"/>
        <v>0.86691679540940203</v>
      </c>
      <c r="K66" s="2"/>
      <c r="L66" s="6">
        <f t="shared" si="40"/>
        <v>-39.28</v>
      </c>
      <c r="M66" s="2"/>
      <c r="N66" s="7">
        <f t="shared" si="41"/>
        <v>-1</v>
      </c>
      <c r="O66" s="10"/>
      <c r="P66" s="6"/>
      <c r="Q66" s="2"/>
      <c r="R66" s="7">
        <f t="shared" si="42"/>
        <v>0</v>
      </c>
      <c r="S66" s="2"/>
      <c r="T66" s="6">
        <v>5024.9399999999996</v>
      </c>
      <c r="U66" s="2"/>
      <c r="V66" s="7">
        <f t="shared" si="43"/>
        <v>1.0133902823121231E-2</v>
      </c>
      <c r="W66" s="2"/>
      <c r="X66" s="6">
        <f t="shared" si="44"/>
        <v>-5024.9399999999996</v>
      </c>
      <c r="Y66" s="2"/>
      <c r="Z66" s="7">
        <f t="shared" si="45"/>
        <v>-1</v>
      </c>
    </row>
    <row r="67" spans="1:26" s="23" customFormat="1" hidden="1" outlineLevel="2" x14ac:dyDescent="0.25">
      <c r="A67" s="27"/>
      <c r="B67" s="10" t="str">
        <f>CONCATENATE("          ", "6248", " - ", "UNIFORMS")</f>
        <v xml:space="preserve">          6248 - UNIFORMS</v>
      </c>
      <c r="C67" s="10"/>
      <c r="D67" s="6"/>
      <c r="E67" s="2"/>
      <c r="F67" s="7">
        <f t="shared" si="38"/>
        <v>0</v>
      </c>
      <c r="G67" s="2"/>
      <c r="H67" s="6"/>
      <c r="I67" s="2"/>
      <c r="J67" s="7">
        <f t="shared" si="39"/>
        <v>0</v>
      </c>
      <c r="K67" s="2"/>
      <c r="L67" s="6">
        <f t="shared" si="40"/>
        <v>0</v>
      </c>
      <c r="M67" s="2"/>
      <c r="N67" s="7">
        <f t="shared" si="41"/>
        <v>0</v>
      </c>
      <c r="O67" s="10"/>
      <c r="P67" s="6"/>
      <c r="Q67" s="2"/>
      <c r="R67" s="7">
        <f t="shared" si="42"/>
        <v>0</v>
      </c>
      <c r="S67" s="2"/>
      <c r="T67" s="6">
        <v>34.450000000000003</v>
      </c>
      <c r="U67" s="2"/>
      <c r="V67" s="7">
        <f t="shared" si="43"/>
        <v>6.9476043944112059E-5</v>
      </c>
      <c r="W67" s="2"/>
      <c r="X67" s="6">
        <f t="shared" si="44"/>
        <v>-34.450000000000003</v>
      </c>
      <c r="Y67" s="2"/>
      <c r="Z67" s="7">
        <f t="shared" si="45"/>
        <v>-1</v>
      </c>
    </row>
    <row r="68" spans="1:26" s="26" customFormat="1" outlineLevel="1" collapsed="1" x14ac:dyDescent="0.25">
      <c r="A68" s="25"/>
      <c r="B68" s="12" t="str">
        <f>CONCATENATE("     ","Telephone/Data Lines                              ")</f>
        <v xml:space="preserve">     Telephone/Data Lines                              </v>
      </c>
      <c r="C68" s="12"/>
      <c r="D68" s="1">
        <f>SUM(OSRRefD22_11x_0)</f>
        <v>72</v>
      </c>
      <c r="E68" s="1"/>
      <c r="F68" s="5">
        <f t="shared" ref="F68:F71" si="46">IF(D$12=0,0,D68/D$12)</f>
        <v>0</v>
      </c>
      <c r="G68" s="1"/>
      <c r="H68" s="1">
        <f>SUM(OSRRefH22_11x_0)</f>
        <v>124.95</v>
      </c>
      <c r="I68" s="1"/>
      <c r="J68" s="5">
        <f t="shared" ref="J68:J71" si="47">IF(H$12=0,0,H68/H$12)</f>
        <v>2.757669388655926</v>
      </c>
      <c r="K68" s="1"/>
      <c r="L68" s="1">
        <f t="shared" ref="L68:L71" si="48">+D68-H68</f>
        <v>-52.95</v>
      </c>
      <c r="M68" s="1"/>
      <c r="N68" s="5">
        <f t="shared" ref="N68:N71" si="49">IF(H68=0,0,L68/H68)</f>
        <v>-0.42376950780312128</v>
      </c>
      <c r="O68" s="12"/>
      <c r="P68" s="1">
        <f>SUM(OSRRefP22_11x_0)</f>
        <v>1074.5</v>
      </c>
      <c r="Q68" s="1"/>
      <c r="R68" s="5">
        <f t="shared" ref="R68:R71" si="50">IF(P$12=0,0,P68/P$12)</f>
        <v>0</v>
      </c>
      <c r="S68" s="1"/>
      <c r="T68" s="1">
        <f>SUM(OSRRefT22_11x_0)</f>
        <v>1250.73</v>
      </c>
      <c r="U68" s="1"/>
      <c r="V68" s="5">
        <f t="shared" ref="V68:V71" si="51">IF(T$12=0,0,T68/T$12)</f>
        <v>2.5223736557973661E-3</v>
      </c>
      <c r="W68" s="1"/>
      <c r="X68" s="1">
        <f t="shared" ref="X68:X71" si="52">+P68-T68</f>
        <v>-176.23000000000002</v>
      </c>
      <c r="Y68" s="1"/>
      <c r="Z68" s="5">
        <f t="shared" ref="Z68:Z71" si="53">IF(T68=0,0,X68/T68)</f>
        <v>-0.14090171339937477</v>
      </c>
    </row>
    <row r="69" spans="1:26" s="23" customFormat="1" hidden="1" outlineLevel="2" x14ac:dyDescent="0.25">
      <c r="A69" s="27"/>
      <c r="B69" s="10" t="str">
        <f>CONCATENATE("          ", "6309", " - ", "TELEPHONE")</f>
        <v xml:space="preserve">          6309 - TELEPHONE</v>
      </c>
      <c r="C69" s="10"/>
      <c r="D69" s="6">
        <v>72</v>
      </c>
      <c r="E69" s="2"/>
      <c r="F69" s="7">
        <f t="shared" si="46"/>
        <v>0</v>
      </c>
      <c r="G69" s="2"/>
      <c r="H69" s="6">
        <v>124.95</v>
      </c>
      <c r="I69" s="2"/>
      <c r="J69" s="7">
        <f t="shared" si="47"/>
        <v>2.757669388655926</v>
      </c>
      <c r="K69" s="2"/>
      <c r="L69" s="6">
        <f t="shared" si="48"/>
        <v>-52.95</v>
      </c>
      <c r="M69" s="2"/>
      <c r="N69" s="7">
        <f t="shared" si="49"/>
        <v>-0.42376950780312128</v>
      </c>
      <c r="O69" s="10"/>
      <c r="P69" s="6">
        <v>1074.5</v>
      </c>
      <c r="Q69" s="2"/>
      <c r="R69" s="7">
        <f t="shared" si="50"/>
        <v>0</v>
      </c>
      <c r="S69" s="2"/>
      <c r="T69" s="6">
        <v>1250.73</v>
      </c>
      <c r="U69" s="2"/>
      <c r="V69" s="7">
        <f t="shared" si="51"/>
        <v>2.5223736557973661E-3</v>
      </c>
      <c r="W69" s="2"/>
      <c r="X69" s="6">
        <f t="shared" si="52"/>
        <v>-176.23000000000002</v>
      </c>
      <c r="Y69" s="2"/>
      <c r="Z69" s="7">
        <f t="shared" si="53"/>
        <v>-0.14090171339937477</v>
      </c>
    </row>
    <row r="70" spans="1:26" s="26" customFormat="1" outlineLevel="1" collapsed="1" x14ac:dyDescent="0.25">
      <c r="A70" s="25"/>
      <c r="B70" s="12" t="str">
        <f>CONCATENATE("     ","Training                                          ")</f>
        <v xml:space="preserve">     Training                                          </v>
      </c>
      <c r="C70" s="12"/>
      <c r="D70" s="1">
        <f>SUM(OSRRefD22_12x_0)</f>
        <v>0</v>
      </c>
      <c r="E70" s="1"/>
      <c r="F70" s="5">
        <f t="shared" si="46"/>
        <v>0</v>
      </c>
      <c r="G70" s="1"/>
      <c r="H70" s="1">
        <f>SUM(OSRRefH22_12x_0)</f>
        <v>0</v>
      </c>
      <c r="I70" s="1"/>
      <c r="J70" s="5">
        <f t="shared" si="47"/>
        <v>0</v>
      </c>
      <c r="K70" s="1"/>
      <c r="L70" s="1">
        <f t="shared" si="48"/>
        <v>0</v>
      </c>
      <c r="M70" s="1"/>
      <c r="N70" s="5">
        <f t="shared" si="49"/>
        <v>0</v>
      </c>
      <c r="O70" s="12"/>
      <c r="P70" s="1">
        <f>SUM(OSRRefP22_12x_0)</f>
        <v>0</v>
      </c>
      <c r="Q70" s="1"/>
      <c r="R70" s="5">
        <f t="shared" si="50"/>
        <v>0</v>
      </c>
      <c r="S70" s="1"/>
      <c r="T70" s="1">
        <f>SUM(OSRRefT22_12x_0)</f>
        <v>96</v>
      </c>
      <c r="U70" s="1"/>
      <c r="V70" s="5">
        <f t="shared" si="51"/>
        <v>1.9360523131015261E-4</v>
      </c>
      <c r="W70" s="1"/>
      <c r="X70" s="1">
        <f t="shared" si="52"/>
        <v>-96</v>
      </c>
      <c r="Y70" s="1"/>
      <c r="Z70" s="5">
        <f t="shared" si="53"/>
        <v>-1</v>
      </c>
    </row>
    <row r="71" spans="1:26" s="23" customFormat="1" hidden="1" outlineLevel="2" x14ac:dyDescent="0.25">
      <c r="A71" s="27"/>
      <c r="B71" s="10" t="str">
        <f>CONCATENATE("          ", "6376", " - ", "TRAINING")</f>
        <v xml:space="preserve">          6376 - TRAINING</v>
      </c>
      <c r="C71" s="10"/>
      <c r="D71" s="6"/>
      <c r="E71" s="2"/>
      <c r="F71" s="7">
        <f t="shared" si="46"/>
        <v>0</v>
      </c>
      <c r="G71" s="2"/>
      <c r="H71" s="6"/>
      <c r="I71" s="2"/>
      <c r="J71" s="7">
        <f t="shared" si="47"/>
        <v>0</v>
      </c>
      <c r="K71" s="2"/>
      <c r="L71" s="6">
        <f t="shared" si="48"/>
        <v>0</v>
      </c>
      <c r="M71" s="2"/>
      <c r="N71" s="7">
        <f t="shared" si="49"/>
        <v>0</v>
      </c>
      <c r="O71" s="10"/>
      <c r="P71" s="6"/>
      <c r="Q71" s="2"/>
      <c r="R71" s="7">
        <f t="shared" si="50"/>
        <v>0</v>
      </c>
      <c r="S71" s="2"/>
      <c r="T71" s="6">
        <v>96</v>
      </c>
      <c r="U71" s="2"/>
      <c r="V71" s="7">
        <f t="shared" si="51"/>
        <v>1.9360523131015261E-4</v>
      </c>
      <c r="W71" s="2"/>
      <c r="X71" s="6">
        <f t="shared" si="52"/>
        <v>-96</v>
      </c>
      <c r="Y71" s="2"/>
      <c r="Z71" s="7">
        <f t="shared" si="53"/>
        <v>-1</v>
      </c>
    </row>
    <row r="72" spans="1:26" s="62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4" customFormat="1" x14ac:dyDescent="0.25">
      <c r="A73" s="11"/>
      <c r="B73" s="28" t="s">
        <v>292</v>
      </c>
      <c r="C73" s="11"/>
      <c r="D73" s="4">
        <f>SUM(0)</f>
        <v>0</v>
      </c>
      <c r="E73" s="4"/>
      <c r="F73" s="13">
        <f>IF(D$12=0,0,D73/D$12)</f>
        <v>0</v>
      </c>
      <c r="G73" s="4"/>
      <c r="H73" s="4">
        <f>SUM(0)</f>
        <v>0</v>
      </c>
      <c r="I73" s="4"/>
      <c r="J73" s="13">
        <f>IF(H$12=0,0,H73/H$12)</f>
        <v>0</v>
      </c>
      <c r="K73" s="4"/>
      <c r="L73" s="4">
        <f>+D73-H73</f>
        <v>0</v>
      </c>
      <c r="M73" s="4"/>
      <c r="N73" s="13">
        <f>IF(H73=0,0,L73/H73)</f>
        <v>0</v>
      </c>
      <c r="O73" s="11"/>
      <c r="P73" s="4">
        <f>SUM(0)</f>
        <v>0</v>
      </c>
      <c r="Q73" s="4"/>
      <c r="R73" s="13">
        <f>IF(P$12=0,0,P73/P$12)</f>
        <v>0</v>
      </c>
      <c r="S73" s="4"/>
      <c r="T73" s="4">
        <f>SUM(0)</f>
        <v>0</v>
      </c>
      <c r="U73" s="4"/>
      <c r="V73" s="13">
        <f>IF(T$12=0,0,T73/T$12)</f>
        <v>0</v>
      </c>
      <c r="W73" s="4"/>
      <c r="X73" s="4">
        <f>+P73-T73</f>
        <v>0</v>
      </c>
      <c r="Y73" s="4"/>
      <c r="Z73" s="13">
        <f>IF(T73=0,0,X73/T73)</f>
        <v>0</v>
      </c>
    </row>
    <row r="74" spans="1:26" x14ac:dyDescent="0.25">
      <c r="A74" s="9"/>
      <c r="B74" s="11"/>
      <c r="C74" s="11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1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x14ac:dyDescent="0.25">
      <c r="A75" s="11"/>
      <c r="B75" s="29" t="s">
        <v>276</v>
      </c>
      <c r="C75" s="29"/>
      <c r="D75" s="20">
        <f>+D24-D26+D73</f>
        <v>-102.28</v>
      </c>
      <c r="E75" s="14"/>
      <c r="F75" s="22">
        <f>IF(D$12=0,0,D75/D$12)</f>
        <v>0</v>
      </c>
      <c r="G75" s="14"/>
      <c r="H75" s="20">
        <f>+H24-H26+H73</f>
        <v>-14338.099999999999</v>
      </c>
      <c r="I75" s="14"/>
      <c r="J75" s="22">
        <f>IF(H$12=0,0,H75/H$12)</f>
        <v>-316.44449348929595</v>
      </c>
      <c r="K75" s="16"/>
      <c r="L75" s="20">
        <f>+D75-H75</f>
        <v>14235.819999999998</v>
      </c>
      <c r="M75" s="16"/>
      <c r="N75" s="22">
        <f>IF(H75=0,0,L75/H75)</f>
        <v>-0.99286655833060167</v>
      </c>
      <c r="O75" s="28"/>
      <c r="P75" s="20">
        <f>+P24-P26+P73</f>
        <v>-46137.37</v>
      </c>
      <c r="Q75" s="14"/>
      <c r="R75" s="22">
        <f>IF(P$12=0,0,P75/P$12)</f>
        <v>0</v>
      </c>
      <c r="S75" s="14"/>
      <c r="T75" s="20">
        <f>+T24-T26+T73</f>
        <v>71715.820000000036</v>
      </c>
      <c r="U75" s="14"/>
      <c r="V75" s="22">
        <f>IF(T$12=0,0,T75/T$12)</f>
        <v>0.14463081166351327</v>
      </c>
      <c r="W75" s="16"/>
      <c r="X75" s="20">
        <f>+P75-T75</f>
        <v>-117853.19000000003</v>
      </c>
      <c r="Y75" s="16"/>
      <c r="Z75" s="22">
        <f>IF(T75=0,0,X75/T75)</f>
        <v>-1.6433360170740567</v>
      </c>
    </row>
    <row r="76" spans="1:26" x14ac:dyDescent="0.25">
      <c r="A76" s="9"/>
      <c r="B76" s="11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x14ac:dyDescent="0.25">
      <c r="A77" s="51"/>
      <c r="B77" s="11" t="s">
        <v>127</v>
      </c>
      <c r="C77" s="11"/>
      <c r="D77" s="4"/>
      <c r="E77" s="4"/>
      <c r="F77" s="13">
        <f>IF(D$12=0,0,D77/D$12)</f>
        <v>0</v>
      </c>
      <c r="G77" s="4"/>
      <c r="H77" s="4">
        <v>3173.57</v>
      </c>
      <c r="I77" s="4"/>
      <c r="J77" s="13">
        <f>IF(H$12=0,0,H77/H$12)</f>
        <v>70.041271242551318</v>
      </c>
      <c r="K77" s="4"/>
      <c r="L77" s="4">
        <f>+D77-H77</f>
        <v>-3173.57</v>
      </c>
      <c r="M77" s="4"/>
      <c r="N77" s="13">
        <f>IF(H77=0,0,L77/H77)</f>
        <v>-1</v>
      </c>
      <c r="O77" s="11"/>
      <c r="P77" s="4"/>
      <c r="Q77" s="4"/>
      <c r="R77" s="13">
        <f>IF(P$12=0,0,P77/P$12)</f>
        <v>0</v>
      </c>
      <c r="S77" s="4"/>
      <c r="T77" s="4">
        <v>56300.71</v>
      </c>
      <c r="U77" s="4"/>
      <c r="V77" s="13">
        <f>IF(T$12=0,0,T77/T$12)</f>
        <v>0.11354283315078981</v>
      </c>
      <c r="W77" s="4"/>
      <c r="X77" s="4">
        <f>+P77-T77</f>
        <v>-56300.71</v>
      </c>
      <c r="Y77" s="4"/>
      <c r="Z77" s="13">
        <f>IF(T77=0,0,X77/T77)</f>
        <v>-1</v>
      </c>
    </row>
    <row r="78" spans="1:26" x14ac:dyDescent="0.25">
      <c r="A78" s="9"/>
      <c r="B78" s="11"/>
      <c r="C78" s="11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1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4" customFormat="1" ht="15.75" thickBot="1" x14ac:dyDescent="0.3">
      <c r="A79" s="11"/>
      <c r="B79" s="29" t="s">
        <v>125</v>
      </c>
      <c r="C79" s="29"/>
      <c r="D79" s="30">
        <f>+D75-D77</f>
        <v>-102.28</v>
      </c>
      <c r="E79" s="14"/>
      <c r="F79" s="34">
        <f>IF(D$12=0,0,D79/D$12)</f>
        <v>0</v>
      </c>
      <c r="G79" s="14"/>
      <c r="H79" s="30">
        <f>+H75-H77</f>
        <v>-17511.669999999998</v>
      </c>
      <c r="I79" s="14"/>
      <c r="J79" s="34">
        <f>IF(H$12=0,0,H79/H$12)</f>
        <v>-386.48576473184727</v>
      </c>
      <c r="K79" s="16"/>
      <c r="L79" s="30">
        <f>D79-H79</f>
        <v>17409.39</v>
      </c>
      <c r="M79" s="16"/>
      <c r="N79" s="34">
        <f>IF(H79=0,0,L79/H79)</f>
        <v>-0.99415932346829294</v>
      </c>
      <c r="O79" s="28"/>
      <c r="P79" s="30">
        <f>+P75-P77</f>
        <v>-46137.37</v>
      </c>
      <c r="Q79" s="14"/>
      <c r="R79" s="34">
        <f>IF(P$12=0,0,P79/P$12)</f>
        <v>0</v>
      </c>
      <c r="S79" s="14"/>
      <c r="T79" s="30">
        <f>+T75-T77</f>
        <v>15415.110000000037</v>
      </c>
      <c r="U79" s="14"/>
      <c r="V79" s="34">
        <f>IF(T$12=0,0,T79/T$12)</f>
        <v>3.1087978512723474E-2</v>
      </c>
      <c r="W79" s="16"/>
      <c r="X79" s="30">
        <f>P79-T79</f>
        <v>-61552.48000000004</v>
      </c>
      <c r="Y79" s="16"/>
      <c r="Z79" s="34">
        <f>IF(T79=0,0,X79/T79)</f>
        <v>-3.9929964820231509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4" customFormat="1" ht="15.75" thickBot="1" x14ac:dyDescent="0.3">
      <c r="A82" s="11"/>
      <c r="B82" s="29" t="s">
        <v>293</v>
      </c>
      <c r="C82" s="29"/>
      <c r="D82" s="32">
        <f>SUM(D79:D81)</f>
        <v>-102.28</v>
      </c>
      <c r="E82" s="14"/>
      <c r="F82" s="35">
        <f>IF(D$12=0,0,D82/D$12)</f>
        <v>0</v>
      </c>
      <c r="G82" s="14"/>
      <c r="H82" s="32">
        <f>SUM(H79:H81)</f>
        <v>-17511.669999999998</v>
      </c>
      <c r="I82" s="14"/>
      <c r="J82" s="35">
        <f>IF(H$12=0,0,H82/H$12)</f>
        <v>-386.48576473184727</v>
      </c>
      <c r="K82" s="16"/>
      <c r="L82" s="32">
        <f>+D82-H82</f>
        <v>17409.39</v>
      </c>
      <c r="M82" s="16"/>
      <c r="N82" s="35">
        <f>IF(H82=0,0,L82/H82)</f>
        <v>-0.99415932346829294</v>
      </c>
      <c r="O82" s="28"/>
      <c r="P82" s="32">
        <f>SUM(P79:P81)</f>
        <v>-46137.37</v>
      </c>
      <c r="Q82" s="14"/>
      <c r="R82" s="35">
        <f>IF(P$12=0,0,P82/P$12)</f>
        <v>0</v>
      </c>
      <c r="S82" s="14"/>
      <c r="T82" s="32">
        <f>SUM(T79:T81)</f>
        <v>15415.110000000037</v>
      </c>
      <c r="U82" s="14"/>
      <c r="V82" s="35">
        <f>IF(T$12=0,0,T82/T$12)</f>
        <v>3.1087978512723474E-2</v>
      </c>
      <c r="W82" s="16"/>
      <c r="X82" s="32">
        <f>+P82-T82</f>
        <v>-61552.48000000004</v>
      </c>
      <c r="Y82" s="16"/>
      <c r="Z82" s="35">
        <f>IF(T82=0,0,X82/T82)</f>
        <v>-3.9929964820231509</v>
      </c>
    </row>
    <row r="83" spans="1:26" ht="15.75" thickTop="1" x14ac:dyDescent="0.25">
      <c r="A83" s="9"/>
      <c r="C83" s="9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25">
      <c r="A84" s="9"/>
      <c r="B84" s="59">
        <v>44330.00886898148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52" t="s">
        <v>56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55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217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","321", " - ", "Corner Market")</f>
        <v>Department 321 - Corner Market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2476.4700000000003</v>
      </c>
      <c r="Q12" s="4"/>
      <c r="R12" s="13"/>
      <c r="S12" s="4"/>
      <c r="T12" s="4">
        <f>SUM(OSRRefT13x_0)</f>
        <v>281486.67000000004</v>
      </c>
      <c r="U12" s="4"/>
      <c r="V12" s="13"/>
      <c r="W12" s="4"/>
      <c r="X12" s="4">
        <f t="shared" ref="X12:X14" si="2">+P12-T12</f>
        <v>-279010.20000000007</v>
      </c>
      <c r="Y12" s="4"/>
      <c r="Z12" s="13">
        <f t="shared" ref="Z12:Z14" si="3">IF(T12=0,0,X12/T12)</f>
        <v>-0.99120217664303611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--444.59</f>
        <v>444.59</v>
      </c>
      <c r="Q13" s="2"/>
      <c r="R13" s="19"/>
      <c r="S13" s="2"/>
      <c r="T13" s="2">
        <f>--65192.75</f>
        <v>65192.75</v>
      </c>
      <c r="U13" s="2"/>
      <c r="V13" s="19"/>
      <c r="W13" s="2"/>
      <c r="X13" s="2">
        <f t="shared" si="2"/>
        <v>-64748.160000000003</v>
      </c>
      <c r="Y13" s="2"/>
      <c r="Z13" s="19">
        <f t="shared" si="3"/>
        <v>-0.99318037665231185</v>
      </c>
    </row>
    <row r="14" spans="1:26" s="23" customFormat="1" hidden="1" outlineLevel="1" x14ac:dyDescent="0.25">
      <c r="A14" s="44"/>
      <c r="B14" s="10" t="str">
        <f>CONCATENATE("          ", "4132", " - ", "NON-TAXABLE SALES-JUICE")</f>
        <v xml:space="preserve">          4132 - NON-TAXABLE SALES-JUICE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--2031.88</f>
        <v>2031.88</v>
      </c>
      <c r="Q14" s="2"/>
      <c r="R14" s="19"/>
      <c r="S14" s="2"/>
      <c r="T14" s="2">
        <f>--216293.92</f>
        <v>216293.92</v>
      </c>
      <c r="U14" s="2"/>
      <c r="V14" s="19"/>
      <c r="W14" s="2"/>
      <c r="X14" s="2">
        <f t="shared" si="2"/>
        <v>-214262.04</v>
      </c>
      <c r="Y14" s="2"/>
      <c r="Z14" s="19">
        <f t="shared" si="3"/>
        <v>-0.99060593104050265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6">IF(D$12=0,0,D16/D$12)</f>
        <v>0</v>
      </c>
      <c r="G16" s="4"/>
      <c r="H16" s="4">
        <f>SUM(OSRRefH16x_0)</f>
        <v>11619.12</v>
      </c>
      <c r="I16" s="4"/>
      <c r="J16" s="13">
        <f t="shared" ref="J16:J18" si="7">IF(H$12=0,0,H16/H$12)</f>
        <v>0</v>
      </c>
      <c r="K16" s="4"/>
      <c r="L16" s="4">
        <f t="shared" ref="L16:L18" si="8">+D16-H16</f>
        <v>-11619.12</v>
      </c>
      <c r="M16" s="4"/>
      <c r="N16" s="13">
        <f t="shared" ref="N16:N18" si="9">IF(H16=0,0,L16/H16)</f>
        <v>-1</v>
      </c>
      <c r="O16" s="11"/>
      <c r="P16" s="4">
        <f>SUM(OSRRefP16x_0)</f>
        <v>19579.73</v>
      </c>
      <c r="Q16" s="4"/>
      <c r="R16" s="13">
        <f t="shared" ref="R16:R18" si="10">IF(P$12=0,0,P16/P$12)</f>
        <v>7.9063061535169004</v>
      </c>
      <c r="S16" s="4"/>
      <c r="T16" s="4">
        <f>SUM(OSRRefT16x_0)</f>
        <v>146497.13</v>
      </c>
      <c r="U16" s="4"/>
      <c r="V16" s="13">
        <f t="shared" ref="V16:V18" si="11">IF(T$12=0,0,T16/T$12)</f>
        <v>0.52044073703383531</v>
      </c>
      <c r="W16" s="4"/>
      <c r="X16" s="4">
        <f t="shared" ref="X16:X18" si="12">+P16-T16</f>
        <v>-126917.40000000001</v>
      </c>
      <c r="Y16" s="4"/>
      <c r="Z16" s="13">
        <f t="shared" ref="Z16:Z18" si="13">IF(T16=0,0,X16/T16)</f>
        <v>-0.86634734755554599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6"/>
        <v>0</v>
      </c>
      <c r="G17" s="2"/>
      <c r="H17" s="2">
        <v>-407.13</v>
      </c>
      <c r="I17" s="2"/>
      <c r="J17" s="19">
        <f t="shared" si="7"/>
        <v>0</v>
      </c>
      <c r="K17" s="2"/>
      <c r="L17" s="2">
        <f t="shared" si="8"/>
        <v>407.13</v>
      </c>
      <c r="M17" s="2"/>
      <c r="N17" s="19">
        <f t="shared" si="9"/>
        <v>-1</v>
      </c>
      <c r="O17" s="10"/>
      <c r="P17" s="2">
        <v>0.73</v>
      </c>
      <c r="Q17" s="2"/>
      <c r="R17" s="19">
        <f t="shared" si="10"/>
        <v>2.9477441681102534E-4</v>
      </c>
      <c r="S17" s="2"/>
      <c r="T17" s="2">
        <v>133769.34</v>
      </c>
      <c r="U17" s="2"/>
      <c r="V17" s="19">
        <f t="shared" si="11"/>
        <v>0.47522442181720354</v>
      </c>
      <c r="W17" s="2"/>
      <c r="X17" s="2">
        <f t="shared" si="12"/>
        <v>-133768.60999999999</v>
      </c>
      <c r="Y17" s="2"/>
      <c r="Z17" s="19">
        <f t="shared" si="13"/>
        <v>-0.99999454284516909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6"/>
        <v>0</v>
      </c>
      <c r="G18" s="2"/>
      <c r="H18" s="2">
        <v>12026.25</v>
      </c>
      <c r="I18" s="2"/>
      <c r="J18" s="19">
        <f t="shared" si="7"/>
        <v>0</v>
      </c>
      <c r="K18" s="2"/>
      <c r="L18" s="2">
        <f t="shared" si="8"/>
        <v>-12026.25</v>
      </c>
      <c r="M18" s="2"/>
      <c r="N18" s="19">
        <f t="shared" si="9"/>
        <v>-1</v>
      </c>
      <c r="O18" s="10"/>
      <c r="P18" s="2">
        <v>19579</v>
      </c>
      <c r="Q18" s="2"/>
      <c r="R18" s="19">
        <f t="shared" si="10"/>
        <v>7.9060113791000894</v>
      </c>
      <c r="S18" s="2"/>
      <c r="T18" s="2">
        <v>12727.79</v>
      </c>
      <c r="U18" s="2"/>
      <c r="V18" s="19">
        <f t="shared" si="11"/>
        <v>4.5216315216631747E-2</v>
      </c>
      <c r="W18" s="2"/>
      <c r="X18" s="2">
        <f t="shared" si="12"/>
        <v>6851.2099999999991</v>
      </c>
      <c r="Y18" s="2"/>
      <c r="Z18" s="19">
        <f t="shared" si="13"/>
        <v>0.53828747960172174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-11619.12</v>
      </c>
      <c r="I20" s="14"/>
      <c r="J20" s="22">
        <f>IF(H$12=0,0,H20/H$12)</f>
        <v>0</v>
      </c>
      <c r="K20" s="16"/>
      <c r="L20" s="20">
        <f>+D20-H20</f>
        <v>11619.12</v>
      </c>
      <c r="M20" s="16"/>
      <c r="N20" s="22">
        <f>IF(H20=0,0,L20/H20)</f>
        <v>-1</v>
      </c>
      <c r="O20" s="28"/>
      <c r="P20" s="20">
        <f>P12-P16</f>
        <v>-17103.259999999998</v>
      </c>
      <c r="Q20" s="14"/>
      <c r="R20" s="22">
        <f>IF(P$12=0,0,P20/P$12)</f>
        <v>-6.9063061535168995</v>
      </c>
      <c r="S20" s="14"/>
      <c r="T20" s="20">
        <f>T12-T16</f>
        <v>134989.54000000004</v>
      </c>
      <c r="U20" s="14"/>
      <c r="V20" s="22">
        <f>IF(T$12=0,0,T20/T$12)</f>
        <v>0.47955926296616469</v>
      </c>
      <c r="W20" s="16"/>
      <c r="X20" s="20">
        <f>+P20-T20</f>
        <v>-152092.80000000005</v>
      </c>
      <c r="Y20" s="16"/>
      <c r="Z20" s="22">
        <f>IF(T20=0,0,X20/T20)</f>
        <v>-1.1267006317674688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1401.82</v>
      </c>
      <c r="E22" s="21"/>
      <c r="F22" s="31">
        <f t="shared" ref="F22:F31" si="14">IF(D$12=0,0,D22/D$12)</f>
        <v>0</v>
      </c>
      <c r="G22" s="21"/>
      <c r="H22" s="21">
        <f>SUM(OSRRefH22x_0)</f>
        <v>1822.71</v>
      </c>
      <c r="I22" s="21"/>
      <c r="J22" s="31">
        <f t="shared" ref="J22:J31" si="15">IF(H$12=0,0,H22/H$12)</f>
        <v>0</v>
      </c>
      <c r="K22" s="4"/>
      <c r="L22" s="21">
        <f t="shared" ref="L22:L31" si="16">+D22-H22</f>
        <v>-420.8900000000001</v>
      </c>
      <c r="M22" s="4"/>
      <c r="N22" s="31">
        <f t="shared" ref="N22:N31" si="17">IF(H22=0,0,L22/H22)</f>
        <v>-0.23091440766770363</v>
      </c>
      <c r="O22" s="11"/>
      <c r="P22" s="21">
        <f>SUM(OSRRefP22x_0)</f>
        <v>41057.679999999986</v>
      </c>
      <c r="Q22" s="21"/>
      <c r="R22" s="31">
        <f t="shared" ref="R22:R31" si="18">IF(P$12=0,0,P22/P$12)</f>
        <v>16.579114626868076</v>
      </c>
      <c r="S22" s="21"/>
      <c r="T22" s="21">
        <f>SUM(OSRRefT22x_0)</f>
        <v>119727.50000000001</v>
      </c>
      <c r="U22" s="21"/>
      <c r="V22" s="31">
        <f t="shared" ref="V22:V31" si="19">IF(T$12=0,0,T22/T$12)</f>
        <v>0.42533985712360728</v>
      </c>
      <c r="W22" s="4"/>
      <c r="X22" s="21">
        <f t="shared" ref="X22:X31" si="20">+P22-T22</f>
        <v>-78669.820000000036</v>
      </c>
      <c r="Y22" s="4"/>
      <c r="Z22" s="31">
        <f t="shared" ref="Z22:Z31" si="21">IF(T22=0,0,X22/T22)</f>
        <v>-0.6570739387358796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0</v>
      </c>
      <c r="M23" s="1"/>
      <c r="N23" s="5">
        <f t="shared" si="17"/>
        <v>0</v>
      </c>
      <c r="O23" s="12"/>
      <c r="P23" s="1">
        <f>SUM(OSRRefP22_0x_0)</f>
        <v>8751.99</v>
      </c>
      <c r="Q23" s="1"/>
      <c r="R23" s="5">
        <f t="shared" si="18"/>
        <v>3.5340585591588023</v>
      </c>
      <c r="S23" s="1"/>
      <c r="T23" s="1">
        <f>SUM(OSRRefT22_0x_0)</f>
        <v>10263.029999999999</v>
      </c>
      <c r="U23" s="1"/>
      <c r="V23" s="5">
        <f t="shared" si="19"/>
        <v>3.646009240863874E-2</v>
      </c>
      <c r="W23" s="1"/>
      <c r="X23" s="1">
        <f t="shared" si="20"/>
        <v>-1511.0399999999991</v>
      </c>
      <c r="Y23" s="1"/>
      <c r="Z23" s="5">
        <f t="shared" si="21"/>
        <v>-0.14723137319095814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4"/>
        <v>0</v>
      </c>
      <c r="G24" s="2"/>
      <c r="H24" s="6"/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0"/>
      <c r="P24" s="6">
        <v>1667.09</v>
      </c>
      <c r="Q24" s="2"/>
      <c r="R24" s="7">
        <f t="shared" si="18"/>
        <v>0.67317189386505782</v>
      </c>
      <c r="S24" s="2"/>
      <c r="T24" s="6">
        <v>2418.25</v>
      </c>
      <c r="U24" s="2"/>
      <c r="V24" s="7">
        <f t="shared" si="19"/>
        <v>8.5909929589205753E-3</v>
      </c>
      <c r="W24" s="2"/>
      <c r="X24" s="6">
        <f t="shared" si="20"/>
        <v>-751.16000000000008</v>
      </c>
      <c r="Y24" s="2"/>
      <c r="Z24" s="7">
        <f t="shared" si="21"/>
        <v>-0.31062131706812779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4"/>
        <v>0</v>
      </c>
      <c r="G25" s="2"/>
      <c r="H25" s="6"/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0"/>
      <c r="P25" s="6">
        <v>331.61</v>
      </c>
      <c r="Q25" s="2"/>
      <c r="R25" s="7">
        <f t="shared" si="18"/>
        <v>0.13390430734069056</v>
      </c>
      <c r="S25" s="2"/>
      <c r="T25" s="6">
        <v>874.82</v>
      </c>
      <c r="U25" s="2"/>
      <c r="V25" s="7">
        <f t="shared" si="19"/>
        <v>3.1078558711146072E-3</v>
      </c>
      <c r="W25" s="2"/>
      <c r="X25" s="6">
        <f t="shared" si="20"/>
        <v>-543.21</v>
      </c>
      <c r="Y25" s="2"/>
      <c r="Z25" s="7">
        <f t="shared" si="21"/>
        <v>-0.62093916462815213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4"/>
        <v>0</v>
      </c>
      <c r="G26" s="2"/>
      <c r="H26" s="6"/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0"/>
      <c r="P26" s="6">
        <v>3385.22</v>
      </c>
      <c r="Q26" s="2"/>
      <c r="R26" s="7">
        <f t="shared" si="18"/>
        <v>1.366953768872629</v>
      </c>
      <c r="S26" s="2"/>
      <c r="T26" s="6">
        <v>4676.5</v>
      </c>
      <c r="U26" s="2"/>
      <c r="V26" s="7">
        <f t="shared" si="19"/>
        <v>1.6613575342661873E-2</v>
      </c>
      <c r="W26" s="2"/>
      <c r="X26" s="6">
        <f t="shared" si="20"/>
        <v>-1291.2800000000002</v>
      </c>
      <c r="Y26" s="2"/>
      <c r="Z26" s="7">
        <f t="shared" si="21"/>
        <v>-0.27612103068534166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4"/>
        <v>0</v>
      </c>
      <c r="G27" s="2"/>
      <c r="H27" s="6"/>
      <c r="I27" s="2"/>
      <c r="J27" s="7">
        <f t="shared" si="15"/>
        <v>0</v>
      </c>
      <c r="K27" s="2"/>
      <c r="L27" s="6">
        <f t="shared" si="16"/>
        <v>0</v>
      </c>
      <c r="M27" s="2"/>
      <c r="N27" s="7">
        <f t="shared" si="17"/>
        <v>0</v>
      </c>
      <c r="O27" s="10"/>
      <c r="P27" s="6">
        <v>62.01</v>
      </c>
      <c r="Q27" s="2"/>
      <c r="R27" s="7">
        <f t="shared" si="18"/>
        <v>2.5039673406098192E-2</v>
      </c>
      <c r="S27" s="2"/>
      <c r="T27" s="6">
        <v>125.59</v>
      </c>
      <c r="U27" s="2"/>
      <c r="V27" s="7">
        <f t="shared" si="19"/>
        <v>4.4616677585478554E-4</v>
      </c>
      <c r="W27" s="2"/>
      <c r="X27" s="6">
        <f t="shared" si="20"/>
        <v>-63.580000000000005</v>
      </c>
      <c r="Y27" s="2"/>
      <c r="Z27" s="7">
        <f t="shared" si="21"/>
        <v>-0.50625049765108687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4"/>
        <v>0</v>
      </c>
      <c r="G28" s="2"/>
      <c r="H28" s="6"/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0"/>
      <c r="P28" s="6">
        <v>1254.1099999999999</v>
      </c>
      <c r="Q28" s="2"/>
      <c r="R28" s="7">
        <f t="shared" si="18"/>
        <v>0.50641033406421232</v>
      </c>
      <c r="S28" s="2"/>
      <c r="T28" s="6">
        <v>670.55</v>
      </c>
      <c r="U28" s="2"/>
      <c r="V28" s="7">
        <f t="shared" si="19"/>
        <v>2.3821731949154107E-3</v>
      </c>
      <c r="W28" s="2"/>
      <c r="X28" s="6">
        <f t="shared" si="20"/>
        <v>583.55999999999995</v>
      </c>
      <c r="Y28" s="2"/>
      <c r="Z28" s="7">
        <f t="shared" si="21"/>
        <v>0.87027067332786512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0"/>
      <c r="P29" s="6">
        <v>958.88</v>
      </c>
      <c r="Q29" s="2"/>
      <c r="R29" s="7">
        <f t="shared" si="18"/>
        <v>0.38719629149555612</v>
      </c>
      <c r="S29" s="2"/>
      <c r="T29" s="6">
        <v>1098.8</v>
      </c>
      <c r="U29" s="2"/>
      <c r="V29" s="7">
        <f t="shared" si="19"/>
        <v>3.9035596250437004E-3</v>
      </c>
      <c r="W29" s="2"/>
      <c r="X29" s="6">
        <f t="shared" si="20"/>
        <v>-139.91999999999996</v>
      </c>
      <c r="Y29" s="2"/>
      <c r="Z29" s="7">
        <f t="shared" si="21"/>
        <v>-0.12733891518019655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4"/>
        <v>0</v>
      </c>
      <c r="G30" s="2"/>
      <c r="H30" s="6"/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0"/>
      <c r="P30" s="6">
        <v>767.52</v>
      </c>
      <c r="Q30" s="2"/>
      <c r="R30" s="7">
        <f t="shared" si="18"/>
        <v>0.30992501423397006</v>
      </c>
      <c r="S30" s="2"/>
      <c r="T30" s="6">
        <v>398.52</v>
      </c>
      <c r="U30" s="2"/>
      <c r="V30" s="7">
        <f t="shared" si="19"/>
        <v>1.4157686401277897E-3</v>
      </c>
      <c r="W30" s="2"/>
      <c r="X30" s="6">
        <f t="shared" si="20"/>
        <v>369</v>
      </c>
      <c r="Y30" s="2"/>
      <c r="Z30" s="7">
        <f t="shared" si="21"/>
        <v>0.92592592592592593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4"/>
        <v>0</v>
      </c>
      <c r="G31" s="2"/>
      <c r="H31" s="6"/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0"/>
      <c r="P31" s="6">
        <v>325.55</v>
      </c>
      <c r="Q31" s="2"/>
      <c r="R31" s="7">
        <f t="shared" si="18"/>
        <v>0.13145727588058809</v>
      </c>
      <c r="S31" s="2"/>
      <c r="T31" s="6"/>
      <c r="U31" s="2"/>
      <c r="V31" s="7">
        <f t="shared" si="19"/>
        <v>0</v>
      </c>
      <c r="W31" s="2"/>
      <c r="X31" s="6">
        <f t="shared" si="20"/>
        <v>325.55</v>
      </c>
      <c r="Y31" s="2"/>
      <c r="Z31" s="7">
        <f t="shared" si="21"/>
        <v>0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0</v>
      </c>
      <c r="I32" s="1"/>
      <c r="J32" s="5">
        <f t="shared" ref="J32:J37" si="23">IF(H$12=0,0,H32/H$12)</f>
        <v>0</v>
      </c>
      <c r="K32" s="1"/>
      <c r="L32" s="1">
        <f t="shared" ref="L32:L37" si="24">+D32-H32</f>
        <v>0</v>
      </c>
      <c r="M32" s="1"/>
      <c r="N32" s="5">
        <f t="shared" ref="N32:N37" si="25">IF(H32=0,0,L32/H32)</f>
        <v>0</v>
      </c>
      <c r="O32" s="12"/>
      <c r="P32" s="1">
        <f>SUM(OSRRefP22_1x_0)</f>
        <v>15859.96</v>
      </c>
      <c r="Q32" s="1"/>
      <c r="R32" s="5">
        <f t="shared" ref="R32:R37" si="26">IF(P$12=0,0,P32/P$12)</f>
        <v>6.404260903624917</v>
      </c>
      <c r="S32" s="1"/>
      <c r="T32" s="1">
        <f>SUM(OSRRefT22_1x_0)</f>
        <v>51305.1</v>
      </c>
      <c r="U32" s="1"/>
      <c r="V32" s="5">
        <f t="shared" ref="V32:V37" si="27">IF(T$12=0,0,T32/T$12)</f>
        <v>0.18226475875394024</v>
      </c>
      <c r="W32" s="1"/>
      <c r="X32" s="1">
        <f t="shared" ref="X32:X37" si="28">+P32-T32</f>
        <v>-35445.14</v>
      </c>
      <c r="Y32" s="1"/>
      <c r="Z32" s="5">
        <f t="shared" ref="Z32:Z37" si="29">IF(T32=0,0,X32/T32)</f>
        <v>-0.69086971860497304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2"/>
        <v>0</v>
      </c>
      <c r="G33" s="2"/>
      <c r="H33" s="6"/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0"/>
      <c r="P33" s="6">
        <v>13728</v>
      </c>
      <c r="Q33" s="2"/>
      <c r="R33" s="7">
        <f t="shared" si="26"/>
        <v>5.5433742383311726</v>
      </c>
      <c r="S33" s="2"/>
      <c r="T33" s="6">
        <v>10272</v>
      </c>
      <c r="U33" s="2"/>
      <c r="V33" s="7">
        <f t="shared" si="27"/>
        <v>3.6491958926509728E-2</v>
      </c>
      <c r="W33" s="2"/>
      <c r="X33" s="6">
        <f t="shared" si="28"/>
        <v>3456</v>
      </c>
      <c r="Y33" s="2"/>
      <c r="Z33" s="7">
        <f t="shared" si="29"/>
        <v>0.3364485981308411</v>
      </c>
    </row>
    <row r="34" spans="1:26" s="23" customFormat="1" hidden="1" outlineLevel="2" x14ac:dyDescent="0.25">
      <c r="A34" s="27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2"/>
        <v>0</v>
      </c>
      <c r="G34" s="2"/>
      <c r="H34" s="6"/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0"/>
      <c r="P34" s="6">
        <v>2131.96</v>
      </c>
      <c r="Q34" s="2"/>
      <c r="R34" s="7">
        <f t="shared" si="26"/>
        <v>0.86088666529374469</v>
      </c>
      <c r="S34" s="2"/>
      <c r="T34" s="6">
        <v>3822.17</v>
      </c>
      <c r="U34" s="2"/>
      <c r="V34" s="7">
        <f t="shared" si="27"/>
        <v>1.3578511550831162E-2</v>
      </c>
      <c r="W34" s="2"/>
      <c r="X34" s="6">
        <f t="shared" si="28"/>
        <v>-1690.21</v>
      </c>
      <c r="Y34" s="2"/>
      <c r="Z34" s="7">
        <f t="shared" si="29"/>
        <v>-0.44221214650316443</v>
      </c>
    </row>
    <row r="35" spans="1:26" s="23" customFormat="1" hidden="1" outlineLevel="2" x14ac:dyDescent="0.25">
      <c r="A35" s="27"/>
      <c r="B35" s="10" t="str">
        <f>CONCATENATE("          ", "6006", " - ", "TEMPORARY PART TIME")</f>
        <v xml:space="preserve">          6006 - TEMPORARY PART TIME</v>
      </c>
      <c r="C35" s="10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0"/>
      <c r="P35" s="6"/>
      <c r="Q35" s="2"/>
      <c r="R35" s="7">
        <f t="shared" si="26"/>
        <v>0</v>
      </c>
      <c r="S35" s="2"/>
      <c r="T35" s="6">
        <v>13120.47</v>
      </c>
      <c r="U35" s="2"/>
      <c r="V35" s="7">
        <f t="shared" si="27"/>
        <v>4.6611336870765491E-2</v>
      </c>
      <c r="W35" s="2"/>
      <c r="X35" s="6">
        <f t="shared" si="28"/>
        <v>-13120.47</v>
      </c>
      <c r="Y35" s="2"/>
      <c r="Z35" s="7">
        <f t="shared" si="29"/>
        <v>-1</v>
      </c>
    </row>
    <row r="36" spans="1:26" s="23" customFormat="1" hidden="1" outlineLevel="2" x14ac:dyDescent="0.25">
      <c r="A36" s="27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2"/>
        <v>0</v>
      </c>
      <c r="G36" s="2"/>
      <c r="H36" s="6"/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0"/>
      <c r="P36" s="6">
        <v>0</v>
      </c>
      <c r="Q36" s="2"/>
      <c r="R36" s="7">
        <f t="shared" si="26"/>
        <v>0</v>
      </c>
      <c r="S36" s="2"/>
      <c r="T36" s="6">
        <v>23036.15</v>
      </c>
      <c r="U36" s="2"/>
      <c r="V36" s="7">
        <f t="shared" si="27"/>
        <v>8.1837445446350965E-2</v>
      </c>
      <c r="W36" s="2"/>
      <c r="X36" s="6">
        <f t="shared" si="28"/>
        <v>-23036.15</v>
      </c>
      <c r="Y36" s="2"/>
      <c r="Z36" s="7">
        <f t="shared" si="29"/>
        <v>-1</v>
      </c>
    </row>
    <row r="37" spans="1:26" s="23" customFormat="1" hidden="1" outlineLevel="2" x14ac:dyDescent="0.25">
      <c r="A37" s="27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0"/>
      <c r="P37" s="6"/>
      <c r="Q37" s="2"/>
      <c r="R37" s="7">
        <f t="shared" si="26"/>
        <v>0</v>
      </c>
      <c r="S37" s="2"/>
      <c r="T37" s="6">
        <v>1054.31</v>
      </c>
      <c r="U37" s="2"/>
      <c r="V37" s="7">
        <f t="shared" si="27"/>
        <v>3.7455059594829121E-3</v>
      </c>
      <c r="W37" s="2"/>
      <c r="X37" s="6">
        <f t="shared" si="28"/>
        <v>-1054.31</v>
      </c>
      <c r="Y37" s="2"/>
      <c r="Z37" s="7">
        <f t="shared" si="29"/>
        <v>-1</v>
      </c>
    </row>
    <row r="38" spans="1:26" s="26" customFormat="1" outlineLevel="1" collapsed="1" x14ac:dyDescent="0.25">
      <c r="A38" s="25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1" si="30">IF(D$12=0,0,D38/D$12)</f>
        <v>0</v>
      </c>
      <c r="G38" s="1"/>
      <c r="H38" s="1">
        <f>SUM(OSRRefH22_2x_0)</f>
        <v>0</v>
      </c>
      <c r="I38" s="1"/>
      <c r="J38" s="5">
        <f t="shared" ref="J38:J51" si="31">IF(H$12=0,0,H38/H$12)</f>
        <v>0</v>
      </c>
      <c r="K38" s="1"/>
      <c r="L38" s="1">
        <f t="shared" ref="L38:L51" si="32">+D38-H38</f>
        <v>0</v>
      </c>
      <c r="M38" s="1"/>
      <c r="N38" s="5">
        <f t="shared" ref="N38:N51" si="33">IF(H38=0,0,L38/H38)</f>
        <v>0</v>
      </c>
      <c r="O38" s="12"/>
      <c r="P38" s="1">
        <f>SUM(OSRRefP22_2x_0)</f>
        <v>0</v>
      </c>
      <c r="Q38" s="1"/>
      <c r="R38" s="5">
        <f t="shared" ref="R38:R51" si="34">IF(P$12=0,0,P38/P$12)</f>
        <v>0</v>
      </c>
      <c r="S38" s="1"/>
      <c r="T38" s="1">
        <f>SUM(OSRRefT22_2x_0)</f>
        <v>2.4900000000000002</v>
      </c>
      <c r="U38" s="1"/>
      <c r="V38" s="5">
        <f t="shared" ref="V38:V51" si="35">IF(T$12=0,0,T38/T$12)</f>
        <v>8.8458895762275348E-6</v>
      </c>
      <c r="W38" s="1"/>
      <c r="X38" s="1">
        <f t="shared" ref="X38:X51" si="36">+P38-T38</f>
        <v>-2.4900000000000002</v>
      </c>
      <c r="Y38" s="1"/>
      <c r="Z38" s="5">
        <f t="shared" ref="Z38:Z51" si="37">IF(T38=0,0,X38/T38)</f>
        <v>-1</v>
      </c>
    </row>
    <row r="39" spans="1:26" s="23" customFormat="1" hidden="1" outlineLevel="2" x14ac:dyDescent="0.25">
      <c r="A39" s="27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0"/>
        <v>0</v>
      </c>
      <c r="G39" s="2"/>
      <c r="H39" s="6"/>
      <c r="I39" s="2"/>
      <c r="J39" s="7">
        <f t="shared" si="31"/>
        <v>0</v>
      </c>
      <c r="K39" s="2"/>
      <c r="L39" s="6">
        <f t="shared" si="32"/>
        <v>0</v>
      </c>
      <c r="M39" s="2"/>
      <c r="N39" s="7">
        <f t="shared" si="33"/>
        <v>0</v>
      </c>
      <c r="O39" s="10"/>
      <c r="P39" s="6"/>
      <c r="Q39" s="2"/>
      <c r="R39" s="7">
        <f t="shared" si="34"/>
        <v>0</v>
      </c>
      <c r="S39" s="2"/>
      <c r="T39" s="6">
        <v>2.4900000000000002</v>
      </c>
      <c r="U39" s="2"/>
      <c r="V39" s="7">
        <f t="shared" si="35"/>
        <v>8.8458895762275348E-6</v>
      </c>
      <c r="W39" s="2"/>
      <c r="X39" s="6">
        <f t="shared" si="36"/>
        <v>-2.4900000000000002</v>
      </c>
      <c r="Y39" s="2"/>
      <c r="Z39" s="7">
        <f t="shared" si="37"/>
        <v>-1</v>
      </c>
    </row>
    <row r="40" spans="1:26" s="26" customFormat="1" outlineLevel="1" collapsed="1" x14ac:dyDescent="0.25">
      <c r="A40" s="25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0</v>
      </c>
      <c r="I40" s="1"/>
      <c r="J40" s="5">
        <f t="shared" si="31"/>
        <v>0</v>
      </c>
      <c r="K40" s="1"/>
      <c r="L40" s="1">
        <f t="shared" si="32"/>
        <v>0</v>
      </c>
      <c r="M40" s="1"/>
      <c r="N40" s="5">
        <f t="shared" si="33"/>
        <v>0</v>
      </c>
      <c r="O40" s="12"/>
      <c r="P40" s="1">
        <f>SUM(OSRRefP22_3x_0)</f>
        <v>3.31</v>
      </c>
      <c r="Q40" s="1"/>
      <c r="R40" s="5">
        <f t="shared" si="34"/>
        <v>1.3365798899239642E-3</v>
      </c>
      <c r="S40" s="1"/>
      <c r="T40" s="1">
        <f>SUM(OSRRefT22_3x_0)</f>
        <v>-74.03</v>
      </c>
      <c r="U40" s="1"/>
      <c r="V40" s="5">
        <f t="shared" si="35"/>
        <v>-2.6299646800326276E-4</v>
      </c>
      <c r="W40" s="1"/>
      <c r="X40" s="1">
        <f t="shared" si="36"/>
        <v>77.34</v>
      </c>
      <c r="Y40" s="1"/>
      <c r="Z40" s="5">
        <f t="shared" si="37"/>
        <v>-1.0447116034040254</v>
      </c>
    </row>
    <row r="41" spans="1:26" s="23" customFormat="1" hidden="1" outlineLevel="2" x14ac:dyDescent="0.25">
      <c r="A41" s="27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0"/>
        <v>0</v>
      </c>
      <c r="G41" s="2"/>
      <c r="H41" s="6"/>
      <c r="I41" s="2"/>
      <c r="J41" s="7">
        <f t="shared" si="31"/>
        <v>0</v>
      </c>
      <c r="K41" s="2"/>
      <c r="L41" s="6">
        <f t="shared" si="32"/>
        <v>0</v>
      </c>
      <c r="M41" s="2"/>
      <c r="N41" s="7">
        <f t="shared" si="33"/>
        <v>0</v>
      </c>
      <c r="O41" s="10"/>
      <c r="P41" s="6">
        <v>3.31</v>
      </c>
      <c r="Q41" s="2"/>
      <c r="R41" s="7">
        <f t="shared" si="34"/>
        <v>1.3365798899239642E-3</v>
      </c>
      <c r="S41" s="2"/>
      <c r="T41" s="6">
        <v>-74.03</v>
      </c>
      <c r="U41" s="2"/>
      <c r="V41" s="7">
        <f t="shared" si="35"/>
        <v>-2.6299646800326276E-4</v>
      </c>
      <c r="W41" s="2"/>
      <c r="X41" s="6">
        <f t="shared" si="36"/>
        <v>77.34</v>
      </c>
      <c r="Y41" s="2"/>
      <c r="Z41" s="7">
        <f t="shared" si="37"/>
        <v>-1.0447116034040254</v>
      </c>
    </row>
    <row r="42" spans="1:26" s="26" customFormat="1" outlineLevel="1" collapsed="1" x14ac:dyDescent="0.25">
      <c r="A42" s="25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224.95</v>
      </c>
      <c r="E42" s="1"/>
      <c r="F42" s="5">
        <f t="shared" si="30"/>
        <v>0</v>
      </c>
      <c r="G42" s="1"/>
      <c r="H42" s="1">
        <f>SUM(OSRRefH22_4x_0)</f>
        <v>0</v>
      </c>
      <c r="I42" s="1"/>
      <c r="J42" s="5">
        <f t="shared" si="31"/>
        <v>0</v>
      </c>
      <c r="K42" s="1"/>
      <c r="L42" s="1">
        <f t="shared" si="32"/>
        <v>224.95</v>
      </c>
      <c r="M42" s="1"/>
      <c r="N42" s="5">
        <f t="shared" si="33"/>
        <v>0</v>
      </c>
      <c r="O42" s="12"/>
      <c r="P42" s="1">
        <f>SUM(OSRRefP22_4x_0)</f>
        <v>1573.13</v>
      </c>
      <c r="Q42" s="1"/>
      <c r="R42" s="5">
        <f t="shared" si="34"/>
        <v>0.63523079221634016</v>
      </c>
      <c r="S42" s="1"/>
      <c r="T42" s="1">
        <f>SUM(OSRRefT22_4x_0)</f>
        <v>10703.22</v>
      </c>
      <c r="U42" s="1"/>
      <c r="V42" s="5">
        <f t="shared" si="35"/>
        <v>3.802389647793978E-2</v>
      </c>
      <c r="W42" s="1"/>
      <c r="X42" s="1">
        <f t="shared" si="36"/>
        <v>-9130.09</v>
      </c>
      <c r="Y42" s="1"/>
      <c r="Z42" s="5">
        <f t="shared" si="37"/>
        <v>-0.85302273521426264</v>
      </c>
    </row>
    <row r="43" spans="1:26" s="23" customFormat="1" hidden="1" outlineLevel="2" x14ac:dyDescent="0.25">
      <c r="A43" s="27"/>
      <c r="B43" s="10" t="str">
        <f>CONCATENATE("          ", "6381", " - ", "BANK/CREDIT CARD FEES")</f>
        <v xml:space="preserve">          6381 - BANK/CREDIT CARD FEES</v>
      </c>
      <c r="C43" s="10"/>
      <c r="D43" s="6">
        <v>224.95</v>
      </c>
      <c r="E43" s="2"/>
      <c r="F43" s="7">
        <f t="shared" si="30"/>
        <v>0</v>
      </c>
      <c r="G43" s="2"/>
      <c r="H43" s="6"/>
      <c r="I43" s="2"/>
      <c r="J43" s="7">
        <f t="shared" si="31"/>
        <v>0</v>
      </c>
      <c r="K43" s="2"/>
      <c r="L43" s="6">
        <f t="shared" si="32"/>
        <v>224.95</v>
      </c>
      <c r="M43" s="2"/>
      <c r="N43" s="7">
        <f t="shared" si="33"/>
        <v>0</v>
      </c>
      <c r="O43" s="10"/>
      <c r="P43" s="6">
        <v>1573.13</v>
      </c>
      <c r="Q43" s="2"/>
      <c r="R43" s="7">
        <f t="shared" si="34"/>
        <v>0.63523079221634016</v>
      </c>
      <c r="S43" s="2"/>
      <c r="T43" s="6">
        <v>10703.22</v>
      </c>
      <c r="U43" s="2"/>
      <c r="V43" s="7">
        <f t="shared" si="35"/>
        <v>3.802389647793978E-2</v>
      </c>
      <c r="W43" s="2"/>
      <c r="X43" s="6">
        <f t="shared" si="36"/>
        <v>-9130.09</v>
      </c>
      <c r="Y43" s="2"/>
      <c r="Z43" s="7">
        <f t="shared" si="37"/>
        <v>-0.85302273521426264</v>
      </c>
    </row>
    <row r="44" spans="1:26" s="26" customFormat="1" outlineLevel="1" collapsed="1" x14ac:dyDescent="0.25">
      <c r="A44" s="25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1075.3699999999999</v>
      </c>
      <c r="E44" s="1"/>
      <c r="F44" s="5">
        <f t="shared" si="30"/>
        <v>0</v>
      </c>
      <c r="G44" s="1"/>
      <c r="H44" s="1">
        <f>SUM(OSRRefH22_5x_0)</f>
        <v>1075.3699999999999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2"/>
      <c r="P44" s="1">
        <f>SUM(OSRRefP22_5x_0)</f>
        <v>10753.7</v>
      </c>
      <c r="Q44" s="1"/>
      <c r="R44" s="5">
        <f t="shared" si="34"/>
        <v>4.3423502000831826</v>
      </c>
      <c r="S44" s="1"/>
      <c r="T44" s="1">
        <f>SUM(OSRRefT22_5x_0)</f>
        <v>9901.6200000000008</v>
      </c>
      <c r="U44" s="1"/>
      <c r="V44" s="5">
        <f t="shared" si="35"/>
        <v>3.5176159496291597E-2</v>
      </c>
      <c r="W44" s="1"/>
      <c r="X44" s="1">
        <f t="shared" si="36"/>
        <v>852.07999999999993</v>
      </c>
      <c r="Y44" s="1"/>
      <c r="Z44" s="5">
        <f t="shared" si="37"/>
        <v>8.6054605206016779E-2</v>
      </c>
    </row>
    <row r="45" spans="1:26" s="23" customFormat="1" hidden="1" outlineLevel="2" x14ac:dyDescent="0.25">
      <c r="A45" s="27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1075.3699999999999</v>
      </c>
      <c r="E45" s="2"/>
      <c r="F45" s="7">
        <f t="shared" si="30"/>
        <v>0</v>
      </c>
      <c r="G45" s="2"/>
      <c r="H45" s="6">
        <v>1075.3699999999999</v>
      </c>
      <c r="I45" s="2"/>
      <c r="J45" s="7">
        <f t="shared" si="31"/>
        <v>0</v>
      </c>
      <c r="K45" s="2"/>
      <c r="L45" s="6">
        <f t="shared" si="32"/>
        <v>0</v>
      </c>
      <c r="M45" s="2"/>
      <c r="N45" s="7">
        <f t="shared" si="33"/>
        <v>0</v>
      </c>
      <c r="O45" s="10"/>
      <c r="P45" s="6">
        <v>10753.7</v>
      </c>
      <c r="Q45" s="2"/>
      <c r="R45" s="7">
        <f t="shared" si="34"/>
        <v>4.3423502000831826</v>
      </c>
      <c r="S45" s="2"/>
      <c r="T45" s="6">
        <v>9901.6200000000008</v>
      </c>
      <c r="U45" s="2"/>
      <c r="V45" s="7">
        <f t="shared" si="35"/>
        <v>3.5176159496291597E-2</v>
      </c>
      <c r="W45" s="2"/>
      <c r="X45" s="6">
        <f t="shared" si="36"/>
        <v>852.07999999999993</v>
      </c>
      <c r="Y45" s="2"/>
      <c r="Z45" s="7">
        <f t="shared" si="37"/>
        <v>8.6054605206016779E-2</v>
      </c>
    </row>
    <row r="46" spans="1:26" s="26" customFormat="1" outlineLevel="1" collapsed="1" x14ac:dyDescent="0.25">
      <c r="A46" s="25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0</v>
      </c>
      <c r="I46" s="1"/>
      <c r="J46" s="5">
        <f t="shared" si="31"/>
        <v>0</v>
      </c>
      <c r="K46" s="1"/>
      <c r="L46" s="1">
        <f t="shared" si="32"/>
        <v>0</v>
      </c>
      <c r="M46" s="1"/>
      <c r="N46" s="5">
        <f t="shared" si="33"/>
        <v>0</v>
      </c>
      <c r="O46" s="12"/>
      <c r="P46" s="1">
        <f>SUM(OSRRefP22_6x_0)</f>
        <v>1785.31</v>
      </c>
      <c r="Q46" s="1"/>
      <c r="R46" s="5">
        <f t="shared" si="34"/>
        <v>0.72090919736560499</v>
      </c>
      <c r="S46" s="1"/>
      <c r="T46" s="1">
        <f>SUM(OSRRefT22_6x_0)</f>
        <v>1356.19</v>
      </c>
      <c r="U46" s="1"/>
      <c r="V46" s="5">
        <f t="shared" si="35"/>
        <v>4.8179546122024174E-3</v>
      </c>
      <c r="W46" s="1"/>
      <c r="X46" s="1">
        <f t="shared" si="36"/>
        <v>429.11999999999989</v>
      </c>
      <c r="Y46" s="1"/>
      <c r="Z46" s="5">
        <f t="shared" si="37"/>
        <v>0.31641584143814649</v>
      </c>
    </row>
    <row r="47" spans="1:26" s="23" customFormat="1" hidden="1" outlineLevel="2" x14ac:dyDescent="0.25">
      <c r="A47" s="27"/>
      <c r="B47" s="10" t="str">
        <f>CONCATENATE("          ", "6279", " - ", "GENERAL EXPENSE")</f>
        <v xml:space="preserve">          6279 - GENERAL EXPENSE</v>
      </c>
      <c r="C47" s="10"/>
      <c r="D47" s="6"/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0</v>
      </c>
      <c r="M47" s="2"/>
      <c r="N47" s="7">
        <f t="shared" si="33"/>
        <v>0</v>
      </c>
      <c r="O47" s="10"/>
      <c r="P47" s="6">
        <v>1785.31</v>
      </c>
      <c r="Q47" s="2"/>
      <c r="R47" s="7">
        <f t="shared" si="34"/>
        <v>0.72090919736560499</v>
      </c>
      <c r="S47" s="2"/>
      <c r="T47" s="6">
        <v>1356.19</v>
      </c>
      <c r="U47" s="2"/>
      <c r="V47" s="7">
        <f t="shared" si="35"/>
        <v>4.8179546122024174E-3</v>
      </c>
      <c r="W47" s="2"/>
      <c r="X47" s="6">
        <f t="shared" si="36"/>
        <v>429.11999999999989</v>
      </c>
      <c r="Y47" s="2"/>
      <c r="Z47" s="7">
        <f t="shared" si="37"/>
        <v>0.31641584143814649</v>
      </c>
    </row>
    <row r="48" spans="1:26" s="26" customFormat="1" outlineLevel="1" collapsed="1" x14ac:dyDescent="0.25">
      <c r="A48" s="25"/>
      <c r="B48" s="12" t="str">
        <f>CONCATENATE("     ","Repair and Maintenance                            ")</f>
        <v xml:space="preserve">     Repair and Maintenance                            </v>
      </c>
      <c r="C48" s="12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0</v>
      </c>
      <c r="I48" s="1"/>
      <c r="J48" s="5">
        <f t="shared" si="31"/>
        <v>0</v>
      </c>
      <c r="K48" s="1"/>
      <c r="L48" s="1">
        <f t="shared" si="32"/>
        <v>0</v>
      </c>
      <c r="M48" s="1"/>
      <c r="N48" s="5">
        <f t="shared" si="33"/>
        <v>0</v>
      </c>
      <c r="O48" s="12"/>
      <c r="P48" s="1">
        <f>SUM(OSRRefP22_7x_0)</f>
        <v>540.85</v>
      </c>
      <c r="Q48" s="1"/>
      <c r="R48" s="5">
        <f t="shared" si="34"/>
        <v>0.21839553881129187</v>
      </c>
      <c r="S48" s="1"/>
      <c r="T48" s="1">
        <f>SUM(OSRRefT22_7x_0)</f>
        <v>1665.12</v>
      </c>
      <c r="U48" s="1"/>
      <c r="V48" s="5">
        <f t="shared" si="35"/>
        <v>5.9154488558907587E-3</v>
      </c>
      <c r="W48" s="1"/>
      <c r="X48" s="1">
        <f t="shared" si="36"/>
        <v>-1124.27</v>
      </c>
      <c r="Y48" s="1"/>
      <c r="Z48" s="5">
        <f t="shared" si="37"/>
        <v>-0.67518857499759777</v>
      </c>
    </row>
    <row r="49" spans="1:26" s="23" customFormat="1" hidden="1" outlineLevel="2" x14ac:dyDescent="0.25">
      <c r="A49" s="27"/>
      <c r="B49" s="10" t="str">
        <f>CONCATENATE("          ", "6371", " - ", "COMPUTER SOFTWARE MAINTENANCE")</f>
        <v xml:space="preserve">          6371 - COMPUTER SOFTWARE MAINTENANCE</v>
      </c>
      <c r="C49" s="10"/>
      <c r="D49" s="6"/>
      <c r="E49" s="2"/>
      <c r="F49" s="7">
        <f t="shared" si="30"/>
        <v>0</v>
      </c>
      <c r="G49" s="2"/>
      <c r="H49" s="6"/>
      <c r="I49" s="2"/>
      <c r="J49" s="7">
        <f t="shared" si="31"/>
        <v>0</v>
      </c>
      <c r="K49" s="2"/>
      <c r="L49" s="6">
        <f t="shared" si="32"/>
        <v>0</v>
      </c>
      <c r="M49" s="2"/>
      <c r="N49" s="7">
        <f t="shared" si="33"/>
        <v>0</v>
      </c>
      <c r="O49" s="10"/>
      <c r="P49" s="6"/>
      <c r="Q49" s="2"/>
      <c r="R49" s="7">
        <f t="shared" si="34"/>
        <v>0</v>
      </c>
      <c r="S49" s="2"/>
      <c r="T49" s="6">
        <v>437.31</v>
      </c>
      <c r="U49" s="2"/>
      <c r="V49" s="7">
        <f t="shared" si="35"/>
        <v>1.5535726789478164E-3</v>
      </c>
      <c r="W49" s="2"/>
      <c r="X49" s="6">
        <f t="shared" si="36"/>
        <v>-437.31</v>
      </c>
      <c r="Y49" s="2"/>
      <c r="Z49" s="7">
        <f t="shared" si="37"/>
        <v>-1</v>
      </c>
    </row>
    <row r="50" spans="1:26" s="23" customFormat="1" hidden="1" outlineLevel="2" x14ac:dyDescent="0.25">
      <c r="A50" s="27"/>
      <c r="B50" s="10" t="str">
        <f>CONCATENATE("          ", "6373", " - ", "MAINTENANCE CONTRACTS")</f>
        <v xml:space="preserve">          6373 - MAINTENANCE CONTRACTS</v>
      </c>
      <c r="C50" s="10"/>
      <c r="D50" s="6"/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0</v>
      </c>
      <c r="M50" s="2"/>
      <c r="N50" s="7">
        <f t="shared" si="33"/>
        <v>0</v>
      </c>
      <c r="O50" s="10"/>
      <c r="P50" s="6">
        <v>223.29</v>
      </c>
      <c r="Q50" s="2"/>
      <c r="R50" s="7">
        <f t="shared" si="34"/>
        <v>9.0164629492786086E-2</v>
      </c>
      <c r="S50" s="2"/>
      <c r="T50" s="6">
        <v>141.44999999999999</v>
      </c>
      <c r="U50" s="2"/>
      <c r="V50" s="7">
        <f t="shared" si="35"/>
        <v>5.025104741194315E-4</v>
      </c>
      <c r="W50" s="2"/>
      <c r="X50" s="6">
        <f t="shared" si="36"/>
        <v>81.84</v>
      </c>
      <c r="Y50" s="2"/>
      <c r="Z50" s="7">
        <f t="shared" si="37"/>
        <v>0.57857900318133626</v>
      </c>
    </row>
    <row r="51" spans="1:26" s="23" customFormat="1" hidden="1" outlineLevel="2" x14ac:dyDescent="0.25">
      <c r="A51" s="27"/>
      <c r="B51" s="10" t="str">
        <f>CONCATENATE("          ", "6375", " - ", "OUTSIDE REPAIRS &amp; MAINTENANCE")</f>
        <v xml:space="preserve">          6375 - OUTSIDE REPAIRS &amp; MAINTENANCE</v>
      </c>
      <c r="C51" s="10"/>
      <c r="D51" s="6"/>
      <c r="E51" s="2"/>
      <c r="F51" s="7">
        <f t="shared" si="30"/>
        <v>0</v>
      </c>
      <c r="G51" s="2"/>
      <c r="H51" s="6"/>
      <c r="I51" s="2"/>
      <c r="J51" s="7">
        <f t="shared" si="31"/>
        <v>0</v>
      </c>
      <c r="K51" s="2"/>
      <c r="L51" s="6">
        <f t="shared" si="32"/>
        <v>0</v>
      </c>
      <c r="M51" s="2"/>
      <c r="N51" s="7">
        <f t="shared" si="33"/>
        <v>0</v>
      </c>
      <c r="O51" s="10"/>
      <c r="P51" s="6">
        <v>317.56</v>
      </c>
      <c r="Q51" s="2"/>
      <c r="R51" s="7">
        <f t="shared" si="34"/>
        <v>0.12823090931850575</v>
      </c>
      <c r="S51" s="2"/>
      <c r="T51" s="6">
        <v>1086.3599999999999</v>
      </c>
      <c r="U51" s="2"/>
      <c r="V51" s="7">
        <f t="shared" si="35"/>
        <v>3.8593657028235112E-3</v>
      </c>
      <c r="W51" s="2"/>
      <c r="X51" s="6">
        <f t="shared" si="36"/>
        <v>-768.8</v>
      </c>
      <c r="Y51" s="2"/>
      <c r="Z51" s="7">
        <f t="shared" si="37"/>
        <v>-0.70768437718619981</v>
      </c>
    </row>
    <row r="52" spans="1:26" s="26" customFormat="1" outlineLevel="1" collapsed="1" x14ac:dyDescent="0.25">
      <c r="A52" s="25"/>
      <c r="B52" s="12" t="str">
        <f>CONCATENATE("     ","Royalty &amp; Commissions                             ")</f>
        <v xml:space="preserve">     Royalty &amp; Commissions                             </v>
      </c>
      <c r="C52" s="12"/>
      <c r="D52" s="1">
        <f>SUM(OSRRefD22_8x_0)</f>
        <v>0</v>
      </c>
      <c r="E52" s="1"/>
      <c r="F52" s="5">
        <f t="shared" ref="F52:F57" si="38">IF(D$12=0,0,D52/D$12)</f>
        <v>0</v>
      </c>
      <c r="G52" s="1"/>
      <c r="H52" s="1">
        <f>SUM(OSRRefH22_8x_0)</f>
        <v>0</v>
      </c>
      <c r="I52" s="1"/>
      <c r="J52" s="5">
        <f t="shared" ref="J52:J57" si="39">IF(H$12=0,0,H52/H$12)</f>
        <v>0</v>
      </c>
      <c r="K52" s="1"/>
      <c r="L52" s="1">
        <f t="shared" ref="L52:L57" si="40">+D52-H52</f>
        <v>0</v>
      </c>
      <c r="M52" s="1"/>
      <c r="N52" s="5">
        <f t="shared" ref="N52:N57" si="41">IF(H52=0,0,L52/H52)</f>
        <v>0</v>
      </c>
      <c r="O52" s="12"/>
      <c r="P52" s="1">
        <f>SUM(OSRRefP22_8x_0)</f>
        <v>185.7</v>
      </c>
      <c r="Q52" s="1"/>
      <c r="R52" s="5">
        <f t="shared" ref="R52:R57" si="42">IF(P$12=0,0,P52/P$12)</f>
        <v>7.4985766029873155E-2</v>
      </c>
      <c r="S52" s="1"/>
      <c r="T52" s="1">
        <f>SUM(OSRRefT22_8x_0)</f>
        <v>24556.14</v>
      </c>
      <c r="U52" s="1"/>
      <c r="V52" s="5">
        <f t="shared" ref="V52:V57" si="43">IF(T$12=0,0,T52/T$12)</f>
        <v>8.7237310384893171E-2</v>
      </c>
      <c r="W52" s="1"/>
      <c r="X52" s="1">
        <f t="shared" ref="X52:X57" si="44">+P52-T52</f>
        <v>-24370.44</v>
      </c>
      <c r="Y52" s="1"/>
      <c r="Z52" s="5">
        <f t="shared" ref="Z52:Z57" si="45">IF(T52=0,0,X52/T52)</f>
        <v>-0.99243773654979972</v>
      </c>
    </row>
    <row r="53" spans="1:26" s="23" customFormat="1" hidden="1" outlineLevel="2" x14ac:dyDescent="0.25">
      <c r="A53" s="27"/>
      <c r="B53" s="10" t="str">
        <f>CONCATENATE("          ", "6254", " - ", "ROYALTY &amp; COMMISSIONS")</f>
        <v xml:space="preserve">          6254 - ROYALTY &amp; COMMISSIONS</v>
      </c>
      <c r="C53" s="10"/>
      <c r="D53" s="6"/>
      <c r="E53" s="2"/>
      <c r="F53" s="7">
        <f t="shared" si="38"/>
        <v>0</v>
      </c>
      <c r="G53" s="2"/>
      <c r="H53" s="6"/>
      <c r="I53" s="2"/>
      <c r="J53" s="7">
        <f t="shared" si="39"/>
        <v>0</v>
      </c>
      <c r="K53" s="2"/>
      <c r="L53" s="6">
        <f t="shared" si="40"/>
        <v>0</v>
      </c>
      <c r="M53" s="2"/>
      <c r="N53" s="7">
        <f t="shared" si="41"/>
        <v>0</v>
      </c>
      <c r="O53" s="10"/>
      <c r="P53" s="6">
        <v>185.7</v>
      </c>
      <c r="Q53" s="2"/>
      <c r="R53" s="7">
        <f t="shared" si="42"/>
        <v>7.4985766029873155E-2</v>
      </c>
      <c r="S53" s="2"/>
      <c r="T53" s="6">
        <v>24556.14</v>
      </c>
      <c r="U53" s="2"/>
      <c r="V53" s="7">
        <f t="shared" si="43"/>
        <v>8.7237310384893171E-2</v>
      </c>
      <c r="W53" s="2"/>
      <c r="X53" s="6">
        <f t="shared" si="44"/>
        <v>-24370.44</v>
      </c>
      <c r="Y53" s="2"/>
      <c r="Z53" s="7">
        <f t="shared" si="45"/>
        <v>-0.99243773654979972</v>
      </c>
    </row>
    <row r="54" spans="1:26" s="26" customFormat="1" outlineLevel="1" collapsed="1" x14ac:dyDescent="0.25">
      <c r="A54" s="25"/>
      <c r="B54" s="12" t="str">
        <f>CONCATENATE("     ","Services                                          ")</f>
        <v xml:space="preserve">     Services                                          </v>
      </c>
      <c r="C54" s="12"/>
      <c r="D54" s="1">
        <f>SUM(OSRRefD22_9x_0)</f>
        <v>0</v>
      </c>
      <c r="E54" s="1"/>
      <c r="F54" s="5">
        <f t="shared" si="38"/>
        <v>0</v>
      </c>
      <c r="G54" s="1"/>
      <c r="H54" s="1">
        <f>SUM(OSRRefH22_9x_0)</f>
        <v>65.22</v>
      </c>
      <c r="I54" s="1"/>
      <c r="J54" s="5">
        <f t="shared" si="39"/>
        <v>0</v>
      </c>
      <c r="K54" s="1"/>
      <c r="L54" s="1">
        <f t="shared" si="40"/>
        <v>-65.22</v>
      </c>
      <c r="M54" s="1"/>
      <c r="N54" s="5">
        <f t="shared" si="41"/>
        <v>-1</v>
      </c>
      <c r="O54" s="12"/>
      <c r="P54" s="1">
        <f>SUM(OSRRefP22_9x_0)</f>
        <v>-63.319999999999993</v>
      </c>
      <c r="Q54" s="1"/>
      <c r="R54" s="5">
        <f t="shared" si="42"/>
        <v>-2.556865215407414E-2</v>
      </c>
      <c r="S54" s="1"/>
      <c r="T54" s="1">
        <f>SUM(OSRRefT22_9x_0)</f>
        <v>1895.1799999999998</v>
      </c>
      <c r="U54" s="1"/>
      <c r="V54" s="5">
        <f t="shared" si="43"/>
        <v>6.7327522116766647E-3</v>
      </c>
      <c r="W54" s="1"/>
      <c r="X54" s="1">
        <f t="shared" si="44"/>
        <v>-1958.4999999999998</v>
      </c>
      <c r="Y54" s="1"/>
      <c r="Z54" s="5">
        <f t="shared" si="45"/>
        <v>-1.0334110744098186</v>
      </c>
    </row>
    <row r="55" spans="1:26" s="23" customFormat="1" hidden="1" outlineLevel="2" x14ac:dyDescent="0.25">
      <c r="A55" s="27"/>
      <c r="B55" s="10" t="str">
        <f>CONCATENATE("          ", "6282", " - ", "JANITORIAL/EXTERMINATOR EXPENS")</f>
        <v xml:space="preserve">          6282 - JANITORIAL/EXTERMINATOR EXPENS</v>
      </c>
      <c r="C55" s="10"/>
      <c r="D55" s="6"/>
      <c r="E55" s="2"/>
      <c r="F55" s="7">
        <f t="shared" si="38"/>
        <v>0</v>
      </c>
      <c r="G55" s="2"/>
      <c r="H55" s="6">
        <v>41</v>
      </c>
      <c r="I55" s="2"/>
      <c r="J55" s="7">
        <f t="shared" si="39"/>
        <v>0</v>
      </c>
      <c r="K55" s="2"/>
      <c r="L55" s="6">
        <f t="shared" si="40"/>
        <v>-41</v>
      </c>
      <c r="M55" s="2"/>
      <c r="N55" s="7">
        <f t="shared" si="41"/>
        <v>-1</v>
      </c>
      <c r="O55" s="10"/>
      <c r="P55" s="6">
        <v>82</v>
      </c>
      <c r="Q55" s="2"/>
      <c r="R55" s="7">
        <f t="shared" si="42"/>
        <v>3.3111646819868598E-2</v>
      </c>
      <c r="S55" s="2"/>
      <c r="T55" s="6">
        <v>328</v>
      </c>
      <c r="U55" s="2"/>
      <c r="V55" s="7">
        <f t="shared" si="43"/>
        <v>1.1652416791175224E-3</v>
      </c>
      <c r="W55" s="2"/>
      <c r="X55" s="6">
        <f t="shared" si="44"/>
        <v>-246</v>
      </c>
      <c r="Y55" s="2"/>
      <c r="Z55" s="7">
        <f t="shared" si="45"/>
        <v>-0.75</v>
      </c>
    </row>
    <row r="56" spans="1:26" s="23" customFormat="1" hidden="1" outlineLevel="2" x14ac:dyDescent="0.25">
      <c r="A56" s="27"/>
      <c r="B56" s="10" t="str">
        <f>CONCATENATE("          ", "6285", " - ", "JANITORIAL SERVICES")</f>
        <v xml:space="preserve">          6285 - JANITORIAL SERVICES</v>
      </c>
      <c r="C56" s="10"/>
      <c r="D56" s="6"/>
      <c r="E56" s="2"/>
      <c r="F56" s="7">
        <f t="shared" si="38"/>
        <v>0</v>
      </c>
      <c r="G56" s="2"/>
      <c r="H56" s="6">
        <v>24.22</v>
      </c>
      <c r="I56" s="2"/>
      <c r="J56" s="7">
        <f t="shared" si="39"/>
        <v>0</v>
      </c>
      <c r="K56" s="2"/>
      <c r="L56" s="6">
        <f t="shared" si="40"/>
        <v>-24.22</v>
      </c>
      <c r="M56" s="2"/>
      <c r="N56" s="7">
        <f t="shared" si="41"/>
        <v>-1</v>
      </c>
      <c r="O56" s="10"/>
      <c r="P56" s="6">
        <v>-145.32</v>
      </c>
      <c r="Q56" s="2"/>
      <c r="R56" s="7">
        <f t="shared" si="42"/>
        <v>-5.8680298973942738E-2</v>
      </c>
      <c r="S56" s="2"/>
      <c r="T56" s="6">
        <v>232.6</v>
      </c>
      <c r="U56" s="2"/>
      <c r="V56" s="7">
        <f t="shared" si="43"/>
        <v>8.2632687366687718E-4</v>
      </c>
      <c r="W56" s="2"/>
      <c r="X56" s="6">
        <f t="shared" si="44"/>
        <v>-377.91999999999996</v>
      </c>
      <c r="Y56" s="2"/>
      <c r="Z56" s="7">
        <f t="shared" si="45"/>
        <v>-1.6247635425623386</v>
      </c>
    </row>
    <row r="57" spans="1:26" s="23" customFormat="1" hidden="1" outlineLevel="2" x14ac:dyDescent="0.25">
      <c r="A57" s="27"/>
      <c r="B57" s="10" t="str">
        <f>CONCATENATE("          ", "6286", " - ", "LAUNDRY EXPENSE")</f>
        <v xml:space="preserve">          6286 - LAUNDRY EXPENSE</v>
      </c>
      <c r="C57" s="10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0"/>
      <c r="P57" s="6"/>
      <c r="Q57" s="2"/>
      <c r="R57" s="7">
        <f t="shared" si="42"/>
        <v>0</v>
      </c>
      <c r="S57" s="2"/>
      <c r="T57" s="6">
        <v>1334.58</v>
      </c>
      <c r="U57" s="2"/>
      <c r="V57" s="7">
        <f t="shared" si="43"/>
        <v>4.7411836588922658E-3</v>
      </c>
      <c r="W57" s="2"/>
      <c r="X57" s="6">
        <f t="shared" si="44"/>
        <v>-1334.58</v>
      </c>
      <c r="Y57" s="2"/>
      <c r="Z57" s="7">
        <f t="shared" si="45"/>
        <v>-1</v>
      </c>
    </row>
    <row r="58" spans="1:26" s="26" customFormat="1" outlineLevel="1" collapsed="1" x14ac:dyDescent="0.25">
      <c r="A58" s="25"/>
      <c r="B58" s="12" t="str">
        <f>CONCATENATE("     ","Supplies                                          ")</f>
        <v xml:space="preserve">     Supplies                                          </v>
      </c>
      <c r="C58" s="12"/>
      <c r="D58" s="1">
        <f>SUM(OSRRefD22_10x_0)</f>
        <v>0</v>
      </c>
      <c r="E58" s="1"/>
      <c r="F58" s="5">
        <f t="shared" ref="F58:F63" si="46">IF(D$12=0,0,D58/D$12)</f>
        <v>0</v>
      </c>
      <c r="G58" s="1"/>
      <c r="H58" s="1">
        <f>SUM(OSRRefH22_10x_0)</f>
        <v>25</v>
      </c>
      <c r="I58" s="1"/>
      <c r="J58" s="5">
        <f t="shared" ref="J58:J63" si="47">IF(H$12=0,0,H58/H$12)</f>
        <v>0</v>
      </c>
      <c r="K58" s="1"/>
      <c r="L58" s="1">
        <f t="shared" ref="L58:L63" si="48">+D58-H58</f>
        <v>-25</v>
      </c>
      <c r="M58" s="1"/>
      <c r="N58" s="5">
        <f t="shared" ref="N58:N63" si="49">IF(H58=0,0,L58/H58)</f>
        <v>-1</v>
      </c>
      <c r="O58" s="12"/>
      <c r="P58" s="1">
        <f>SUM(OSRRefP22_10x_0)</f>
        <v>328.55</v>
      </c>
      <c r="Q58" s="1"/>
      <c r="R58" s="5">
        <f t="shared" ref="R58:R63" si="50">IF(P$12=0,0,P58/P$12)</f>
        <v>0.13266867759351011</v>
      </c>
      <c r="S58" s="1"/>
      <c r="T58" s="1">
        <f>SUM(OSRRefT22_10x_0)</f>
        <v>7627.1100000000006</v>
      </c>
      <c r="U58" s="1"/>
      <c r="V58" s="5">
        <f t="shared" ref="V58:V63" si="51">IF(T$12=0,0,T58/T$12)</f>
        <v>2.7095812387847706E-2</v>
      </c>
      <c r="W58" s="1"/>
      <c r="X58" s="1">
        <f t="shared" ref="X58:X63" si="52">+P58-T58</f>
        <v>-7298.56</v>
      </c>
      <c r="Y58" s="1"/>
      <c r="Z58" s="5">
        <f t="shared" ref="Z58:Z63" si="53">IF(T58=0,0,X58/T58)</f>
        <v>-0.95692339562429285</v>
      </c>
    </row>
    <row r="59" spans="1:26" s="23" customFormat="1" hidden="1" outlineLevel="2" x14ac:dyDescent="0.25">
      <c r="A59" s="27"/>
      <c r="B59" s="10" t="str">
        <f>CONCATENATE("          ", "6234", " - ", "EXPENDABLE SUPPLIES &amp; EQUIPMEN")</f>
        <v xml:space="preserve">          6234 - EXPENDABLE SUPPLIES &amp; EQUIPMEN</v>
      </c>
      <c r="C59" s="10"/>
      <c r="D59" s="6"/>
      <c r="E59" s="2"/>
      <c r="F59" s="7">
        <f t="shared" si="46"/>
        <v>0</v>
      </c>
      <c r="G59" s="2"/>
      <c r="H59" s="6"/>
      <c r="I59" s="2"/>
      <c r="J59" s="7">
        <f t="shared" si="47"/>
        <v>0</v>
      </c>
      <c r="K59" s="2"/>
      <c r="L59" s="6">
        <f t="shared" si="48"/>
        <v>0</v>
      </c>
      <c r="M59" s="2"/>
      <c r="N59" s="7">
        <f t="shared" si="49"/>
        <v>0</v>
      </c>
      <c r="O59" s="10"/>
      <c r="P59" s="6"/>
      <c r="Q59" s="2"/>
      <c r="R59" s="7">
        <f t="shared" si="50"/>
        <v>0</v>
      </c>
      <c r="S59" s="2"/>
      <c r="T59" s="6">
        <v>354.71</v>
      </c>
      <c r="U59" s="2"/>
      <c r="V59" s="7">
        <f t="shared" si="51"/>
        <v>1.2601307195115135E-3</v>
      </c>
      <c r="W59" s="2"/>
      <c r="X59" s="6">
        <f t="shared" si="52"/>
        <v>-354.71</v>
      </c>
      <c r="Y59" s="2"/>
      <c r="Z59" s="7">
        <f t="shared" si="53"/>
        <v>-1</v>
      </c>
    </row>
    <row r="60" spans="1:26" s="23" customFormat="1" hidden="1" outlineLevel="2" x14ac:dyDescent="0.25">
      <c r="A60" s="27"/>
      <c r="B60" s="10" t="str">
        <f>CONCATENATE("          ", "6235", " - ", "COVID-19 EXPENSES")</f>
        <v xml:space="preserve">          6235 - COVID-19 EXPENSES</v>
      </c>
      <c r="C60" s="10"/>
      <c r="D60" s="6"/>
      <c r="E60" s="2"/>
      <c r="F60" s="7">
        <f t="shared" si="46"/>
        <v>0</v>
      </c>
      <c r="G60" s="2"/>
      <c r="H60" s="6"/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0"/>
      <c r="P60" s="6">
        <v>207.27</v>
      </c>
      <c r="Q60" s="2"/>
      <c r="R60" s="7">
        <f t="shared" si="50"/>
        <v>8.3695744345782502E-2</v>
      </c>
      <c r="S60" s="2"/>
      <c r="T60" s="6"/>
      <c r="U60" s="2"/>
      <c r="V60" s="7">
        <f t="shared" si="51"/>
        <v>0</v>
      </c>
      <c r="W60" s="2"/>
      <c r="X60" s="6">
        <f t="shared" si="52"/>
        <v>207.27</v>
      </c>
      <c r="Y60" s="2"/>
      <c r="Z60" s="7">
        <f t="shared" si="53"/>
        <v>0</v>
      </c>
    </row>
    <row r="61" spans="1:26" s="23" customFormat="1" hidden="1" outlineLevel="2" x14ac:dyDescent="0.25">
      <c r="A61" s="27"/>
      <c r="B61" s="10" t="str">
        <f>CONCATENATE("          ", "6237", " - ", "JANITORIAL SUPPLIES")</f>
        <v xml:space="preserve">          6237 - JANITORIAL SUPPLIES</v>
      </c>
      <c r="C61" s="10"/>
      <c r="D61" s="6"/>
      <c r="E61" s="2"/>
      <c r="F61" s="7">
        <f t="shared" si="46"/>
        <v>0</v>
      </c>
      <c r="G61" s="2"/>
      <c r="H61" s="6"/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0"/>
      <c r="P61" s="6"/>
      <c r="Q61" s="2"/>
      <c r="R61" s="7">
        <f t="shared" si="50"/>
        <v>0</v>
      </c>
      <c r="S61" s="2"/>
      <c r="T61" s="6">
        <v>38.56</v>
      </c>
      <c r="U61" s="2"/>
      <c r="V61" s="7">
        <f t="shared" si="51"/>
        <v>1.369869486182063E-4</v>
      </c>
      <c r="W61" s="2"/>
      <c r="X61" s="6">
        <f t="shared" si="52"/>
        <v>-38.56</v>
      </c>
      <c r="Y61" s="2"/>
      <c r="Z61" s="7">
        <f t="shared" si="53"/>
        <v>-1</v>
      </c>
    </row>
    <row r="62" spans="1:26" s="23" customFormat="1" hidden="1" outlineLevel="2" x14ac:dyDescent="0.25">
      <c r="A62" s="27"/>
      <c r="B62" s="10" t="str">
        <f>CONCATENATE("          ", "6247", " - ", "STORE SUPPLIES")</f>
        <v xml:space="preserve">          6247 - STORE SUPPLIES</v>
      </c>
      <c r="C62" s="10"/>
      <c r="D62" s="6"/>
      <c r="E62" s="2"/>
      <c r="F62" s="7">
        <f t="shared" si="46"/>
        <v>0</v>
      </c>
      <c r="G62" s="2"/>
      <c r="H62" s="6">
        <v>25</v>
      </c>
      <c r="I62" s="2"/>
      <c r="J62" s="7">
        <f t="shared" si="47"/>
        <v>0</v>
      </c>
      <c r="K62" s="2"/>
      <c r="L62" s="6">
        <f t="shared" si="48"/>
        <v>-25</v>
      </c>
      <c r="M62" s="2"/>
      <c r="N62" s="7">
        <f t="shared" si="49"/>
        <v>-1</v>
      </c>
      <c r="O62" s="10"/>
      <c r="P62" s="6">
        <v>121.28</v>
      </c>
      <c r="Q62" s="2"/>
      <c r="R62" s="7">
        <f t="shared" si="50"/>
        <v>4.8972933247727606E-2</v>
      </c>
      <c r="S62" s="2"/>
      <c r="T62" s="6">
        <v>7192.77</v>
      </c>
      <c r="U62" s="2"/>
      <c r="V62" s="7">
        <f t="shared" si="51"/>
        <v>2.5552790830201656E-2</v>
      </c>
      <c r="W62" s="2"/>
      <c r="X62" s="6">
        <f t="shared" si="52"/>
        <v>-7071.4900000000007</v>
      </c>
      <c r="Y62" s="2"/>
      <c r="Z62" s="7">
        <f t="shared" si="53"/>
        <v>-0.98313862392374574</v>
      </c>
    </row>
    <row r="63" spans="1:26" s="23" customFormat="1" hidden="1" outlineLevel="2" x14ac:dyDescent="0.25">
      <c r="A63" s="27"/>
      <c r="B63" s="10" t="str">
        <f>CONCATENATE("          ", "6248", " - ", "UNIFORMS")</f>
        <v xml:space="preserve">          6248 - UNIFORMS</v>
      </c>
      <c r="C63" s="10"/>
      <c r="D63" s="6"/>
      <c r="E63" s="2"/>
      <c r="F63" s="7">
        <f t="shared" si="46"/>
        <v>0</v>
      </c>
      <c r="G63" s="2"/>
      <c r="H63" s="6"/>
      <c r="I63" s="2"/>
      <c r="J63" s="7">
        <f t="shared" si="47"/>
        <v>0</v>
      </c>
      <c r="K63" s="2"/>
      <c r="L63" s="6">
        <f t="shared" si="48"/>
        <v>0</v>
      </c>
      <c r="M63" s="2"/>
      <c r="N63" s="7">
        <f t="shared" si="49"/>
        <v>0</v>
      </c>
      <c r="O63" s="10"/>
      <c r="P63" s="6"/>
      <c r="Q63" s="2"/>
      <c r="R63" s="7">
        <f t="shared" si="50"/>
        <v>0</v>
      </c>
      <c r="S63" s="2"/>
      <c r="T63" s="6">
        <v>41.07</v>
      </c>
      <c r="U63" s="2"/>
      <c r="V63" s="7">
        <f t="shared" si="51"/>
        <v>1.4590388951633124E-4</v>
      </c>
      <c r="W63" s="2"/>
      <c r="X63" s="6">
        <f t="shared" si="52"/>
        <v>-41.07</v>
      </c>
      <c r="Y63" s="2"/>
      <c r="Z63" s="7">
        <f t="shared" si="53"/>
        <v>-1</v>
      </c>
    </row>
    <row r="64" spans="1:26" s="26" customFormat="1" outlineLevel="1" collapsed="1" x14ac:dyDescent="0.25">
      <c r="A64" s="25"/>
      <c r="B64" s="12" t="str">
        <f>CONCATENATE("     ","Telephone/Data Lines                              ")</f>
        <v xml:space="preserve">     Telephone/Data Lines                              </v>
      </c>
      <c r="C64" s="12"/>
      <c r="D64" s="1">
        <f>SUM(OSRRefD22_11x_0)</f>
        <v>51.5</v>
      </c>
      <c r="E64" s="1"/>
      <c r="F64" s="5">
        <f t="shared" ref="F64:F67" si="54">IF(D$12=0,0,D64/D$12)</f>
        <v>0</v>
      </c>
      <c r="G64" s="1"/>
      <c r="H64" s="1">
        <f>SUM(OSRRefH22_11x_0)</f>
        <v>51.5</v>
      </c>
      <c r="I64" s="1"/>
      <c r="J64" s="5">
        <f t="shared" ref="J64:J67" si="55">IF(H$12=0,0,H64/H$12)</f>
        <v>0</v>
      </c>
      <c r="K64" s="1"/>
      <c r="L64" s="1">
        <f t="shared" ref="L64:L67" si="56">+D64-H64</f>
        <v>0</v>
      </c>
      <c r="M64" s="1"/>
      <c r="N64" s="5">
        <f t="shared" ref="N64:N67" si="57">IF(H64=0,0,L64/H64)</f>
        <v>0</v>
      </c>
      <c r="O64" s="12"/>
      <c r="P64" s="1">
        <f>SUM(OSRRefP22_11x_0)</f>
        <v>838.5</v>
      </c>
      <c r="Q64" s="1"/>
      <c r="R64" s="5">
        <f t="shared" ref="R64:R67" si="58">IF(P$12=0,0,P64/P$12)</f>
        <v>0.33858677876170512</v>
      </c>
      <c r="S64" s="1"/>
      <c r="T64" s="1">
        <f>SUM(OSRRefT22_11x_0)</f>
        <v>576.59</v>
      </c>
      <c r="U64" s="1"/>
      <c r="V64" s="5">
        <f t="shared" ref="V64:V67" si="59">IF(T$12=0,0,T64/T$12)</f>
        <v>2.0483740846413789E-3</v>
      </c>
      <c r="W64" s="1"/>
      <c r="X64" s="1">
        <f t="shared" ref="X64:X67" si="60">+P64-T64</f>
        <v>261.90999999999997</v>
      </c>
      <c r="Y64" s="1"/>
      <c r="Z64" s="5">
        <f t="shared" ref="Z64:Z67" si="61">IF(T64=0,0,X64/T64)</f>
        <v>0.45423958098475514</v>
      </c>
    </row>
    <row r="65" spans="1:26" s="23" customFormat="1" hidden="1" outlineLevel="2" x14ac:dyDescent="0.25">
      <c r="A65" s="27"/>
      <c r="B65" s="10" t="str">
        <f>CONCATENATE("          ", "6309", " - ", "TELEPHONE")</f>
        <v xml:space="preserve">          6309 - TELEPHONE</v>
      </c>
      <c r="C65" s="10"/>
      <c r="D65" s="6">
        <v>51.5</v>
      </c>
      <c r="E65" s="2"/>
      <c r="F65" s="7">
        <f t="shared" si="54"/>
        <v>0</v>
      </c>
      <c r="G65" s="2"/>
      <c r="H65" s="6">
        <v>51.5</v>
      </c>
      <c r="I65" s="2"/>
      <c r="J65" s="7">
        <f t="shared" si="55"/>
        <v>0</v>
      </c>
      <c r="K65" s="2"/>
      <c r="L65" s="6">
        <f t="shared" si="56"/>
        <v>0</v>
      </c>
      <c r="M65" s="2"/>
      <c r="N65" s="7">
        <f t="shared" si="57"/>
        <v>0</v>
      </c>
      <c r="O65" s="10"/>
      <c r="P65" s="6">
        <v>838.5</v>
      </c>
      <c r="Q65" s="2"/>
      <c r="R65" s="7">
        <f t="shared" si="58"/>
        <v>0.33858677876170512</v>
      </c>
      <c r="S65" s="2"/>
      <c r="T65" s="6">
        <v>576.59</v>
      </c>
      <c r="U65" s="2"/>
      <c r="V65" s="7">
        <f t="shared" si="59"/>
        <v>2.0483740846413789E-3</v>
      </c>
      <c r="W65" s="2"/>
      <c r="X65" s="6">
        <f t="shared" si="60"/>
        <v>261.90999999999997</v>
      </c>
      <c r="Y65" s="2"/>
      <c r="Z65" s="7">
        <f t="shared" si="61"/>
        <v>0.45423958098475514</v>
      </c>
    </row>
    <row r="66" spans="1:26" s="26" customFormat="1" outlineLevel="1" collapsed="1" x14ac:dyDescent="0.25">
      <c r="A66" s="25"/>
      <c r="B66" s="12" t="str">
        <f>CONCATENATE("     ","Utilities                                         ")</f>
        <v xml:space="preserve">     Utilities                                         </v>
      </c>
      <c r="C66" s="12"/>
      <c r="D66" s="1">
        <f>SUM(OSRRefD22_12x_0)</f>
        <v>50</v>
      </c>
      <c r="E66" s="1"/>
      <c r="F66" s="5">
        <f t="shared" si="54"/>
        <v>0</v>
      </c>
      <c r="G66" s="1"/>
      <c r="H66" s="1">
        <f>SUM(OSRRefH22_12x_0)</f>
        <v>605.62</v>
      </c>
      <c r="I66" s="1"/>
      <c r="J66" s="5">
        <f t="shared" si="55"/>
        <v>0</v>
      </c>
      <c r="K66" s="1"/>
      <c r="L66" s="1">
        <f t="shared" si="56"/>
        <v>-555.62</v>
      </c>
      <c r="M66" s="1"/>
      <c r="N66" s="5">
        <f t="shared" si="57"/>
        <v>-0.91743997886463458</v>
      </c>
      <c r="O66" s="12"/>
      <c r="P66" s="1">
        <f>SUM(OSRRefP22_12x_0)</f>
        <v>500</v>
      </c>
      <c r="Q66" s="1"/>
      <c r="R66" s="5">
        <f t="shared" si="58"/>
        <v>0.20190028548700364</v>
      </c>
      <c r="S66" s="1"/>
      <c r="T66" s="1">
        <f>SUM(OSRRefT22_12x_0)</f>
        <v>-50.26</v>
      </c>
      <c r="U66" s="1"/>
      <c r="V66" s="5">
        <f t="shared" si="59"/>
        <v>-1.7855197192819111E-4</v>
      </c>
      <c r="W66" s="1"/>
      <c r="X66" s="1">
        <f t="shared" si="60"/>
        <v>550.26</v>
      </c>
      <c r="Y66" s="1"/>
      <c r="Z66" s="5">
        <f t="shared" si="61"/>
        <v>-10.948269001193793</v>
      </c>
    </row>
    <row r="67" spans="1:26" s="23" customFormat="1" hidden="1" outlineLevel="2" x14ac:dyDescent="0.25">
      <c r="A67" s="27"/>
      <c r="B67" s="10" t="str">
        <f>CONCATENATE("          ", "6274", " - ", "UTILITIES")</f>
        <v xml:space="preserve">          6274 - UTILITIES</v>
      </c>
      <c r="C67" s="10"/>
      <c r="D67" s="6">
        <v>50</v>
      </c>
      <c r="E67" s="2"/>
      <c r="F67" s="7">
        <f t="shared" si="54"/>
        <v>0</v>
      </c>
      <c r="G67" s="2"/>
      <c r="H67" s="6">
        <v>605.62</v>
      </c>
      <c r="I67" s="2"/>
      <c r="J67" s="7">
        <f t="shared" si="55"/>
        <v>0</v>
      </c>
      <c r="K67" s="2"/>
      <c r="L67" s="6">
        <f t="shared" si="56"/>
        <v>-555.62</v>
      </c>
      <c r="M67" s="2"/>
      <c r="N67" s="7">
        <f t="shared" si="57"/>
        <v>-0.91743997886463458</v>
      </c>
      <c r="O67" s="10"/>
      <c r="P67" s="6">
        <v>500</v>
      </c>
      <c r="Q67" s="2"/>
      <c r="R67" s="7">
        <f t="shared" si="58"/>
        <v>0.20190028548700364</v>
      </c>
      <c r="S67" s="2"/>
      <c r="T67" s="6">
        <v>-50.26</v>
      </c>
      <c r="U67" s="2"/>
      <c r="V67" s="7">
        <f t="shared" si="59"/>
        <v>-1.7855197192819111E-4</v>
      </c>
      <c r="W67" s="2"/>
      <c r="X67" s="6">
        <f t="shared" si="60"/>
        <v>550.26</v>
      </c>
      <c r="Y67" s="2"/>
      <c r="Z67" s="7">
        <f t="shared" si="61"/>
        <v>-10.948269001193793</v>
      </c>
    </row>
    <row r="68" spans="1:26" s="62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4" customFormat="1" x14ac:dyDescent="0.25">
      <c r="A69" s="11"/>
      <c r="B69" s="28" t="s">
        <v>292</v>
      </c>
      <c r="C69" s="11"/>
      <c r="D69" s="4">
        <f>SUM(0)</f>
        <v>0</v>
      </c>
      <c r="E69" s="4"/>
      <c r="F69" s="13">
        <f>IF(D$12=0,0,D69/D$12)</f>
        <v>0</v>
      </c>
      <c r="G69" s="4"/>
      <c r="H69" s="4">
        <f>SUM(0)</f>
        <v>0</v>
      </c>
      <c r="I69" s="4"/>
      <c r="J69" s="13">
        <f>IF(H$12=0,0,H69/H$12)</f>
        <v>0</v>
      </c>
      <c r="K69" s="4"/>
      <c r="L69" s="4">
        <f>+D69-H69</f>
        <v>0</v>
      </c>
      <c r="M69" s="4"/>
      <c r="N69" s="13">
        <f>IF(H69=0,0,L69/H69)</f>
        <v>0</v>
      </c>
      <c r="O69" s="11"/>
      <c r="P69" s="4">
        <f>SUM(0)</f>
        <v>0</v>
      </c>
      <c r="Q69" s="4"/>
      <c r="R69" s="13">
        <f>IF(P$12=0,0,P69/P$12)</f>
        <v>0</v>
      </c>
      <c r="S69" s="4"/>
      <c r="T69" s="4">
        <f>SUM(0)</f>
        <v>0</v>
      </c>
      <c r="U69" s="4"/>
      <c r="V69" s="13">
        <f>IF(T$12=0,0,T69/T$12)</f>
        <v>0</v>
      </c>
      <c r="W69" s="4"/>
      <c r="X69" s="4">
        <f>+P69-T69</f>
        <v>0</v>
      </c>
      <c r="Y69" s="4"/>
      <c r="Z69" s="13">
        <f>IF(T69=0,0,X69/T69)</f>
        <v>0</v>
      </c>
    </row>
    <row r="70" spans="1:26" x14ac:dyDescent="0.25">
      <c r="A70" s="9"/>
      <c r="B70" s="11"/>
      <c r="C70" s="11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1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4" customFormat="1" x14ac:dyDescent="0.25">
      <c r="A71" s="11"/>
      <c r="B71" s="29" t="s">
        <v>276</v>
      </c>
      <c r="C71" s="29"/>
      <c r="D71" s="20">
        <f>+D20-D22+D69</f>
        <v>-1401.82</v>
      </c>
      <c r="E71" s="14"/>
      <c r="F71" s="22">
        <f>IF(D$12=0,0,D71/D$12)</f>
        <v>0</v>
      </c>
      <c r="G71" s="14"/>
      <c r="H71" s="20">
        <f>+H20-H22+H69</f>
        <v>-13441.830000000002</v>
      </c>
      <c r="I71" s="14"/>
      <c r="J71" s="22">
        <f>IF(H$12=0,0,H71/H$12)</f>
        <v>0</v>
      </c>
      <c r="K71" s="16"/>
      <c r="L71" s="20">
        <f>+D71-H71</f>
        <v>12040.010000000002</v>
      </c>
      <c r="M71" s="16"/>
      <c r="N71" s="22">
        <f>IF(H71=0,0,L71/H71)</f>
        <v>-0.89571211657936456</v>
      </c>
      <c r="O71" s="28"/>
      <c r="P71" s="20">
        <f>+P20-P22+P69</f>
        <v>-58160.939999999988</v>
      </c>
      <c r="Q71" s="14"/>
      <c r="R71" s="22">
        <f>IF(P$12=0,0,P71/P$12)</f>
        <v>-23.485420780384977</v>
      </c>
      <c r="S71" s="14"/>
      <c r="T71" s="20">
        <f>+T20-T22+T69</f>
        <v>15262.040000000023</v>
      </c>
      <c r="U71" s="14"/>
      <c r="V71" s="22">
        <f>IF(T$12=0,0,T71/T$12)</f>
        <v>5.4219405842557376E-2</v>
      </c>
      <c r="W71" s="16"/>
      <c r="X71" s="20">
        <f>+P71-T71</f>
        <v>-73422.98000000001</v>
      </c>
      <c r="Y71" s="16"/>
      <c r="Z71" s="22">
        <f>IF(T71=0,0,X71/T71)</f>
        <v>-4.8108234547937174</v>
      </c>
    </row>
    <row r="72" spans="1:26" x14ac:dyDescent="0.25">
      <c r="A72" s="9"/>
      <c r="B72" s="11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x14ac:dyDescent="0.25">
      <c r="A73" s="51"/>
      <c r="B73" s="11" t="s">
        <v>127</v>
      </c>
      <c r="C73" s="11"/>
      <c r="D73" s="4">
        <v>7.71</v>
      </c>
      <c r="E73" s="4"/>
      <c r="F73" s="13">
        <f>IF(D$12=0,0,D73/D$12)</f>
        <v>0</v>
      </c>
      <c r="G73" s="4"/>
      <c r="H73" s="4">
        <v>1798.82</v>
      </c>
      <c r="I73" s="4"/>
      <c r="J73" s="13">
        <f>IF(H$12=0,0,H73/H$12)</f>
        <v>0</v>
      </c>
      <c r="K73" s="4"/>
      <c r="L73" s="4">
        <f>+D73-H73</f>
        <v>-1791.11</v>
      </c>
      <c r="M73" s="4"/>
      <c r="N73" s="13">
        <f>IF(H73=0,0,L73/H73)</f>
        <v>-0.99571385686172043</v>
      </c>
      <c r="O73" s="11"/>
      <c r="P73" s="4">
        <v>518.09</v>
      </c>
      <c r="Q73" s="4"/>
      <c r="R73" s="13">
        <f>IF(P$12=0,0,P73/P$12)</f>
        <v>0.20920503781592345</v>
      </c>
      <c r="S73" s="4"/>
      <c r="T73" s="4">
        <v>31960.799999999999</v>
      </c>
      <c r="U73" s="4"/>
      <c r="V73" s="13">
        <f>IF(T$12=0,0,T73/T$12)</f>
        <v>0.11354285444493693</v>
      </c>
      <c r="W73" s="4"/>
      <c r="X73" s="4">
        <f>+P73-T73</f>
        <v>-31442.71</v>
      </c>
      <c r="Y73" s="4"/>
      <c r="Z73" s="13">
        <f>IF(T73=0,0,X73/T73)</f>
        <v>-0.98378983004180121</v>
      </c>
    </row>
    <row r="74" spans="1:26" x14ac:dyDescent="0.25">
      <c r="A74" s="9"/>
      <c r="B74" s="11"/>
      <c r="C74" s="11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1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ht="15.75" thickBot="1" x14ac:dyDescent="0.3">
      <c r="A75" s="11"/>
      <c r="B75" s="29" t="s">
        <v>125</v>
      </c>
      <c r="C75" s="29"/>
      <c r="D75" s="30">
        <f>+D71-D73</f>
        <v>-1409.53</v>
      </c>
      <c r="E75" s="14"/>
      <c r="F75" s="34">
        <f>IF(D$12=0,0,D75/D$12)</f>
        <v>0</v>
      </c>
      <c r="G75" s="14"/>
      <c r="H75" s="30">
        <f>+H71-H73</f>
        <v>-15240.650000000001</v>
      </c>
      <c r="I75" s="14"/>
      <c r="J75" s="34">
        <f>IF(H$12=0,0,H75/H$12)</f>
        <v>0</v>
      </c>
      <c r="K75" s="16"/>
      <c r="L75" s="30">
        <f>D75-H75</f>
        <v>13831.12</v>
      </c>
      <c r="M75" s="16"/>
      <c r="N75" s="34">
        <f>IF(H75=0,0,L75/H75)</f>
        <v>-0.90751509942161257</v>
      </c>
      <c r="O75" s="28"/>
      <c r="P75" s="30">
        <f>+P71-P73</f>
        <v>-58679.029999999984</v>
      </c>
      <c r="Q75" s="14"/>
      <c r="R75" s="34">
        <f>IF(P$12=0,0,P75/P$12)</f>
        <v>-23.694625818200898</v>
      </c>
      <c r="S75" s="14"/>
      <c r="T75" s="30">
        <f>+T71-T73</f>
        <v>-16698.759999999977</v>
      </c>
      <c r="U75" s="14"/>
      <c r="V75" s="34">
        <f>IF(T$12=0,0,T75/T$12)</f>
        <v>-5.932344860237955E-2</v>
      </c>
      <c r="W75" s="16"/>
      <c r="X75" s="30">
        <f>P75-T75</f>
        <v>-41980.270000000004</v>
      </c>
      <c r="Y75" s="16"/>
      <c r="Z75" s="34">
        <f>IF(T75=0,0,X75/T75)</f>
        <v>2.5139752891831528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ht="15.75" thickBot="1" x14ac:dyDescent="0.3">
      <c r="A78" s="11"/>
      <c r="B78" s="29" t="s">
        <v>293</v>
      </c>
      <c r="C78" s="29"/>
      <c r="D78" s="32">
        <f>SUM(D75:D77)</f>
        <v>-1409.53</v>
      </c>
      <c r="E78" s="14"/>
      <c r="F78" s="35">
        <f>IF(D$12=0,0,D78/D$12)</f>
        <v>0</v>
      </c>
      <c r="G78" s="14"/>
      <c r="H78" s="32">
        <f>SUM(H75:H77)</f>
        <v>-15240.650000000001</v>
      </c>
      <c r="I78" s="14"/>
      <c r="J78" s="35">
        <f>IF(H$12=0,0,H78/H$12)</f>
        <v>0</v>
      </c>
      <c r="K78" s="16"/>
      <c r="L78" s="32">
        <f>+D78-H78</f>
        <v>13831.12</v>
      </c>
      <c r="M78" s="16"/>
      <c r="N78" s="35">
        <f>IF(H78=0,0,L78/H78)</f>
        <v>-0.90751509942161257</v>
      </c>
      <c r="O78" s="28"/>
      <c r="P78" s="32">
        <f>SUM(P75:P77)</f>
        <v>-58679.029999999984</v>
      </c>
      <c r="Q78" s="14"/>
      <c r="R78" s="35">
        <f>IF(P$12=0,0,P78/P$12)</f>
        <v>-23.694625818200898</v>
      </c>
      <c r="S78" s="14"/>
      <c r="T78" s="32">
        <f>SUM(T75:T77)</f>
        <v>-16698.759999999977</v>
      </c>
      <c r="U78" s="14"/>
      <c r="V78" s="35">
        <f>IF(T$12=0,0,T78/T$12)</f>
        <v>-5.932344860237955E-2</v>
      </c>
      <c r="W78" s="16"/>
      <c r="X78" s="32">
        <f>+P78-T78</f>
        <v>-41980.270000000004</v>
      </c>
      <c r="Y78" s="16"/>
      <c r="Z78" s="35">
        <f>IF(T78=0,0,X78/T78)</f>
        <v>2.5139752891831528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9">
        <v>44330.00886898148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2" t="s">
        <v>56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5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","322", " - ", "Beach Hut")</f>
        <v>Department 322 - Beach Hut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689915.82</v>
      </c>
      <c r="U12" s="4"/>
      <c r="V12" s="13"/>
      <c r="W12" s="4"/>
      <c r="X12" s="4">
        <f t="shared" ref="X12:X14" si="2">+P12-T12</f>
        <v>-689915.82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--85250.21</f>
        <v>85250.21</v>
      </c>
      <c r="U13" s="2"/>
      <c r="V13" s="19"/>
      <c r="W13" s="2"/>
      <c r="X13" s="2">
        <f t="shared" si="2"/>
        <v>-85250.21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--604665.61</f>
        <v>604665.61</v>
      </c>
      <c r="U14" s="2"/>
      <c r="V14" s="19"/>
      <c r="W14" s="2"/>
      <c r="X14" s="2">
        <f t="shared" si="2"/>
        <v>-604665.61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48178.22</v>
      </c>
      <c r="I16" s="4"/>
      <c r="J16" s="13">
        <f t="shared" ref="J16:J18" si="8">IF(H$12=0,0,H16/H$12)</f>
        <v>0</v>
      </c>
      <c r="K16" s="4"/>
      <c r="L16" s="4">
        <f t="shared" ref="L16:L18" si="9">+D16-H16</f>
        <v>-48178.22</v>
      </c>
      <c r="M16" s="4"/>
      <c r="N16" s="13">
        <f t="shared" ref="N16:N18" si="10">IF(H16=0,0,L16/H16)</f>
        <v>-1</v>
      </c>
      <c r="O16" s="11"/>
      <c r="P16" s="4">
        <f>SUM(OSRRefP16x_0)</f>
        <v>-1222.33</v>
      </c>
      <c r="Q16" s="4"/>
      <c r="R16" s="13">
        <f t="shared" ref="R16:R18" si="11">IF(P$12=0,0,P16/P$12)</f>
        <v>0</v>
      </c>
      <c r="S16" s="4"/>
      <c r="T16" s="4">
        <f>SUM(OSRRefT16x_0)</f>
        <v>393279.16000000003</v>
      </c>
      <c r="U16" s="4"/>
      <c r="V16" s="13">
        <f t="shared" ref="V16:V18" si="12">IF(T$12=0,0,T16/T$12)</f>
        <v>0.57003934190116134</v>
      </c>
      <c r="W16" s="4"/>
      <c r="X16" s="4">
        <f t="shared" ref="X16:X18" si="13">+P16-T16</f>
        <v>-394501.49000000005</v>
      </c>
      <c r="Y16" s="4"/>
      <c r="Z16" s="13">
        <f t="shared" ref="Z16:Z18" si="14">IF(T16=0,0,X16/T16)</f>
        <v>-1.003108046711654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>
        <v>-318.77999999999997</v>
      </c>
      <c r="I17" s="2"/>
      <c r="J17" s="19">
        <f t="shared" si="8"/>
        <v>0</v>
      </c>
      <c r="K17" s="2"/>
      <c r="L17" s="2">
        <f t="shared" si="9"/>
        <v>318.77999999999997</v>
      </c>
      <c r="M17" s="2"/>
      <c r="N17" s="19">
        <f t="shared" si="10"/>
        <v>-1</v>
      </c>
      <c r="O17" s="10"/>
      <c r="P17" s="2">
        <v>-1222.33</v>
      </c>
      <c r="Q17" s="2"/>
      <c r="R17" s="19">
        <f t="shared" si="11"/>
        <v>0</v>
      </c>
      <c r="S17" s="2"/>
      <c r="T17" s="2">
        <v>367126.58</v>
      </c>
      <c r="U17" s="2"/>
      <c r="V17" s="19">
        <f t="shared" si="12"/>
        <v>0.53213242740251998</v>
      </c>
      <c r="W17" s="2"/>
      <c r="X17" s="2">
        <f t="shared" si="13"/>
        <v>-368348.91000000003</v>
      </c>
      <c r="Y17" s="2"/>
      <c r="Z17" s="19">
        <f t="shared" si="14"/>
        <v>-1.0033294511119299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>
        <v>48497</v>
      </c>
      <c r="I18" s="2"/>
      <c r="J18" s="19">
        <f t="shared" si="8"/>
        <v>0</v>
      </c>
      <c r="K18" s="2"/>
      <c r="L18" s="2">
        <f t="shared" si="9"/>
        <v>-48497</v>
      </c>
      <c r="M18" s="2"/>
      <c r="N18" s="19">
        <f t="shared" si="10"/>
        <v>-1</v>
      </c>
      <c r="O18" s="10"/>
      <c r="P18" s="2"/>
      <c r="Q18" s="2"/>
      <c r="R18" s="19">
        <f t="shared" si="11"/>
        <v>0</v>
      </c>
      <c r="S18" s="2"/>
      <c r="T18" s="2">
        <v>26152.58</v>
      </c>
      <c r="U18" s="2"/>
      <c r="V18" s="19">
        <f t="shared" si="12"/>
        <v>3.7906914498641302E-2</v>
      </c>
      <c r="W18" s="2"/>
      <c r="X18" s="2">
        <f t="shared" si="13"/>
        <v>-26152.58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-48178.22</v>
      </c>
      <c r="I20" s="14"/>
      <c r="J20" s="22">
        <f>IF(H$12=0,0,H20/H$12)</f>
        <v>0</v>
      </c>
      <c r="K20" s="16"/>
      <c r="L20" s="20">
        <f>+D20-H20</f>
        <v>48178.22</v>
      </c>
      <c r="M20" s="16"/>
      <c r="N20" s="22">
        <f>IF(H20=0,0,L20/H20)</f>
        <v>-1</v>
      </c>
      <c r="O20" s="28"/>
      <c r="P20" s="20">
        <f>P12-P16</f>
        <v>1222.33</v>
      </c>
      <c r="Q20" s="14"/>
      <c r="R20" s="22">
        <f>IF(P$12=0,0,P20/P$12)</f>
        <v>0</v>
      </c>
      <c r="S20" s="14"/>
      <c r="T20" s="20">
        <f>T12-T16</f>
        <v>296636.65999999992</v>
      </c>
      <c r="U20" s="14"/>
      <c r="V20" s="22">
        <f>IF(T$12=0,0,T20/T$12)</f>
        <v>0.42996065809883871</v>
      </c>
      <c r="W20" s="16"/>
      <c r="X20" s="20">
        <f>+P20-T20</f>
        <v>-295414.3299999999</v>
      </c>
      <c r="Y20" s="16"/>
      <c r="Z20" s="22">
        <f>IF(T20=0,0,X20/T20)</f>
        <v>-0.99587936973130697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2225.34</v>
      </c>
      <c r="E22" s="21"/>
      <c r="F22" s="31">
        <f t="shared" ref="F22:F31" si="15">IF(D$12=0,0,D22/D$12)</f>
        <v>0</v>
      </c>
      <c r="G22" s="21"/>
      <c r="H22" s="21">
        <f>SUM(OSRRefH22x_0)</f>
        <v>9996.26</v>
      </c>
      <c r="I22" s="21"/>
      <c r="J22" s="31">
        <f t="shared" ref="J22:J31" si="16">IF(H$12=0,0,H22/H$12)</f>
        <v>0</v>
      </c>
      <c r="K22" s="4"/>
      <c r="L22" s="21">
        <f t="shared" ref="L22:L31" si="17">+D22-H22</f>
        <v>-7770.92</v>
      </c>
      <c r="M22" s="4"/>
      <c r="N22" s="31">
        <f t="shared" ref="N22:N31" si="18">IF(H22=0,0,L22/H22)</f>
        <v>-0.77738274114518824</v>
      </c>
      <c r="O22" s="11"/>
      <c r="P22" s="21">
        <f>SUM(OSRRefP22x_0)</f>
        <v>24263.000000000004</v>
      </c>
      <c r="Q22" s="21"/>
      <c r="R22" s="31">
        <f t="shared" ref="R22:R31" si="19">IF(P$12=0,0,P22/P$12)</f>
        <v>0</v>
      </c>
      <c r="S22" s="21"/>
      <c r="T22" s="21">
        <f>SUM(OSRRefT22x_0)</f>
        <v>270246.46000000002</v>
      </c>
      <c r="U22" s="21"/>
      <c r="V22" s="31">
        <f t="shared" ref="V22:V31" si="20">IF(T$12=0,0,T22/T$12)</f>
        <v>0.39170932476950598</v>
      </c>
      <c r="W22" s="4"/>
      <c r="X22" s="21">
        <f t="shared" ref="X22:X31" si="21">+P22-T22</f>
        <v>-245983.46000000002</v>
      </c>
      <c r="Y22" s="4"/>
      <c r="Z22" s="31">
        <f t="shared" ref="Z22:Z31" si="22">IF(T22=0,0,X22/T22)</f>
        <v>-0.91021899047262267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2204.8799999999997</v>
      </c>
      <c r="I23" s="1"/>
      <c r="J23" s="5">
        <f t="shared" si="16"/>
        <v>0</v>
      </c>
      <c r="K23" s="1"/>
      <c r="L23" s="1">
        <f t="shared" si="17"/>
        <v>-2204.8799999999997</v>
      </c>
      <c r="M23" s="1"/>
      <c r="N23" s="5">
        <f t="shared" si="18"/>
        <v>-1</v>
      </c>
      <c r="O23" s="12"/>
      <c r="P23" s="1">
        <f>SUM(OSRRefP22_0x_0)</f>
        <v>1595.9699999999998</v>
      </c>
      <c r="Q23" s="1"/>
      <c r="R23" s="5">
        <f t="shared" si="19"/>
        <v>0</v>
      </c>
      <c r="S23" s="1"/>
      <c r="T23" s="1">
        <f>SUM(OSRRefT22_0x_0)</f>
        <v>23799.100000000002</v>
      </c>
      <c r="U23" s="1"/>
      <c r="V23" s="5">
        <f t="shared" si="20"/>
        <v>3.449565774560729E-2</v>
      </c>
      <c r="W23" s="1"/>
      <c r="X23" s="1">
        <f t="shared" si="21"/>
        <v>-22203.13</v>
      </c>
      <c r="Y23" s="1"/>
      <c r="Z23" s="5">
        <f t="shared" si="22"/>
        <v>-0.93293990108869662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>
        <v>477.36</v>
      </c>
      <c r="I24" s="2"/>
      <c r="J24" s="7">
        <f t="shared" si="16"/>
        <v>0</v>
      </c>
      <c r="K24" s="2"/>
      <c r="L24" s="6">
        <f t="shared" si="17"/>
        <v>-477.36</v>
      </c>
      <c r="M24" s="2"/>
      <c r="N24" s="7">
        <f t="shared" si="18"/>
        <v>-1</v>
      </c>
      <c r="O24" s="10"/>
      <c r="P24" s="6">
        <v>159.12</v>
      </c>
      <c r="Q24" s="2"/>
      <c r="R24" s="7">
        <f t="shared" si="19"/>
        <v>0</v>
      </c>
      <c r="S24" s="2"/>
      <c r="T24" s="6">
        <v>5168.0600000000004</v>
      </c>
      <c r="U24" s="2"/>
      <c r="V24" s="7">
        <f t="shared" si="20"/>
        <v>7.4908559134069441E-3</v>
      </c>
      <c r="W24" s="2"/>
      <c r="X24" s="6">
        <f t="shared" si="21"/>
        <v>-5008.9400000000005</v>
      </c>
      <c r="Y24" s="2"/>
      <c r="Z24" s="7">
        <f t="shared" si="22"/>
        <v>-0.96921088377456921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>
        <v>79.040000000000006</v>
      </c>
      <c r="I25" s="2"/>
      <c r="J25" s="7">
        <f t="shared" si="16"/>
        <v>0</v>
      </c>
      <c r="K25" s="2"/>
      <c r="L25" s="6">
        <f t="shared" si="17"/>
        <v>-79.040000000000006</v>
      </c>
      <c r="M25" s="2"/>
      <c r="N25" s="7">
        <f t="shared" si="18"/>
        <v>-1</v>
      </c>
      <c r="O25" s="10"/>
      <c r="P25" s="6"/>
      <c r="Q25" s="2"/>
      <c r="R25" s="7">
        <f t="shared" si="19"/>
        <v>0</v>
      </c>
      <c r="S25" s="2"/>
      <c r="T25" s="6">
        <v>2916.45</v>
      </c>
      <c r="U25" s="2"/>
      <c r="V25" s="7">
        <f t="shared" si="20"/>
        <v>4.2272548555271567E-3</v>
      </c>
      <c r="W25" s="2"/>
      <c r="X25" s="6">
        <f t="shared" si="21"/>
        <v>-2916.45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>
        <v>683.68</v>
      </c>
      <c r="I26" s="2"/>
      <c r="J26" s="7">
        <f t="shared" si="16"/>
        <v>0</v>
      </c>
      <c r="K26" s="2"/>
      <c r="L26" s="6">
        <f t="shared" si="17"/>
        <v>-683.68</v>
      </c>
      <c r="M26" s="2"/>
      <c r="N26" s="7">
        <f t="shared" si="18"/>
        <v>-1</v>
      </c>
      <c r="O26" s="10"/>
      <c r="P26" s="6">
        <v>683.68</v>
      </c>
      <c r="Q26" s="2"/>
      <c r="R26" s="7">
        <f t="shared" si="19"/>
        <v>0</v>
      </c>
      <c r="S26" s="2"/>
      <c r="T26" s="6">
        <v>6581.56</v>
      </c>
      <c r="U26" s="2"/>
      <c r="V26" s="7">
        <f t="shared" si="20"/>
        <v>9.5396565917273812E-3</v>
      </c>
      <c r="W26" s="2"/>
      <c r="X26" s="6">
        <f t="shared" si="21"/>
        <v>-5897.88</v>
      </c>
      <c r="Y26" s="2"/>
      <c r="Z26" s="7">
        <f t="shared" si="22"/>
        <v>-0.89612189207421944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>
        <v>10.82</v>
      </c>
      <c r="I27" s="2"/>
      <c r="J27" s="7">
        <f t="shared" si="16"/>
        <v>0</v>
      </c>
      <c r="K27" s="2"/>
      <c r="L27" s="6">
        <f t="shared" si="17"/>
        <v>-10.82</v>
      </c>
      <c r="M27" s="2"/>
      <c r="N27" s="7">
        <f t="shared" si="18"/>
        <v>-1</v>
      </c>
      <c r="O27" s="10"/>
      <c r="P27" s="6"/>
      <c r="Q27" s="2"/>
      <c r="R27" s="7">
        <f t="shared" si="19"/>
        <v>0</v>
      </c>
      <c r="S27" s="2"/>
      <c r="T27" s="6">
        <v>444.27</v>
      </c>
      <c r="U27" s="2"/>
      <c r="V27" s="7">
        <f t="shared" si="20"/>
        <v>6.4394812688887179E-4</v>
      </c>
      <c r="W27" s="2"/>
      <c r="X27" s="6">
        <f t="shared" si="21"/>
        <v>-444.27</v>
      </c>
      <c r="Y27" s="2"/>
      <c r="Z27" s="7">
        <f t="shared" si="22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>
        <v>290.58</v>
      </c>
      <c r="I28" s="2"/>
      <c r="J28" s="7">
        <f t="shared" si="16"/>
        <v>0</v>
      </c>
      <c r="K28" s="2"/>
      <c r="L28" s="6">
        <f t="shared" si="17"/>
        <v>-290.58</v>
      </c>
      <c r="M28" s="2"/>
      <c r="N28" s="7">
        <f t="shared" si="18"/>
        <v>-1</v>
      </c>
      <c r="O28" s="10"/>
      <c r="P28" s="6">
        <v>321.57</v>
      </c>
      <c r="Q28" s="2"/>
      <c r="R28" s="7">
        <f t="shared" si="19"/>
        <v>0</v>
      </c>
      <c r="S28" s="2"/>
      <c r="T28" s="6">
        <v>2771.64</v>
      </c>
      <c r="U28" s="2"/>
      <c r="V28" s="7">
        <f t="shared" si="20"/>
        <v>4.0173596830987294E-3</v>
      </c>
      <c r="W28" s="2"/>
      <c r="X28" s="6">
        <f t="shared" si="21"/>
        <v>-2450.0699999999997</v>
      </c>
      <c r="Y28" s="2"/>
      <c r="Z28" s="7">
        <f t="shared" si="22"/>
        <v>-0.88397843875828019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>
        <v>359.58</v>
      </c>
      <c r="I29" s="2"/>
      <c r="J29" s="7">
        <f t="shared" si="16"/>
        <v>0</v>
      </c>
      <c r="K29" s="2"/>
      <c r="L29" s="6">
        <f t="shared" si="17"/>
        <v>-359.58</v>
      </c>
      <c r="M29" s="2"/>
      <c r="N29" s="7">
        <f t="shared" si="18"/>
        <v>-1</v>
      </c>
      <c r="O29" s="10"/>
      <c r="P29" s="6">
        <v>239.72</v>
      </c>
      <c r="Q29" s="2"/>
      <c r="R29" s="7">
        <f t="shared" si="19"/>
        <v>0</v>
      </c>
      <c r="S29" s="2"/>
      <c r="T29" s="6">
        <v>2517.06</v>
      </c>
      <c r="U29" s="2"/>
      <c r="V29" s="7">
        <f t="shared" si="20"/>
        <v>3.6483581431717279E-3</v>
      </c>
      <c r="W29" s="2"/>
      <c r="X29" s="6">
        <f t="shared" si="21"/>
        <v>-2277.34</v>
      </c>
      <c r="Y29" s="2"/>
      <c r="Z29" s="7">
        <f t="shared" si="22"/>
        <v>-0.90476190476190488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>
        <v>287.82</v>
      </c>
      <c r="I30" s="2"/>
      <c r="J30" s="7">
        <f t="shared" si="16"/>
        <v>0</v>
      </c>
      <c r="K30" s="2"/>
      <c r="L30" s="6">
        <f t="shared" si="17"/>
        <v>-287.82</v>
      </c>
      <c r="M30" s="2"/>
      <c r="N30" s="7">
        <f t="shared" si="18"/>
        <v>-1</v>
      </c>
      <c r="O30" s="10"/>
      <c r="P30" s="6">
        <v>191.88</v>
      </c>
      <c r="Q30" s="2"/>
      <c r="R30" s="7">
        <f t="shared" si="19"/>
        <v>0</v>
      </c>
      <c r="S30" s="2"/>
      <c r="T30" s="6">
        <v>2014.74</v>
      </c>
      <c r="U30" s="2"/>
      <c r="V30" s="7">
        <f t="shared" si="20"/>
        <v>2.9202693163348538E-3</v>
      </c>
      <c r="W30" s="2"/>
      <c r="X30" s="6">
        <f t="shared" si="21"/>
        <v>-1822.8600000000001</v>
      </c>
      <c r="Y30" s="2"/>
      <c r="Z30" s="7">
        <f t="shared" si="22"/>
        <v>-0.90476190476190477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>
        <v>16</v>
      </c>
      <c r="I31" s="2"/>
      <c r="J31" s="7">
        <f t="shared" si="16"/>
        <v>0</v>
      </c>
      <c r="K31" s="2"/>
      <c r="L31" s="6">
        <f t="shared" si="17"/>
        <v>-16</v>
      </c>
      <c r="M31" s="2"/>
      <c r="N31" s="7">
        <f t="shared" si="18"/>
        <v>-1</v>
      </c>
      <c r="O31" s="10"/>
      <c r="P31" s="6"/>
      <c r="Q31" s="2"/>
      <c r="R31" s="7">
        <f t="shared" si="19"/>
        <v>0</v>
      </c>
      <c r="S31" s="2"/>
      <c r="T31" s="6">
        <v>1385.32</v>
      </c>
      <c r="U31" s="2"/>
      <c r="V31" s="7">
        <f t="shared" si="20"/>
        <v>2.0079551154516214E-3</v>
      </c>
      <c r="W31" s="2"/>
      <c r="X31" s="6">
        <f t="shared" si="21"/>
        <v>-1385.32</v>
      </c>
      <c r="Y31" s="2"/>
      <c r="Z31" s="7">
        <f t="shared" si="22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3">IF(D$12=0,0,D32/D$12)</f>
        <v>0</v>
      </c>
      <c r="G32" s="1"/>
      <c r="H32" s="1">
        <f>SUM(OSRRefH22_1x_0)</f>
        <v>3978</v>
      </c>
      <c r="I32" s="1"/>
      <c r="J32" s="5">
        <f t="shared" ref="J32:J37" si="24">IF(H$12=0,0,H32/H$12)</f>
        <v>0</v>
      </c>
      <c r="K32" s="1"/>
      <c r="L32" s="1">
        <f t="shared" ref="L32:L37" si="25">+D32-H32</f>
        <v>-3978</v>
      </c>
      <c r="M32" s="1"/>
      <c r="N32" s="5">
        <f t="shared" ref="N32:N37" si="26">IF(H32=0,0,L32/H32)</f>
        <v>-1</v>
      </c>
      <c r="O32" s="12"/>
      <c r="P32" s="1">
        <f>SUM(OSRRefP22_1x_0)</f>
        <v>2080</v>
      </c>
      <c r="Q32" s="1"/>
      <c r="R32" s="5">
        <f t="shared" ref="R32:R37" si="27">IF(P$12=0,0,P32/P$12)</f>
        <v>0</v>
      </c>
      <c r="S32" s="1"/>
      <c r="T32" s="1">
        <f>SUM(OSRRefT22_1x_0)</f>
        <v>161265.34</v>
      </c>
      <c r="U32" s="1"/>
      <c r="V32" s="5">
        <f t="shared" ref="V32:V37" si="28">IF(T$12=0,0,T32/T$12)</f>
        <v>0.23374640111890754</v>
      </c>
      <c r="W32" s="1"/>
      <c r="X32" s="1">
        <f t="shared" ref="X32:X37" si="29">+P32-T32</f>
        <v>-159185.34</v>
      </c>
      <c r="Y32" s="1"/>
      <c r="Z32" s="5">
        <f t="shared" ref="Z32:Z37" si="30">IF(T32=0,0,X32/T32)</f>
        <v>-0.98710200220332522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>
        <v>3978</v>
      </c>
      <c r="I33" s="2"/>
      <c r="J33" s="7">
        <f t="shared" si="24"/>
        <v>0</v>
      </c>
      <c r="K33" s="2"/>
      <c r="L33" s="6">
        <f t="shared" si="25"/>
        <v>-3978</v>
      </c>
      <c r="M33" s="2"/>
      <c r="N33" s="7">
        <f t="shared" si="26"/>
        <v>-1</v>
      </c>
      <c r="O33" s="10"/>
      <c r="P33" s="6">
        <v>2080</v>
      </c>
      <c r="Q33" s="2"/>
      <c r="R33" s="7">
        <f t="shared" si="27"/>
        <v>0</v>
      </c>
      <c r="S33" s="2"/>
      <c r="T33" s="6">
        <v>38824</v>
      </c>
      <c r="U33" s="2"/>
      <c r="V33" s="7">
        <f t="shared" si="28"/>
        <v>5.6273532037575257E-2</v>
      </c>
      <c r="W33" s="2"/>
      <c r="X33" s="6">
        <f t="shared" si="29"/>
        <v>-36744</v>
      </c>
      <c r="Y33" s="2"/>
      <c r="Z33" s="7">
        <f t="shared" si="30"/>
        <v>-0.94642489181949307</v>
      </c>
    </row>
    <row r="34" spans="1:26" s="23" customFormat="1" hidden="1" outlineLevel="2" x14ac:dyDescent="0.25">
      <c r="A34" s="27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9018.76</v>
      </c>
      <c r="U34" s="2"/>
      <c r="V34" s="7">
        <f t="shared" si="28"/>
        <v>1.3072261482567541E-2</v>
      </c>
      <c r="W34" s="2"/>
      <c r="X34" s="6">
        <f t="shared" si="29"/>
        <v>-9018.76</v>
      </c>
      <c r="Y34" s="2"/>
      <c r="Z34" s="7">
        <f t="shared" si="30"/>
        <v>-1</v>
      </c>
    </row>
    <row r="35" spans="1:26" s="23" customFormat="1" hidden="1" outlineLevel="2" x14ac:dyDescent="0.25">
      <c r="A35" s="27"/>
      <c r="B35" s="10" t="str">
        <f>CONCATENATE("          ", "6006", " - ", "TEMPORARY PART TIME")</f>
        <v xml:space="preserve">          6006 - TEMPORARY PART TIME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1199.43</v>
      </c>
      <c r="U35" s="2"/>
      <c r="V35" s="7">
        <f t="shared" si="28"/>
        <v>1.7385164468326007E-3</v>
      </c>
      <c r="W35" s="2"/>
      <c r="X35" s="6">
        <f t="shared" si="29"/>
        <v>-1199.43</v>
      </c>
      <c r="Y35" s="2"/>
      <c r="Z35" s="7">
        <f t="shared" si="30"/>
        <v>-1</v>
      </c>
    </row>
    <row r="36" spans="1:26" s="23" customFormat="1" hidden="1" outlineLevel="2" x14ac:dyDescent="0.25">
      <c r="A36" s="27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109564.35</v>
      </c>
      <c r="U36" s="2"/>
      <c r="V36" s="7">
        <f t="shared" si="28"/>
        <v>0.15880828765457214</v>
      </c>
      <c r="W36" s="2"/>
      <c r="X36" s="6">
        <f t="shared" si="29"/>
        <v>-109564.35</v>
      </c>
      <c r="Y36" s="2"/>
      <c r="Z36" s="7">
        <f t="shared" si="30"/>
        <v>-1</v>
      </c>
    </row>
    <row r="37" spans="1:26" s="23" customFormat="1" hidden="1" outlineLevel="2" x14ac:dyDescent="0.25">
      <c r="A37" s="27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2658.8</v>
      </c>
      <c r="U37" s="2"/>
      <c r="V37" s="7">
        <f t="shared" si="28"/>
        <v>3.8538034973600119E-3</v>
      </c>
      <c r="W37" s="2"/>
      <c r="X37" s="6">
        <f t="shared" si="29"/>
        <v>-2658.8</v>
      </c>
      <c r="Y37" s="2"/>
      <c r="Z37" s="7">
        <f t="shared" si="30"/>
        <v>-1</v>
      </c>
    </row>
    <row r="38" spans="1:26" s="26" customFormat="1" outlineLevel="1" collapsed="1" x14ac:dyDescent="0.25">
      <c r="A38" s="25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2" si="31">IF(D$12=0,0,D38/D$12)</f>
        <v>0</v>
      </c>
      <c r="G38" s="1"/>
      <c r="H38" s="1">
        <f>SUM(OSRRefH22_2x_0)</f>
        <v>0</v>
      </c>
      <c r="I38" s="1"/>
      <c r="J38" s="5">
        <f t="shared" ref="J38:J52" si="32">IF(H$12=0,0,H38/H$12)</f>
        <v>0</v>
      </c>
      <c r="K38" s="1"/>
      <c r="L38" s="1">
        <f t="shared" ref="L38:L52" si="33">+D38-H38</f>
        <v>0</v>
      </c>
      <c r="M38" s="1"/>
      <c r="N38" s="5">
        <f t="shared" ref="N38:N52" si="34">IF(H38=0,0,L38/H38)</f>
        <v>0</v>
      </c>
      <c r="O38" s="12"/>
      <c r="P38" s="1">
        <f>SUM(OSRRefP22_2x_0)</f>
        <v>0</v>
      </c>
      <c r="Q38" s="1"/>
      <c r="R38" s="5">
        <f t="shared" ref="R38:R52" si="35">IF(P$12=0,0,P38/P$12)</f>
        <v>0</v>
      </c>
      <c r="S38" s="1"/>
      <c r="T38" s="1">
        <f>SUM(OSRRefT22_2x_0)</f>
        <v>262.2</v>
      </c>
      <c r="U38" s="1"/>
      <c r="V38" s="5">
        <f t="shared" ref="V38:V52" si="36">IF(T$12=0,0,T38/T$12)</f>
        <v>3.8004636565661012E-4</v>
      </c>
      <c r="W38" s="1"/>
      <c r="X38" s="1">
        <f t="shared" ref="X38:X52" si="37">+P38-T38</f>
        <v>-262.2</v>
      </c>
      <c r="Y38" s="1"/>
      <c r="Z38" s="5">
        <f t="shared" ref="Z38:Z52" si="38">IF(T38=0,0,X38/T38)</f>
        <v>-1</v>
      </c>
    </row>
    <row r="39" spans="1:26" s="23" customFormat="1" hidden="1" outlineLevel="2" x14ac:dyDescent="0.25">
      <c r="A39" s="27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/>
      <c r="Q39" s="2"/>
      <c r="R39" s="7">
        <f t="shared" si="35"/>
        <v>0</v>
      </c>
      <c r="S39" s="2"/>
      <c r="T39" s="6">
        <v>262.2</v>
      </c>
      <c r="U39" s="2"/>
      <c r="V39" s="7">
        <f t="shared" si="36"/>
        <v>3.8004636565661012E-4</v>
      </c>
      <c r="W39" s="2"/>
      <c r="X39" s="6">
        <f t="shared" si="37"/>
        <v>-262.2</v>
      </c>
      <c r="Y39" s="2"/>
      <c r="Z39" s="7">
        <f t="shared" si="38"/>
        <v>-1</v>
      </c>
    </row>
    <row r="40" spans="1:26" s="26" customFormat="1" outlineLevel="1" collapsed="1" x14ac:dyDescent="0.25">
      <c r="A40" s="25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1"/>
        <v>0</v>
      </c>
      <c r="G40" s="1"/>
      <c r="H40" s="1">
        <f>SUM(OSRRefH22_3x_0)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SUM(OSRRefP22_3x_0)</f>
        <v>0</v>
      </c>
      <c r="Q40" s="1"/>
      <c r="R40" s="5">
        <f t="shared" si="35"/>
        <v>0</v>
      </c>
      <c r="S40" s="1"/>
      <c r="T40" s="1">
        <f>SUM(OSRRefT22_3x_0)</f>
        <v>-53.23</v>
      </c>
      <c r="U40" s="1"/>
      <c r="V40" s="5">
        <f t="shared" si="36"/>
        <v>-7.7154340365756508E-5</v>
      </c>
      <c r="W40" s="1"/>
      <c r="X40" s="1">
        <f t="shared" si="37"/>
        <v>53.23</v>
      </c>
      <c r="Y40" s="1"/>
      <c r="Z40" s="5">
        <f t="shared" si="38"/>
        <v>-1</v>
      </c>
    </row>
    <row r="41" spans="1:26" s="23" customFormat="1" hidden="1" outlineLevel="2" x14ac:dyDescent="0.25">
      <c r="A41" s="27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-53.23</v>
      </c>
      <c r="U41" s="2"/>
      <c r="V41" s="7">
        <f t="shared" si="36"/>
        <v>-7.7154340365756508E-5</v>
      </c>
      <c r="W41" s="2"/>
      <c r="X41" s="6">
        <f t="shared" si="37"/>
        <v>53.23</v>
      </c>
      <c r="Y41" s="2"/>
      <c r="Z41" s="7">
        <f t="shared" si="38"/>
        <v>-1</v>
      </c>
    </row>
    <row r="42" spans="1:26" s="26" customFormat="1" outlineLevel="1" collapsed="1" x14ac:dyDescent="0.25">
      <c r="A42" s="25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31"/>
        <v>0</v>
      </c>
      <c r="G42" s="1"/>
      <c r="H42" s="1">
        <f>SUM(OSRRefH22_4x_0)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2"/>
      <c r="P42" s="1">
        <f>SUM(OSRRefP22_4x_0)</f>
        <v>0</v>
      </c>
      <c r="Q42" s="1"/>
      <c r="R42" s="5">
        <f t="shared" si="35"/>
        <v>0</v>
      </c>
      <c r="S42" s="1"/>
      <c r="T42" s="1">
        <f>SUM(OSRRefT22_4x_0)</f>
        <v>25665.63</v>
      </c>
      <c r="U42" s="1"/>
      <c r="V42" s="5">
        <f t="shared" si="36"/>
        <v>3.7201103752049061E-2</v>
      </c>
      <c r="W42" s="1"/>
      <c r="X42" s="1">
        <f t="shared" si="37"/>
        <v>-25665.63</v>
      </c>
      <c r="Y42" s="1"/>
      <c r="Z42" s="5">
        <f t="shared" si="38"/>
        <v>-1</v>
      </c>
    </row>
    <row r="43" spans="1:26" s="23" customFormat="1" hidden="1" outlineLevel="2" x14ac:dyDescent="0.25">
      <c r="A43" s="27"/>
      <c r="B43" s="10" t="str">
        <f>CONCATENATE("          ", "6381", " - ", "BANK/CREDIT CARD FEES")</f>
        <v xml:space="preserve">          6381 - BANK/CREDIT CARD FEES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/>
      <c r="Q43" s="2"/>
      <c r="R43" s="7">
        <f t="shared" si="35"/>
        <v>0</v>
      </c>
      <c r="S43" s="2"/>
      <c r="T43" s="6">
        <v>25665.63</v>
      </c>
      <c r="U43" s="2"/>
      <c r="V43" s="7">
        <f t="shared" si="36"/>
        <v>3.7201103752049061E-2</v>
      </c>
      <c r="W43" s="2"/>
      <c r="X43" s="6">
        <f t="shared" si="37"/>
        <v>-25665.63</v>
      </c>
      <c r="Y43" s="2"/>
      <c r="Z43" s="7">
        <f t="shared" si="38"/>
        <v>-1</v>
      </c>
    </row>
    <row r="44" spans="1:26" s="26" customFormat="1" outlineLevel="1" collapsed="1" x14ac:dyDescent="0.25">
      <c r="A44" s="25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2017.34</v>
      </c>
      <c r="E44" s="1"/>
      <c r="F44" s="5">
        <f t="shared" si="31"/>
        <v>0</v>
      </c>
      <c r="G44" s="1"/>
      <c r="H44" s="1">
        <f>SUM(OSRRefH22_5x_0)</f>
        <v>2017.34</v>
      </c>
      <c r="I44" s="1"/>
      <c r="J44" s="5">
        <f t="shared" si="32"/>
        <v>0</v>
      </c>
      <c r="K44" s="1"/>
      <c r="L44" s="1">
        <f t="shared" si="33"/>
        <v>0</v>
      </c>
      <c r="M44" s="1"/>
      <c r="N44" s="5">
        <f t="shared" si="34"/>
        <v>0</v>
      </c>
      <c r="O44" s="12"/>
      <c r="P44" s="1">
        <f>SUM(OSRRefP22_5x_0)</f>
        <v>20173.400000000001</v>
      </c>
      <c r="Q44" s="1"/>
      <c r="R44" s="5">
        <f t="shared" si="35"/>
        <v>0</v>
      </c>
      <c r="S44" s="1"/>
      <c r="T44" s="1">
        <f>SUM(OSRRefT22_5x_0)</f>
        <v>18895.32</v>
      </c>
      <c r="U44" s="1"/>
      <c r="V44" s="5">
        <f t="shared" si="36"/>
        <v>2.7387863058423563E-2</v>
      </c>
      <c r="W44" s="1"/>
      <c r="X44" s="1">
        <f t="shared" si="37"/>
        <v>1278.0800000000017</v>
      </c>
      <c r="Y44" s="1"/>
      <c r="Z44" s="5">
        <f t="shared" si="38"/>
        <v>6.7640029382937242E-2</v>
      </c>
    </row>
    <row r="45" spans="1:26" s="23" customFormat="1" hidden="1" outlineLevel="2" x14ac:dyDescent="0.25">
      <c r="A45" s="27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2017.34</v>
      </c>
      <c r="E45" s="2"/>
      <c r="F45" s="7">
        <f t="shared" si="31"/>
        <v>0</v>
      </c>
      <c r="G45" s="2"/>
      <c r="H45" s="6">
        <v>2017.34</v>
      </c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0"/>
      <c r="P45" s="6">
        <v>20173.400000000001</v>
      </c>
      <c r="Q45" s="2"/>
      <c r="R45" s="7">
        <f t="shared" si="35"/>
        <v>0</v>
      </c>
      <c r="S45" s="2"/>
      <c r="T45" s="6">
        <v>18895.32</v>
      </c>
      <c r="U45" s="2"/>
      <c r="V45" s="7">
        <f t="shared" si="36"/>
        <v>2.7387863058423563E-2</v>
      </c>
      <c r="W45" s="2"/>
      <c r="X45" s="6">
        <f t="shared" si="37"/>
        <v>1278.0800000000017</v>
      </c>
      <c r="Y45" s="2"/>
      <c r="Z45" s="7">
        <f t="shared" si="38"/>
        <v>6.7640029382937242E-2</v>
      </c>
    </row>
    <row r="46" spans="1:26" s="26" customFormat="1" outlineLevel="1" collapsed="1" x14ac:dyDescent="0.25">
      <c r="A46" s="25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SUM(OSRRefD22_6x_0)</f>
        <v>0</v>
      </c>
      <c r="E46" s="1"/>
      <c r="F46" s="5">
        <f t="shared" si="31"/>
        <v>0</v>
      </c>
      <c r="G46" s="1"/>
      <c r="H46" s="1">
        <f>SUM(OSRRefH22_6x_0)</f>
        <v>0</v>
      </c>
      <c r="I46" s="1"/>
      <c r="J46" s="5">
        <f t="shared" si="32"/>
        <v>0</v>
      </c>
      <c r="K46" s="1"/>
      <c r="L46" s="1">
        <f t="shared" si="33"/>
        <v>0</v>
      </c>
      <c r="M46" s="1"/>
      <c r="N46" s="5">
        <f t="shared" si="34"/>
        <v>0</v>
      </c>
      <c r="O46" s="12"/>
      <c r="P46" s="1">
        <f>SUM(OSRRefP22_6x_0)</f>
        <v>0</v>
      </c>
      <c r="Q46" s="1"/>
      <c r="R46" s="5">
        <f t="shared" si="35"/>
        <v>0</v>
      </c>
      <c r="S46" s="1"/>
      <c r="T46" s="1">
        <f>SUM(OSRRefT22_6x_0)</f>
        <v>1231.03</v>
      </c>
      <c r="U46" s="1"/>
      <c r="V46" s="5">
        <f t="shared" si="36"/>
        <v>1.7843191362099801E-3</v>
      </c>
      <c r="W46" s="1"/>
      <c r="X46" s="1">
        <f t="shared" si="37"/>
        <v>-1231.03</v>
      </c>
      <c r="Y46" s="1"/>
      <c r="Z46" s="5">
        <f t="shared" si="38"/>
        <v>-1</v>
      </c>
    </row>
    <row r="47" spans="1:26" s="23" customFormat="1" hidden="1" outlineLevel="2" x14ac:dyDescent="0.25">
      <c r="A47" s="27"/>
      <c r="B47" s="10" t="str">
        <f>CONCATENATE("          ", "6279", " - ", "GENERAL EXPENSE")</f>
        <v xml:space="preserve">          6279 - GENERAL EXPENSE</v>
      </c>
      <c r="C47" s="10"/>
      <c r="D47" s="6"/>
      <c r="E47" s="2"/>
      <c r="F47" s="7">
        <f t="shared" si="31"/>
        <v>0</v>
      </c>
      <c r="G47" s="2"/>
      <c r="H47" s="6"/>
      <c r="I47" s="2"/>
      <c r="J47" s="7">
        <f t="shared" si="32"/>
        <v>0</v>
      </c>
      <c r="K47" s="2"/>
      <c r="L47" s="6">
        <f t="shared" si="33"/>
        <v>0</v>
      </c>
      <c r="M47" s="2"/>
      <c r="N47" s="7">
        <f t="shared" si="34"/>
        <v>0</v>
      </c>
      <c r="O47" s="10"/>
      <c r="P47" s="6"/>
      <c r="Q47" s="2"/>
      <c r="R47" s="7">
        <f t="shared" si="35"/>
        <v>0</v>
      </c>
      <c r="S47" s="2"/>
      <c r="T47" s="6">
        <v>1231.03</v>
      </c>
      <c r="U47" s="2"/>
      <c r="V47" s="7">
        <f t="shared" si="36"/>
        <v>1.7843191362099801E-3</v>
      </c>
      <c r="W47" s="2"/>
      <c r="X47" s="6">
        <f t="shared" si="37"/>
        <v>-1231.03</v>
      </c>
      <c r="Y47" s="2"/>
      <c r="Z47" s="7">
        <f t="shared" si="38"/>
        <v>-1</v>
      </c>
    </row>
    <row r="48" spans="1:26" s="26" customFormat="1" outlineLevel="1" collapsed="1" x14ac:dyDescent="0.25">
      <c r="A48" s="25"/>
      <c r="B48" s="12" t="str">
        <f>CONCATENATE("     ","Rent                                              ")</f>
        <v xml:space="preserve">     Rent                                              </v>
      </c>
      <c r="C48" s="12"/>
      <c r="D48" s="1">
        <f>SUM(OSRRefD22_7x_0)</f>
        <v>0</v>
      </c>
      <c r="E48" s="1"/>
      <c r="F48" s="5">
        <f t="shared" si="31"/>
        <v>0</v>
      </c>
      <c r="G48" s="1"/>
      <c r="H48" s="1">
        <f>SUM(OSRRefH22_7x_0)</f>
        <v>1150</v>
      </c>
      <c r="I48" s="1"/>
      <c r="J48" s="5">
        <f t="shared" si="32"/>
        <v>0</v>
      </c>
      <c r="K48" s="1"/>
      <c r="L48" s="1">
        <f t="shared" si="33"/>
        <v>-1150</v>
      </c>
      <c r="M48" s="1"/>
      <c r="N48" s="5">
        <f t="shared" si="34"/>
        <v>-1</v>
      </c>
      <c r="O48" s="12"/>
      <c r="P48" s="1">
        <f>SUM(OSRRefP22_7x_0)</f>
        <v>0</v>
      </c>
      <c r="Q48" s="1"/>
      <c r="R48" s="5">
        <f t="shared" si="35"/>
        <v>0</v>
      </c>
      <c r="S48" s="1"/>
      <c r="T48" s="1">
        <f>SUM(OSRRefT22_7x_0)</f>
        <v>11500</v>
      </c>
      <c r="U48" s="1"/>
      <c r="V48" s="5">
        <f t="shared" si="36"/>
        <v>1.6668700248096937E-2</v>
      </c>
      <c r="W48" s="1"/>
      <c r="X48" s="1">
        <f t="shared" si="37"/>
        <v>-11500</v>
      </c>
      <c r="Y48" s="1"/>
      <c r="Z48" s="5">
        <f t="shared" si="38"/>
        <v>-1</v>
      </c>
    </row>
    <row r="49" spans="1:26" s="23" customFormat="1" hidden="1" outlineLevel="2" x14ac:dyDescent="0.25">
      <c r="A49" s="27"/>
      <c r="B49" s="10" t="str">
        <f>CONCATENATE("          ", "6273", " - ", "RENT")</f>
        <v xml:space="preserve">          6273 - RENT</v>
      </c>
      <c r="C49" s="10"/>
      <c r="D49" s="6"/>
      <c r="E49" s="2"/>
      <c r="F49" s="7">
        <f t="shared" si="31"/>
        <v>0</v>
      </c>
      <c r="G49" s="2"/>
      <c r="H49" s="6">
        <v>1150</v>
      </c>
      <c r="I49" s="2"/>
      <c r="J49" s="7">
        <f t="shared" si="32"/>
        <v>0</v>
      </c>
      <c r="K49" s="2"/>
      <c r="L49" s="6">
        <f t="shared" si="33"/>
        <v>-1150</v>
      </c>
      <c r="M49" s="2"/>
      <c r="N49" s="7">
        <f t="shared" si="34"/>
        <v>-1</v>
      </c>
      <c r="O49" s="10"/>
      <c r="P49" s="6"/>
      <c r="Q49" s="2"/>
      <c r="R49" s="7">
        <f t="shared" si="35"/>
        <v>0</v>
      </c>
      <c r="S49" s="2"/>
      <c r="T49" s="6">
        <v>11500</v>
      </c>
      <c r="U49" s="2"/>
      <c r="V49" s="7">
        <f t="shared" si="36"/>
        <v>1.6668700248096937E-2</v>
      </c>
      <c r="W49" s="2"/>
      <c r="X49" s="6">
        <f t="shared" si="37"/>
        <v>-11500</v>
      </c>
      <c r="Y49" s="2"/>
      <c r="Z49" s="7">
        <f t="shared" si="38"/>
        <v>-1</v>
      </c>
    </row>
    <row r="50" spans="1:26" s="26" customFormat="1" outlineLevel="1" collapsed="1" x14ac:dyDescent="0.25">
      <c r="A50" s="25"/>
      <c r="B50" s="12" t="str">
        <f>CONCATENATE("     ","Repair and Maintenance                            ")</f>
        <v xml:space="preserve">     Repair and Maintenance                            </v>
      </c>
      <c r="C50" s="12"/>
      <c r="D50" s="1">
        <f>SUM(OSRRefD22_8x_0)</f>
        <v>0</v>
      </c>
      <c r="E50" s="1"/>
      <c r="F50" s="5">
        <f t="shared" si="31"/>
        <v>0</v>
      </c>
      <c r="G50" s="1"/>
      <c r="H50" s="1">
        <f>SUM(OSRRefH22_8x_0)</f>
        <v>180</v>
      </c>
      <c r="I50" s="1"/>
      <c r="J50" s="5">
        <f t="shared" si="32"/>
        <v>0</v>
      </c>
      <c r="K50" s="1"/>
      <c r="L50" s="1">
        <f t="shared" si="33"/>
        <v>-180</v>
      </c>
      <c r="M50" s="1"/>
      <c r="N50" s="5">
        <f t="shared" si="34"/>
        <v>-1</v>
      </c>
      <c r="O50" s="12"/>
      <c r="P50" s="1">
        <f>SUM(OSRRefP22_8x_0)</f>
        <v>295.64999999999998</v>
      </c>
      <c r="Q50" s="1"/>
      <c r="R50" s="5">
        <f t="shared" si="35"/>
        <v>0</v>
      </c>
      <c r="S50" s="1"/>
      <c r="T50" s="1">
        <f>SUM(OSRRefT22_8x_0)</f>
        <v>6394.04</v>
      </c>
      <c r="U50" s="1"/>
      <c r="V50" s="5">
        <f t="shared" si="36"/>
        <v>9.2678553160297165E-3</v>
      </c>
      <c r="W50" s="1"/>
      <c r="X50" s="1">
        <f t="shared" si="37"/>
        <v>-6098.39</v>
      </c>
      <c r="Y50" s="1"/>
      <c r="Z50" s="5">
        <f t="shared" si="38"/>
        <v>-0.95376162801608999</v>
      </c>
    </row>
    <row r="51" spans="1:26" s="23" customFormat="1" hidden="1" outlineLevel="2" x14ac:dyDescent="0.25">
      <c r="A51" s="27"/>
      <c r="B51" s="10" t="str">
        <f>CONCATENATE("          ", "6373", " - ", "MAINTENANCE CONTRACTS")</f>
        <v xml:space="preserve">          6373 - MAINTENANCE CONTRACTS</v>
      </c>
      <c r="C51" s="10"/>
      <c r="D51" s="6"/>
      <c r="E51" s="2"/>
      <c r="F51" s="7">
        <f t="shared" si="31"/>
        <v>0</v>
      </c>
      <c r="G51" s="2"/>
      <c r="H51" s="6"/>
      <c r="I51" s="2"/>
      <c r="J51" s="7">
        <f t="shared" si="32"/>
        <v>0</v>
      </c>
      <c r="K51" s="2"/>
      <c r="L51" s="6">
        <f t="shared" si="33"/>
        <v>0</v>
      </c>
      <c r="M51" s="2"/>
      <c r="N51" s="7">
        <f t="shared" si="34"/>
        <v>0</v>
      </c>
      <c r="O51" s="10"/>
      <c r="P51" s="6">
        <v>295.64999999999998</v>
      </c>
      <c r="Q51" s="2"/>
      <c r="R51" s="7">
        <f t="shared" si="35"/>
        <v>0</v>
      </c>
      <c r="S51" s="2"/>
      <c r="T51" s="6">
        <v>212.18</v>
      </c>
      <c r="U51" s="2"/>
      <c r="V51" s="7">
        <f t="shared" si="36"/>
        <v>3.075447668383659E-4</v>
      </c>
      <c r="W51" s="2"/>
      <c r="X51" s="6">
        <f t="shared" si="37"/>
        <v>83.46999999999997</v>
      </c>
      <c r="Y51" s="2"/>
      <c r="Z51" s="7">
        <f t="shared" si="38"/>
        <v>0.39339240267697223</v>
      </c>
    </row>
    <row r="52" spans="1:26" s="23" customFormat="1" hidden="1" outlineLevel="2" x14ac:dyDescent="0.25">
      <c r="A52" s="27"/>
      <c r="B52" s="10" t="str">
        <f>CONCATENATE("          ", "6375", " - ", "OUTSIDE REPAIRS &amp; MAINTENANCE")</f>
        <v xml:space="preserve">          6375 - OUTSIDE REPAIRS &amp; MAINTENANCE</v>
      </c>
      <c r="C52" s="10"/>
      <c r="D52" s="6"/>
      <c r="E52" s="2"/>
      <c r="F52" s="7">
        <f t="shared" si="31"/>
        <v>0</v>
      </c>
      <c r="G52" s="2"/>
      <c r="H52" s="6">
        <v>180</v>
      </c>
      <c r="I52" s="2"/>
      <c r="J52" s="7">
        <f t="shared" si="32"/>
        <v>0</v>
      </c>
      <c r="K52" s="2"/>
      <c r="L52" s="6">
        <f t="shared" si="33"/>
        <v>-180</v>
      </c>
      <c r="M52" s="2"/>
      <c r="N52" s="7">
        <f t="shared" si="34"/>
        <v>-1</v>
      </c>
      <c r="O52" s="10"/>
      <c r="P52" s="6"/>
      <c r="Q52" s="2"/>
      <c r="R52" s="7">
        <f t="shared" si="35"/>
        <v>0</v>
      </c>
      <c r="S52" s="2"/>
      <c r="T52" s="6">
        <v>6181.86</v>
      </c>
      <c r="U52" s="2"/>
      <c r="V52" s="7">
        <f t="shared" si="36"/>
        <v>8.9603105491913495E-3</v>
      </c>
      <c r="W52" s="2"/>
      <c r="X52" s="6">
        <f t="shared" si="37"/>
        <v>-6181.86</v>
      </c>
      <c r="Y52" s="2"/>
      <c r="Z52" s="7">
        <f t="shared" si="38"/>
        <v>-1</v>
      </c>
    </row>
    <row r="53" spans="1:26" s="26" customFormat="1" outlineLevel="1" collapsed="1" x14ac:dyDescent="0.25">
      <c r="A53" s="25"/>
      <c r="B53" s="12" t="str">
        <f>CONCATENATE("     ","Services                                          ")</f>
        <v xml:space="preserve">     Services                                          </v>
      </c>
      <c r="C53" s="12"/>
      <c r="D53" s="1">
        <f>SUM(OSRRefD22_9x_0)</f>
        <v>0</v>
      </c>
      <c r="E53" s="1"/>
      <c r="F53" s="5">
        <f t="shared" ref="F53:F56" si="39">IF(D$12=0,0,D53/D$12)</f>
        <v>0</v>
      </c>
      <c r="G53" s="1"/>
      <c r="H53" s="1">
        <f>SUM(OSRRefH22_9x_0)</f>
        <v>81.040000000000006</v>
      </c>
      <c r="I53" s="1"/>
      <c r="J53" s="5">
        <f t="shared" ref="J53:J56" si="40">IF(H$12=0,0,H53/H$12)</f>
        <v>0</v>
      </c>
      <c r="K53" s="1"/>
      <c r="L53" s="1">
        <f t="shared" ref="L53:L56" si="41">+D53-H53</f>
        <v>-81.040000000000006</v>
      </c>
      <c r="M53" s="1"/>
      <c r="N53" s="5">
        <f t="shared" ref="N53:N56" si="42">IF(H53=0,0,L53/H53)</f>
        <v>-1</v>
      </c>
      <c r="O53" s="12"/>
      <c r="P53" s="1">
        <f>SUM(OSRRefP22_9x_0)</f>
        <v>-1053.52</v>
      </c>
      <c r="Q53" s="1"/>
      <c r="R53" s="5">
        <f t="shared" ref="R53:R56" si="43">IF(P$12=0,0,P53/P$12)</f>
        <v>0</v>
      </c>
      <c r="S53" s="1"/>
      <c r="T53" s="1">
        <f>SUM(OSRRefT22_9x_0)</f>
        <v>4261.54</v>
      </c>
      <c r="U53" s="1"/>
      <c r="V53" s="5">
        <f t="shared" ref="V53:V56" si="44">IF(T$12=0,0,T53/T$12)</f>
        <v>6.176898509154349E-3</v>
      </c>
      <c r="W53" s="1"/>
      <c r="X53" s="1">
        <f t="shared" ref="X53:X56" si="45">+P53-T53</f>
        <v>-5315.0599999999995</v>
      </c>
      <c r="Y53" s="1"/>
      <c r="Z53" s="5">
        <f t="shared" ref="Z53:Z56" si="46">IF(T53=0,0,X53/T53)</f>
        <v>-1.2472157952289546</v>
      </c>
    </row>
    <row r="54" spans="1:26" s="23" customFormat="1" hidden="1" outlineLevel="2" x14ac:dyDescent="0.25">
      <c r="A54" s="27"/>
      <c r="B54" s="10" t="str">
        <f>CONCATENATE("          ", "6282", " - ", "JANITORIAL/EXTERMINATOR EXPENS")</f>
        <v xml:space="preserve">          6282 - JANITORIAL/EXTERMINATOR EXPENS</v>
      </c>
      <c r="C54" s="10"/>
      <c r="D54" s="6"/>
      <c r="E54" s="2"/>
      <c r="F54" s="7">
        <f t="shared" si="39"/>
        <v>0</v>
      </c>
      <c r="G54" s="2"/>
      <c r="H54" s="6"/>
      <c r="I54" s="2"/>
      <c r="J54" s="7">
        <f t="shared" si="40"/>
        <v>0</v>
      </c>
      <c r="K54" s="2"/>
      <c r="L54" s="6">
        <f t="shared" si="41"/>
        <v>0</v>
      </c>
      <c r="M54" s="2"/>
      <c r="N54" s="7">
        <f t="shared" si="42"/>
        <v>0</v>
      </c>
      <c r="O54" s="10"/>
      <c r="P54" s="6">
        <v>-567.28</v>
      </c>
      <c r="Q54" s="2"/>
      <c r="R54" s="7">
        <f t="shared" si="43"/>
        <v>0</v>
      </c>
      <c r="S54" s="2"/>
      <c r="T54" s="6">
        <v>1051.29</v>
      </c>
      <c r="U54" s="2"/>
      <c r="V54" s="7">
        <f t="shared" si="44"/>
        <v>1.5237945985932023E-3</v>
      </c>
      <c r="W54" s="2"/>
      <c r="X54" s="6">
        <f t="shared" si="45"/>
        <v>-1618.57</v>
      </c>
      <c r="Y54" s="2"/>
      <c r="Z54" s="7">
        <f t="shared" si="46"/>
        <v>-1.5396037249474455</v>
      </c>
    </row>
    <row r="55" spans="1:26" s="23" customFormat="1" hidden="1" outlineLevel="2" x14ac:dyDescent="0.25">
      <c r="A55" s="27"/>
      <c r="B55" s="10" t="str">
        <f>CONCATENATE("          ", "6285", " - ", "JANITORIAL SERVICES")</f>
        <v xml:space="preserve">          6285 - JANITORIAL SERVICES</v>
      </c>
      <c r="C55" s="10"/>
      <c r="D55" s="6"/>
      <c r="E55" s="2"/>
      <c r="F55" s="7">
        <f t="shared" si="39"/>
        <v>0</v>
      </c>
      <c r="G55" s="2"/>
      <c r="H55" s="6">
        <v>81.040000000000006</v>
      </c>
      <c r="I55" s="2"/>
      <c r="J55" s="7">
        <f t="shared" si="40"/>
        <v>0</v>
      </c>
      <c r="K55" s="2"/>
      <c r="L55" s="6">
        <f t="shared" si="41"/>
        <v>-81.040000000000006</v>
      </c>
      <c r="M55" s="2"/>
      <c r="N55" s="7">
        <f t="shared" si="42"/>
        <v>-1</v>
      </c>
      <c r="O55" s="10"/>
      <c r="P55" s="6">
        <v>-486.24</v>
      </c>
      <c r="Q55" s="2"/>
      <c r="R55" s="7">
        <f t="shared" si="43"/>
        <v>0</v>
      </c>
      <c r="S55" s="2"/>
      <c r="T55" s="6">
        <v>678.24</v>
      </c>
      <c r="U55" s="2"/>
      <c r="V55" s="7">
        <f t="shared" si="44"/>
        <v>9.8307645706689263E-4</v>
      </c>
      <c r="W55" s="2"/>
      <c r="X55" s="6">
        <f t="shared" si="45"/>
        <v>-1164.48</v>
      </c>
      <c r="Y55" s="2"/>
      <c r="Z55" s="7">
        <f t="shared" si="46"/>
        <v>-1.7169143665958952</v>
      </c>
    </row>
    <row r="56" spans="1:26" s="23" customFormat="1" hidden="1" outlineLevel="2" x14ac:dyDescent="0.25">
      <c r="A56" s="27"/>
      <c r="B56" s="10" t="str">
        <f>CONCATENATE("          ", "6286", " - ", "LAUNDRY EXPENSE")</f>
        <v xml:space="preserve">          6286 - LAUNDRY EXPENSE</v>
      </c>
      <c r="C56" s="10"/>
      <c r="D56" s="6"/>
      <c r="E56" s="2"/>
      <c r="F56" s="7">
        <f t="shared" si="39"/>
        <v>0</v>
      </c>
      <c r="G56" s="2"/>
      <c r="H56" s="6"/>
      <c r="I56" s="2"/>
      <c r="J56" s="7">
        <f t="shared" si="40"/>
        <v>0</v>
      </c>
      <c r="K56" s="2"/>
      <c r="L56" s="6">
        <f t="shared" si="41"/>
        <v>0</v>
      </c>
      <c r="M56" s="2"/>
      <c r="N56" s="7">
        <f t="shared" si="42"/>
        <v>0</v>
      </c>
      <c r="O56" s="10"/>
      <c r="P56" s="6"/>
      <c r="Q56" s="2"/>
      <c r="R56" s="7">
        <f t="shared" si="43"/>
        <v>0</v>
      </c>
      <c r="S56" s="2"/>
      <c r="T56" s="6">
        <v>2532.0100000000002</v>
      </c>
      <c r="U56" s="2"/>
      <c r="V56" s="7">
        <f t="shared" si="44"/>
        <v>3.6700274534942545E-3</v>
      </c>
      <c r="W56" s="2"/>
      <c r="X56" s="6">
        <f t="shared" si="45"/>
        <v>-2532.0100000000002</v>
      </c>
      <c r="Y56" s="2"/>
      <c r="Z56" s="7">
        <f t="shared" si="46"/>
        <v>-1</v>
      </c>
    </row>
    <row r="57" spans="1:26" s="26" customFormat="1" outlineLevel="1" collapsed="1" x14ac:dyDescent="0.25">
      <c r="A57" s="25"/>
      <c r="B57" s="12" t="str">
        <f>CONCATENATE("     ","Supplies                                          ")</f>
        <v xml:space="preserve">     Supplies                                          </v>
      </c>
      <c r="C57" s="12"/>
      <c r="D57" s="1">
        <f>SUM(OSRRefD22_10x_0)</f>
        <v>0</v>
      </c>
      <c r="E57" s="1"/>
      <c r="F57" s="5">
        <f t="shared" ref="F57:F64" si="47">IF(D$12=0,0,D57/D$12)</f>
        <v>0</v>
      </c>
      <c r="G57" s="1"/>
      <c r="H57" s="1">
        <f>SUM(OSRRefH22_10x_0)</f>
        <v>25</v>
      </c>
      <c r="I57" s="1"/>
      <c r="J57" s="5">
        <f t="shared" ref="J57:J64" si="48">IF(H$12=0,0,H57/H$12)</f>
        <v>0</v>
      </c>
      <c r="K57" s="1"/>
      <c r="L57" s="1">
        <f t="shared" ref="L57:L64" si="49">+D57-H57</f>
        <v>-25</v>
      </c>
      <c r="M57" s="1"/>
      <c r="N57" s="5">
        <f t="shared" ref="N57:N64" si="50">IF(H57=0,0,L57/H57)</f>
        <v>-1</v>
      </c>
      <c r="O57" s="12"/>
      <c r="P57" s="1">
        <f>SUM(OSRRefP22_10x_0)</f>
        <v>131.30000000000001</v>
      </c>
      <c r="Q57" s="1"/>
      <c r="R57" s="5">
        <f t="shared" ref="R57:R64" si="51">IF(P$12=0,0,P57/P$12)</f>
        <v>0</v>
      </c>
      <c r="S57" s="1"/>
      <c r="T57" s="1">
        <f>SUM(OSRRefT22_10x_0)</f>
        <v>14338.21</v>
      </c>
      <c r="U57" s="1"/>
      <c r="V57" s="5">
        <f t="shared" ref="V57:V64" si="52">IF(T$12=0,0,T57/T$12)</f>
        <v>2.0782549963849213E-2</v>
      </c>
      <c r="W57" s="1"/>
      <c r="X57" s="1">
        <f t="shared" ref="X57:X64" si="53">+P57-T57</f>
        <v>-14206.91</v>
      </c>
      <c r="Y57" s="1"/>
      <c r="Z57" s="5">
        <f t="shared" ref="Z57:Z64" si="54">IF(T57=0,0,X57/T57)</f>
        <v>-0.99084265051216303</v>
      </c>
    </row>
    <row r="58" spans="1:26" s="23" customFormat="1" hidden="1" outlineLevel="2" x14ac:dyDescent="0.25">
      <c r="A58" s="27"/>
      <c r="B58" s="10" t="str">
        <f>CONCATENATE("          ", "6234", " - ", "EXPENDABLE SUPPLIES &amp; EQUIPMEN")</f>
        <v xml:space="preserve">          6234 - EXPENDABLE SUPPLIES &amp; EQUIPMEN</v>
      </c>
      <c r="C58" s="10"/>
      <c r="D58" s="6"/>
      <c r="E58" s="2"/>
      <c r="F58" s="7">
        <f t="shared" si="47"/>
        <v>0</v>
      </c>
      <c r="G58" s="2"/>
      <c r="H58" s="6"/>
      <c r="I58" s="2"/>
      <c r="J58" s="7">
        <f t="shared" si="48"/>
        <v>0</v>
      </c>
      <c r="K58" s="2"/>
      <c r="L58" s="6">
        <f t="shared" si="49"/>
        <v>0</v>
      </c>
      <c r="M58" s="2"/>
      <c r="N58" s="7">
        <f t="shared" si="50"/>
        <v>0</v>
      </c>
      <c r="O58" s="10"/>
      <c r="P58" s="6"/>
      <c r="Q58" s="2"/>
      <c r="R58" s="7">
        <f t="shared" si="51"/>
        <v>0</v>
      </c>
      <c r="S58" s="2"/>
      <c r="T58" s="6">
        <v>354.71</v>
      </c>
      <c r="U58" s="2"/>
      <c r="V58" s="7">
        <f t="shared" si="52"/>
        <v>5.1413518826108379E-4</v>
      </c>
      <c r="W58" s="2"/>
      <c r="X58" s="6">
        <f t="shared" si="53"/>
        <v>-354.71</v>
      </c>
      <c r="Y58" s="2"/>
      <c r="Z58" s="7">
        <f t="shared" si="54"/>
        <v>-1</v>
      </c>
    </row>
    <row r="59" spans="1:26" s="23" customFormat="1" hidden="1" outlineLevel="2" x14ac:dyDescent="0.25">
      <c r="A59" s="27"/>
      <c r="B59" s="10" t="str">
        <f>CONCATENATE("          ", "6237", " - ", "JANITORIAL SUPPLIES")</f>
        <v xml:space="preserve">          6237 - JANITORIAL SUPPLIES</v>
      </c>
      <c r="C59" s="10"/>
      <c r="D59" s="6"/>
      <c r="E59" s="2"/>
      <c r="F59" s="7">
        <f t="shared" si="47"/>
        <v>0</v>
      </c>
      <c r="G59" s="2"/>
      <c r="H59" s="6"/>
      <c r="I59" s="2"/>
      <c r="J59" s="7">
        <f t="shared" si="48"/>
        <v>0</v>
      </c>
      <c r="K59" s="2"/>
      <c r="L59" s="6">
        <f t="shared" si="49"/>
        <v>0</v>
      </c>
      <c r="M59" s="2"/>
      <c r="N59" s="7">
        <f t="shared" si="50"/>
        <v>0</v>
      </c>
      <c r="O59" s="10"/>
      <c r="P59" s="6"/>
      <c r="Q59" s="2"/>
      <c r="R59" s="7">
        <f t="shared" si="51"/>
        <v>0</v>
      </c>
      <c r="S59" s="2"/>
      <c r="T59" s="6">
        <v>1709.62</v>
      </c>
      <c r="U59" s="2"/>
      <c r="V59" s="7">
        <f t="shared" si="52"/>
        <v>2.4780124624479549E-3</v>
      </c>
      <c r="W59" s="2"/>
      <c r="X59" s="6">
        <f t="shared" si="53"/>
        <v>-1709.62</v>
      </c>
      <c r="Y59" s="2"/>
      <c r="Z59" s="7">
        <f t="shared" si="54"/>
        <v>-1</v>
      </c>
    </row>
    <row r="60" spans="1:26" s="23" customFormat="1" hidden="1" outlineLevel="2" x14ac:dyDescent="0.25">
      <c r="A60" s="27"/>
      <c r="B60" s="10" t="str">
        <f>CONCATENATE("          ", "6239", " - ", "KITCHEN SUPPLIES")</f>
        <v xml:space="preserve">          6239 - KITCHEN SUPPLIES</v>
      </c>
      <c r="C60" s="10"/>
      <c r="D60" s="6"/>
      <c r="E60" s="2"/>
      <c r="F60" s="7">
        <f t="shared" si="47"/>
        <v>0</v>
      </c>
      <c r="G60" s="2"/>
      <c r="H60" s="6"/>
      <c r="I60" s="2"/>
      <c r="J60" s="7">
        <f t="shared" si="48"/>
        <v>0</v>
      </c>
      <c r="K60" s="2"/>
      <c r="L60" s="6">
        <f t="shared" si="49"/>
        <v>0</v>
      </c>
      <c r="M60" s="2"/>
      <c r="N60" s="7">
        <f t="shared" si="50"/>
        <v>0</v>
      </c>
      <c r="O60" s="10"/>
      <c r="P60" s="6"/>
      <c r="Q60" s="2"/>
      <c r="R60" s="7">
        <f t="shared" si="51"/>
        <v>0</v>
      </c>
      <c r="S60" s="2"/>
      <c r="T60" s="6">
        <v>441.2</v>
      </c>
      <c r="U60" s="2"/>
      <c r="V60" s="7">
        <f t="shared" si="52"/>
        <v>6.3949830864872762E-4</v>
      </c>
      <c r="W60" s="2"/>
      <c r="X60" s="6">
        <f t="shared" si="53"/>
        <v>-441.2</v>
      </c>
      <c r="Y60" s="2"/>
      <c r="Z60" s="7">
        <f t="shared" si="54"/>
        <v>-1</v>
      </c>
    </row>
    <row r="61" spans="1:26" s="23" customFormat="1" hidden="1" outlineLevel="2" x14ac:dyDescent="0.25">
      <c r="A61" s="27"/>
      <c r="B61" s="10" t="str">
        <f>CONCATENATE("          ", "6241", " - ", "OFFICE EXPENSE")</f>
        <v xml:space="preserve">          6241 - OFFICE EXPENSE</v>
      </c>
      <c r="C61" s="10"/>
      <c r="D61" s="6"/>
      <c r="E61" s="2"/>
      <c r="F61" s="7">
        <f t="shared" si="47"/>
        <v>0</v>
      </c>
      <c r="G61" s="2"/>
      <c r="H61" s="6"/>
      <c r="I61" s="2"/>
      <c r="J61" s="7">
        <f t="shared" si="48"/>
        <v>0</v>
      </c>
      <c r="K61" s="2"/>
      <c r="L61" s="6">
        <f t="shared" si="49"/>
        <v>0</v>
      </c>
      <c r="M61" s="2"/>
      <c r="N61" s="7">
        <f t="shared" si="50"/>
        <v>0</v>
      </c>
      <c r="O61" s="10"/>
      <c r="P61" s="6">
        <v>131.30000000000001</v>
      </c>
      <c r="Q61" s="2"/>
      <c r="R61" s="7">
        <f t="shared" si="51"/>
        <v>0</v>
      </c>
      <c r="S61" s="2"/>
      <c r="T61" s="6">
        <v>1564.62</v>
      </c>
      <c r="U61" s="2"/>
      <c r="V61" s="7">
        <f t="shared" si="52"/>
        <v>2.2678418941023851E-3</v>
      </c>
      <c r="W61" s="2"/>
      <c r="X61" s="6">
        <f t="shared" si="53"/>
        <v>-1433.32</v>
      </c>
      <c r="Y61" s="2"/>
      <c r="Z61" s="7">
        <f t="shared" si="54"/>
        <v>-0.91608186013217274</v>
      </c>
    </row>
    <row r="62" spans="1:26" s="23" customFormat="1" hidden="1" outlineLevel="2" x14ac:dyDescent="0.25">
      <c r="A62" s="27"/>
      <c r="B62" s="10" t="str">
        <f>CONCATENATE("          ", "6243", " - ", "PAPER SUPPLIES")</f>
        <v xml:space="preserve">          6243 - PAPER SUPPLIES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/>
      <c r="Q62" s="2"/>
      <c r="R62" s="7">
        <f t="shared" si="51"/>
        <v>0</v>
      </c>
      <c r="S62" s="2"/>
      <c r="T62" s="6">
        <v>2823.28</v>
      </c>
      <c r="U62" s="2"/>
      <c r="V62" s="7">
        <f t="shared" si="52"/>
        <v>4.0922093944736624E-3</v>
      </c>
      <c r="W62" s="2"/>
      <c r="X62" s="6">
        <f t="shared" si="53"/>
        <v>-2823.28</v>
      </c>
      <c r="Y62" s="2"/>
      <c r="Z62" s="7">
        <f t="shared" si="54"/>
        <v>-1</v>
      </c>
    </row>
    <row r="63" spans="1:26" s="23" customFormat="1" hidden="1" outlineLevel="2" x14ac:dyDescent="0.25">
      <c r="A63" s="27"/>
      <c r="B63" s="10" t="str">
        <f>CONCATENATE("          ", "6247", " - ", "STORE SUPPLIES")</f>
        <v xml:space="preserve">          6247 - STORE SUPPLIES</v>
      </c>
      <c r="C63" s="10"/>
      <c r="D63" s="6"/>
      <c r="E63" s="2"/>
      <c r="F63" s="7">
        <f t="shared" si="47"/>
        <v>0</v>
      </c>
      <c r="G63" s="2"/>
      <c r="H63" s="6">
        <v>25</v>
      </c>
      <c r="I63" s="2"/>
      <c r="J63" s="7">
        <f t="shared" si="48"/>
        <v>0</v>
      </c>
      <c r="K63" s="2"/>
      <c r="L63" s="6">
        <f t="shared" si="49"/>
        <v>-25</v>
      </c>
      <c r="M63" s="2"/>
      <c r="N63" s="7">
        <f t="shared" si="50"/>
        <v>-1</v>
      </c>
      <c r="O63" s="10"/>
      <c r="P63" s="6"/>
      <c r="Q63" s="2"/>
      <c r="R63" s="7">
        <f t="shared" si="51"/>
        <v>0</v>
      </c>
      <c r="S63" s="2"/>
      <c r="T63" s="6">
        <v>7367.19</v>
      </c>
      <c r="U63" s="2"/>
      <c r="V63" s="7">
        <f t="shared" si="52"/>
        <v>1.0678389720067587E-2</v>
      </c>
      <c r="W63" s="2"/>
      <c r="X63" s="6">
        <f t="shared" si="53"/>
        <v>-7367.19</v>
      </c>
      <c r="Y63" s="2"/>
      <c r="Z63" s="7">
        <f t="shared" si="54"/>
        <v>-1</v>
      </c>
    </row>
    <row r="64" spans="1:26" s="23" customFormat="1" hidden="1" outlineLevel="2" x14ac:dyDescent="0.25">
      <c r="A64" s="27"/>
      <c r="B64" s="10" t="str">
        <f>CONCATENATE("          ", "6248", " - ", "UNIFORMS")</f>
        <v xml:space="preserve">          6248 - UNIFORMS</v>
      </c>
      <c r="C64" s="10"/>
      <c r="D64" s="6"/>
      <c r="E64" s="2"/>
      <c r="F64" s="7">
        <f t="shared" si="47"/>
        <v>0</v>
      </c>
      <c r="G64" s="2"/>
      <c r="H64" s="6"/>
      <c r="I64" s="2"/>
      <c r="J64" s="7">
        <f t="shared" si="48"/>
        <v>0</v>
      </c>
      <c r="K64" s="2"/>
      <c r="L64" s="6">
        <f t="shared" si="49"/>
        <v>0</v>
      </c>
      <c r="M64" s="2"/>
      <c r="N64" s="7">
        <f t="shared" si="50"/>
        <v>0</v>
      </c>
      <c r="O64" s="10"/>
      <c r="P64" s="6"/>
      <c r="Q64" s="2"/>
      <c r="R64" s="7">
        <f t="shared" si="51"/>
        <v>0</v>
      </c>
      <c r="S64" s="2"/>
      <c r="T64" s="6">
        <v>77.59</v>
      </c>
      <c r="U64" s="2"/>
      <c r="V64" s="7">
        <f t="shared" si="52"/>
        <v>1.1246299584781229E-4</v>
      </c>
      <c r="W64" s="2"/>
      <c r="X64" s="6">
        <f t="shared" si="53"/>
        <v>-77.59</v>
      </c>
      <c r="Y64" s="2"/>
      <c r="Z64" s="7">
        <f t="shared" si="54"/>
        <v>-1</v>
      </c>
    </row>
    <row r="65" spans="1:26" s="26" customFormat="1" outlineLevel="1" collapsed="1" x14ac:dyDescent="0.25">
      <c r="A65" s="25"/>
      <c r="B65" s="12" t="str">
        <f>CONCATENATE("     ","Telephone/Data Lines                              ")</f>
        <v xml:space="preserve">     Telephone/Data Lines                              </v>
      </c>
      <c r="C65" s="12"/>
      <c r="D65" s="1">
        <f>SUM(OSRRefD22_11x_0)</f>
        <v>0</v>
      </c>
      <c r="E65" s="1"/>
      <c r="F65" s="5">
        <f t="shared" ref="F65:F70" si="55">IF(D$12=0,0,D65/D$12)</f>
        <v>0</v>
      </c>
      <c r="G65" s="1"/>
      <c r="H65" s="1">
        <f>SUM(OSRRefH22_11x_0)</f>
        <v>86</v>
      </c>
      <c r="I65" s="1"/>
      <c r="J65" s="5">
        <f t="shared" ref="J65:J70" si="56">IF(H$12=0,0,H65/H$12)</f>
        <v>0</v>
      </c>
      <c r="K65" s="1"/>
      <c r="L65" s="1">
        <f t="shared" ref="L65:L70" si="57">+D65-H65</f>
        <v>-86</v>
      </c>
      <c r="M65" s="1"/>
      <c r="N65" s="5">
        <f t="shared" ref="N65:N70" si="58">IF(H65=0,0,L65/H65)</f>
        <v>-1</v>
      </c>
      <c r="O65" s="12"/>
      <c r="P65" s="1">
        <f>SUM(OSRRefP22_11x_0)</f>
        <v>85.2</v>
      </c>
      <c r="Q65" s="1"/>
      <c r="R65" s="5">
        <f t="shared" ref="R65:R70" si="59">IF(P$12=0,0,P65/P$12)</f>
        <v>0</v>
      </c>
      <c r="S65" s="1"/>
      <c r="T65" s="1">
        <f>SUM(OSRRefT22_11x_0)</f>
        <v>604.28</v>
      </c>
      <c r="U65" s="1"/>
      <c r="V65" s="5">
        <f t="shared" ref="V65:V70" si="60">IF(T$12=0,0,T65/T$12)</f>
        <v>8.7587497268869707E-4</v>
      </c>
      <c r="W65" s="1"/>
      <c r="X65" s="1">
        <f t="shared" ref="X65:X70" si="61">+P65-T65</f>
        <v>-519.07999999999993</v>
      </c>
      <c r="Y65" s="1"/>
      <c r="Z65" s="5">
        <f t="shared" ref="Z65:Z70" si="62">IF(T65=0,0,X65/T65)</f>
        <v>-0.85900575891970599</v>
      </c>
    </row>
    <row r="66" spans="1:26" s="23" customFormat="1" hidden="1" outlineLevel="2" x14ac:dyDescent="0.25">
      <c r="A66" s="27"/>
      <c r="B66" s="10" t="str">
        <f>CONCATENATE("          ", "6309", " - ", "TELEPHONE")</f>
        <v xml:space="preserve">          6309 - TELEPHONE</v>
      </c>
      <c r="C66" s="10"/>
      <c r="D66" s="6"/>
      <c r="E66" s="2"/>
      <c r="F66" s="7">
        <f t="shared" si="55"/>
        <v>0</v>
      </c>
      <c r="G66" s="2"/>
      <c r="H66" s="6">
        <v>86</v>
      </c>
      <c r="I66" s="2"/>
      <c r="J66" s="7">
        <f t="shared" si="56"/>
        <v>0</v>
      </c>
      <c r="K66" s="2"/>
      <c r="L66" s="6">
        <f t="shared" si="57"/>
        <v>-86</v>
      </c>
      <c r="M66" s="2"/>
      <c r="N66" s="7">
        <f t="shared" si="58"/>
        <v>-1</v>
      </c>
      <c r="O66" s="10"/>
      <c r="P66" s="6">
        <v>85.2</v>
      </c>
      <c r="Q66" s="2"/>
      <c r="R66" s="7">
        <f t="shared" si="59"/>
        <v>0</v>
      </c>
      <c r="S66" s="2"/>
      <c r="T66" s="6">
        <v>604.28</v>
      </c>
      <c r="U66" s="2"/>
      <c r="V66" s="7">
        <f t="shared" si="60"/>
        <v>8.7587497268869707E-4</v>
      </c>
      <c r="W66" s="2"/>
      <c r="X66" s="6">
        <f t="shared" si="61"/>
        <v>-519.07999999999993</v>
      </c>
      <c r="Y66" s="2"/>
      <c r="Z66" s="7">
        <f t="shared" si="62"/>
        <v>-0.85900575891970599</v>
      </c>
    </row>
    <row r="67" spans="1:26" s="26" customFormat="1" outlineLevel="1" collapsed="1" x14ac:dyDescent="0.25">
      <c r="A67" s="25"/>
      <c r="B67" s="12" t="str">
        <f>CONCATENATE("     ","Travel                                            ")</f>
        <v xml:space="preserve">     Travel                                            </v>
      </c>
      <c r="C67" s="12"/>
      <c r="D67" s="1">
        <f>SUM(OSRRefD22_12x_0)</f>
        <v>0</v>
      </c>
      <c r="E67" s="1"/>
      <c r="F67" s="5">
        <f t="shared" si="55"/>
        <v>0</v>
      </c>
      <c r="G67" s="1"/>
      <c r="H67" s="1">
        <f>SUM(OSRRefH22_12x_0)</f>
        <v>66</v>
      </c>
      <c r="I67" s="1"/>
      <c r="J67" s="5">
        <f t="shared" si="56"/>
        <v>0</v>
      </c>
      <c r="K67" s="1"/>
      <c r="L67" s="1">
        <f t="shared" si="57"/>
        <v>-66</v>
      </c>
      <c r="M67" s="1"/>
      <c r="N67" s="5">
        <f t="shared" si="58"/>
        <v>-1</v>
      </c>
      <c r="O67" s="12"/>
      <c r="P67" s="1">
        <f>SUM(OSRRefP22_12x_0)</f>
        <v>0</v>
      </c>
      <c r="Q67" s="1"/>
      <c r="R67" s="5">
        <f t="shared" si="59"/>
        <v>0</v>
      </c>
      <c r="S67" s="1"/>
      <c r="T67" s="1">
        <f>SUM(OSRRefT22_12x_0)</f>
        <v>66</v>
      </c>
      <c r="U67" s="1"/>
      <c r="V67" s="5">
        <f t="shared" si="60"/>
        <v>9.5663844902121542E-5</v>
      </c>
      <c r="W67" s="1"/>
      <c r="X67" s="1">
        <f t="shared" si="61"/>
        <v>-66</v>
      </c>
      <c r="Y67" s="1"/>
      <c r="Z67" s="5">
        <f t="shared" si="62"/>
        <v>-1</v>
      </c>
    </row>
    <row r="68" spans="1:26" s="23" customFormat="1" hidden="1" outlineLevel="2" x14ac:dyDescent="0.25">
      <c r="A68" s="27"/>
      <c r="B68" s="10" t="str">
        <f>CONCATENATE("          ", "6298", " - ", "VEHICLE MILEAGE")</f>
        <v xml:space="preserve">          6298 - VEHICLE MILEAGE</v>
      </c>
      <c r="C68" s="10"/>
      <c r="D68" s="6"/>
      <c r="E68" s="2"/>
      <c r="F68" s="7">
        <f t="shared" si="55"/>
        <v>0</v>
      </c>
      <c r="G68" s="2"/>
      <c r="H68" s="6">
        <v>66</v>
      </c>
      <c r="I68" s="2"/>
      <c r="J68" s="7">
        <f t="shared" si="56"/>
        <v>0</v>
      </c>
      <c r="K68" s="2"/>
      <c r="L68" s="6">
        <f t="shared" si="57"/>
        <v>-66</v>
      </c>
      <c r="M68" s="2"/>
      <c r="N68" s="7">
        <f t="shared" si="58"/>
        <v>-1</v>
      </c>
      <c r="O68" s="10"/>
      <c r="P68" s="6"/>
      <c r="Q68" s="2"/>
      <c r="R68" s="7">
        <f t="shared" si="59"/>
        <v>0</v>
      </c>
      <c r="S68" s="2"/>
      <c r="T68" s="6">
        <v>66</v>
      </c>
      <c r="U68" s="2"/>
      <c r="V68" s="7">
        <f t="shared" si="60"/>
        <v>9.5663844902121542E-5</v>
      </c>
      <c r="W68" s="2"/>
      <c r="X68" s="6">
        <f t="shared" si="61"/>
        <v>-66</v>
      </c>
      <c r="Y68" s="2"/>
      <c r="Z68" s="7">
        <f t="shared" si="62"/>
        <v>-1</v>
      </c>
    </row>
    <row r="69" spans="1:26" s="26" customFormat="1" outlineLevel="1" collapsed="1" x14ac:dyDescent="0.25">
      <c r="A69" s="25"/>
      <c r="B69" s="12" t="str">
        <f>CONCATENATE("     ","Utilities                                         ")</f>
        <v xml:space="preserve">     Utilities                                         </v>
      </c>
      <c r="C69" s="12"/>
      <c r="D69" s="1">
        <f>SUM(OSRRefD22_13x_0)</f>
        <v>208</v>
      </c>
      <c r="E69" s="1"/>
      <c r="F69" s="5">
        <f t="shared" si="55"/>
        <v>0</v>
      </c>
      <c r="G69" s="1"/>
      <c r="H69" s="1">
        <f>SUM(OSRRefH22_13x_0)</f>
        <v>208</v>
      </c>
      <c r="I69" s="1"/>
      <c r="J69" s="5">
        <f t="shared" si="56"/>
        <v>0</v>
      </c>
      <c r="K69" s="1"/>
      <c r="L69" s="1">
        <f t="shared" si="57"/>
        <v>0</v>
      </c>
      <c r="M69" s="1"/>
      <c r="N69" s="5">
        <f t="shared" si="58"/>
        <v>0</v>
      </c>
      <c r="O69" s="12"/>
      <c r="P69" s="1">
        <f>SUM(OSRRefP22_13x_0)</f>
        <v>955</v>
      </c>
      <c r="Q69" s="1"/>
      <c r="R69" s="5">
        <f t="shared" si="59"/>
        <v>0</v>
      </c>
      <c r="S69" s="1"/>
      <c r="T69" s="1">
        <f>SUM(OSRRefT22_13x_0)</f>
        <v>2017</v>
      </c>
      <c r="U69" s="1"/>
      <c r="V69" s="5">
        <f t="shared" si="60"/>
        <v>2.9235450782966539E-3</v>
      </c>
      <c r="W69" s="1"/>
      <c r="X69" s="1">
        <f t="shared" si="61"/>
        <v>-1062</v>
      </c>
      <c r="Y69" s="1"/>
      <c r="Z69" s="5">
        <f t="shared" si="62"/>
        <v>-0.526524541398116</v>
      </c>
    </row>
    <row r="70" spans="1:26" s="23" customFormat="1" hidden="1" outlineLevel="2" x14ac:dyDescent="0.25">
      <c r="A70" s="27"/>
      <c r="B70" s="10" t="str">
        <f>CONCATENATE("          ", "6274", " - ", "UTILITIES")</f>
        <v xml:space="preserve">          6274 - UTILITIES</v>
      </c>
      <c r="C70" s="10"/>
      <c r="D70" s="6">
        <v>208</v>
      </c>
      <c r="E70" s="2"/>
      <c r="F70" s="7">
        <f t="shared" si="55"/>
        <v>0</v>
      </c>
      <c r="G70" s="2"/>
      <c r="H70" s="6">
        <v>208</v>
      </c>
      <c r="I70" s="2"/>
      <c r="J70" s="7">
        <f t="shared" si="56"/>
        <v>0</v>
      </c>
      <c r="K70" s="2"/>
      <c r="L70" s="6">
        <f t="shared" si="57"/>
        <v>0</v>
      </c>
      <c r="M70" s="2"/>
      <c r="N70" s="7">
        <f t="shared" si="58"/>
        <v>0</v>
      </c>
      <c r="O70" s="10"/>
      <c r="P70" s="6">
        <v>955</v>
      </c>
      <c r="Q70" s="2"/>
      <c r="R70" s="7">
        <f t="shared" si="59"/>
        <v>0</v>
      </c>
      <c r="S70" s="2"/>
      <c r="T70" s="6">
        <v>2017</v>
      </c>
      <c r="U70" s="2"/>
      <c r="V70" s="7">
        <f t="shared" si="60"/>
        <v>2.9235450782966539E-3</v>
      </c>
      <c r="W70" s="2"/>
      <c r="X70" s="6">
        <f t="shared" si="61"/>
        <v>-1062</v>
      </c>
      <c r="Y70" s="2"/>
      <c r="Z70" s="7">
        <f t="shared" si="62"/>
        <v>-0.526524541398116</v>
      </c>
    </row>
    <row r="71" spans="1:26" s="62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4" customFormat="1" x14ac:dyDescent="0.25">
      <c r="A72" s="11"/>
      <c r="B72" s="28" t="s">
        <v>292</v>
      </c>
      <c r="C72" s="11"/>
      <c r="D72" s="4">
        <f>SUM(0)</f>
        <v>0</v>
      </c>
      <c r="E72" s="4"/>
      <c r="F72" s="13">
        <f>IF(D$12=0,0,D72/D$12)</f>
        <v>0</v>
      </c>
      <c r="G72" s="4"/>
      <c r="H72" s="4">
        <f>SUM(0)</f>
        <v>0</v>
      </c>
      <c r="I72" s="4"/>
      <c r="J72" s="13">
        <f>IF(H$12=0,0,H72/H$12)</f>
        <v>0</v>
      </c>
      <c r="K72" s="4"/>
      <c r="L72" s="4">
        <f>+D72-H72</f>
        <v>0</v>
      </c>
      <c r="M72" s="4"/>
      <c r="N72" s="13">
        <f>IF(H72=0,0,L72/H72)</f>
        <v>0</v>
      </c>
      <c r="O72" s="11"/>
      <c r="P72" s="4">
        <f>SUM(0)</f>
        <v>0</v>
      </c>
      <c r="Q72" s="4"/>
      <c r="R72" s="13">
        <f>IF(P$12=0,0,P72/P$12)</f>
        <v>0</v>
      </c>
      <c r="S72" s="4"/>
      <c r="T72" s="4">
        <f>SUM(0)</f>
        <v>0</v>
      </c>
      <c r="U72" s="4"/>
      <c r="V72" s="13">
        <f>IF(T$12=0,0,T72/T$12)</f>
        <v>0</v>
      </c>
      <c r="W72" s="4"/>
      <c r="X72" s="4">
        <f>+P72-T72</f>
        <v>0</v>
      </c>
      <c r="Y72" s="4"/>
      <c r="Z72" s="13">
        <f>IF(T72=0,0,X72/T72)</f>
        <v>0</v>
      </c>
    </row>
    <row r="73" spans="1:26" x14ac:dyDescent="0.25">
      <c r="A73" s="9"/>
      <c r="B73" s="11"/>
      <c r="C73" s="11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1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4" customFormat="1" x14ac:dyDescent="0.25">
      <c r="A74" s="11"/>
      <c r="B74" s="29" t="s">
        <v>276</v>
      </c>
      <c r="C74" s="29"/>
      <c r="D74" s="20">
        <f>+D20-D22+D72</f>
        <v>-2225.34</v>
      </c>
      <c r="E74" s="14"/>
      <c r="F74" s="22">
        <f>IF(D$12=0,0,D74/D$12)</f>
        <v>0</v>
      </c>
      <c r="G74" s="14"/>
      <c r="H74" s="20">
        <f>+H20-H22+H72</f>
        <v>-58174.48</v>
      </c>
      <c r="I74" s="14"/>
      <c r="J74" s="22">
        <f>IF(H$12=0,0,H74/H$12)</f>
        <v>0</v>
      </c>
      <c r="K74" s="16"/>
      <c r="L74" s="20">
        <f>+D74-H74</f>
        <v>55949.14</v>
      </c>
      <c r="M74" s="16"/>
      <c r="N74" s="22">
        <f>IF(H74=0,0,L74/H74)</f>
        <v>-0.96174714410855067</v>
      </c>
      <c r="O74" s="28"/>
      <c r="P74" s="20">
        <f>+P20-P22+P72</f>
        <v>-23040.670000000006</v>
      </c>
      <c r="Q74" s="14"/>
      <c r="R74" s="22">
        <f>IF(P$12=0,0,P74/P$12)</f>
        <v>0</v>
      </c>
      <c r="S74" s="14"/>
      <c r="T74" s="20">
        <f>+T20-T22+T72</f>
        <v>26390.199999999895</v>
      </c>
      <c r="U74" s="14"/>
      <c r="V74" s="22">
        <f>IF(T$12=0,0,T74/T$12)</f>
        <v>3.8251333329332698E-2</v>
      </c>
      <c r="W74" s="16"/>
      <c r="X74" s="20">
        <f>+P74-T74</f>
        <v>-49430.869999999901</v>
      </c>
      <c r="Y74" s="16"/>
      <c r="Z74" s="22">
        <f>IF(T74=0,0,X74/T74)</f>
        <v>-1.8730767481868307</v>
      </c>
    </row>
    <row r="75" spans="1:26" x14ac:dyDescent="0.25">
      <c r="A75" s="9"/>
      <c r="B75" s="11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x14ac:dyDescent="0.25">
      <c r="A76" s="51"/>
      <c r="B76" s="11" t="s">
        <v>127</v>
      </c>
      <c r="C76" s="11"/>
      <c r="D76" s="4"/>
      <c r="E76" s="4"/>
      <c r="F76" s="13">
        <f>IF(D$12=0,0,D76/D$12)</f>
        <v>0</v>
      </c>
      <c r="G76" s="4"/>
      <c r="H76" s="4">
        <v>4408.8500000000004</v>
      </c>
      <c r="I76" s="4"/>
      <c r="J76" s="13">
        <f>IF(H$12=0,0,H76/H$12)</f>
        <v>0</v>
      </c>
      <c r="K76" s="4"/>
      <c r="L76" s="4">
        <f>+D76-H76</f>
        <v>-4408.8500000000004</v>
      </c>
      <c r="M76" s="4"/>
      <c r="N76" s="13">
        <f>IF(H76=0,0,L76/H76)</f>
        <v>-1</v>
      </c>
      <c r="O76" s="11"/>
      <c r="P76" s="4"/>
      <c r="Q76" s="4"/>
      <c r="R76" s="13">
        <f>IF(P$12=0,0,P76/P$12)</f>
        <v>0</v>
      </c>
      <c r="S76" s="4"/>
      <c r="T76" s="4">
        <v>78335</v>
      </c>
      <c r="U76" s="4"/>
      <c r="V76" s="13">
        <f>IF(T$12=0,0,T76/T$12)</f>
        <v>0.11354283773344986</v>
      </c>
      <c r="W76" s="4"/>
      <c r="X76" s="4">
        <f>+P76-T76</f>
        <v>-78335</v>
      </c>
      <c r="Y76" s="4"/>
      <c r="Z76" s="13">
        <f>IF(T76=0,0,X76/T76)</f>
        <v>-1</v>
      </c>
    </row>
    <row r="77" spans="1:26" x14ac:dyDescent="0.25">
      <c r="A77" s="9"/>
      <c r="B77" s="11"/>
      <c r="C77" s="11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1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ht="15.75" thickBot="1" x14ac:dyDescent="0.3">
      <c r="A78" s="11"/>
      <c r="B78" s="29" t="s">
        <v>125</v>
      </c>
      <c r="C78" s="29"/>
      <c r="D78" s="30">
        <f>+D74-D76</f>
        <v>-2225.34</v>
      </c>
      <c r="E78" s="14"/>
      <c r="F78" s="34">
        <f>IF(D$12=0,0,D78/D$12)</f>
        <v>0</v>
      </c>
      <c r="G78" s="14"/>
      <c r="H78" s="30">
        <f>+H74-H76</f>
        <v>-62583.33</v>
      </c>
      <c r="I78" s="14"/>
      <c r="J78" s="34">
        <f>IF(H$12=0,0,H78/H$12)</f>
        <v>0</v>
      </c>
      <c r="K78" s="16"/>
      <c r="L78" s="30">
        <f>D78-H78</f>
        <v>60357.990000000005</v>
      </c>
      <c r="M78" s="16"/>
      <c r="N78" s="34">
        <f>IF(H78=0,0,L78/H78)</f>
        <v>-0.96444196881182265</v>
      </c>
      <c r="O78" s="28"/>
      <c r="P78" s="30">
        <f>+P74-P76</f>
        <v>-23040.670000000006</v>
      </c>
      <c r="Q78" s="14"/>
      <c r="R78" s="34">
        <f>IF(P$12=0,0,P78/P$12)</f>
        <v>0</v>
      </c>
      <c r="S78" s="14"/>
      <c r="T78" s="30">
        <f>+T74-T76</f>
        <v>-51944.800000000105</v>
      </c>
      <c r="U78" s="14"/>
      <c r="V78" s="34">
        <f>IF(T$12=0,0,T78/T$12)</f>
        <v>-7.5291504404117165E-2</v>
      </c>
      <c r="W78" s="16"/>
      <c r="X78" s="30">
        <f>P78-T78</f>
        <v>28904.130000000099</v>
      </c>
      <c r="Y78" s="16"/>
      <c r="Z78" s="34">
        <f>IF(T78=0,0,X78/T78)</f>
        <v>-0.55643933560240955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4" customFormat="1" ht="15.75" thickBot="1" x14ac:dyDescent="0.3">
      <c r="A81" s="11"/>
      <c r="B81" s="29" t="s">
        <v>293</v>
      </c>
      <c r="C81" s="29"/>
      <c r="D81" s="32">
        <f>SUM(D78:D80)</f>
        <v>-2225.34</v>
      </c>
      <c r="E81" s="14"/>
      <c r="F81" s="35">
        <f>IF(D$12=0,0,D81/D$12)</f>
        <v>0</v>
      </c>
      <c r="G81" s="14"/>
      <c r="H81" s="32">
        <f>SUM(H78:H80)</f>
        <v>-62583.33</v>
      </c>
      <c r="I81" s="14"/>
      <c r="J81" s="35">
        <f>IF(H$12=0,0,H81/H$12)</f>
        <v>0</v>
      </c>
      <c r="K81" s="16"/>
      <c r="L81" s="32">
        <f>+D81-H81</f>
        <v>60357.990000000005</v>
      </c>
      <c r="M81" s="16"/>
      <c r="N81" s="35">
        <f>IF(H81=0,0,L81/H81)</f>
        <v>-0.96444196881182265</v>
      </c>
      <c r="O81" s="28"/>
      <c r="P81" s="32">
        <f>SUM(P78:P80)</f>
        <v>-23040.670000000006</v>
      </c>
      <c r="Q81" s="14"/>
      <c r="R81" s="35">
        <f>IF(P$12=0,0,P81/P$12)</f>
        <v>0</v>
      </c>
      <c r="S81" s="14"/>
      <c r="T81" s="32">
        <f>SUM(T78:T80)</f>
        <v>-51944.800000000105</v>
      </c>
      <c r="U81" s="14"/>
      <c r="V81" s="35">
        <f>IF(T$12=0,0,T81/T$12)</f>
        <v>-7.5291504404117165E-2</v>
      </c>
      <c r="W81" s="16"/>
      <c r="X81" s="32">
        <f>+P81-T81</f>
        <v>28904.130000000099</v>
      </c>
      <c r="Y81" s="16"/>
      <c r="Z81" s="35">
        <f>IF(T81=0,0,X81/T81)</f>
        <v>-0.55643933560240955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6" x14ac:dyDescent="0.25">
      <c r="A83" s="9"/>
      <c r="B83" s="59">
        <v>44330.00886898148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25">
      <c r="A84" s="9"/>
      <c r="B84" s="52" t="s">
        <v>56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55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","325", " - ", "Outpost C-Store")</f>
        <v>Department 325 - Outpost C-Store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596954.75</v>
      </c>
      <c r="U12" s="4"/>
      <c r="V12" s="13"/>
      <c r="W12" s="4"/>
      <c r="X12" s="4">
        <f t="shared" ref="X12:X14" si="2">+P12-T12</f>
        <v>-596954.75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--105564.32</f>
        <v>105564.32</v>
      </c>
      <c r="U13" s="2"/>
      <c r="V13" s="19"/>
      <c r="W13" s="2"/>
      <c r="X13" s="2">
        <f t="shared" si="2"/>
        <v>-105564.32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"4132", " - ", "NON-TAXABLE SALES-JUICE")</f>
        <v xml:space="preserve">          4132 - NON-TAXABLE SALES-JUICE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--491390.43</f>
        <v>491390.43</v>
      </c>
      <c r="U14" s="2"/>
      <c r="V14" s="19"/>
      <c r="W14" s="2"/>
      <c r="X14" s="2">
        <f t="shared" si="2"/>
        <v>-491390.43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176.4</v>
      </c>
      <c r="E16" s="4"/>
      <c r="F16" s="13">
        <f t="shared" ref="F16:F18" si="7">IF(D$12=0,0,D16/D$12)</f>
        <v>0</v>
      </c>
      <c r="G16" s="4"/>
      <c r="H16" s="4">
        <f>SUM(OSRRefH16x_0)</f>
        <v>16943.7</v>
      </c>
      <c r="I16" s="4"/>
      <c r="J16" s="13">
        <f t="shared" ref="J16:J18" si="8">IF(H$12=0,0,H16/H$12)</f>
        <v>0</v>
      </c>
      <c r="K16" s="4"/>
      <c r="L16" s="4">
        <f t="shared" ref="L16:L18" si="9">+D16-H16</f>
        <v>-16767.3</v>
      </c>
      <c r="M16" s="4"/>
      <c r="N16" s="13">
        <f t="shared" ref="N16:N18" si="10">IF(H16=0,0,L16/H16)</f>
        <v>-0.98958905079764148</v>
      </c>
      <c r="O16" s="11"/>
      <c r="P16" s="4">
        <f>SUM(OSRRefP16x_0)</f>
        <v>10994.04</v>
      </c>
      <c r="Q16" s="4"/>
      <c r="R16" s="13">
        <f t="shared" ref="R16:R18" si="11">IF(P$12=0,0,P16/P$12)</f>
        <v>0</v>
      </c>
      <c r="S16" s="4"/>
      <c r="T16" s="4">
        <f>SUM(OSRRefT16x_0)</f>
        <v>293704.39</v>
      </c>
      <c r="U16" s="4"/>
      <c r="V16" s="13">
        <f t="shared" ref="V16:V18" si="12">IF(T$12=0,0,T16/T$12)</f>
        <v>0.49200444422294992</v>
      </c>
      <c r="W16" s="4"/>
      <c r="X16" s="4">
        <f t="shared" ref="X16:X18" si="13">+P16-T16</f>
        <v>-282710.35000000003</v>
      </c>
      <c r="Y16" s="4"/>
      <c r="Z16" s="13">
        <f t="shared" ref="Z16:Z18" si="14">IF(T16=0,0,X16/T16)</f>
        <v>-0.96256766880467814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>
        <v>176.4</v>
      </c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176.4</v>
      </c>
      <c r="M17" s="2"/>
      <c r="N17" s="19">
        <f t="shared" si="10"/>
        <v>0</v>
      </c>
      <c r="O17" s="10"/>
      <c r="P17" s="2">
        <v>-634.96</v>
      </c>
      <c r="Q17" s="2"/>
      <c r="R17" s="19">
        <f t="shared" si="11"/>
        <v>0</v>
      </c>
      <c r="S17" s="2"/>
      <c r="T17" s="2">
        <v>282727.40000000002</v>
      </c>
      <c r="U17" s="2"/>
      <c r="V17" s="19">
        <f t="shared" si="12"/>
        <v>0.47361613254605983</v>
      </c>
      <c r="W17" s="2"/>
      <c r="X17" s="2">
        <f t="shared" si="13"/>
        <v>-283362.36000000004</v>
      </c>
      <c r="Y17" s="2"/>
      <c r="Z17" s="19">
        <f t="shared" si="14"/>
        <v>-1.0022458382173076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>
        <v>16943.7</v>
      </c>
      <c r="I18" s="2"/>
      <c r="J18" s="19">
        <f t="shared" si="8"/>
        <v>0</v>
      </c>
      <c r="K18" s="2"/>
      <c r="L18" s="2">
        <f t="shared" si="9"/>
        <v>-16943.7</v>
      </c>
      <c r="M18" s="2"/>
      <c r="N18" s="19">
        <f t="shared" si="10"/>
        <v>-1</v>
      </c>
      <c r="O18" s="10"/>
      <c r="P18" s="2">
        <v>11629</v>
      </c>
      <c r="Q18" s="2"/>
      <c r="R18" s="19">
        <f t="shared" si="11"/>
        <v>0</v>
      </c>
      <c r="S18" s="2"/>
      <c r="T18" s="2">
        <v>10976.99</v>
      </c>
      <c r="U18" s="2"/>
      <c r="V18" s="19">
        <f t="shared" si="12"/>
        <v>1.8388311676890083E-2</v>
      </c>
      <c r="W18" s="2"/>
      <c r="X18" s="2">
        <f t="shared" si="13"/>
        <v>652.01000000000022</v>
      </c>
      <c r="Y18" s="2"/>
      <c r="Z18" s="19">
        <f t="shared" si="14"/>
        <v>5.939788594141019E-2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0">
        <f>D12-D16</f>
        <v>-176.4</v>
      </c>
      <c r="E20" s="14"/>
      <c r="F20" s="22">
        <f>IF(D$12=0,0,D20/D$12)</f>
        <v>0</v>
      </c>
      <c r="G20" s="14"/>
      <c r="H20" s="20">
        <f>H12-H16</f>
        <v>-16943.7</v>
      </c>
      <c r="I20" s="14"/>
      <c r="J20" s="22">
        <f>IF(H$12=0,0,H20/H$12)</f>
        <v>0</v>
      </c>
      <c r="K20" s="16"/>
      <c r="L20" s="20">
        <f>+D20-H20</f>
        <v>16767.3</v>
      </c>
      <c r="M20" s="16"/>
      <c r="N20" s="22">
        <f>IF(H20=0,0,L20/H20)</f>
        <v>-0.98958905079764148</v>
      </c>
      <c r="O20" s="28"/>
      <c r="P20" s="20">
        <f>P12-P16</f>
        <v>-10994.04</v>
      </c>
      <c r="Q20" s="14"/>
      <c r="R20" s="22">
        <f>IF(P$12=0,0,P20/P$12)</f>
        <v>0</v>
      </c>
      <c r="S20" s="14"/>
      <c r="T20" s="20">
        <f>T12-T16</f>
        <v>303250.36</v>
      </c>
      <c r="U20" s="14"/>
      <c r="V20" s="22">
        <f>IF(T$12=0,0,T20/T$12)</f>
        <v>0.50799555577705013</v>
      </c>
      <c r="W20" s="16"/>
      <c r="X20" s="20">
        <f>+P20-T20</f>
        <v>-314244.39999999997</v>
      </c>
      <c r="Y20" s="16"/>
      <c r="Z20" s="22">
        <f>IF(T20=0,0,X20/T20)</f>
        <v>-1.0362540047767792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10443.15</v>
      </c>
      <c r="E22" s="21"/>
      <c r="F22" s="31">
        <f t="shared" ref="F22:F31" si="15">IF(D$12=0,0,D22/D$12)</f>
        <v>0</v>
      </c>
      <c r="G22" s="21"/>
      <c r="H22" s="21">
        <f>SUM(OSRRefH22x_0)</f>
        <v>14942.480000000003</v>
      </c>
      <c r="I22" s="21"/>
      <c r="J22" s="31">
        <f t="shared" ref="J22:J31" si="16">IF(H$12=0,0,H22/H$12)</f>
        <v>0</v>
      </c>
      <c r="K22" s="4"/>
      <c r="L22" s="21">
        <f t="shared" ref="L22:L31" si="17">+D22-H22</f>
        <v>-4499.3300000000036</v>
      </c>
      <c r="M22" s="4"/>
      <c r="N22" s="31">
        <f t="shared" ref="N22:N31" si="18">IF(H22=0,0,L22/H22)</f>
        <v>-0.30110998977412068</v>
      </c>
      <c r="O22" s="11"/>
      <c r="P22" s="21">
        <f>SUM(OSRRefP22x_0)</f>
        <v>110910.49</v>
      </c>
      <c r="Q22" s="21"/>
      <c r="R22" s="31">
        <f t="shared" ref="R22:R31" si="19">IF(P$12=0,0,P22/P$12)</f>
        <v>0</v>
      </c>
      <c r="S22" s="21"/>
      <c r="T22" s="21">
        <f>SUM(OSRRefT22x_0)</f>
        <v>293716.26999999996</v>
      </c>
      <c r="U22" s="21"/>
      <c r="V22" s="31">
        <f t="shared" ref="V22:V31" si="20">IF(T$12=0,0,T22/T$12)</f>
        <v>0.49202434522884686</v>
      </c>
      <c r="W22" s="4"/>
      <c r="X22" s="21">
        <f t="shared" ref="X22:X31" si="21">+P22-T22</f>
        <v>-182805.77999999997</v>
      </c>
      <c r="Y22" s="4"/>
      <c r="Z22" s="31">
        <f t="shared" ref="Z22:Z31" si="22">IF(T22=0,0,X22/T22)</f>
        <v>-0.6223890150858854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3660.1600000000008</v>
      </c>
      <c r="I23" s="1"/>
      <c r="J23" s="5">
        <f t="shared" si="16"/>
        <v>0</v>
      </c>
      <c r="K23" s="1"/>
      <c r="L23" s="1">
        <f t="shared" si="17"/>
        <v>-3660.1600000000008</v>
      </c>
      <c r="M23" s="1"/>
      <c r="N23" s="5">
        <f t="shared" si="18"/>
        <v>-1</v>
      </c>
      <c r="O23" s="12"/>
      <c r="P23" s="1">
        <f>SUM(OSRRefP22_0x_0)</f>
        <v>2889.72</v>
      </c>
      <c r="Q23" s="1"/>
      <c r="R23" s="5">
        <f t="shared" si="19"/>
        <v>0</v>
      </c>
      <c r="S23" s="1"/>
      <c r="T23" s="1">
        <f>SUM(OSRRefT22_0x_0)</f>
        <v>38142.78</v>
      </c>
      <c r="U23" s="1"/>
      <c r="V23" s="5">
        <f t="shared" si="20"/>
        <v>6.3895596776807617E-2</v>
      </c>
      <c r="W23" s="1"/>
      <c r="X23" s="1">
        <f t="shared" si="21"/>
        <v>-35253.06</v>
      </c>
      <c r="Y23" s="1"/>
      <c r="Z23" s="5">
        <f t="shared" si="22"/>
        <v>-0.92423939733810689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>
        <v>477.36</v>
      </c>
      <c r="I24" s="2"/>
      <c r="J24" s="7">
        <f t="shared" si="16"/>
        <v>0</v>
      </c>
      <c r="K24" s="2"/>
      <c r="L24" s="6">
        <f t="shared" si="17"/>
        <v>-477.36</v>
      </c>
      <c r="M24" s="2"/>
      <c r="N24" s="7">
        <f t="shared" si="18"/>
        <v>-1</v>
      </c>
      <c r="O24" s="10"/>
      <c r="P24" s="6">
        <v>159.12</v>
      </c>
      <c r="Q24" s="2"/>
      <c r="R24" s="7">
        <f t="shared" si="19"/>
        <v>0</v>
      </c>
      <c r="S24" s="2"/>
      <c r="T24" s="6">
        <v>5717.16</v>
      </c>
      <c r="U24" s="2"/>
      <c r="V24" s="7">
        <f t="shared" si="20"/>
        <v>9.5772083227413807E-3</v>
      </c>
      <c r="W24" s="2"/>
      <c r="X24" s="6">
        <f t="shared" si="21"/>
        <v>-5558.04</v>
      </c>
      <c r="Y24" s="2"/>
      <c r="Z24" s="7">
        <f t="shared" si="22"/>
        <v>-0.97216799949625343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>
        <v>79.040000000000006</v>
      </c>
      <c r="I25" s="2"/>
      <c r="J25" s="7">
        <f t="shared" si="16"/>
        <v>0</v>
      </c>
      <c r="K25" s="2"/>
      <c r="L25" s="6">
        <f t="shared" si="17"/>
        <v>-79.040000000000006</v>
      </c>
      <c r="M25" s="2"/>
      <c r="N25" s="7">
        <f t="shared" si="18"/>
        <v>-1</v>
      </c>
      <c r="O25" s="10"/>
      <c r="P25" s="6"/>
      <c r="Q25" s="2"/>
      <c r="R25" s="7">
        <f t="shared" si="19"/>
        <v>0</v>
      </c>
      <c r="S25" s="2"/>
      <c r="T25" s="6">
        <v>1953.29</v>
      </c>
      <c r="U25" s="2"/>
      <c r="V25" s="7">
        <f t="shared" si="20"/>
        <v>3.2720905562775068E-3</v>
      </c>
      <c r="W25" s="2"/>
      <c r="X25" s="6">
        <f t="shared" si="21"/>
        <v>-1953.29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>
        <v>1915.63</v>
      </c>
      <c r="I26" s="2"/>
      <c r="J26" s="7">
        <f t="shared" si="16"/>
        <v>0</v>
      </c>
      <c r="K26" s="2"/>
      <c r="L26" s="6">
        <f t="shared" si="17"/>
        <v>-1915.63</v>
      </c>
      <c r="M26" s="2"/>
      <c r="N26" s="7">
        <f t="shared" si="18"/>
        <v>-1</v>
      </c>
      <c r="O26" s="10"/>
      <c r="P26" s="6">
        <v>1915.63</v>
      </c>
      <c r="Q26" s="2"/>
      <c r="R26" s="7">
        <f t="shared" si="19"/>
        <v>0</v>
      </c>
      <c r="S26" s="2"/>
      <c r="T26" s="6">
        <v>19025.09</v>
      </c>
      <c r="U26" s="2"/>
      <c r="V26" s="7">
        <f t="shared" si="20"/>
        <v>3.1870238070808549E-2</v>
      </c>
      <c r="W26" s="2"/>
      <c r="X26" s="6">
        <f t="shared" si="21"/>
        <v>-17109.46</v>
      </c>
      <c r="Y26" s="2"/>
      <c r="Z26" s="7">
        <f t="shared" si="22"/>
        <v>-0.89931033177766828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>
        <v>10.82</v>
      </c>
      <c r="I27" s="2"/>
      <c r="J27" s="7">
        <f t="shared" si="16"/>
        <v>0</v>
      </c>
      <c r="K27" s="2"/>
      <c r="L27" s="6">
        <f t="shared" si="17"/>
        <v>-10.82</v>
      </c>
      <c r="M27" s="2"/>
      <c r="N27" s="7">
        <f t="shared" si="18"/>
        <v>-1</v>
      </c>
      <c r="O27" s="10"/>
      <c r="P27" s="6"/>
      <c r="Q27" s="2"/>
      <c r="R27" s="7">
        <f t="shared" si="19"/>
        <v>0</v>
      </c>
      <c r="S27" s="2"/>
      <c r="T27" s="6">
        <v>303.56</v>
      </c>
      <c r="U27" s="2"/>
      <c r="V27" s="7">
        <f t="shared" si="20"/>
        <v>5.0851425505869579E-4</v>
      </c>
      <c r="W27" s="2"/>
      <c r="X27" s="6">
        <f t="shared" si="21"/>
        <v>-303.56</v>
      </c>
      <c r="Y27" s="2"/>
      <c r="Z27" s="7">
        <f t="shared" si="22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>
        <v>425.19</v>
      </c>
      <c r="I28" s="2"/>
      <c r="J28" s="7">
        <f t="shared" si="16"/>
        <v>0</v>
      </c>
      <c r="K28" s="2"/>
      <c r="L28" s="6">
        <f t="shared" si="17"/>
        <v>-425.19</v>
      </c>
      <c r="M28" s="2"/>
      <c r="N28" s="7">
        <f t="shared" si="18"/>
        <v>-1</v>
      </c>
      <c r="O28" s="10"/>
      <c r="P28" s="6">
        <v>458.89</v>
      </c>
      <c r="Q28" s="2"/>
      <c r="R28" s="7">
        <f t="shared" si="19"/>
        <v>0</v>
      </c>
      <c r="S28" s="2"/>
      <c r="T28" s="6">
        <v>4532.57</v>
      </c>
      <c r="U28" s="2"/>
      <c r="V28" s="7">
        <f t="shared" si="20"/>
        <v>7.5928200588068016E-3</v>
      </c>
      <c r="W28" s="2"/>
      <c r="X28" s="6">
        <f t="shared" si="21"/>
        <v>-4073.68</v>
      </c>
      <c r="Y28" s="2"/>
      <c r="Z28" s="7">
        <f t="shared" si="22"/>
        <v>-0.89875721720789747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>
        <v>456.3</v>
      </c>
      <c r="I29" s="2"/>
      <c r="J29" s="7">
        <f t="shared" si="16"/>
        <v>0</v>
      </c>
      <c r="K29" s="2"/>
      <c r="L29" s="6">
        <f t="shared" si="17"/>
        <v>-456.3</v>
      </c>
      <c r="M29" s="2"/>
      <c r="N29" s="7">
        <f t="shared" si="18"/>
        <v>-1</v>
      </c>
      <c r="O29" s="10"/>
      <c r="P29" s="6">
        <v>152.1</v>
      </c>
      <c r="Q29" s="2"/>
      <c r="R29" s="7">
        <f t="shared" si="19"/>
        <v>0</v>
      </c>
      <c r="S29" s="2"/>
      <c r="T29" s="6">
        <v>3194.1</v>
      </c>
      <c r="U29" s="2"/>
      <c r="V29" s="7">
        <f t="shared" si="20"/>
        <v>5.3506568127651213E-3</v>
      </c>
      <c r="W29" s="2"/>
      <c r="X29" s="6">
        <f t="shared" si="21"/>
        <v>-3042</v>
      </c>
      <c r="Y29" s="2"/>
      <c r="Z29" s="7">
        <f t="shared" si="22"/>
        <v>-0.95238095238095244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>
        <v>287.82</v>
      </c>
      <c r="I30" s="2"/>
      <c r="J30" s="7">
        <f t="shared" si="16"/>
        <v>0</v>
      </c>
      <c r="K30" s="2"/>
      <c r="L30" s="6">
        <f t="shared" si="17"/>
        <v>-287.82</v>
      </c>
      <c r="M30" s="2"/>
      <c r="N30" s="7">
        <f t="shared" si="18"/>
        <v>-1</v>
      </c>
      <c r="O30" s="10"/>
      <c r="P30" s="6">
        <v>203.98</v>
      </c>
      <c r="Q30" s="2"/>
      <c r="R30" s="7">
        <f t="shared" si="19"/>
        <v>0</v>
      </c>
      <c r="S30" s="2"/>
      <c r="T30" s="6">
        <v>2014.74</v>
      </c>
      <c r="U30" s="2"/>
      <c r="V30" s="7">
        <f t="shared" si="20"/>
        <v>3.3750296818979997E-3</v>
      </c>
      <c r="W30" s="2"/>
      <c r="X30" s="6">
        <f t="shared" si="21"/>
        <v>-1810.76</v>
      </c>
      <c r="Y30" s="2"/>
      <c r="Z30" s="7">
        <f t="shared" si="22"/>
        <v>-0.89875616704884997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>
        <v>8</v>
      </c>
      <c r="I31" s="2"/>
      <c r="J31" s="7">
        <f t="shared" si="16"/>
        <v>0</v>
      </c>
      <c r="K31" s="2"/>
      <c r="L31" s="6">
        <f t="shared" si="17"/>
        <v>-8</v>
      </c>
      <c r="M31" s="2"/>
      <c r="N31" s="7">
        <f t="shared" si="18"/>
        <v>-1</v>
      </c>
      <c r="O31" s="10"/>
      <c r="P31" s="6"/>
      <c r="Q31" s="2"/>
      <c r="R31" s="7">
        <f t="shared" si="19"/>
        <v>0</v>
      </c>
      <c r="S31" s="2"/>
      <c r="T31" s="6">
        <v>1402.27</v>
      </c>
      <c r="U31" s="2"/>
      <c r="V31" s="7">
        <f t="shared" si="20"/>
        <v>2.349039018451566E-3</v>
      </c>
      <c r="W31" s="2"/>
      <c r="X31" s="6">
        <f t="shared" si="21"/>
        <v>-1402.27</v>
      </c>
      <c r="Y31" s="2"/>
      <c r="Z31" s="7">
        <f t="shared" si="22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3">IF(D$12=0,0,D32/D$12)</f>
        <v>0</v>
      </c>
      <c r="G32" s="1"/>
      <c r="H32" s="1">
        <f>SUM(OSRRefH22_1x_0)</f>
        <v>1040</v>
      </c>
      <c r="I32" s="1"/>
      <c r="J32" s="5">
        <f t="shared" ref="J32:J37" si="24">IF(H$12=0,0,H32/H$12)</f>
        <v>0</v>
      </c>
      <c r="K32" s="1"/>
      <c r="L32" s="1">
        <f t="shared" ref="L32:L37" si="25">+D32-H32</f>
        <v>-1040</v>
      </c>
      <c r="M32" s="1"/>
      <c r="N32" s="5">
        <f t="shared" ref="N32:N37" si="26">IF(H32=0,0,L32/H32)</f>
        <v>-1</v>
      </c>
      <c r="O32" s="12"/>
      <c r="P32" s="1">
        <f>SUM(OSRRefP22_1x_0)</f>
        <v>884</v>
      </c>
      <c r="Q32" s="1"/>
      <c r="R32" s="5">
        <f t="shared" ref="R32:R37" si="27">IF(P$12=0,0,P32/P$12)</f>
        <v>0</v>
      </c>
      <c r="S32" s="1"/>
      <c r="T32" s="1">
        <f>SUM(OSRRefT22_1x_0)</f>
        <v>103611.43000000001</v>
      </c>
      <c r="U32" s="1"/>
      <c r="V32" s="5">
        <f t="shared" ref="V32:V37" si="28">IF(T$12=0,0,T32/T$12)</f>
        <v>0.1735666396824885</v>
      </c>
      <c r="W32" s="1"/>
      <c r="X32" s="1">
        <f t="shared" ref="X32:X37" si="29">+P32-T32</f>
        <v>-102727.43000000001</v>
      </c>
      <c r="Y32" s="1"/>
      <c r="Z32" s="5">
        <f t="shared" ref="Z32:Z37" si="30">IF(T32=0,0,X32/T32)</f>
        <v>-0.99146812277371332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>
        <v>1040</v>
      </c>
      <c r="I33" s="2"/>
      <c r="J33" s="7">
        <f t="shared" si="24"/>
        <v>0</v>
      </c>
      <c r="K33" s="2"/>
      <c r="L33" s="6">
        <f t="shared" si="25"/>
        <v>-1040</v>
      </c>
      <c r="M33" s="2"/>
      <c r="N33" s="7">
        <f t="shared" si="26"/>
        <v>-1</v>
      </c>
      <c r="O33" s="10"/>
      <c r="P33" s="6">
        <v>884</v>
      </c>
      <c r="Q33" s="2"/>
      <c r="R33" s="7">
        <f t="shared" si="27"/>
        <v>0</v>
      </c>
      <c r="S33" s="2"/>
      <c r="T33" s="6">
        <v>35392</v>
      </c>
      <c r="U33" s="2"/>
      <c r="V33" s="7">
        <f t="shared" si="28"/>
        <v>5.9287575817095012E-2</v>
      </c>
      <c r="W33" s="2"/>
      <c r="X33" s="6">
        <f t="shared" si="29"/>
        <v>-34508</v>
      </c>
      <c r="Y33" s="2"/>
      <c r="Z33" s="7">
        <f t="shared" si="30"/>
        <v>-0.97502260397830021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254.64</v>
      </c>
      <c r="U34" s="2"/>
      <c r="V34" s="7">
        <f t="shared" si="28"/>
        <v>4.2656499508547338E-4</v>
      </c>
      <c r="W34" s="2"/>
      <c r="X34" s="6">
        <f t="shared" si="29"/>
        <v>-254.64</v>
      </c>
      <c r="Y34" s="2"/>
      <c r="Z34" s="7">
        <f t="shared" si="30"/>
        <v>-1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23945.94</v>
      </c>
      <c r="U35" s="2"/>
      <c r="V35" s="7">
        <f t="shared" si="28"/>
        <v>4.0113492689353755E-2</v>
      </c>
      <c r="W35" s="2"/>
      <c r="X35" s="6">
        <f t="shared" si="29"/>
        <v>-23945.94</v>
      </c>
      <c r="Y35" s="2"/>
      <c r="Z35" s="7">
        <f t="shared" si="30"/>
        <v>-1</v>
      </c>
    </row>
    <row r="36" spans="1:26" s="23" customFormat="1" hidden="1" outlineLevel="2" x14ac:dyDescent="0.25">
      <c r="A36" s="27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40507.550000000003</v>
      </c>
      <c r="U36" s="2"/>
      <c r="V36" s="7">
        <f t="shared" si="28"/>
        <v>6.7856985810063497E-2</v>
      </c>
      <c r="W36" s="2"/>
      <c r="X36" s="6">
        <f t="shared" si="29"/>
        <v>-40507.550000000003</v>
      </c>
      <c r="Y36" s="2"/>
      <c r="Z36" s="7">
        <f t="shared" si="30"/>
        <v>-1</v>
      </c>
    </row>
    <row r="37" spans="1:26" s="23" customFormat="1" hidden="1" outlineLevel="2" x14ac:dyDescent="0.25">
      <c r="A37" s="27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3511.3</v>
      </c>
      <c r="U37" s="2"/>
      <c r="V37" s="7">
        <f t="shared" si="28"/>
        <v>5.882020370890759E-3</v>
      </c>
      <c r="W37" s="2"/>
      <c r="X37" s="6">
        <f t="shared" si="29"/>
        <v>-3511.3</v>
      </c>
      <c r="Y37" s="2"/>
      <c r="Z37" s="7">
        <f t="shared" si="30"/>
        <v>-1</v>
      </c>
    </row>
    <row r="38" spans="1:26" s="26" customFormat="1" outlineLevel="1" collapsed="1" x14ac:dyDescent="0.25">
      <c r="A38" s="25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46" si="31">IF(D$12=0,0,D38/D$12)</f>
        <v>0</v>
      </c>
      <c r="G38" s="1"/>
      <c r="H38" s="1">
        <f>SUM(OSRRefH22_2x_0)</f>
        <v>0</v>
      </c>
      <c r="I38" s="1"/>
      <c r="J38" s="5">
        <f t="shared" ref="J38:J46" si="32">IF(H$12=0,0,H38/H$12)</f>
        <v>0</v>
      </c>
      <c r="K38" s="1"/>
      <c r="L38" s="1">
        <f t="shared" ref="L38:L46" si="33">+D38-H38</f>
        <v>0</v>
      </c>
      <c r="M38" s="1"/>
      <c r="N38" s="5">
        <f t="shared" ref="N38:N46" si="34">IF(H38=0,0,L38/H38)</f>
        <v>0</v>
      </c>
      <c r="O38" s="12"/>
      <c r="P38" s="1">
        <f>SUM(OSRRefP22_2x_0)</f>
        <v>0</v>
      </c>
      <c r="Q38" s="1"/>
      <c r="R38" s="5">
        <f t="shared" ref="R38:R46" si="35">IF(P$12=0,0,P38/P$12)</f>
        <v>0</v>
      </c>
      <c r="S38" s="1"/>
      <c r="T38" s="1">
        <f>SUM(OSRRefT22_2x_0)</f>
        <v>968.17</v>
      </c>
      <c r="U38" s="1"/>
      <c r="V38" s="5">
        <f t="shared" ref="V38:V46" si="36">IF(T$12=0,0,T38/T$12)</f>
        <v>1.6218482221642427E-3</v>
      </c>
      <c r="W38" s="1"/>
      <c r="X38" s="1">
        <f t="shared" ref="X38:X46" si="37">+P38-T38</f>
        <v>-968.17</v>
      </c>
      <c r="Y38" s="1"/>
      <c r="Z38" s="5">
        <f t="shared" ref="Z38:Z46" si="38">IF(T38=0,0,X38/T38)</f>
        <v>-1</v>
      </c>
    </row>
    <row r="39" spans="1:26" s="23" customFormat="1" hidden="1" outlineLevel="2" x14ac:dyDescent="0.25">
      <c r="A39" s="27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/>
      <c r="Q39" s="2"/>
      <c r="R39" s="7">
        <f t="shared" si="35"/>
        <v>0</v>
      </c>
      <c r="S39" s="2"/>
      <c r="T39" s="6">
        <v>968.17</v>
      </c>
      <c r="U39" s="2"/>
      <c r="V39" s="7">
        <f t="shared" si="36"/>
        <v>1.6218482221642427E-3</v>
      </c>
      <c r="W39" s="2"/>
      <c r="X39" s="6">
        <f t="shared" si="37"/>
        <v>-968.17</v>
      </c>
      <c r="Y39" s="2"/>
      <c r="Z39" s="7">
        <f t="shared" si="38"/>
        <v>-1</v>
      </c>
    </row>
    <row r="40" spans="1:26" s="26" customFormat="1" outlineLevel="1" collapsed="1" x14ac:dyDescent="0.25">
      <c r="A40" s="25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1"/>
        <v>0</v>
      </c>
      <c r="G40" s="1"/>
      <c r="H40" s="1">
        <f>SUM(OSRRefH22_3x_0)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SUM(OSRRefP22_3x_0)</f>
        <v>0</v>
      </c>
      <c r="Q40" s="1"/>
      <c r="R40" s="5">
        <f t="shared" si="35"/>
        <v>0</v>
      </c>
      <c r="S40" s="1"/>
      <c r="T40" s="1">
        <f>SUM(OSRRefT22_3x_0)</f>
        <v>-84.11</v>
      </c>
      <c r="U40" s="1"/>
      <c r="V40" s="5">
        <f t="shared" si="36"/>
        <v>-1.4089845168331435E-4</v>
      </c>
      <c r="W40" s="1"/>
      <c r="X40" s="1">
        <f t="shared" si="37"/>
        <v>84.11</v>
      </c>
      <c r="Y40" s="1"/>
      <c r="Z40" s="5">
        <f t="shared" si="38"/>
        <v>-1</v>
      </c>
    </row>
    <row r="41" spans="1:26" s="23" customFormat="1" hidden="1" outlineLevel="2" x14ac:dyDescent="0.25">
      <c r="A41" s="27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-84.11</v>
      </c>
      <c r="U41" s="2"/>
      <c r="V41" s="7">
        <f t="shared" si="36"/>
        <v>-1.4089845168331435E-4</v>
      </c>
      <c r="W41" s="2"/>
      <c r="X41" s="6">
        <f t="shared" si="37"/>
        <v>84.11</v>
      </c>
      <c r="Y41" s="2"/>
      <c r="Z41" s="7">
        <f t="shared" si="38"/>
        <v>-1</v>
      </c>
    </row>
    <row r="42" spans="1:26" s="26" customFormat="1" outlineLevel="1" collapsed="1" x14ac:dyDescent="0.25">
      <c r="A42" s="25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31"/>
        <v>0</v>
      </c>
      <c r="G42" s="1"/>
      <c r="H42" s="1">
        <f>SUM(OSRRefH22_4x_0)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2"/>
      <c r="P42" s="1">
        <f>SUM(OSRRefP22_4x_0)</f>
        <v>0</v>
      </c>
      <c r="Q42" s="1"/>
      <c r="R42" s="5">
        <f t="shared" si="35"/>
        <v>0</v>
      </c>
      <c r="S42" s="1"/>
      <c r="T42" s="1">
        <f>SUM(OSRRefT22_4x_0)</f>
        <v>22867.9</v>
      </c>
      <c r="U42" s="1"/>
      <c r="V42" s="5">
        <f t="shared" si="36"/>
        <v>3.8307593666019074E-2</v>
      </c>
      <c r="W42" s="1"/>
      <c r="X42" s="1">
        <f t="shared" si="37"/>
        <v>-22867.9</v>
      </c>
      <c r="Y42" s="1"/>
      <c r="Z42" s="5">
        <f t="shared" si="38"/>
        <v>-1</v>
      </c>
    </row>
    <row r="43" spans="1:26" s="23" customFormat="1" hidden="1" outlineLevel="2" x14ac:dyDescent="0.25">
      <c r="A43" s="27"/>
      <c r="B43" s="10" t="str">
        <f>CONCATENATE("          ", "6381", " - ", "BANK/CREDIT CARD FEES")</f>
        <v xml:space="preserve">          6381 - BANK/CREDIT CARD FEES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/>
      <c r="Q43" s="2"/>
      <c r="R43" s="7">
        <f t="shared" si="35"/>
        <v>0</v>
      </c>
      <c r="S43" s="2"/>
      <c r="T43" s="6">
        <v>22867.9</v>
      </c>
      <c r="U43" s="2"/>
      <c r="V43" s="7">
        <f t="shared" si="36"/>
        <v>3.8307593666019074E-2</v>
      </c>
      <c r="W43" s="2"/>
      <c r="X43" s="6">
        <f t="shared" si="37"/>
        <v>-22867.9</v>
      </c>
      <c r="Y43" s="2"/>
      <c r="Z43" s="7">
        <f t="shared" si="38"/>
        <v>-1</v>
      </c>
    </row>
    <row r="44" spans="1:26" s="26" customFormat="1" outlineLevel="1" collapsed="1" x14ac:dyDescent="0.25">
      <c r="A44" s="25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5471.21</v>
      </c>
      <c r="E44" s="1"/>
      <c r="F44" s="5">
        <f t="shared" si="31"/>
        <v>0</v>
      </c>
      <c r="G44" s="1"/>
      <c r="H44" s="1">
        <f>SUM(OSRRefH22_5x_0)</f>
        <v>5582.59</v>
      </c>
      <c r="I44" s="1"/>
      <c r="J44" s="5">
        <f t="shared" si="32"/>
        <v>0</v>
      </c>
      <c r="K44" s="1"/>
      <c r="L44" s="1">
        <f t="shared" si="33"/>
        <v>-111.38000000000011</v>
      </c>
      <c r="M44" s="1"/>
      <c r="N44" s="5">
        <f t="shared" si="34"/>
        <v>-1.995131292106354E-2</v>
      </c>
      <c r="O44" s="12"/>
      <c r="P44" s="1">
        <f>SUM(OSRRefP22_5x_0)</f>
        <v>55157.599999999999</v>
      </c>
      <c r="Q44" s="1"/>
      <c r="R44" s="5">
        <f t="shared" si="35"/>
        <v>0</v>
      </c>
      <c r="S44" s="1"/>
      <c r="T44" s="1">
        <f>SUM(OSRRefT22_5x_0)</f>
        <v>55055.07</v>
      </c>
      <c r="U44" s="1"/>
      <c r="V44" s="5">
        <f t="shared" si="36"/>
        <v>9.222653810862548E-2</v>
      </c>
      <c r="W44" s="1"/>
      <c r="X44" s="1">
        <f t="shared" si="37"/>
        <v>102.52999999999884</v>
      </c>
      <c r="Y44" s="1"/>
      <c r="Z44" s="5">
        <f t="shared" si="38"/>
        <v>1.862317130829165E-3</v>
      </c>
    </row>
    <row r="45" spans="1:26" s="23" customFormat="1" hidden="1" outlineLevel="2" x14ac:dyDescent="0.25">
      <c r="A45" s="27"/>
      <c r="B45" s="10" t="str">
        <f>CONCATENATE("          ", "6321", " - ", "BUILDING DEPRECIATION")</f>
        <v xml:space="preserve">          6321 - BUILDING DEPRECIATION</v>
      </c>
      <c r="C45" s="10"/>
      <c r="D45" s="6">
        <v>5080.51</v>
      </c>
      <c r="E45" s="2"/>
      <c r="F45" s="7">
        <f t="shared" si="31"/>
        <v>0</v>
      </c>
      <c r="G45" s="2"/>
      <c r="H45" s="6">
        <v>5080.51</v>
      </c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0"/>
      <c r="P45" s="6">
        <v>50805.1</v>
      </c>
      <c r="Q45" s="2"/>
      <c r="R45" s="7">
        <f t="shared" si="35"/>
        <v>0</v>
      </c>
      <c r="S45" s="2"/>
      <c r="T45" s="6">
        <v>50805.1</v>
      </c>
      <c r="U45" s="2"/>
      <c r="V45" s="7">
        <f t="shared" si="36"/>
        <v>8.5107120765853694E-2</v>
      </c>
      <c r="W45" s="2"/>
      <c r="X45" s="6">
        <f t="shared" si="37"/>
        <v>0</v>
      </c>
      <c r="Y45" s="2"/>
      <c r="Z45" s="7">
        <f t="shared" si="38"/>
        <v>0</v>
      </c>
    </row>
    <row r="46" spans="1:26" s="23" customFormat="1" hidden="1" outlineLevel="2" x14ac:dyDescent="0.25">
      <c r="A46" s="27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390.7</v>
      </c>
      <c r="E46" s="2"/>
      <c r="F46" s="7">
        <f t="shared" si="31"/>
        <v>0</v>
      </c>
      <c r="G46" s="2"/>
      <c r="H46" s="6">
        <v>502.08</v>
      </c>
      <c r="I46" s="2"/>
      <c r="J46" s="7">
        <f t="shared" si="32"/>
        <v>0</v>
      </c>
      <c r="K46" s="2"/>
      <c r="L46" s="6">
        <f t="shared" si="33"/>
        <v>-111.38</v>
      </c>
      <c r="M46" s="2"/>
      <c r="N46" s="7">
        <f t="shared" si="34"/>
        <v>-0.22183715742511154</v>
      </c>
      <c r="O46" s="10"/>
      <c r="P46" s="6">
        <v>4352.5</v>
      </c>
      <c r="Q46" s="2"/>
      <c r="R46" s="7">
        <f t="shared" si="35"/>
        <v>0</v>
      </c>
      <c r="S46" s="2"/>
      <c r="T46" s="6">
        <v>4249.97</v>
      </c>
      <c r="U46" s="2"/>
      <c r="V46" s="7">
        <f t="shared" si="36"/>
        <v>7.119417342771793E-3</v>
      </c>
      <c r="W46" s="2"/>
      <c r="X46" s="6">
        <f t="shared" si="37"/>
        <v>102.52999999999975</v>
      </c>
      <c r="Y46" s="2"/>
      <c r="Z46" s="7">
        <f t="shared" si="38"/>
        <v>2.4124876175596471E-2</v>
      </c>
    </row>
    <row r="47" spans="1:26" s="26" customFormat="1" outlineLevel="1" collapsed="1" x14ac:dyDescent="0.25">
      <c r="A47" s="25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ref="F47:F60" si="39">IF(D$12=0,0,D47/D$12)</f>
        <v>0</v>
      </c>
      <c r="G47" s="1"/>
      <c r="H47" s="1">
        <f>SUM(OSRRefH22_6x_0)</f>
        <v>0</v>
      </c>
      <c r="I47" s="1"/>
      <c r="J47" s="5">
        <f t="shared" ref="J47:J60" si="40">IF(H$12=0,0,H47/H$12)</f>
        <v>0</v>
      </c>
      <c r="K47" s="1"/>
      <c r="L47" s="1">
        <f t="shared" ref="L47:L60" si="41">+D47-H47</f>
        <v>0</v>
      </c>
      <c r="M47" s="1"/>
      <c r="N47" s="5">
        <f t="shared" ref="N47:N60" si="42">IF(H47=0,0,L47/H47)</f>
        <v>0</v>
      </c>
      <c r="O47" s="12"/>
      <c r="P47" s="1">
        <f>SUM(OSRRefP22_6x_0)</f>
        <v>0</v>
      </c>
      <c r="Q47" s="1"/>
      <c r="R47" s="5">
        <f t="shared" ref="R47:R60" si="43">IF(P$12=0,0,P47/P$12)</f>
        <v>0</v>
      </c>
      <c r="S47" s="1"/>
      <c r="T47" s="1">
        <f>SUM(OSRRefT22_6x_0)</f>
        <v>101.58</v>
      </c>
      <c r="U47" s="1"/>
      <c r="V47" s="5">
        <f t="shared" ref="V47:V60" si="44">IF(T$12=0,0,T47/T$12)</f>
        <v>1.7016365143254157E-4</v>
      </c>
      <c r="W47" s="1"/>
      <c r="X47" s="1">
        <f t="shared" ref="X47:X60" si="45">+P47-T47</f>
        <v>-101.58</v>
      </c>
      <c r="Y47" s="1"/>
      <c r="Z47" s="5">
        <f t="shared" ref="Z47:Z60" si="46">IF(T47=0,0,X47/T47)</f>
        <v>-1</v>
      </c>
    </row>
    <row r="48" spans="1:26" s="23" customFormat="1" hidden="1" outlineLevel="2" x14ac:dyDescent="0.25">
      <c r="A48" s="27"/>
      <c r="B48" s="10" t="str">
        <f>CONCATENATE("          ", "6277", " - ", "EMPLOYEE APPRECIATION")</f>
        <v xml:space="preserve">          6277 - EMPLOYEE APPRECIATION</v>
      </c>
      <c r="C48" s="10"/>
      <c r="D48" s="6"/>
      <c r="E48" s="2"/>
      <c r="F48" s="7">
        <f t="shared" si="39"/>
        <v>0</v>
      </c>
      <c r="G48" s="2"/>
      <c r="H48" s="6"/>
      <c r="I48" s="2"/>
      <c r="J48" s="7">
        <f t="shared" si="40"/>
        <v>0</v>
      </c>
      <c r="K48" s="2"/>
      <c r="L48" s="6">
        <f t="shared" si="41"/>
        <v>0</v>
      </c>
      <c r="M48" s="2"/>
      <c r="N48" s="7">
        <f t="shared" si="42"/>
        <v>0</v>
      </c>
      <c r="O48" s="10"/>
      <c r="P48" s="6"/>
      <c r="Q48" s="2"/>
      <c r="R48" s="7">
        <f t="shared" si="43"/>
        <v>0</v>
      </c>
      <c r="S48" s="2"/>
      <c r="T48" s="6">
        <v>101.58</v>
      </c>
      <c r="U48" s="2"/>
      <c r="V48" s="7">
        <f t="shared" si="44"/>
        <v>1.7016365143254157E-4</v>
      </c>
      <c r="W48" s="2"/>
      <c r="X48" s="6">
        <f t="shared" si="45"/>
        <v>-101.58</v>
      </c>
      <c r="Y48" s="2"/>
      <c r="Z48" s="7">
        <f t="shared" si="46"/>
        <v>-1</v>
      </c>
    </row>
    <row r="49" spans="1:26" s="26" customFormat="1" outlineLevel="1" collapsed="1" x14ac:dyDescent="0.25">
      <c r="A49" s="25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176.4</v>
      </c>
      <c r="E49" s="1"/>
      <c r="F49" s="5">
        <f t="shared" si="39"/>
        <v>0</v>
      </c>
      <c r="G49" s="1"/>
      <c r="H49" s="1">
        <f>SUM(OSRRefH22_7x_0)</f>
        <v>36.270000000000003</v>
      </c>
      <c r="I49" s="1"/>
      <c r="J49" s="5">
        <f t="shared" si="40"/>
        <v>0</v>
      </c>
      <c r="K49" s="1"/>
      <c r="L49" s="1">
        <f t="shared" si="41"/>
        <v>140.13</v>
      </c>
      <c r="M49" s="1"/>
      <c r="N49" s="5">
        <f t="shared" si="42"/>
        <v>3.8635235732009923</v>
      </c>
      <c r="O49" s="12"/>
      <c r="P49" s="1">
        <f>SUM(OSRRefP22_7x_0)</f>
        <v>605.35</v>
      </c>
      <c r="Q49" s="1"/>
      <c r="R49" s="5">
        <f t="shared" si="43"/>
        <v>0</v>
      </c>
      <c r="S49" s="1"/>
      <c r="T49" s="1">
        <f>SUM(OSRRefT22_7x_0)</f>
        <v>937.85</v>
      </c>
      <c r="U49" s="1"/>
      <c r="V49" s="5">
        <f t="shared" si="44"/>
        <v>1.571057102736849E-3</v>
      </c>
      <c r="W49" s="1"/>
      <c r="X49" s="1">
        <f t="shared" si="45"/>
        <v>-332.5</v>
      </c>
      <c r="Y49" s="1"/>
      <c r="Z49" s="5">
        <f t="shared" si="46"/>
        <v>-0.35453430719198165</v>
      </c>
    </row>
    <row r="50" spans="1:26" s="23" customFormat="1" hidden="1" outlineLevel="2" x14ac:dyDescent="0.25">
      <c r="A50" s="27"/>
      <c r="B50" s="10" t="str">
        <f>CONCATENATE("          ", "6351", " - ", "EQUIPMENT RENTAL")</f>
        <v xml:space="preserve">          6351 - EQUIPMENT RENTAL</v>
      </c>
      <c r="C50" s="10"/>
      <c r="D50" s="6">
        <v>176.4</v>
      </c>
      <c r="E50" s="2"/>
      <c r="F50" s="7">
        <f t="shared" si="39"/>
        <v>0</v>
      </c>
      <c r="G50" s="2"/>
      <c r="H50" s="6">
        <v>36.270000000000003</v>
      </c>
      <c r="I50" s="2"/>
      <c r="J50" s="7">
        <f t="shared" si="40"/>
        <v>0</v>
      </c>
      <c r="K50" s="2"/>
      <c r="L50" s="6">
        <f t="shared" si="41"/>
        <v>140.13</v>
      </c>
      <c r="M50" s="2"/>
      <c r="N50" s="7">
        <f t="shared" si="42"/>
        <v>3.8635235732009923</v>
      </c>
      <c r="O50" s="10"/>
      <c r="P50" s="6">
        <v>605.35</v>
      </c>
      <c r="Q50" s="2"/>
      <c r="R50" s="7">
        <f t="shared" si="43"/>
        <v>0</v>
      </c>
      <c r="S50" s="2"/>
      <c r="T50" s="6">
        <v>937.85</v>
      </c>
      <c r="U50" s="2"/>
      <c r="V50" s="7">
        <f t="shared" si="44"/>
        <v>1.571057102736849E-3</v>
      </c>
      <c r="W50" s="2"/>
      <c r="X50" s="6">
        <f t="shared" si="45"/>
        <v>-332.5</v>
      </c>
      <c r="Y50" s="2"/>
      <c r="Z50" s="7">
        <f t="shared" si="46"/>
        <v>-0.35453430719198165</v>
      </c>
    </row>
    <row r="51" spans="1:26" s="26" customFormat="1" outlineLevel="1" collapsed="1" x14ac:dyDescent="0.25">
      <c r="A51" s="25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9"/>
        <v>0</v>
      </c>
      <c r="G51" s="1"/>
      <c r="H51" s="1">
        <f>SUM(OSRRefH22_8x_0)</f>
        <v>0</v>
      </c>
      <c r="I51" s="1"/>
      <c r="J51" s="5">
        <f t="shared" si="40"/>
        <v>0</v>
      </c>
      <c r="K51" s="1"/>
      <c r="L51" s="1">
        <f t="shared" si="41"/>
        <v>0</v>
      </c>
      <c r="M51" s="1"/>
      <c r="N51" s="5">
        <f t="shared" si="42"/>
        <v>0</v>
      </c>
      <c r="O51" s="12"/>
      <c r="P51" s="1">
        <f>SUM(OSRRefP22_8x_0)</f>
        <v>914.55</v>
      </c>
      <c r="Q51" s="1"/>
      <c r="R51" s="5">
        <f t="shared" si="43"/>
        <v>0</v>
      </c>
      <c r="S51" s="1"/>
      <c r="T51" s="1">
        <f>SUM(OSRRefT22_8x_0)</f>
        <v>1345.73</v>
      </c>
      <c r="U51" s="1"/>
      <c r="V51" s="5">
        <f t="shared" si="44"/>
        <v>2.2543249718676331E-3</v>
      </c>
      <c r="W51" s="1"/>
      <c r="X51" s="1">
        <f t="shared" si="45"/>
        <v>-431.18000000000006</v>
      </c>
      <c r="Y51" s="1"/>
      <c r="Z51" s="5">
        <f t="shared" si="46"/>
        <v>-0.32040602498272319</v>
      </c>
    </row>
    <row r="52" spans="1:26" s="23" customFormat="1" hidden="1" outlineLevel="2" x14ac:dyDescent="0.25">
      <c r="A52" s="27"/>
      <c r="B52" s="10" t="str">
        <f>CONCATENATE("          ", "6279", " - ", "GENERAL EXPENSE")</f>
        <v xml:space="preserve">          6279 - GENERAL EXPENSE</v>
      </c>
      <c r="C52" s="10"/>
      <c r="D52" s="6"/>
      <c r="E52" s="2"/>
      <c r="F52" s="7">
        <f t="shared" si="39"/>
        <v>0</v>
      </c>
      <c r="G52" s="2"/>
      <c r="H52" s="6"/>
      <c r="I52" s="2"/>
      <c r="J52" s="7">
        <f t="shared" si="40"/>
        <v>0</v>
      </c>
      <c r="K52" s="2"/>
      <c r="L52" s="6">
        <f t="shared" si="41"/>
        <v>0</v>
      </c>
      <c r="M52" s="2"/>
      <c r="N52" s="7">
        <f t="shared" si="42"/>
        <v>0</v>
      </c>
      <c r="O52" s="10"/>
      <c r="P52" s="6">
        <v>914.55</v>
      </c>
      <c r="Q52" s="2"/>
      <c r="R52" s="7">
        <f t="shared" si="43"/>
        <v>0</v>
      </c>
      <c r="S52" s="2"/>
      <c r="T52" s="6">
        <v>1345.73</v>
      </c>
      <c r="U52" s="2"/>
      <c r="V52" s="7">
        <f t="shared" si="44"/>
        <v>2.2543249718676331E-3</v>
      </c>
      <c r="W52" s="2"/>
      <c r="X52" s="6">
        <f t="shared" si="45"/>
        <v>-431.18000000000006</v>
      </c>
      <c r="Y52" s="2"/>
      <c r="Z52" s="7">
        <f t="shared" si="46"/>
        <v>-0.32040602498272319</v>
      </c>
    </row>
    <row r="53" spans="1:26" s="26" customFormat="1" outlineLevel="1" collapsed="1" x14ac:dyDescent="0.25">
      <c r="A53" s="25"/>
      <c r="B53" s="12" t="str">
        <f>CONCATENATE("     ","Insurance                                         ")</f>
        <v xml:space="preserve">     Insurance                                         </v>
      </c>
      <c r="C53" s="12"/>
      <c r="D53" s="1">
        <f>SUM(OSRRefD22_9x_0)</f>
        <v>243.54</v>
      </c>
      <c r="E53" s="1"/>
      <c r="F53" s="5">
        <f t="shared" si="39"/>
        <v>0</v>
      </c>
      <c r="G53" s="1"/>
      <c r="H53" s="1">
        <f>SUM(OSRRefH22_9x_0)</f>
        <v>243.54</v>
      </c>
      <c r="I53" s="1"/>
      <c r="J53" s="5">
        <f t="shared" si="40"/>
        <v>0</v>
      </c>
      <c r="K53" s="1"/>
      <c r="L53" s="1">
        <f t="shared" si="41"/>
        <v>0</v>
      </c>
      <c r="M53" s="1"/>
      <c r="N53" s="5">
        <f t="shared" si="42"/>
        <v>0</v>
      </c>
      <c r="O53" s="12"/>
      <c r="P53" s="1">
        <f>SUM(OSRRefP22_9x_0)</f>
        <v>2435.4</v>
      </c>
      <c r="Q53" s="1"/>
      <c r="R53" s="5">
        <f t="shared" si="43"/>
        <v>0</v>
      </c>
      <c r="S53" s="1"/>
      <c r="T53" s="1">
        <f>SUM(OSRRefT22_9x_0)</f>
        <v>2435.4</v>
      </c>
      <c r="U53" s="1"/>
      <c r="V53" s="5">
        <f t="shared" si="44"/>
        <v>4.0797062088876925E-3</v>
      </c>
      <c r="W53" s="1"/>
      <c r="X53" s="1">
        <f t="shared" si="45"/>
        <v>0</v>
      </c>
      <c r="Y53" s="1"/>
      <c r="Z53" s="5">
        <f t="shared" si="46"/>
        <v>0</v>
      </c>
    </row>
    <row r="54" spans="1:26" s="23" customFormat="1" hidden="1" outlineLevel="2" x14ac:dyDescent="0.25">
      <c r="A54" s="27"/>
      <c r="B54" s="10" t="str">
        <f>CONCATENATE("          ", "6314", " - ", "LIABILITY INSURANCE")</f>
        <v xml:space="preserve">          6314 - LIABILITY INSURANCE</v>
      </c>
      <c r="C54" s="10"/>
      <c r="D54" s="6">
        <v>243.54</v>
      </c>
      <c r="E54" s="2"/>
      <c r="F54" s="7">
        <f t="shared" si="39"/>
        <v>0</v>
      </c>
      <c r="G54" s="2"/>
      <c r="H54" s="6">
        <v>243.54</v>
      </c>
      <c r="I54" s="2"/>
      <c r="J54" s="7">
        <f t="shared" si="40"/>
        <v>0</v>
      </c>
      <c r="K54" s="2"/>
      <c r="L54" s="6">
        <f t="shared" si="41"/>
        <v>0</v>
      </c>
      <c r="M54" s="2"/>
      <c r="N54" s="7">
        <f t="shared" si="42"/>
        <v>0</v>
      </c>
      <c r="O54" s="10"/>
      <c r="P54" s="6">
        <v>2435.4</v>
      </c>
      <c r="Q54" s="2"/>
      <c r="R54" s="7">
        <f t="shared" si="43"/>
        <v>0</v>
      </c>
      <c r="S54" s="2"/>
      <c r="T54" s="6">
        <v>2435.4</v>
      </c>
      <c r="U54" s="2"/>
      <c r="V54" s="7">
        <f t="shared" si="44"/>
        <v>4.0797062088876925E-3</v>
      </c>
      <c r="W54" s="2"/>
      <c r="X54" s="6">
        <f t="shared" si="45"/>
        <v>0</v>
      </c>
      <c r="Y54" s="2"/>
      <c r="Z54" s="7">
        <f t="shared" si="46"/>
        <v>0</v>
      </c>
    </row>
    <row r="55" spans="1:26" s="26" customFormat="1" outlineLevel="1" collapsed="1" x14ac:dyDescent="0.25">
      <c r="A55" s="25"/>
      <c r="B55" s="12" t="str">
        <f>CONCATENATE("     ","Interest                                          ")</f>
        <v xml:space="preserve">     Interest                                          </v>
      </c>
      <c r="C55" s="12"/>
      <c r="D55" s="1">
        <f>SUM(OSRRefD22_10x_0)</f>
        <v>3213</v>
      </c>
      <c r="E55" s="1"/>
      <c r="F55" s="5">
        <f t="shared" si="39"/>
        <v>0</v>
      </c>
      <c r="G55" s="1"/>
      <c r="H55" s="1">
        <f>SUM(OSRRefH22_10x_0)</f>
        <v>3124.82</v>
      </c>
      <c r="I55" s="1"/>
      <c r="J55" s="5">
        <f t="shared" si="40"/>
        <v>0</v>
      </c>
      <c r="K55" s="1"/>
      <c r="L55" s="1">
        <f t="shared" si="41"/>
        <v>88.179999999999836</v>
      </c>
      <c r="M55" s="1"/>
      <c r="N55" s="5">
        <f t="shared" si="42"/>
        <v>2.8219225427384562E-2</v>
      </c>
      <c r="O55" s="12"/>
      <c r="P55" s="1">
        <f>SUM(OSRRefP22_10x_0)</f>
        <v>39346.85</v>
      </c>
      <c r="Q55" s="1"/>
      <c r="R55" s="5">
        <f t="shared" si="43"/>
        <v>0</v>
      </c>
      <c r="S55" s="1"/>
      <c r="T55" s="1">
        <f>SUM(OSRRefT22_10x_0)</f>
        <v>40493.769999999997</v>
      </c>
      <c r="U55" s="1"/>
      <c r="V55" s="5">
        <f t="shared" si="44"/>
        <v>6.7833901983358036E-2</v>
      </c>
      <c r="W55" s="1"/>
      <c r="X55" s="1">
        <f t="shared" si="45"/>
        <v>-1146.9199999999983</v>
      </c>
      <c r="Y55" s="1"/>
      <c r="Z55" s="5">
        <f t="shared" si="46"/>
        <v>-2.8323369249146187E-2</v>
      </c>
    </row>
    <row r="56" spans="1:26" s="23" customFormat="1" hidden="1" outlineLevel="2" x14ac:dyDescent="0.25">
      <c r="A56" s="27"/>
      <c r="B56" s="10" t="str">
        <f>CONCATENATE("          ", "6401", " - ", "INTEREST EXPENSE")</f>
        <v xml:space="preserve">          6401 - INTEREST EXPENSE</v>
      </c>
      <c r="C56" s="10"/>
      <c r="D56" s="6">
        <v>3213</v>
      </c>
      <c r="E56" s="2"/>
      <c r="F56" s="7">
        <f t="shared" si="39"/>
        <v>0</v>
      </c>
      <c r="G56" s="2"/>
      <c r="H56" s="6">
        <v>3124.82</v>
      </c>
      <c r="I56" s="2"/>
      <c r="J56" s="7">
        <f t="shared" si="40"/>
        <v>0</v>
      </c>
      <c r="K56" s="2"/>
      <c r="L56" s="6">
        <f t="shared" si="41"/>
        <v>88.179999999999836</v>
      </c>
      <c r="M56" s="2"/>
      <c r="N56" s="7">
        <f t="shared" si="42"/>
        <v>2.8219225427384562E-2</v>
      </c>
      <c r="O56" s="10"/>
      <c r="P56" s="6">
        <v>39346.85</v>
      </c>
      <c r="Q56" s="2"/>
      <c r="R56" s="7">
        <f t="shared" si="43"/>
        <v>0</v>
      </c>
      <c r="S56" s="2"/>
      <c r="T56" s="6">
        <v>40493.769999999997</v>
      </c>
      <c r="U56" s="2"/>
      <c r="V56" s="7">
        <f t="shared" si="44"/>
        <v>6.7833901983358036E-2</v>
      </c>
      <c r="W56" s="2"/>
      <c r="X56" s="6">
        <f t="shared" si="45"/>
        <v>-1146.9199999999983</v>
      </c>
      <c r="Y56" s="2"/>
      <c r="Z56" s="7">
        <f t="shared" si="46"/>
        <v>-2.8323369249146187E-2</v>
      </c>
    </row>
    <row r="57" spans="1:26" s="26" customFormat="1" outlineLevel="1" collapsed="1" x14ac:dyDescent="0.25">
      <c r="A57" s="25"/>
      <c r="B57" s="12" t="str">
        <f>CONCATENATE("     ","Repair and Maintenance                            ")</f>
        <v xml:space="preserve">     Repair and Maintenance                            </v>
      </c>
      <c r="C57" s="12"/>
      <c r="D57" s="1">
        <f>SUM(OSRRefD22_11x_0)</f>
        <v>0</v>
      </c>
      <c r="E57" s="1"/>
      <c r="F57" s="5">
        <f t="shared" si="39"/>
        <v>0</v>
      </c>
      <c r="G57" s="1"/>
      <c r="H57" s="1">
        <f>SUM(OSRRefH22_11x_0)</f>
        <v>0</v>
      </c>
      <c r="I57" s="1"/>
      <c r="J57" s="5">
        <f t="shared" si="40"/>
        <v>0</v>
      </c>
      <c r="K57" s="1"/>
      <c r="L57" s="1">
        <f t="shared" si="41"/>
        <v>0</v>
      </c>
      <c r="M57" s="1"/>
      <c r="N57" s="5">
        <f t="shared" si="42"/>
        <v>0</v>
      </c>
      <c r="O57" s="12"/>
      <c r="P57" s="1">
        <f>SUM(OSRRefP22_11x_0)</f>
        <v>637.16000000000008</v>
      </c>
      <c r="Q57" s="1"/>
      <c r="R57" s="5">
        <f t="shared" si="43"/>
        <v>0</v>
      </c>
      <c r="S57" s="1"/>
      <c r="T57" s="1">
        <f>SUM(OSRRefT22_11x_0)</f>
        <v>1046.19</v>
      </c>
      <c r="U57" s="1"/>
      <c r="V57" s="5">
        <f t="shared" si="44"/>
        <v>1.7525448955720681E-3</v>
      </c>
      <c r="W57" s="1"/>
      <c r="X57" s="1">
        <f t="shared" si="45"/>
        <v>-409.03</v>
      </c>
      <c r="Y57" s="1"/>
      <c r="Z57" s="5">
        <f t="shared" si="46"/>
        <v>-0.39097104732409976</v>
      </c>
    </row>
    <row r="58" spans="1:26" s="23" customFormat="1" hidden="1" outlineLevel="2" x14ac:dyDescent="0.25">
      <c r="A58" s="27"/>
      <c r="B58" s="10" t="str">
        <f>CONCATENATE("          ", "6371", " - ", "COMPUTER SOFTWARE MAINTENANCE")</f>
        <v xml:space="preserve">          6371 - COMPUTER SOFTWARE MAINTENANCE</v>
      </c>
      <c r="C58" s="10"/>
      <c r="D58" s="6"/>
      <c r="E58" s="2"/>
      <c r="F58" s="7">
        <f t="shared" si="39"/>
        <v>0</v>
      </c>
      <c r="G58" s="2"/>
      <c r="H58" s="6"/>
      <c r="I58" s="2"/>
      <c r="J58" s="7">
        <f t="shared" si="40"/>
        <v>0</v>
      </c>
      <c r="K58" s="2"/>
      <c r="L58" s="6">
        <f t="shared" si="41"/>
        <v>0</v>
      </c>
      <c r="M58" s="2"/>
      <c r="N58" s="7">
        <f t="shared" si="42"/>
        <v>0</v>
      </c>
      <c r="O58" s="10"/>
      <c r="P58" s="6"/>
      <c r="Q58" s="2"/>
      <c r="R58" s="7">
        <f t="shared" si="43"/>
        <v>0</v>
      </c>
      <c r="S58" s="2"/>
      <c r="T58" s="6">
        <v>437.31</v>
      </c>
      <c r="U58" s="2"/>
      <c r="V58" s="7">
        <f t="shared" si="44"/>
        <v>7.3256808828474861E-4</v>
      </c>
      <c r="W58" s="2"/>
      <c r="X58" s="6">
        <f t="shared" si="45"/>
        <v>-437.31</v>
      </c>
      <c r="Y58" s="2"/>
      <c r="Z58" s="7">
        <f t="shared" si="46"/>
        <v>-1</v>
      </c>
    </row>
    <row r="59" spans="1:26" s="23" customFormat="1" hidden="1" outlineLevel="2" x14ac:dyDescent="0.25">
      <c r="A59" s="27"/>
      <c r="B59" s="10" t="str">
        <f>CONCATENATE("          ", "6373", " - ", "MAINTENANCE CONTRACTS")</f>
        <v xml:space="preserve">          6373 - MAINTENANCE CONTRACTS</v>
      </c>
      <c r="C59" s="10"/>
      <c r="D59" s="6"/>
      <c r="E59" s="2"/>
      <c r="F59" s="7">
        <f t="shared" si="39"/>
        <v>0</v>
      </c>
      <c r="G59" s="2"/>
      <c r="H59" s="6"/>
      <c r="I59" s="2"/>
      <c r="J59" s="7">
        <f t="shared" si="40"/>
        <v>0</v>
      </c>
      <c r="K59" s="2"/>
      <c r="L59" s="6">
        <f t="shared" si="41"/>
        <v>0</v>
      </c>
      <c r="M59" s="2"/>
      <c r="N59" s="7">
        <f t="shared" si="42"/>
        <v>0</v>
      </c>
      <c r="O59" s="10"/>
      <c r="P59" s="6">
        <v>404.16</v>
      </c>
      <c r="Q59" s="2"/>
      <c r="R59" s="7">
        <f t="shared" si="43"/>
        <v>0</v>
      </c>
      <c r="S59" s="2"/>
      <c r="T59" s="6">
        <v>318.26</v>
      </c>
      <c r="U59" s="2"/>
      <c r="V59" s="7">
        <f t="shared" si="44"/>
        <v>5.3313923710297968E-4</v>
      </c>
      <c r="W59" s="2"/>
      <c r="X59" s="6">
        <f t="shared" si="45"/>
        <v>85.900000000000034</v>
      </c>
      <c r="Y59" s="2"/>
      <c r="Z59" s="7">
        <f t="shared" si="46"/>
        <v>0.26990510903035264</v>
      </c>
    </row>
    <row r="60" spans="1:26" s="23" customFormat="1" hidden="1" outlineLevel="2" x14ac:dyDescent="0.25">
      <c r="A60" s="27"/>
      <c r="B60" s="10" t="str">
        <f>CONCATENATE("          ", "6375", " - ", "OUTSIDE REPAIRS &amp; MAINTENANCE")</f>
        <v xml:space="preserve">          6375 - OUTSIDE REPAIRS &amp; MAINTENANCE</v>
      </c>
      <c r="C60" s="10"/>
      <c r="D60" s="6"/>
      <c r="E60" s="2"/>
      <c r="F60" s="7">
        <f t="shared" si="39"/>
        <v>0</v>
      </c>
      <c r="G60" s="2"/>
      <c r="H60" s="6"/>
      <c r="I60" s="2"/>
      <c r="J60" s="7">
        <f t="shared" si="40"/>
        <v>0</v>
      </c>
      <c r="K60" s="2"/>
      <c r="L60" s="6">
        <f t="shared" si="41"/>
        <v>0</v>
      </c>
      <c r="M60" s="2"/>
      <c r="N60" s="7">
        <f t="shared" si="42"/>
        <v>0</v>
      </c>
      <c r="O60" s="10"/>
      <c r="P60" s="6">
        <v>233</v>
      </c>
      <c r="Q60" s="2"/>
      <c r="R60" s="7">
        <f t="shared" si="43"/>
        <v>0</v>
      </c>
      <c r="S60" s="2"/>
      <c r="T60" s="6">
        <v>290.62</v>
      </c>
      <c r="U60" s="2"/>
      <c r="V60" s="7">
        <f t="shared" si="44"/>
        <v>4.8683757018433979E-4</v>
      </c>
      <c r="W60" s="2"/>
      <c r="X60" s="6">
        <f t="shared" si="45"/>
        <v>-57.620000000000005</v>
      </c>
      <c r="Y60" s="2"/>
      <c r="Z60" s="7">
        <f t="shared" si="46"/>
        <v>-0.19826577661551167</v>
      </c>
    </row>
    <row r="61" spans="1:26" s="26" customFormat="1" outlineLevel="1" collapsed="1" x14ac:dyDescent="0.25">
      <c r="A61" s="25"/>
      <c r="B61" s="12" t="str">
        <f>CONCATENATE("     ","Services                                          ")</f>
        <v xml:space="preserve">     Services                                          </v>
      </c>
      <c r="C61" s="12"/>
      <c r="D61" s="1">
        <f>SUM(OSRRefD22_12x_0)</f>
        <v>289</v>
      </c>
      <c r="E61" s="1"/>
      <c r="F61" s="5">
        <f t="shared" ref="F61:F64" si="47">IF(D$12=0,0,D61/D$12)</f>
        <v>0</v>
      </c>
      <c r="G61" s="1"/>
      <c r="H61" s="1">
        <f>SUM(OSRRefH22_12x_0)</f>
        <v>289</v>
      </c>
      <c r="I61" s="1"/>
      <c r="J61" s="5">
        <f t="shared" ref="J61:J64" si="48">IF(H$12=0,0,H61/H$12)</f>
        <v>0</v>
      </c>
      <c r="K61" s="1"/>
      <c r="L61" s="1">
        <f t="shared" ref="L61:L64" si="49">+D61-H61</f>
        <v>0</v>
      </c>
      <c r="M61" s="1"/>
      <c r="N61" s="5">
        <f t="shared" ref="N61:N64" si="50">IF(H61=0,0,L61/H61)</f>
        <v>0</v>
      </c>
      <c r="O61" s="12"/>
      <c r="P61" s="1">
        <f>SUM(OSRRefP22_12x_0)</f>
        <v>1950.75</v>
      </c>
      <c r="Q61" s="1"/>
      <c r="R61" s="5">
        <f t="shared" ref="R61:R64" si="51">IF(P$12=0,0,P61/P$12)</f>
        <v>0</v>
      </c>
      <c r="S61" s="1"/>
      <c r="T61" s="1">
        <f>SUM(OSRRefT22_12x_0)</f>
        <v>5287.24</v>
      </c>
      <c r="U61" s="1"/>
      <c r="V61" s="5">
        <f t="shared" ref="V61:V64" si="52">IF(T$12=0,0,T61/T$12)</f>
        <v>8.8570197322326346E-3</v>
      </c>
      <c r="W61" s="1"/>
      <c r="X61" s="1">
        <f t="shared" ref="X61:X64" si="53">+P61-T61</f>
        <v>-3336.49</v>
      </c>
      <c r="Y61" s="1"/>
      <c r="Z61" s="5">
        <f t="shared" ref="Z61:Z64" si="54">IF(T61=0,0,X61/T61)</f>
        <v>-0.63104568735294786</v>
      </c>
    </row>
    <row r="62" spans="1:26" s="23" customFormat="1" hidden="1" outlineLevel="2" x14ac:dyDescent="0.25">
      <c r="A62" s="27"/>
      <c r="B62" s="10" t="str">
        <f>CONCATENATE("          ", "6282", " - ", "JANITORIAL/EXTERMINATOR EXPENS")</f>
        <v xml:space="preserve">          6282 - JANITORIAL/EXTERMINATOR EXPENS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>
        <v>786.75</v>
      </c>
      <c r="Q62" s="2"/>
      <c r="R62" s="7">
        <f t="shared" si="51"/>
        <v>0</v>
      </c>
      <c r="S62" s="2"/>
      <c r="T62" s="6">
        <v>1573.5</v>
      </c>
      <c r="U62" s="2"/>
      <c r="V62" s="7">
        <f t="shared" si="52"/>
        <v>2.6358781800463102E-3</v>
      </c>
      <c r="W62" s="2"/>
      <c r="X62" s="6">
        <f t="shared" si="53"/>
        <v>-786.75</v>
      </c>
      <c r="Y62" s="2"/>
      <c r="Z62" s="7">
        <f t="shared" si="54"/>
        <v>-0.5</v>
      </c>
    </row>
    <row r="63" spans="1:26" s="23" customFormat="1" hidden="1" outlineLevel="2" x14ac:dyDescent="0.25">
      <c r="A63" s="27"/>
      <c r="B63" s="10" t="str">
        <f>CONCATENATE("          ", "6284", " - ", "TRASH REMOVAL EXPENSE")</f>
        <v xml:space="preserve">          6284 - TRASH REMOVAL EXPENSE</v>
      </c>
      <c r="C63" s="10"/>
      <c r="D63" s="6">
        <v>289</v>
      </c>
      <c r="E63" s="2"/>
      <c r="F63" s="7">
        <f t="shared" si="47"/>
        <v>0</v>
      </c>
      <c r="G63" s="2"/>
      <c r="H63" s="6">
        <v>289</v>
      </c>
      <c r="I63" s="2"/>
      <c r="J63" s="7">
        <f t="shared" si="48"/>
        <v>0</v>
      </c>
      <c r="K63" s="2"/>
      <c r="L63" s="6">
        <f t="shared" si="49"/>
        <v>0</v>
      </c>
      <c r="M63" s="2"/>
      <c r="N63" s="7">
        <f t="shared" si="50"/>
        <v>0</v>
      </c>
      <c r="O63" s="10"/>
      <c r="P63" s="6">
        <v>1164</v>
      </c>
      <c r="Q63" s="2"/>
      <c r="R63" s="7">
        <f t="shared" si="51"/>
        <v>0</v>
      </c>
      <c r="S63" s="2"/>
      <c r="T63" s="6">
        <v>2889</v>
      </c>
      <c r="U63" s="2"/>
      <c r="V63" s="7">
        <f t="shared" si="52"/>
        <v>4.8395627976827388E-3</v>
      </c>
      <c r="W63" s="2"/>
      <c r="X63" s="6">
        <f t="shared" si="53"/>
        <v>-1725</v>
      </c>
      <c r="Y63" s="2"/>
      <c r="Z63" s="7">
        <f t="shared" si="54"/>
        <v>-0.59709241952232606</v>
      </c>
    </row>
    <row r="64" spans="1:26" s="23" customFormat="1" hidden="1" outlineLevel="2" x14ac:dyDescent="0.25">
      <c r="A64" s="27"/>
      <c r="B64" s="10" t="str">
        <f>CONCATENATE("          ", "6286", " - ", "LAUNDRY EXPENSE")</f>
        <v xml:space="preserve">          6286 - LAUNDRY EXPENSE</v>
      </c>
      <c r="C64" s="10"/>
      <c r="D64" s="6"/>
      <c r="E64" s="2"/>
      <c r="F64" s="7">
        <f t="shared" si="47"/>
        <v>0</v>
      </c>
      <c r="G64" s="2"/>
      <c r="H64" s="6"/>
      <c r="I64" s="2"/>
      <c r="J64" s="7">
        <f t="shared" si="48"/>
        <v>0</v>
      </c>
      <c r="K64" s="2"/>
      <c r="L64" s="6">
        <f t="shared" si="49"/>
        <v>0</v>
      </c>
      <c r="M64" s="2"/>
      <c r="N64" s="7">
        <f t="shared" si="50"/>
        <v>0</v>
      </c>
      <c r="O64" s="10"/>
      <c r="P64" s="6"/>
      <c r="Q64" s="2"/>
      <c r="R64" s="7">
        <f t="shared" si="51"/>
        <v>0</v>
      </c>
      <c r="S64" s="2"/>
      <c r="T64" s="6">
        <v>824.74</v>
      </c>
      <c r="U64" s="2"/>
      <c r="V64" s="7">
        <f t="shared" si="52"/>
        <v>1.3815787545035868E-3</v>
      </c>
      <c r="W64" s="2"/>
      <c r="X64" s="6">
        <f t="shared" si="53"/>
        <v>-824.74</v>
      </c>
      <c r="Y64" s="2"/>
      <c r="Z64" s="7">
        <f t="shared" si="54"/>
        <v>-1</v>
      </c>
    </row>
    <row r="65" spans="1:26" s="26" customFormat="1" outlineLevel="1" collapsed="1" x14ac:dyDescent="0.25">
      <c r="A65" s="25"/>
      <c r="B65" s="12" t="str">
        <f>CONCATENATE("     ","Subscriptions &amp; Dues                              ")</f>
        <v xml:space="preserve">     Subscriptions &amp; Dues                              </v>
      </c>
      <c r="C65" s="12"/>
      <c r="D65" s="1">
        <f>SUM(OSRRefD22_13x_0)</f>
        <v>0</v>
      </c>
      <c r="E65" s="1"/>
      <c r="F65" s="5">
        <f t="shared" ref="F65:F72" si="55">IF(D$12=0,0,D65/D$12)</f>
        <v>0</v>
      </c>
      <c r="G65" s="1"/>
      <c r="H65" s="1">
        <f>SUM(OSRRefH22_13x_0)</f>
        <v>0</v>
      </c>
      <c r="I65" s="1"/>
      <c r="J65" s="5">
        <f t="shared" ref="J65:J72" si="56">IF(H$12=0,0,H65/H$12)</f>
        <v>0</v>
      </c>
      <c r="K65" s="1"/>
      <c r="L65" s="1">
        <f t="shared" ref="L65:L72" si="57">+D65-H65</f>
        <v>0</v>
      </c>
      <c r="M65" s="1"/>
      <c r="N65" s="5">
        <f t="shared" ref="N65:N72" si="58">IF(H65=0,0,L65/H65)</f>
        <v>0</v>
      </c>
      <c r="O65" s="12"/>
      <c r="P65" s="1">
        <f>SUM(OSRRefP22_13x_0)</f>
        <v>0</v>
      </c>
      <c r="Q65" s="1"/>
      <c r="R65" s="5">
        <f t="shared" ref="R65:R72" si="59">IF(P$12=0,0,P65/P$12)</f>
        <v>0</v>
      </c>
      <c r="S65" s="1"/>
      <c r="T65" s="1">
        <f>SUM(OSRRefT22_13x_0)</f>
        <v>1411.2</v>
      </c>
      <c r="U65" s="1"/>
      <c r="V65" s="5">
        <f t="shared" ref="V65:V72" si="60">IF(T$12=0,0,T65/T$12)</f>
        <v>2.3639982762512571E-3</v>
      </c>
      <c r="W65" s="1"/>
      <c r="X65" s="1">
        <f t="shared" ref="X65:X72" si="61">+P65-T65</f>
        <v>-1411.2</v>
      </c>
      <c r="Y65" s="1"/>
      <c r="Z65" s="5">
        <f t="shared" ref="Z65:Z72" si="62">IF(T65=0,0,X65/T65)</f>
        <v>-1</v>
      </c>
    </row>
    <row r="66" spans="1:26" s="23" customFormat="1" hidden="1" outlineLevel="2" x14ac:dyDescent="0.25">
      <c r="A66" s="27"/>
      <c r="B66" s="10" t="str">
        <f>CONCATENATE("          ", "6275", " - ", "SUBSCRIPTIONS")</f>
        <v xml:space="preserve">          6275 - SUBSCRIPTIONS</v>
      </c>
      <c r="C66" s="10"/>
      <c r="D66" s="6"/>
      <c r="E66" s="2"/>
      <c r="F66" s="7">
        <f t="shared" si="55"/>
        <v>0</v>
      </c>
      <c r="G66" s="2"/>
      <c r="H66" s="6"/>
      <c r="I66" s="2"/>
      <c r="J66" s="7">
        <f t="shared" si="56"/>
        <v>0</v>
      </c>
      <c r="K66" s="2"/>
      <c r="L66" s="6">
        <f t="shared" si="57"/>
        <v>0</v>
      </c>
      <c r="M66" s="2"/>
      <c r="N66" s="7">
        <f t="shared" si="58"/>
        <v>0</v>
      </c>
      <c r="O66" s="10"/>
      <c r="P66" s="6"/>
      <c r="Q66" s="2"/>
      <c r="R66" s="7">
        <f t="shared" si="59"/>
        <v>0</v>
      </c>
      <c r="S66" s="2"/>
      <c r="T66" s="6">
        <v>1411.2</v>
      </c>
      <c r="U66" s="2"/>
      <c r="V66" s="7">
        <f t="shared" si="60"/>
        <v>2.3639982762512571E-3</v>
      </c>
      <c r="W66" s="2"/>
      <c r="X66" s="6">
        <f t="shared" si="61"/>
        <v>-1411.2</v>
      </c>
      <c r="Y66" s="2"/>
      <c r="Z66" s="7">
        <f t="shared" si="62"/>
        <v>-1</v>
      </c>
    </row>
    <row r="67" spans="1:26" s="26" customFormat="1" outlineLevel="1" collapsed="1" x14ac:dyDescent="0.25">
      <c r="A67" s="25"/>
      <c r="B67" s="12" t="str">
        <f>CONCATENATE("     ","Supplies                                          ")</f>
        <v xml:space="preserve">     Supplies                                          </v>
      </c>
      <c r="C67" s="12"/>
      <c r="D67" s="1">
        <f>SUM(OSRRefD22_14x_0)</f>
        <v>0</v>
      </c>
      <c r="E67" s="1"/>
      <c r="F67" s="5">
        <f t="shared" si="55"/>
        <v>0</v>
      </c>
      <c r="G67" s="1"/>
      <c r="H67" s="1">
        <f>SUM(OSRRefH22_14x_0)</f>
        <v>0</v>
      </c>
      <c r="I67" s="1"/>
      <c r="J67" s="5">
        <f t="shared" si="56"/>
        <v>0</v>
      </c>
      <c r="K67" s="1"/>
      <c r="L67" s="1">
        <f t="shared" si="57"/>
        <v>0</v>
      </c>
      <c r="M67" s="1"/>
      <c r="N67" s="5">
        <f t="shared" si="58"/>
        <v>0</v>
      </c>
      <c r="O67" s="12"/>
      <c r="P67" s="1">
        <f>SUM(OSRRefP22_14x_0)</f>
        <v>634.24</v>
      </c>
      <c r="Q67" s="1"/>
      <c r="R67" s="5">
        <f t="shared" si="59"/>
        <v>0</v>
      </c>
      <c r="S67" s="1"/>
      <c r="T67" s="1">
        <f>SUM(OSRRefT22_14x_0)</f>
        <v>10919.900000000001</v>
      </c>
      <c r="U67" s="1"/>
      <c r="V67" s="5">
        <f t="shared" si="60"/>
        <v>1.8292676287440551E-2</v>
      </c>
      <c r="W67" s="1"/>
      <c r="X67" s="1">
        <f t="shared" si="61"/>
        <v>-10285.660000000002</v>
      </c>
      <c r="Y67" s="1"/>
      <c r="Z67" s="5">
        <f t="shared" si="62"/>
        <v>-0.94191888204104435</v>
      </c>
    </row>
    <row r="68" spans="1:26" s="23" customFormat="1" hidden="1" outlineLevel="2" x14ac:dyDescent="0.25">
      <c r="A68" s="27"/>
      <c r="B68" s="10" t="str">
        <f>CONCATENATE("          ", "6234", " - ", "EXPENDABLE SUPPLIES &amp; EQUIPMEN")</f>
        <v xml:space="preserve">          6234 - EXPENDABLE SUPPLIES &amp; EQUIPMEN</v>
      </c>
      <c r="C68" s="10"/>
      <c r="D68" s="6"/>
      <c r="E68" s="2"/>
      <c r="F68" s="7">
        <f t="shared" si="55"/>
        <v>0</v>
      </c>
      <c r="G68" s="2"/>
      <c r="H68" s="6"/>
      <c r="I68" s="2"/>
      <c r="J68" s="7">
        <f t="shared" si="56"/>
        <v>0</v>
      </c>
      <c r="K68" s="2"/>
      <c r="L68" s="6">
        <f t="shared" si="57"/>
        <v>0</v>
      </c>
      <c r="M68" s="2"/>
      <c r="N68" s="7">
        <f t="shared" si="58"/>
        <v>0</v>
      </c>
      <c r="O68" s="10"/>
      <c r="P68" s="6">
        <v>316.67</v>
      </c>
      <c r="Q68" s="2"/>
      <c r="R68" s="7">
        <f t="shared" si="59"/>
        <v>0</v>
      </c>
      <c r="S68" s="2"/>
      <c r="T68" s="6">
        <v>28.22</v>
      </c>
      <c r="U68" s="2"/>
      <c r="V68" s="7">
        <f t="shared" si="60"/>
        <v>4.7273264849638937E-5</v>
      </c>
      <c r="W68" s="2"/>
      <c r="X68" s="6">
        <f t="shared" si="61"/>
        <v>288.45000000000005</v>
      </c>
      <c r="Y68" s="2"/>
      <c r="Z68" s="7">
        <f t="shared" si="62"/>
        <v>10.221474131821406</v>
      </c>
    </row>
    <row r="69" spans="1:26" s="23" customFormat="1" hidden="1" outlineLevel="2" x14ac:dyDescent="0.25">
      <c r="A69" s="27"/>
      <c r="B69" s="10" t="str">
        <f>CONCATENATE("          ", "6237", " - ", "JANITORIAL SUPPLIES")</f>
        <v xml:space="preserve">          6237 - JANITORIAL SUPPLIES</v>
      </c>
      <c r="C69" s="10"/>
      <c r="D69" s="6"/>
      <c r="E69" s="2"/>
      <c r="F69" s="7">
        <f t="shared" si="55"/>
        <v>0</v>
      </c>
      <c r="G69" s="2"/>
      <c r="H69" s="6"/>
      <c r="I69" s="2"/>
      <c r="J69" s="7">
        <f t="shared" si="56"/>
        <v>0</v>
      </c>
      <c r="K69" s="2"/>
      <c r="L69" s="6">
        <f t="shared" si="57"/>
        <v>0</v>
      </c>
      <c r="M69" s="2"/>
      <c r="N69" s="7">
        <f t="shared" si="58"/>
        <v>0</v>
      </c>
      <c r="O69" s="10"/>
      <c r="P69" s="6">
        <v>317.57</v>
      </c>
      <c r="Q69" s="2"/>
      <c r="R69" s="7">
        <f t="shared" si="59"/>
        <v>0</v>
      </c>
      <c r="S69" s="2"/>
      <c r="T69" s="6">
        <v>1422.57</v>
      </c>
      <c r="U69" s="2"/>
      <c r="V69" s="7">
        <f t="shared" si="60"/>
        <v>2.3830449460365295E-3</v>
      </c>
      <c r="W69" s="2"/>
      <c r="X69" s="6">
        <f t="shared" si="61"/>
        <v>-1105</v>
      </c>
      <c r="Y69" s="2"/>
      <c r="Z69" s="7">
        <f t="shared" si="62"/>
        <v>-0.77676318212812023</v>
      </c>
    </row>
    <row r="70" spans="1:26" s="23" customFormat="1" hidden="1" outlineLevel="2" x14ac:dyDescent="0.25">
      <c r="A70" s="27"/>
      <c r="B70" s="10" t="str">
        <f>CONCATENATE("          ", "6241", " - ", "OFFICE EXPENSE")</f>
        <v xml:space="preserve">          6241 - OFFICE EXPENSE</v>
      </c>
      <c r="C70" s="10"/>
      <c r="D70" s="6"/>
      <c r="E70" s="2"/>
      <c r="F70" s="7">
        <f t="shared" si="55"/>
        <v>0</v>
      </c>
      <c r="G70" s="2"/>
      <c r="H70" s="6"/>
      <c r="I70" s="2"/>
      <c r="J70" s="7">
        <f t="shared" si="56"/>
        <v>0</v>
      </c>
      <c r="K70" s="2"/>
      <c r="L70" s="6">
        <f t="shared" si="57"/>
        <v>0</v>
      </c>
      <c r="M70" s="2"/>
      <c r="N70" s="7">
        <f t="shared" si="58"/>
        <v>0</v>
      </c>
      <c r="O70" s="10"/>
      <c r="P70" s="6"/>
      <c r="Q70" s="2"/>
      <c r="R70" s="7">
        <f t="shared" si="59"/>
        <v>0</v>
      </c>
      <c r="S70" s="2"/>
      <c r="T70" s="6">
        <v>484.03</v>
      </c>
      <c r="U70" s="2"/>
      <c r="V70" s="7">
        <f t="shared" si="60"/>
        <v>8.1083197679556113E-4</v>
      </c>
      <c r="W70" s="2"/>
      <c r="X70" s="6">
        <f t="shared" si="61"/>
        <v>-484.03</v>
      </c>
      <c r="Y70" s="2"/>
      <c r="Z70" s="7">
        <f t="shared" si="62"/>
        <v>-1</v>
      </c>
    </row>
    <row r="71" spans="1:26" s="23" customFormat="1" hidden="1" outlineLevel="2" x14ac:dyDescent="0.25">
      <c r="A71" s="27"/>
      <c r="B71" s="10" t="str">
        <f>CONCATENATE("          ", "6243", " - ", "PAPER SUPPLIES")</f>
        <v xml:space="preserve">          6243 - PAPER SUPPLIES</v>
      </c>
      <c r="C71" s="10"/>
      <c r="D71" s="6"/>
      <c r="E71" s="2"/>
      <c r="F71" s="7">
        <f t="shared" si="55"/>
        <v>0</v>
      </c>
      <c r="G71" s="2"/>
      <c r="H71" s="6"/>
      <c r="I71" s="2"/>
      <c r="J71" s="7">
        <f t="shared" si="56"/>
        <v>0</v>
      </c>
      <c r="K71" s="2"/>
      <c r="L71" s="6">
        <f t="shared" si="57"/>
        <v>0</v>
      </c>
      <c r="M71" s="2"/>
      <c r="N71" s="7">
        <f t="shared" si="58"/>
        <v>0</v>
      </c>
      <c r="O71" s="10"/>
      <c r="P71" s="6"/>
      <c r="Q71" s="2"/>
      <c r="R71" s="7">
        <f t="shared" si="59"/>
        <v>0</v>
      </c>
      <c r="S71" s="2"/>
      <c r="T71" s="6">
        <v>1399.73</v>
      </c>
      <c r="U71" s="2"/>
      <c r="V71" s="7">
        <f t="shared" si="60"/>
        <v>2.3447840895813293E-3</v>
      </c>
      <c r="W71" s="2"/>
      <c r="X71" s="6">
        <f t="shared" si="61"/>
        <v>-1399.73</v>
      </c>
      <c r="Y71" s="2"/>
      <c r="Z71" s="7">
        <f t="shared" si="62"/>
        <v>-1</v>
      </c>
    </row>
    <row r="72" spans="1:26" s="23" customFormat="1" hidden="1" outlineLevel="2" x14ac:dyDescent="0.25">
      <c r="A72" s="27"/>
      <c r="B72" s="10" t="str">
        <f>CONCATENATE("          ", "6247", " - ", "STORE SUPPLIES")</f>
        <v xml:space="preserve">          6247 - STORE SUPPLIES</v>
      </c>
      <c r="C72" s="10"/>
      <c r="D72" s="6"/>
      <c r="E72" s="2"/>
      <c r="F72" s="7">
        <f t="shared" si="55"/>
        <v>0</v>
      </c>
      <c r="G72" s="2"/>
      <c r="H72" s="6"/>
      <c r="I72" s="2"/>
      <c r="J72" s="7">
        <f t="shared" si="56"/>
        <v>0</v>
      </c>
      <c r="K72" s="2"/>
      <c r="L72" s="6">
        <f t="shared" si="57"/>
        <v>0</v>
      </c>
      <c r="M72" s="2"/>
      <c r="N72" s="7">
        <f t="shared" si="58"/>
        <v>0</v>
      </c>
      <c r="O72" s="10"/>
      <c r="P72" s="6"/>
      <c r="Q72" s="2"/>
      <c r="R72" s="7">
        <f t="shared" si="59"/>
        <v>0</v>
      </c>
      <c r="S72" s="2"/>
      <c r="T72" s="6">
        <v>7585.35</v>
      </c>
      <c r="U72" s="2"/>
      <c r="V72" s="7">
        <f t="shared" si="60"/>
        <v>1.2706742010177489E-2</v>
      </c>
      <c r="W72" s="2"/>
      <c r="X72" s="6">
        <f t="shared" si="61"/>
        <v>-7585.35</v>
      </c>
      <c r="Y72" s="2"/>
      <c r="Z72" s="7">
        <f t="shared" si="62"/>
        <v>-1</v>
      </c>
    </row>
    <row r="73" spans="1:26" s="26" customFormat="1" outlineLevel="1" collapsed="1" x14ac:dyDescent="0.25">
      <c r="A73" s="25"/>
      <c r="B73" s="12" t="str">
        <f>CONCATENATE("     ","Telephone/Data Lines                              ")</f>
        <v xml:space="preserve">     Telephone/Data Lines                              </v>
      </c>
      <c r="C73" s="12"/>
      <c r="D73" s="1">
        <f>SUM(OSRRefD22_15x_0)</f>
        <v>172</v>
      </c>
      <c r="E73" s="1"/>
      <c r="F73" s="5">
        <f t="shared" ref="F73:F78" si="63">IF(D$12=0,0,D73/D$12)</f>
        <v>0</v>
      </c>
      <c r="G73" s="1"/>
      <c r="H73" s="1">
        <f>SUM(OSRRefH22_15x_0)</f>
        <v>88.1</v>
      </c>
      <c r="I73" s="1"/>
      <c r="J73" s="5">
        <f t="shared" ref="J73:J78" si="64">IF(H$12=0,0,H73/H$12)</f>
        <v>0</v>
      </c>
      <c r="K73" s="1"/>
      <c r="L73" s="1">
        <f t="shared" ref="L73:L78" si="65">+D73-H73</f>
        <v>83.9</v>
      </c>
      <c r="M73" s="1"/>
      <c r="N73" s="5">
        <f t="shared" ref="N73:N78" si="66">IF(H73=0,0,L73/H73)</f>
        <v>0.95232690124858133</v>
      </c>
      <c r="O73" s="12"/>
      <c r="P73" s="1">
        <f>SUM(OSRRefP22_15x_0)</f>
        <v>1125.8699999999999</v>
      </c>
      <c r="Q73" s="1"/>
      <c r="R73" s="5">
        <f t="shared" ref="R73:R78" si="67">IF(P$12=0,0,P73/P$12)</f>
        <v>0</v>
      </c>
      <c r="S73" s="1"/>
      <c r="T73" s="1">
        <f>SUM(OSRRefT22_15x_0)</f>
        <v>634.16999999999996</v>
      </c>
      <c r="U73" s="1"/>
      <c r="V73" s="5">
        <f t="shared" ref="V73:V78" si="68">IF(T$12=0,0,T73/T$12)</f>
        <v>1.0623418274165672E-3</v>
      </c>
      <c r="W73" s="1"/>
      <c r="X73" s="1">
        <f t="shared" ref="X73:X78" si="69">+P73-T73</f>
        <v>491.69999999999993</v>
      </c>
      <c r="Y73" s="1"/>
      <c r="Z73" s="5">
        <f t="shared" ref="Z73:Z78" si="70">IF(T73=0,0,X73/T73)</f>
        <v>0.77534415062207285</v>
      </c>
    </row>
    <row r="74" spans="1:26" s="23" customFormat="1" hidden="1" outlineLevel="2" x14ac:dyDescent="0.25">
      <c r="A74" s="27"/>
      <c r="B74" s="10" t="str">
        <f>CONCATENATE("          ", "6309", " - ", "TELEPHONE")</f>
        <v xml:space="preserve">          6309 - TELEPHONE</v>
      </c>
      <c r="C74" s="10"/>
      <c r="D74" s="6">
        <v>172</v>
      </c>
      <c r="E74" s="2"/>
      <c r="F74" s="7">
        <f t="shared" si="63"/>
        <v>0</v>
      </c>
      <c r="G74" s="2"/>
      <c r="H74" s="6">
        <v>88.1</v>
      </c>
      <c r="I74" s="2"/>
      <c r="J74" s="7">
        <f t="shared" si="64"/>
        <v>0</v>
      </c>
      <c r="K74" s="2"/>
      <c r="L74" s="6">
        <f t="shared" si="65"/>
        <v>83.9</v>
      </c>
      <c r="M74" s="2"/>
      <c r="N74" s="7">
        <f t="shared" si="66"/>
        <v>0.95232690124858133</v>
      </c>
      <c r="O74" s="10"/>
      <c r="P74" s="6">
        <v>1125.8699999999999</v>
      </c>
      <c r="Q74" s="2"/>
      <c r="R74" s="7">
        <f t="shared" si="67"/>
        <v>0</v>
      </c>
      <c r="S74" s="2"/>
      <c r="T74" s="6">
        <v>634.16999999999996</v>
      </c>
      <c r="U74" s="2"/>
      <c r="V74" s="7">
        <f t="shared" si="68"/>
        <v>1.0623418274165672E-3</v>
      </c>
      <c r="W74" s="2"/>
      <c r="X74" s="6">
        <f t="shared" si="69"/>
        <v>491.69999999999993</v>
      </c>
      <c r="Y74" s="2"/>
      <c r="Z74" s="7">
        <f t="shared" si="70"/>
        <v>0.77534415062207285</v>
      </c>
    </row>
    <row r="75" spans="1:26" s="26" customFormat="1" outlineLevel="1" collapsed="1" x14ac:dyDescent="0.25">
      <c r="A75" s="25"/>
      <c r="B75" s="12" t="str">
        <f>CONCATENATE("     ","Training                                          ")</f>
        <v xml:space="preserve">     Training                                          </v>
      </c>
      <c r="C75" s="12"/>
      <c r="D75" s="1">
        <f>SUM(OSRRefD22_16x_0)</f>
        <v>0</v>
      </c>
      <c r="E75" s="1"/>
      <c r="F75" s="5">
        <f t="shared" si="63"/>
        <v>0</v>
      </c>
      <c r="G75" s="1"/>
      <c r="H75" s="1">
        <f>SUM(OSRRefH22_16x_0)</f>
        <v>0</v>
      </c>
      <c r="I75" s="1"/>
      <c r="J75" s="5">
        <f t="shared" si="64"/>
        <v>0</v>
      </c>
      <c r="K75" s="1"/>
      <c r="L75" s="1">
        <f t="shared" si="65"/>
        <v>0</v>
      </c>
      <c r="M75" s="1"/>
      <c r="N75" s="5">
        <f t="shared" si="66"/>
        <v>0</v>
      </c>
      <c r="O75" s="12"/>
      <c r="P75" s="1">
        <f>SUM(OSRRefP22_16x_0)</f>
        <v>0</v>
      </c>
      <c r="Q75" s="1"/>
      <c r="R75" s="5">
        <f t="shared" si="67"/>
        <v>0</v>
      </c>
      <c r="S75" s="1"/>
      <c r="T75" s="1">
        <f>SUM(OSRRefT22_16x_0)</f>
        <v>14</v>
      </c>
      <c r="U75" s="1"/>
      <c r="V75" s="5">
        <f t="shared" si="68"/>
        <v>2.3452363851698979E-5</v>
      </c>
      <c r="W75" s="1"/>
      <c r="X75" s="1">
        <f t="shared" si="69"/>
        <v>-14</v>
      </c>
      <c r="Y75" s="1"/>
      <c r="Z75" s="5">
        <f t="shared" si="70"/>
        <v>-1</v>
      </c>
    </row>
    <row r="76" spans="1:26" s="23" customFormat="1" hidden="1" outlineLevel="2" x14ac:dyDescent="0.25">
      <c r="A76" s="27"/>
      <c r="B76" s="10" t="str">
        <f>CONCATENATE("          ", "6376", " - ", "TRAINING")</f>
        <v xml:space="preserve">          6376 - TRAINING</v>
      </c>
      <c r="C76" s="10"/>
      <c r="D76" s="6"/>
      <c r="E76" s="2"/>
      <c r="F76" s="7">
        <f t="shared" si="63"/>
        <v>0</v>
      </c>
      <c r="G76" s="2"/>
      <c r="H76" s="6"/>
      <c r="I76" s="2"/>
      <c r="J76" s="7">
        <f t="shared" si="64"/>
        <v>0</v>
      </c>
      <c r="K76" s="2"/>
      <c r="L76" s="6">
        <f t="shared" si="65"/>
        <v>0</v>
      </c>
      <c r="M76" s="2"/>
      <c r="N76" s="7">
        <f t="shared" si="66"/>
        <v>0</v>
      </c>
      <c r="O76" s="10"/>
      <c r="P76" s="6"/>
      <c r="Q76" s="2"/>
      <c r="R76" s="7">
        <f t="shared" si="67"/>
        <v>0</v>
      </c>
      <c r="S76" s="2"/>
      <c r="T76" s="6">
        <v>14</v>
      </c>
      <c r="U76" s="2"/>
      <c r="V76" s="7">
        <f t="shared" si="68"/>
        <v>2.3452363851698979E-5</v>
      </c>
      <c r="W76" s="2"/>
      <c r="X76" s="6">
        <f t="shared" si="69"/>
        <v>-14</v>
      </c>
      <c r="Y76" s="2"/>
      <c r="Z76" s="7">
        <f t="shared" si="70"/>
        <v>-1</v>
      </c>
    </row>
    <row r="77" spans="1:26" s="26" customFormat="1" outlineLevel="1" collapsed="1" x14ac:dyDescent="0.25">
      <c r="A77" s="25"/>
      <c r="B77" s="12" t="str">
        <f>CONCATENATE("     ","Utilities                                         ")</f>
        <v xml:space="preserve">     Utilities                                         </v>
      </c>
      <c r="C77" s="12"/>
      <c r="D77" s="1">
        <f>SUM(OSRRefD22_17x_0)</f>
        <v>878</v>
      </c>
      <c r="E77" s="1"/>
      <c r="F77" s="5">
        <f t="shared" si="63"/>
        <v>0</v>
      </c>
      <c r="G77" s="1"/>
      <c r="H77" s="1">
        <f>SUM(OSRRefH22_17x_0)</f>
        <v>878</v>
      </c>
      <c r="I77" s="1"/>
      <c r="J77" s="5">
        <f t="shared" si="64"/>
        <v>0</v>
      </c>
      <c r="K77" s="1"/>
      <c r="L77" s="1">
        <f t="shared" si="65"/>
        <v>0</v>
      </c>
      <c r="M77" s="1"/>
      <c r="N77" s="5">
        <f t="shared" si="66"/>
        <v>0</v>
      </c>
      <c r="O77" s="12"/>
      <c r="P77" s="1">
        <f>SUM(OSRRefP22_17x_0)</f>
        <v>4329</v>
      </c>
      <c r="Q77" s="1"/>
      <c r="R77" s="5">
        <f t="shared" si="67"/>
        <v>0</v>
      </c>
      <c r="S77" s="1"/>
      <c r="T77" s="1">
        <f>SUM(OSRRefT22_17x_0)</f>
        <v>8528</v>
      </c>
      <c r="U77" s="1"/>
      <c r="V77" s="5">
        <f t="shared" si="68"/>
        <v>1.4285839923377777E-2</v>
      </c>
      <c r="W77" s="1"/>
      <c r="X77" s="1">
        <f t="shared" si="69"/>
        <v>-4199</v>
      </c>
      <c r="Y77" s="1"/>
      <c r="Z77" s="5">
        <f t="shared" si="70"/>
        <v>-0.4923780487804878</v>
      </c>
    </row>
    <row r="78" spans="1:26" s="23" customFormat="1" hidden="1" outlineLevel="2" x14ac:dyDescent="0.25">
      <c r="A78" s="27"/>
      <c r="B78" s="10" t="str">
        <f>CONCATENATE("          ", "6274", " - ", "UTILITIES")</f>
        <v xml:space="preserve">          6274 - UTILITIES</v>
      </c>
      <c r="C78" s="10"/>
      <c r="D78" s="6">
        <v>878</v>
      </c>
      <c r="E78" s="2"/>
      <c r="F78" s="7">
        <f t="shared" si="63"/>
        <v>0</v>
      </c>
      <c r="G78" s="2"/>
      <c r="H78" s="6">
        <v>878</v>
      </c>
      <c r="I78" s="2"/>
      <c r="J78" s="7">
        <f t="shared" si="64"/>
        <v>0</v>
      </c>
      <c r="K78" s="2"/>
      <c r="L78" s="6">
        <f t="shared" si="65"/>
        <v>0</v>
      </c>
      <c r="M78" s="2"/>
      <c r="N78" s="7">
        <f t="shared" si="66"/>
        <v>0</v>
      </c>
      <c r="O78" s="10"/>
      <c r="P78" s="6">
        <v>4329</v>
      </c>
      <c r="Q78" s="2"/>
      <c r="R78" s="7">
        <f t="shared" si="67"/>
        <v>0</v>
      </c>
      <c r="S78" s="2"/>
      <c r="T78" s="6">
        <v>8528</v>
      </c>
      <c r="U78" s="2"/>
      <c r="V78" s="7">
        <f t="shared" si="68"/>
        <v>1.4285839923377777E-2</v>
      </c>
      <c r="W78" s="2"/>
      <c r="X78" s="6">
        <f t="shared" si="69"/>
        <v>-4199</v>
      </c>
      <c r="Y78" s="2"/>
      <c r="Z78" s="7">
        <f t="shared" si="70"/>
        <v>-0.4923780487804878</v>
      </c>
    </row>
    <row r="79" spans="1:26" s="62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4" customFormat="1" x14ac:dyDescent="0.25">
      <c r="A80" s="11"/>
      <c r="B80" s="28" t="s">
        <v>292</v>
      </c>
      <c r="C80" s="11"/>
      <c r="D80" s="4">
        <f>SUM(0)</f>
        <v>0</v>
      </c>
      <c r="E80" s="4"/>
      <c r="F80" s="13">
        <f>IF(D$12=0,0,D80/D$12)</f>
        <v>0</v>
      </c>
      <c r="G80" s="4"/>
      <c r="H80" s="4">
        <f>SUM(0)</f>
        <v>0</v>
      </c>
      <c r="I80" s="4"/>
      <c r="J80" s="13">
        <f>IF(H$12=0,0,H80/H$12)</f>
        <v>0</v>
      </c>
      <c r="K80" s="4"/>
      <c r="L80" s="4">
        <f>+D80-H80</f>
        <v>0</v>
      </c>
      <c r="M80" s="4"/>
      <c r="N80" s="13">
        <f>IF(H80=0,0,L80/H80)</f>
        <v>0</v>
      </c>
      <c r="O80" s="11"/>
      <c r="P80" s="4">
        <f>SUM(0)</f>
        <v>0</v>
      </c>
      <c r="Q80" s="4"/>
      <c r="R80" s="13">
        <f>IF(P$12=0,0,P80/P$12)</f>
        <v>0</v>
      </c>
      <c r="S80" s="4"/>
      <c r="T80" s="4">
        <f>SUM(0)</f>
        <v>0</v>
      </c>
      <c r="U80" s="4"/>
      <c r="V80" s="13">
        <f>IF(T$12=0,0,T80/T$12)</f>
        <v>0</v>
      </c>
      <c r="W80" s="4"/>
      <c r="X80" s="4">
        <f>+P80-T80</f>
        <v>0</v>
      </c>
      <c r="Y80" s="4"/>
      <c r="Z80" s="13">
        <f>IF(T80=0,0,X80/T80)</f>
        <v>0</v>
      </c>
    </row>
    <row r="81" spans="1:26" x14ac:dyDescent="0.25">
      <c r="A81" s="9"/>
      <c r="B81" s="11"/>
      <c r="C81" s="11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1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4" customFormat="1" x14ac:dyDescent="0.25">
      <c r="A82" s="11"/>
      <c r="B82" s="29" t="s">
        <v>276</v>
      </c>
      <c r="C82" s="29"/>
      <c r="D82" s="20">
        <f>+D20-D22+D80</f>
        <v>-10619.55</v>
      </c>
      <c r="E82" s="14"/>
      <c r="F82" s="22">
        <f>IF(D$12=0,0,D82/D$12)</f>
        <v>0</v>
      </c>
      <c r="G82" s="14"/>
      <c r="H82" s="20">
        <f>+H20-H22+H80</f>
        <v>-31886.180000000004</v>
      </c>
      <c r="I82" s="14"/>
      <c r="J82" s="22">
        <f>IF(H$12=0,0,H82/H$12)</f>
        <v>0</v>
      </c>
      <c r="K82" s="16"/>
      <c r="L82" s="20">
        <f>+D82-H82</f>
        <v>21266.630000000005</v>
      </c>
      <c r="M82" s="16"/>
      <c r="N82" s="22">
        <f>IF(H82=0,0,L82/H82)</f>
        <v>-0.66695446114899937</v>
      </c>
      <c r="O82" s="28"/>
      <c r="P82" s="20">
        <f>+P20-P22+P80</f>
        <v>-121904.53</v>
      </c>
      <c r="Q82" s="14"/>
      <c r="R82" s="22">
        <f>IF(P$12=0,0,P82/P$12)</f>
        <v>0</v>
      </c>
      <c r="S82" s="14"/>
      <c r="T82" s="20">
        <f>+T20-T22+T80</f>
        <v>9534.0900000000256</v>
      </c>
      <c r="U82" s="14"/>
      <c r="V82" s="22">
        <f>IF(T$12=0,0,T82/T$12)</f>
        <v>1.5971210548203236E-2</v>
      </c>
      <c r="W82" s="16"/>
      <c r="X82" s="20">
        <f>+P82-T82</f>
        <v>-131438.62000000002</v>
      </c>
      <c r="Y82" s="16"/>
      <c r="Z82" s="22">
        <f>IF(T82=0,0,X82/T82)</f>
        <v>-13.786173614891371</v>
      </c>
    </row>
    <row r="83" spans="1:26" x14ac:dyDescent="0.25">
      <c r="A83" s="9"/>
      <c r="B83" s="11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4" customFormat="1" x14ac:dyDescent="0.25">
      <c r="A84" s="51"/>
      <c r="B84" s="11" t="s">
        <v>127</v>
      </c>
      <c r="C84" s="11"/>
      <c r="D84" s="4"/>
      <c r="E84" s="4"/>
      <c r="F84" s="13">
        <f>IF(D$12=0,0,D84/D$12)</f>
        <v>0</v>
      </c>
      <c r="G84" s="4"/>
      <c r="H84" s="4">
        <v>3814.79</v>
      </c>
      <c r="I84" s="4"/>
      <c r="J84" s="13">
        <f>IF(H$12=0,0,H84/H$12)</f>
        <v>0</v>
      </c>
      <c r="K84" s="4"/>
      <c r="L84" s="4">
        <f>+D84-H84</f>
        <v>-3814.79</v>
      </c>
      <c r="M84" s="4"/>
      <c r="N84" s="13">
        <f>IF(H84=0,0,L84/H84)</f>
        <v>-1</v>
      </c>
      <c r="O84" s="11"/>
      <c r="P84" s="4"/>
      <c r="Q84" s="4"/>
      <c r="R84" s="13">
        <f>IF(P$12=0,0,P84/P$12)</f>
        <v>0</v>
      </c>
      <c r="S84" s="4"/>
      <c r="T84" s="4">
        <v>67779.94</v>
      </c>
      <c r="U84" s="4"/>
      <c r="V84" s="13">
        <f>IF(T$12=0,0,T84/T$12)</f>
        <v>0.11354284390902326</v>
      </c>
      <c r="W84" s="4"/>
      <c r="X84" s="4">
        <f>+P84-T84</f>
        <v>-67779.94</v>
      </c>
      <c r="Y84" s="4"/>
      <c r="Z84" s="13">
        <f>IF(T84=0,0,X84/T84)</f>
        <v>-1</v>
      </c>
    </row>
    <row r="85" spans="1:26" x14ac:dyDescent="0.25">
      <c r="A85" s="9"/>
      <c r="B85" s="11"/>
      <c r="C85" s="11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1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4" customFormat="1" ht="15.75" thickBot="1" x14ac:dyDescent="0.3">
      <c r="A86" s="11"/>
      <c r="B86" s="29" t="s">
        <v>125</v>
      </c>
      <c r="C86" s="29"/>
      <c r="D86" s="30">
        <f>+D82-D84</f>
        <v>-10619.55</v>
      </c>
      <c r="E86" s="14"/>
      <c r="F86" s="34">
        <f>IF(D$12=0,0,D86/D$12)</f>
        <v>0</v>
      </c>
      <c r="G86" s="14"/>
      <c r="H86" s="30">
        <f>+H82-H84</f>
        <v>-35700.97</v>
      </c>
      <c r="I86" s="14"/>
      <c r="J86" s="34">
        <f>IF(H$12=0,0,H86/H$12)</f>
        <v>0</v>
      </c>
      <c r="K86" s="16"/>
      <c r="L86" s="30">
        <f>D86-H86</f>
        <v>25081.420000000002</v>
      </c>
      <c r="M86" s="16"/>
      <c r="N86" s="34">
        <f>IF(H86=0,0,L86/H86)</f>
        <v>-0.7025416956458046</v>
      </c>
      <c r="O86" s="28"/>
      <c r="P86" s="30">
        <f>+P82-P84</f>
        <v>-121904.53</v>
      </c>
      <c r="Q86" s="14"/>
      <c r="R86" s="34">
        <f>IF(P$12=0,0,P86/P$12)</f>
        <v>0</v>
      </c>
      <c r="S86" s="14"/>
      <c r="T86" s="30">
        <f>+T82-T84</f>
        <v>-58245.849999999977</v>
      </c>
      <c r="U86" s="14"/>
      <c r="V86" s="34">
        <f>IF(T$12=0,0,T86/T$12)</f>
        <v>-9.7571633360820018E-2</v>
      </c>
      <c r="W86" s="16"/>
      <c r="X86" s="30">
        <f>P86-T86</f>
        <v>-63658.680000000022</v>
      </c>
      <c r="Y86" s="16"/>
      <c r="Z86" s="34">
        <f>IF(T86=0,0,X86/T86)</f>
        <v>1.0929307409884146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4" customFormat="1" ht="15.75" thickBot="1" x14ac:dyDescent="0.3">
      <c r="A89" s="11"/>
      <c r="B89" s="29" t="s">
        <v>293</v>
      </c>
      <c r="C89" s="29"/>
      <c r="D89" s="32">
        <f>SUM(D86:D88)</f>
        <v>-10619.55</v>
      </c>
      <c r="E89" s="14"/>
      <c r="F89" s="35">
        <f>IF(D$12=0,0,D89/D$12)</f>
        <v>0</v>
      </c>
      <c r="G89" s="14"/>
      <c r="H89" s="32">
        <f>SUM(H86:H88)</f>
        <v>-35700.97</v>
      </c>
      <c r="I89" s="14"/>
      <c r="J89" s="35">
        <f>IF(H$12=0,0,H89/H$12)</f>
        <v>0</v>
      </c>
      <c r="K89" s="16"/>
      <c r="L89" s="32">
        <f>+D89-H89</f>
        <v>25081.420000000002</v>
      </c>
      <c r="M89" s="16"/>
      <c r="N89" s="35">
        <f>IF(H89=0,0,L89/H89)</f>
        <v>-0.7025416956458046</v>
      </c>
      <c r="O89" s="28"/>
      <c r="P89" s="32">
        <f>SUM(P86:P88)</f>
        <v>-121904.53</v>
      </c>
      <c r="Q89" s="14"/>
      <c r="R89" s="35">
        <f>IF(P$12=0,0,P89/P$12)</f>
        <v>0</v>
      </c>
      <c r="S89" s="14"/>
      <c r="T89" s="32">
        <f>SUM(T86:T88)</f>
        <v>-58245.849999999977</v>
      </c>
      <c r="U89" s="14"/>
      <c r="V89" s="35">
        <f>IF(T$12=0,0,T89/T$12)</f>
        <v>-9.7571633360820018E-2</v>
      </c>
      <c r="W89" s="16"/>
      <c r="X89" s="32">
        <f>+P89-T89</f>
        <v>-63658.680000000022</v>
      </c>
      <c r="Y89" s="16"/>
      <c r="Z89" s="35">
        <f>IF(T89=0,0,X89/T89)</f>
        <v>1.0929307409884146</v>
      </c>
    </row>
    <row r="90" spans="1:26" ht="15.75" thickTop="1" x14ac:dyDescent="0.25">
      <c r="A90" s="9"/>
      <c r="C90" s="9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9">
        <v>44330.00886898148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52" t="s">
        <v>56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55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","327", " - ", "C-Store Vending Machine(s)")</f>
        <v>Department 327 - C-Store Vending Machine(s)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51.9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3" si="0">+D12-H12</f>
        <v>51.9</v>
      </c>
      <c r="M12" s="4"/>
      <c r="N12" s="13">
        <f t="shared" ref="N12:N13" si="1">IF(H12=0,0,L12/H12)</f>
        <v>0</v>
      </c>
      <c r="O12" s="11"/>
      <c r="P12" s="4">
        <f>SUM(OSRRefP13x_0)</f>
        <v>396.45</v>
      </c>
      <c r="Q12" s="4"/>
      <c r="R12" s="13"/>
      <c r="S12" s="4"/>
      <c r="T12" s="4">
        <f>SUM(OSRRefT13x_0)</f>
        <v>12812.5</v>
      </c>
      <c r="U12" s="4"/>
      <c r="V12" s="13"/>
      <c r="W12" s="4"/>
      <c r="X12" s="4">
        <f t="shared" ref="X12:X13" si="2">+P12-T12</f>
        <v>-12416.05</v>
      </c>
      <c r="Y12" s="4"/>
      <c r="Z12" s="13">
        <f t="shared" ref="Z12:Z13" si="3">IF(T12=0,0,X12/T12)</f>
        <v>-0.96905756097560969</v>
      </c>
    </row>
    <row r="13" spans="1:26" s="23" customFormat="1" hidden="1" outlineLevel="1" x14ac:dyDescent="0.25">
      <c r="A13" s="44"/>
      <c r="B13" s="10" t="str">
        <f>CONCATENATE("          ", "4153", " - ", "NON-TAXABLE SALES-FOOD")</f>
        <v xml:space="preserve">          4153 - NON-TAXABLE SALES-FOOD</v>
      </c>
      <c r="C13" s="10"/>
      <c r="D13" s="2">
        <f>--51.9</f>
        <v>51.9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51.9</v>
      </c>
      <c r="M13" s="2"/>
      <c r="N13" s="19">
        <f t="shared" si="1"/>
        <v>0</v>
      </c>
      <c r="O13" s="10"/>
      <c r="P13" s="2">
        <f>--396.45</f>
        <v>396.45</v>
      </c>
      <c r="Q13" s="2"/>
      <c r="R13" s="19"/>
      <c r="S13" s="2"/>
      <c r="T13" s="2">
        <f>--12812.5</f>
        <v>12812.5</v>
      </c>
      <c r="U13" s="2"/>
      <c r="V13" s="19"/>
      <c r="W13" s="2"/>
      <c r="X13" s="2">
        <f t="shared" si="2"/>
        <v>-12416.05</v>
      </c>
      <c r="Y13" s="2"/>
      <c r="Z13" s="19">
        <f t="shared" si="3"/>
        <v>-0.96905756097560969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>
        <f>SUM(OSRRefD16x_0)</f>
        <v>24.08</v>
      </c>
      <c r="E15" s="4"/>
      <c r="F15" s="13">
        <f t="shared" ref="F15:F16" si="4">IF(D$12=0,0,D15/D$12)</f>
        <v>0.46396917148362232</v>
      </c>
      <c r="G15" s="4"/>
      <c r="H15" s="4">
        <f>SUM(OSRRefH16x_0)</f>
        <v>0</v>
      </c>
      <c r="I15" s="4"/>
      <c r="J15" s="13">
        <f t="shared" ref="J15:J16" si="5">IF(H$12=0,0,H15/H$12)</f>
        <v>0</v>
      </c>
      <c r="K15" s="4"/>
      <c r="L15" s="4">
        <f t="shared" ref="L15:L16" si="6">+D15-H15</f>
        <v>24.08</v>
      </c>
      <c r="M15" s="4"/>
      <c r="N15" s="13">
        <f t="shared" ref="N15:N16" si="7">IF(H15=0,0,L15/H15)</f>
        <v>0</v>
      </c>
      <c r="O15" s="11"/>
      <c r="P15" s="4">
        <f>SUM(OSRRefP16x_0)</f>
        <v>-318.01</v>
      </c>
      <c r="Q15" s="4"/>
      <c r="R15" s="13">
        <f t="shared" ref="R15:R16" si="8">IF(P$12=0,0,P15/P$12)</f>
        <v>-0.80214402825072517</v>
      </c>
      <c r="S15" s="4"/>
      <c r="T15" s="4">
        <f>SUM(OSRRefT16x_0)</f>
        <v>3256.12</v>
      </c>
      <c r="U15" s="4"/>
      <c r="V15" s="13">
        <f t="shared" ref="V15:V16" si="9">IF(T$12=0,0,T15/T$12)</f>
        <v>0.25413619512195124</v>
      </c>
      <c r="W15" s="4"/>
      <c r="X15" s="4">
        <f t="shared" ref="X15:X16" si="10">+P15-T15</f>
        <v>-3574.13</v>
      </c>
      <c r="Y15" s="4"/>
      <c r="Z15" s="13">
        <f t="shared" ref="Z15:Z16" si="11">IF(T15=0,0,X15/T15)</f>
        <v>-1.0976653194599708</v>
      </c>
    </row>
    <row r="16" spans="1:26" s="23" customFormat="1" hidden="1" outlineLevel="1" x14ac:dyDescent="0.25">
      <c r="A16" s="44"/>
      <c r="B16" s="10" t="str">
        <f>CONCATENATE("          ", "5059", " - ", "PURCHASES @ COST-FOOD")</f>
        <v xml:space="preserve">          5059 - PURCHASES @ COST-FOOD</v>
      </c>
      <c r="C16" s="10"/>
      <c r="D16" s="2">
        <v>24.08</v>
      </c>
      <c r="E16" s="2"/>
      <c r="F16" s="19">
        <f t="shared" si="4"/>
        <v>0.46396917148362232</v>
      </c>
      <c r="G16" s="2"/>
      <c r="H16" s="2"/>
      <c r="I16" s="2"/>
      <c r="J16" s="19">
        <f t="shared" si="5"/>
        <v>0</v>
      </c>
      <c r="K16" s="2"/>
      <c r="L16" s="2">
        <f t="shared" si="6"/>
        <v>24.08</v>
      </c>
      <c r="M16" s="2"/>
      <c r="N16" s="19">
        <f t="shared" si="7"/>
        <v>0</v>
      </c>
      <c r="O16" s="10"/>
      <c r="P16" s="2">
        <v>-318.01</v>
      </c>
      <c r="Q16" s="2"/>
      <c r="R16" s="19">
        <f t="shared" si="8"/>
        <v>-0.80214402825072517</v>
      </c>
      <c r="S16" s="2"/>
      <c r="T16" s="2">
        <v>3256.12</v>
      </c>
      <c r="U16" s="2"/>
      <c r="V16" s="19">
        <f t="shared" si="9"/>
        <v>0.25413619512195124</v>
      </c>
      <c r="W16" s="2"/>
      <c r="X16" s="2">
        <f t="shared" si="10"/>
        <v>-3574.13</v>
      </c>
      <c r="Y16" s="2"/>
      <c r="Z16" s="19">
        <f t="shared" si="11"/>
        <v>-1.0976653194599708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>
        <f>D12-D15</f>
        <v>27.82</v>
      </c>
      <c r="E18" s="14"/>
      <c r="F18" s="22">
        <f>IF(D$12=0,0,D18/D$12)</f>
        <v>0.53603082851637762</v>
      </c>
      <c r="G18" s="14"/>
      <c r="H18" s="20">
        <f>H12-H15</f>
        <v>0</v>
      </c>
      <c r="I18" s="14"/>
      <c r="J18" s="22">
        <f>IF(H$12=0,0,H18/H$12)</f>
        <v>0</v>
      </c>
      <c r="K18" s="16"/>
      <c r="L18" s="20">
        <f>+D18-H18</f>
        <v>27.82</v>
      </c>
      <c r="M18" s="16"/>
      <c r="N18" s="22">
        <f>IF(H18=0,0,L18/H18)</f>
        <v>0</v>
      </c>
      <c r="O18" s="28"/>
      <c r="P18" s="20">
        <f>P12-P15</f>
        <v>714.46</v>
      </c>
      <c r="Q18" s="14"/>
      <c r="R18" s="22">
        <f>IF(P$12=0,0,P18/P$12)</f>
        <v>1.8021440282507253</v>
      </c>
      <c r="S18" s="14"/>
      <c r="T18" s="20">
        <f>T12-T15</f>
        <v>9556.380000000001</v>
      </c>
      <c r="U18" s="14"/>
      <c r="V18" s="22">
        <f>IF(T$12=0,0,T18/T$12)</f>
        <v>0.74586380487804882</v>
      </c>
      <c r="W18" s="16"/>
      <c r="X18" s="20">
        <f>+P18-T18</f>
        <v>-8841.9200000000019</v>
      </c>
      <c r="Y18" s="16"/>
      <c r="Z18" s="22">
        <f>IF(T18=0,0,X18/T18)</f>
        <v>-0.92523738068180639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>
        <f>SUM(OSRRefD22x_0)</f>
        <v>631.58999999999992</v>
      </c>
      <c r="E20" s="21"/>
      <c r="F20" s="31">
        <f t="shared" ref="F20:F26" si="12">IF(D$12=0,0,D20/D$12)</f>
        <v>12.16936416184971</v>
      </c>
      <c r="G20" s="21"/>
      <c r="H20" s="21">
        <f>SUM(OSRRefH22x_0)</f>
        <v>0</v>
      </c>
      <c r="I20" s="21"/>
      <c r="J20" s="31">
        <f t="shared" ref="J20:J26" si="13">IF(H$12=0,0,H20/H$12)</f>
        <v>0</v>
      </c>
      <c r="K20" s="4"/>
      <c r="L20" s="21">
        <f t="shared" ref="L20:L26" si="14">+D20-H20</f>
        <v>631.58999999999992</v>
      </c>
      <c r="M20" s="4"/>
      <c r="N20" s="31">
        <f t="shared" ref="N20:N26" si="15">IF(H20=0,0,L20/H20)</f>
        <v>0</v>
      </c>
      <c r="O20" s="11"/>
      <c r="P20" s="21">
        <f>SUM(OSRRefP22x_0)</f>
        <v>631.58999999999992</v>
      </c>
      <c r="Q20" s="21"/>
      <c r="R20" s="31">
        <f t="shared" ref="R20:R26" si="16">IF(P$12=0,0,P20/P$12)</f>
        <v>1.593113885735906</v>
      </c>
      <c r="S20" s="21"/>
      <c r="T20" s="21">
        <f>SUM(OSRRefT22x_0)</f>
        <v>1569.51</v>
      </c>
      <c r="U20" s="21"/>
      <c r="V20" s="31">
        <f t="shared" ref="V20:V26" si="17">IF(T$12=0,0,T20/T$12)</f>
        <v>0.12249834146341464</v>
      </c>
      <c r="W20" s="4"/>
      <c r="X20" s="21">
        <f t="shared" ref="X20:X26" si="18">+P20-T20</f>
        <v>-937.92000000000007</v>
      </c>
      <c r="Y20" s="4"/>
      <c r="Z20" s="31">
        <f t="shared" ref="Z20:Z26" si="19">IF(T20=0,0,X20/T20)</f>
        <v>-0.59758778217405439</v>
      </c>
    </row>
    <row r="21" spans="1:26" s="26" customFormat="1" outlineLevel="1" collapsed="1" x14ac:dyDescent="0.25">
      <c r="A21" s="25"/>
      <c r="B21" s="12" t="str">
        <f>CONCATENATE("     ","Bank/card Fees                                    ")</f>
        <v xml:space="preserve">     Bank/card Fees                                    </v>
      </c>
      <c r="C21" s="12"/>
      <c r="D21" s="1">
        <f>SUM(OSRRefD22_0x_0)</f>
        <v>511.59</v>
      </c>
      <c r="E21" s="1"/>
      <c r="F21" s="5">
        <f t="shared" si="12"/>
        <v>9.8572254335260112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511.59</v>
      </c>
      <c r="M21" s="1"/>
      <c r="N21" s="5">
        <f t="shared" si="15"/>
        <v>0</v>
      </c>
      <c r="O21" s="12"/>
      <c r="P21" s="1">
        <f>SUM(OSRRefP22_0x_0)</f>
        <v>511.59</v>
      </c>
      <c r="Q21" s="1"/>
      <c r="R21" s="5">
        <f t="shared" si="16"/>
        <v>1.2904275444570563</v>
      </c>
      <c r="S21" s="1"/>
      <c r="T21" s="1">
        <f>SUM(OSRRefT22_0x_0)</f>
        <v>1249.06</v>
      </c>
      <c r="U21" s="1"/>
      <c r="V21" s="5">
        <f t="shared" si="17"/>
        <v>9.7487609756097562E-2</v>
      </c>
      <c r="W21" s="1"/>
      <c r="X21" s="1">
        <f t="shared" si="18"/>
        <v>-737.47</v>
      </c>
      <c r="Y21" s="1"/>
      <c r="Z21" s="5">
        <f t="shared" si="19"/>
        <v>-0.59041999583686933</v>
      </c>
    </row>
    <row r="22" spans="1:26" s="23" customFormat="1" hidden="1" outlineLevel="2" x14ac:dyDescent="0.25">
      <c r="A22" s="27"/>
      <c r="B22" s="10" t="str">
        <f>CONCATENATE("          ", "6381", " - ", "BANK/CREDIT CARD FEES")</f>
        <v xml:space="preserve">          6381 - BANK/CREDIT CARD FEES</v>
      </c>
      <c r="C22" s="10"/>
      <c r="D22" s="6">
        <v>511.59</v>
      </c>
      <c r="E22" s="2"/>
      <c r="F22" s="7">
        <f t="shared" si="12"/>
        <v>9.8572254335260112</v>
      </c>
      <c r="G22" s="2"/>
      <c r="H22" s="6"/>
      <c r="I22" s="2"/>
      <c r="J22" s="7">
        <f t="shared" si="13"/>
        <v>0</v>
      </c>
      <c r="K22" s="2"/>
      <c r="L22" s="6">
        <f t="shared" si="14"/>
        <v>511.59</v>
      </c>
      <c r="M22" s="2"/>
      <c r="N22" s="7">
        <f t="shared" si="15"/>
        <v>0</v>
      </c>
      <c r="O22" s="10"/>
      <c r="P22" s="6">
        <v>511.59</v>
      </c>
      <c r="Q22" s="2"/>
      <c r="R22" s="7">
        <f t="shared" si="16"/>
        <v>1.2904275444570563</v>
      </c>
      <c r="S22" s="2"/>
      <c r="T22" s="6">
        <v>1249.06</v>
      </c>
      <c r="U22" s="2"/>
      <c r="V22" s="7">
        <f t="shared" si="17"/>
        <v>9.7487609756097562E-2</v>
      </c>
      <c r="W22" s="2"/>
      <c r="X22" s="6">
        <f t="shared" si="18"/>
        <v>-737.47</v>
      </c>
      <c r="Y22" s="2"/>
      <c r="Z22" s="7">
        <f t="shared" si="19"/>
        <v>-0.59041999583686933</v>
      </c>
    </row>
    <row r="23" spans="1:26" s="26" customFormat="1" outlineLevel="1" collapsed="1" x14ac:dyDescent="0.25">
      <c r="A23" s="25"/>
      <c r="B23" s="12" t="str">
        <f>CONCATENATE("     ","General                                           ")</f>
        <v xml:space="preserve">     General                                           </v>
      </c>
      <c r="C23" s="12"/>
      <c r="D23" s="1">
        <f>SUM(OSRRefD22_1x_0)</f>
        <v>120</v>
      </c>
      <c r="E23" s="1"/>
      <c r="F23" s="5">
        <f t="shared" si="12"/>
        <v>2.3121387283236996</v>
      </c>
      <c r="G23" s="1"/>
      <c r="H23" s="1">
        <f>SUM(OSRRefH22_1x_0)</f>
        <v>0</v>
      </c>
      <c r="I23" s="1"/>
      <c r="J23" s="5">
        <f t="shared" si="13"/>
        <v>0</v>
      </c>
      <c r="K23" s="1"/>
      <c r="L23" s="1">
        <f t="shared" si="14"/>
        <v>120</v>
      </c>
      <c r="M23" s="1"/>
      <c r="N23" s="5">
        <f t="shared" si="15"/>
        <v>0</v>
      </c>
      <c r="O23" s="12"/>
      <c r="P23" s="1">
        <f>SUM(OSRRefP22_1x_0)</f>
        <v>120</v>
      </c>
      <c r="Q23" s="1"/>
      <c r="R23" s="5">
        <f t="shared" si="16"/>
        <v>0.3026863412788498</v>
      </c>
      <c r="S23" s="1"/>
      <c r="T23" s="1">
        <f>SUM(OSRRefT22_1x_0)</f>
        <v>23.45</v>
      </c>
      <c r="U23" s="1"/>
      <c r="V23" s="5">
        <f t="shared" si="17"/>
        <v>1.8302439024390244E-3</v>
      </c>
      <c r="W23" s="1"/>
      <c r="X23" s="1">
        <f t="shared" si="18"/>
        <v>96.55</v>
      </c>
      <c r="Y23" s="1"/>
      <c r="Z23" s="5">
        <f t="shared" si="19"/>
        <v>4.1172707889125801</v>
      </c>
    </row>
    <row r="24" spans="1:26" s="23" customFormat="1" hidden="1" outlineLevel="2" x14ac:dyDescent="0.25">
      <c r="A24" s="27"/>
      <c r="B24" s="10" t="str">
        <f>CONCATENATE("          ", "6279", " - ", "GENERAL EXPENSE")</f>
        <v xml:space="preserve">          6279 - GENERAL EXPENSE</v>
      </c>
      <c r="C24" s="10"/>
      <c r="D24" s="6">
        <v>120</v>
      </c>
      <c r="E24" s="2"/>
      <c r="F24" s="7">
        <f t="shared" si="12"/>
        <v>2.3121387283236996</v>
      </c>
      <c r="G24" s="2"/>
      <c r="H24" s="6"/>
      <c r="I24" s="2"/>
      <c r="J24" s="7">
        <f t="shared" si="13"/>
        <v>0</v>
      </c>
      <c r="K24" s="2"/>
      <c r="L24" s="6">
        <f t="shared" si="14"/>
        <v>120</v>
      </c>
      <c r="M24" s="2"/>
      <c r="N24" s="7">
        <f t="shared" si="15"/>
        <v>0</v>
      </c>
      <c r="O24" s="10"/>
      <c r="P24" s="6">
        <v>120</v>
      </c>
      <c r="Q24" s="2"/>
      <c r="R24" s="7">
        <f t="shared" si="16"/>
        <v>0.3026863412788498</v>
      </c>
      <c r="S24" s="2"/>
      <c r="T24" s="6">
        <v>23.45</v>
      </c>
      <c r="U24" s="2"/>
      <c r="V24" s="7">
        <f t="shared" si="17"/>
        <v>1.8302439024390244E-3</v>
      </c>
      <c r="W24" s="2"/>
      <c r="X24" s="6">
        <f t="shared" si="18"/>
        <v>96.55</v>
      </c>
      <c r="Y24" s="2"/>
      <c r="Z24" s="7">
        <f t="shared" si="19"/>
        <v>4.1172707889125801</v>
      </c>
    </row>
    <row r="25" spans="1:26" s="26" customFormat="1" outlineLevel="1" collapsed="1" x14ac:dyDescent="0.25">
      <c r="A25" s="25"/>
      <c r="B25" s="12" t="str">
        <f>CONCATENATE("     ","Supplies                                          ")</f>
        <v xml:space="preserve">     Supplies                                          </v>
      </c>
      <c r="C25" s="12"/>
      <c r="D25" s="1">
        <f>SUM(OSRRefD22_2x_0)</f>
        <v>0</v>
      </c>
      <c r="E25" s="1"/>
      <c r="F25" s="5">
        <f t="shared" si="12"/>
        <v>0</v>
      </c>
      <c r="G25" s="1"/>
      <c r="H25" s="1">
        <f>SUM(OSRRefH22_2x_0)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2"/>
      <c r="P25" s="1">
        <f>SUM(OSRRefP22_2x_0)</f>
        <v>0</v>
      </c>
      <c r="Q25" s="1"/>
      <c r="R25" s="5">
        <f t="shared" si="16"/>
        <v>0</v>
      </c>
      <c r="S25" s="1"/>
      <c r="T25" s="1">
        <f>SUM(OSRRefT22_2x_0)</f>
        <v>297</v>
      </c>
      <c r="U25" s="1"/>
      <c r="V25" s="5">
        <f t="shared" si="17"/>
        <v>2.3180487804878049E-2</v>
      </c>
      <c r="W25" s="1"/>
      <c r="X25" s="1">
        <f t="shared" si="18"/>
        <v>-297</v>
      </c>
      <c r="Y25" s="1"/>
      <c r="Z25" s="5">
        <f t="shared" si="19"/>
        <v>-1</v>
      </c>
    </row>
    <row r="26" spans="1:26" s="23" customFormat="1" hidden="1" outlineLevel="2" x14ac:dyDescent="0.25">
      <c r="A26" s="27"/>
      <c r="B26" s="10" t="str">
        <f>CONCATENATE("          ", "6247", " - ", "STORE SUPPLIES")</f>
        <v xml:space="preserve">          6247 - STORE SUPPLIES</v>
      </c>
      <c r="C26" s="10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0"/>
      <c r="P26" s="6"/>
      <c r="Q26" s="2"/>
      <c r="R26" s="7">
        <f t="shared" si="16"/>
        <v>0</v>
      </c>
      <c r="S26" s="2"/>
      <c r="T26" s="6">
        <v>297</v>
      </c>
      <c r="U26" s="2"/>
      <c r="V26" s="7">
        <f t="shared" si="17"/>
        <v>2.3180487804878049E-2</v>
      </c>
      <c r="W26" s="2"/>
      <c r="X26" s="6">
        <f t="shared" si="18"/>
        <v>-297</v>
      </c>
      <c r="Y26" s="2"/>
      <c r="Z26" s="7">
        <f t="shared" si="19"/>
        <v>-1</v>
      </c>
    </row>
    <row r="27" spans="1:26" s="62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4" customFormat="1" x14ac:dyDescent="0.25">
      <c r="A28" s="11"/>
      <c r="B28" s="28" t="s">
        <v>292</v>
      </c>
      <c r="C28" s="11"/>
      <c r="D28" s="4">
        <f>SUM(0)</f>
        <v>0</v>
      </c>
      <c r="E28" s="4"/>
      <c r="F28" s="13">
        <f>IF(D$12=0,0,D28/D$12)</f>
        <v>0</v>
      </c>
      <c r="G28" s="4"/>
      <c r="H28" s="4">
        <f>SUM(0)</f>
        <v>0</v>
      </c>
      <c r="I28" s="4"/>
      <c r="J28" s="13">
        <f>IF(H$12=0,0,H28/H$12)</f>
        <v>0</v>
      </c>
      <c r="K28" s="4"/>
      <c r="L28" s="4">
        <f>+D28-H28</f>
        <v>0</v>
      </c>
      <c r="M28" s="4"/>
      <c r="N28" s="13">
        <f>IF(H28=0,0,L28/H28)</f>
        <v>0</v>
      </c>
      <c r="O28" s="11"/>
      <c r="P28" s="4">
        <f>SUM(0)</f>
        <v>0</v>
      </c>
      <c r="Q28" s="4"/>
      <c r="R28" s="13">
        <f>IF(P$12=0,0,P28/P$12)</f>
        <v>0</v>
      </c>
      <c r="S28" s="4"/>
      <c r="T28" s="4">
        <f>SUM(0)</f>
        <v>0</v>
      </c>
      <c r="U28" s="4"/>
      <c r="V28" s="13">
        <f>IF(T$12=0,0,T28/T$12)</f>
        <v>0</v>
      </c>
      <c r="W28" s="4"/>
      <c r="X28" s="4">
        <f>+P28-T28</f>
        <v>0</v>
      </c>
      <c r="Y28" s="4"/>
      <c r="Z28" s="13">
        <f>IF(T28=0,0,X28/T28)</f>
        <v>0</v>
      </c>
    </row>
    <row r="29" spans="1:26" x14ac:dyDescent="0.25">
      <c r="A29" s="9"/>
      <c r="B29" s="11"/>
      <c r="C29" s="11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1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4" customFormat="1" x14ac:dyDescent="0.25">
      <c r="A30" s="11"/>
      <c r="B30" s="29" t="s">
        <v>276</v>
      </c>
      <c r="C30" s="29"/>
      <c r="D30" s="20">
        <f>+D18-D20+D28</f>
        <v>-603.76999999999987</v>
      </c>
      <c r="E30" s="14"/>
      <c r="F30" s="22">
        <f>IF(D$12=0,0,D30/D$12)</f>
        <v>-11.633333333333331</v>
      </c>
      <c r="G30" s="14"/>
      <c r="H30" s="20">
        <f>+H18-H20+H28</f>
        <v>0</v>
      </c>
      <c r="I30" s="14"/>
      <c r="J30" s="22">
        <f>IF(H$12=0,0,H30/H$12)</f>
        <v>0</v>
      </c>
      <c r="K30" s="16"/>
      <c r="L30" s="20">
        <f>+D30-H30</f>
        <v>-603.76999999999987</v>
      </c>
      <c r="M30" s="16"/>
      <c r="N30" s="22">
        <f>IF(H30=0,0,L30/H30)</f>
        <v>0</v>
      </c>
      <c r="O30" s="28"/>
      <c r="P30" s="20">
        <f>+P18-P20+P28</f>
        <v>82.870000000000118</v>
      </c>
      <c r="Q30" s="14"/>
      <c r="R30" s="22">
        <f>IF(P$12=0,0,P30/P$12)</f>
        <v>0.20903014251481933</v>
      </c>
      <c r="S30" s="14"/>
      <c r="T30" s="20">
        <f>+T18-T20+T28</f>
        <v>7986.8700000000008</v>
      </c>
      <c r="U30" s="14"/>
      <c r="V30" s="22">
        <f>IF(T$12=0,0,T30/T$12)</f>
        <v>0.62336546341463417</v>
      </c>
      <c r="W30" s="16"/>
      <c r="X30" s="20">
        <f>+P30-T30</f>
        <v>-7904.0000000000009</v>
      </c>
      <c r="Y30" s="16"/>
      <c r="Z30" s="22">
        <f>IF(T30=0,0,X30/T30)</f>
        <v>-0.98962422075230971</v>
      </c>
    </row>
    <row r="31" spans="1:26" x14ac:dyDescent="0.25">
      <c r="A31" s="9"/>
      <c r="B31" s="11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4" customFormat="1" x14ac:dyDescent="0.25">
      <c r="A32" s="51"/>
      <c r="B32" s="11" t="s">
        <v>127</v>
      </c>
      <c r="C32" s="11"/>
      <c r="D32" s="4">
        <v>11.93</v>
      </c>
      <c r="E32" s="4"/>
      <c r="F32" s="13">
        <f>IF(D$12=0,0,D32/D$12)</f>
        <v>0.22986512524084779</v>
      </c>
      <c r="G32" s="4"/>
      <c r="H32" s="4">
        <v>81.88</v>
      </c>
      <c r="I32" s="4"/>
      <c r="J32" s="13">
        <f>IF(H$12=0,0,H32/H$12)</f>
        <v>0</v>
      </c>
      <c r="K32" s="4"/>
      <c r="L32" s="4">
        <f>+D32-H32</f>
        <v>-69.949999999999989</v>
      </c>
      <c r="M32" s="4"/>
      <c r="N32" s="13">
        <f>IF(H32=0,0,L32/H32)</f>
        <v>-0.85429897410845135</v>
      </c>
      <c r="O32" s="11"/>
      <c r="P32" s="4">
        <v>82.94</v>
      </c>
      <c r="Q32" s="4"/>
      <c r="R32" s="13">
        <f>IF(P$12=0,0,P32/P$12)</f>
        <v>0.2092067095472317</v>
      </c>
      <c r="S32" s="4"/>
      <c r="T32" s="4">
        <v>1454.77</v>
      </c>
      <c r="U32" s="4"/>
      <c r="V32" s="13">
        <f>IF(T$12=0,0,T32/T$12)</f>
        <v>0.1135430243902439</v>
      </c>
      <c r="W32" s="4"/>
      <c r="X32" s="4">
        <f>+P32-T32</f>
        <v>-1371.83</v>
      </c>
      <c r="Y32" s="4"/>
      <c r="Z32" s="13">
        <f>IF(T32=0,0,X32/T32)</f>
        <v>-0.94298755129676848</v>
      </c>
    </row>
    <row r="33" spans="1:26" x14ac:dyDescent="0.25">
      <c r="A33" s="9"/>
      <c r="B33" s="11"/>
      <c r="C33" s="11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1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4" customFormat="1" ht="15.75" thickBot="1" x14ac:dyDescent="0.3">
      <c r="A34" s="11"/>
      <c r="B34" s="29" t="s">
        <v>125</v>
      </c>
      <c r="C34" s="29"/>
      <c r="D34" s="30">
        <f>+D30-D32</f>
        <v>-615.69999999999982</v>
      </c>
      <c r="E34" s="14"/>
      <c r="F34" s="34">
        <f>IF(D$12=0,0,D34/D$12)</f>
        <v>-11.863198458574178</v>
      </c>
      <c r="G34" s="14"/>
      <c r="H34" s="30">
        <f>+H30-H32</f>
        <v>-81.88</v>
      </c>
      <c r="I34" s="14"/>
      <c r="J34" s="34">
        <f>IF(H$12=0,0,H34/H$12)</f>
        <v>0</v>
      </c>
      <c r="K34" s="16"/>
      <c r="L34" s="30">
        <f>D34-H34</f>
        <v>-533.81999999999982</v>
      </c>
      <c r="M34" s="16"/>
      <c r="N34" s="34">
        <f>IF(H34=0,0,L34/H34)</f>
        <v>6.5195407914020498</v>
      </c>
      <c r="O34" s="28"/>
      <c r="P34" s="30">
        <f>+P30-P32</f>
        <v>-6.9999999999879492E-2</v>
      </c>
      <c r="Q34" s="14"/>
      <c r="R34" s="34">
        <f>IF(P$12=0,0,P34/P$12)</f>
        <v>-1.7656703241235842E-4</v>
      </c>
      <c r="S34" s="14"/>
      <c r="T34" s="30">
        <f>+T30-T32</f>
        <v>6532.1</v>
      </c>
      <c r="U34" s="14"/>
      <c r="V34" s="34">
        <f>IF(T$12=0,0,T34/T$12)</f>
        <v>0.50982243902439028</v>
      </c>
      <c r="W34" s="16"/>
      <c r="X34" s="30">
        <f>P34-T34</f>
        <v>-6532.17</v>
      </c>
      <c r="Y34" s="16"/>
      <c r="Z34" s="34">
        <f>IF(T34=0,0,X34/T34)</f>
        <v>-1.0000107163086909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4" customFormat="1" ht="15.75" thickBot="1" x14ac:dyDescent="0.3">
      <c r="A37" s="11"/>
      <c r="B37" s="29" t="s">
        <v>293</v>
      </c>
      <c r="C37" s="29"/>
      <c r="D37" s="32">
        <f>SUM(D34:D36)</f>
        <v>-615.69999999999982</v>
      </c>
      <c r="E37" s="14"/>
      <c r="F37" s="35">
        <f>IF(D$12=0,0,D37/D$12)</f>
        <v>-11.863198458574178</v>
      </c>
      <c r="G37" s="14"/>
      <c r="H37" s="32">
        <f>SUM(H34:H36)</f>
        <v>-81.88</v>
      </c>
      <c r="I37" s="14"/>
      <c r="J37" s="35">
        <f>IF(H$12=0,0,H37/H$12)</f>
        <v>0</v>
      </c>
      <c r="K37" s="16"/>
      <c r="L37" s="32">
        <f>+D37-H37</f>
        <v>-533.81999999999982</v>
      </c>
      <c r="M37" s="16"/>
      <c r="N37" s="35">
        <f>IF(H37=0,0,L37/H37)</f>
        <v>6.5195407914020498</v>
      </c>
      <c r="O37" s="28"/>
      <c r="P37" s="32">
        <f>SUM(P34:P36)</f>
        <v>-6.9999999999879492E-2</v>
      </c>
      <c r="Q37" s="14"/>
      <c r="R37" s="35">
        <f>IF(P$12=0,0,P37/P$12)</f>
        <v>-1.7656703241235842E-4</v>
      </c>
      <c r="S37" s="14"/>
      <c r="T37" s="32">
        <f>SUM(T34:T36)</f>
        <v>6532.1</v>
      </c>
      <c r="U37" s="14"/>
      <c r="V37" s="35">
        <f>IF(T$12=0,0,T37/T$12)</f>
        <v>0.50982243902439028</v>
      </c>
      <c r="W37" s="16"/>
      <c r="X37" s="32">
        <f>+P37-T37</f>
        <v>-6532.17</v>
      </c>
      <c r="Y37" s="16"/>
      <c r="Z37" s="35">
        <f>IF(T37=0,0,X37/T37)</f>
        <v>-1.0000107163086909</v>
      </c>
    </row>
    <row r="38" spans="1:26" ht="15.75" thickTop="1" x14ac:dyDescent="0.25">
      <c r="A38" s="9"/>
      <c r="C38" s="9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9">
        <v>44330.00886898148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2" t="s">
        <v>56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A41" s="9"/>
      <c r="B41" s="55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199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163253.20000000004</v>
      </c>
      <c r="E12" s="4"/>
      <c r="F12" s="13"/>
      <c r="G12" s="4"/>
      <c r="H12" s="4">
        <f>SUM(OSRRefH13x_0)</f>
        <v>4348.7</v>
      </c>
      <c r="I12" s="4"/>
      <c r="J12" s="13"/>
      <c r="K12" s="4"/>
      <c r="L12" s="4">
        <f t="shared" ref="L12:L22" si="0">+D12-H12</f>
        <v>158904.50000000003</v>
      </c>
      <c r="M12" s="4"/>
      <c r="N12" s="13">
        <f t="shared" ref="N12:N22" si="1">IF(H12=0,0,L12/H12)</f>
        <v>36.540690321245435</v>
      </c>
      <c r="O12" s="11"/>
      <c r="P12" s="4">
        <f>SUM(OSRRefP13x_0)</f>
        <v>1397976.21</v>
      </c>
      <c r="Q12" s="4"/>
      <c r="R12" s="13"/>
      <c r="S12" s="4"/>
      <c r="T12" s="4">
        <f>SUM(OSRRefT13x_0)</f>
        <v>13669134.98</v>
      </c>
      <c r="U12" s="4"/>
      <c r="V12" s="13"/>
      <c r="W12" s="4"/>
      <c r="X12" s="4">
        <f t="shared" ref="X12:X22" si="2">+P12-T12</f>
        <v>-12271158.77</v>
      </c>
      <c r="Y12" s="4"/>
      <c r="Z12" s="13">
        <f t="shared" ref="Z12:Z22" si="3">IF(T12=0,0,X12/T12)</f>
        <v>-0.89772752906124265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>--6552.2</f>
        <v>6552.2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6552.2</v>
      </c>
      <c r="M13" s="2"/>
      <c r="N13" s="19">
        <f t="shared" si="1"/>
        <v>0</v>
      </c>
      <c r="O13" s="10"/>
      <c r="P13" s="2">
        <f>--32121.26</f>
        <v>32121.26</v>
      </c>
      <c r="Q13" s="2"/>
      <c r="R13" s="19"/>
      <c r="S13" s="2"/>
      <c r="T13" s="2">
        <f>--454738.68</f>
        <v>454738.68</v>
      </c>
      <c r="U13" s="2"/>
      <c r="V13" s="19"/>
      <c r="W13" s="2"/>
      <c r="X13" s="2">
        <f t="shared" si="2"/>
        <v>-422617.42</v>
      </c>
      <c r="Y13" s="2"/>
      <c r="Z13" s="19">
        <f t="shared" si="3"/>
        <v>-0.92936325539758347</v>
      </c>
    </row>
    <row r="14" spans="1:26" s="23" customFormat="1" hidden="1" outlineLevel="1" x14ac:dyDescent="0.25">
      <c r="A14" s="44"/>
      <c r="B14" s="10" t="str">
        <f>CONCATENATE("          ", "4052", " - ", "TAXABLE SALES-FOOD")</f>
        <v xml:space="preserve">          4052 - TAXABLE SALES-FOOD</v>
      </c>
      <c r="C14" s="10"/>
      <c r="D14" s="2">
        <f>--48734.68</f>
        <v>48734.68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48734.68</v>
      </c>
      <c r="M14" s="2"/>
      <c r="N14" s="19">
        <f t="shared" si="1"/>
        <v>0</v>
      </c>
      <c r="O14" s="10"/>
      <c r="P14" s="2">
        <f>--380674.79</f>
        <v>380674.79</v>
      </c>
      <c r="Q14" s="2"/>
      <c r="R14" s="19"/>
      <c r="S14" s="2"/>
      <c r="T14" s="2">
        <f>--836487.29</f>
        <v>836487.29</v>
      </c>
      <c r="U14" s="2"/>
      <c r="V14" s="19"/>
      <c r="W14" s="2"/>
      <c r="X14" s="2">
        <f t="shared" si="2"/>
        <v>-455812.50000000006</v>
      </c>
      <c r="Y14" s="2"/>
      <c r="Z14" s="19">
        <f t="shared" si="3"/>
        <v>-0.54491264296436592</v>
      </c>
    </row>
    <row r="15" spans="1:26" s="23" customFormat="1" hidden="1" outlineLevel="1" x14ac:dyDescent="0.25">
      <c r="A15" s="44"/>
      <c r="B15" s="10" t="str">
        <f>CONCATENATE("          ", "4053", " - ", "TAXABLE SALES-FOOD")</f>
        <v xml:space="preserve">          4053 - TAXABLE SALES-FOOD</v>
      </c>
      <c r="C15" s="10"/>
      <c r="D15" s="2">
        <f>--161.18</f>
        <v>161.18</v>
      </c>
      <c r="E15" s="2"/>
      <c r="F15" s="19"/>
      <c r="G15" s="2"/>
      <c r="H15" s="2">
        <f>--46.54</f>
        <v>46.54</v>
      </c>
      <c r="I15" s="2"/>
      <c r="J15" s="19"/>
      <c r="K15" s="2"/>
      <c r="L15" s="2">
        <f t="shared" si="0"/>
        <v>114.64000000000001</v>
      </c>
      <c r="M15" s="2"/>
      <c r="N15" s="19">
        <f t="shared" si="1"/>
        <v>2.4632574129780838</v>
      </c>
      <c r="O15" s="10"/>
      <c r="P15" s="2">
        <f>--1084.9</f>
        <v>1084.9000000000001</v>
      </c>
      <c r="Q15" s="2"/>
      <c r="R15" s="19"/>
      <c r="S15" s="2"/>
      <c r="T15" s="2">
        <f>--279926.67</f>
        <v>279926.67</v>
      </c>
      <c r="U15" s="2"/>
      <c r="V15" s="19"/>
      <c r="W15" s="2"/>
      <c r="X15" s="2">
        <f t="shared" si="2"/>
        <v>-278841.76999999996</v>
      </c>
      <c r="Y15" s="2"/>
      <c r="Z15" s="19">
        <f t="shared" si="3"/>
        <v>-0.99612434213574563</v>
      </c>
    </row>
    <row r="16" spans="1:26" s="23" customFormat="1" hidden="1" outlineLevel="1" x14ac:dyDescent="0.25">
      <c r="A16" s="44"/>
      <c r="B16" s="10" t="str">
        <f>CONCATENATE("          ", "4055", " - ", "TAXABLE SALES-FOOD")</f>
        <v xml:space="preserve">          4055 - TAXABLE SALES-FOOD</v>
      </c>
      <c r="C16" s="10"/>
      <c r="D16" s="2">
        <f t="shared" ref="D16:D17" si="5">0</f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>0</f>
        <v>0</v>
      </c>
      <c r="Q16" s="2"/>
      <c r="R16" s="19"/>
      <c r="S16" s="2"/>
      <c r="T16" s="2">
        <f>--382379.53</f>
        <v>382379.53</v>
      </c>
      <c r="U16" s="2"/>
      <c r="V16" s="19"/>
      <c r="W16" s="2"/>
      <c r="X16" s="2">
        <f t="shared" si="2"/>
        <v>-382379.53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"4058", " - ", "TAXABLE SALES-FOOD")</f>
        <v xml:space="preserve">          4058 - TAXABLE SALES-FOOD</v>
      </c>
      <c r="C17" s="10"/>
      <c r="D17" s="2">
        <f t="shared" si="5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--974.91</f>
        <v>974.91</v>
      </c>
      <c r="Q17" s="2"/>
      <c r="R17" s="19"/>
      <c r="S17" s="2"/>
      <c r="T17" s="2">
        <f>--117077.57</f>
        <v>117077.57</v>
      </c>
      <c r="U17" s="2"/>
      <c r="V17" s="19"/>
      <c r="W17" s="2"/>
      <c r="X17" s="2">
        <f t="shared" si="2"/>
        <v>-116102.66</v>
      </c>
      <c r="Y17" s="2"/>
      <c r="Z17" s="19">
        <f t="shared" si="3"/>
        <v>-0.99167295665600164</v>
      </c>
    </row>
    <row r="18" spans="1:26" s="23" customFormat="1" hidden="1" outlineLevel="1" x14ac:dyDescent="0.25">
      <c r="A18" s="44"/>
      <c r="B18" s="10" t="str">
        <f>CONCATENATE("          ", "4151", " - ", "NON-TAXABLE SALES-FOOD")</f>
        <v xml:space="preserve">          4151 - NON-TAXABLE SALES-FOOD</v>
      </c>
      <c r="C18" s="10"/>
      <c r="D18" s="2">
        <f>--91787.27</f>
        <v>91787.27</v>
      </c>
      <c r="E18" s="2"/>
      <c r="F18" s="19"/>
      <c r="G18" s="2"/>
      <c r="H18" s="2">
        <f>--1200</f>
        <v>1200</v>
      </c>
      <c r="I18" s="2"/>
      <c r="J18" s="19"/>
      <c r="K18" s="2"/>
      <c r="L18" s="2">
        <f t="shared" si="0"/>
        <v>90587.27</v>
      </c>
      <c r="M18" s="2"/>
      <c r="N18" s="19">
        <f t="shared" si="1"/>
        <v>75.489391666666677</v>
      </c>
      <c r="O18" s="10"/>
      <c r="P18" s="2">
        <f>--924097.12</f>
        <v>924097.12</v>
      </c>
      <c r="Q18" s="2"/>
      <c r="R18" s="19"/>
      <c r="S18" s="2"/>
      <c r="T18" s="2">
        <f>--10077512.49</f>
        <v>10077512.49</v>
      </c>
      <c r="U18" s="2"/>
      <c r="V18" s="19"/>
      <c r="W18" s="2"/>
      <c r="X18" s="2">
        <f t="shared" si="2"/>
        <v>-9153415.370000001</v>
      </c>
      <c r="Y18" s="2"/>
      <c r="Z18" s="19">
        <f t="shared" si="3"/>
        <v>-0.9083010692453134</v>
      </c>
    </row>
    <row r="19" spans="1:26" s="23" customFormat="1" hidden="1" outlineLevel="1" x14ac:dyDescent="0.25">
      <c r="A19" s="44"/>
      <c r="B19" s="10" t="str">
        <f>CONCATENATE("          ", "4152", " - ", "NON-TAXABLE SALES-FOOD")</f>
        <v xml:space="preserve">          4152 - NON-TAXABLE SALES-FOOD</v>
      </c>
      <c r="C19" s="10"/>
      <c r="D19" s="2">
        <f>--11580.95</f>
        <v>11580.95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11580.95</v>
      </c>
      <c r="M19" s="2"/>
      <c r="N19" s="19">
        <f t="shared" si="1"/>
        <v>0</v>
      </c>
      <c r="O19" s="10"/>
      <c r="P19" s="2">
        <f>--11580.95</f>
        <v>11580.95</v>
      </c>
      <c r="Q19" s="2"/>
      <c r="R19" s="19"/>
      <c r="S19" s="2"/>
      <c r="T19" s="2">
        <f>--51415.27</f>
        <v>51415.27</v>
      </c>
      <c r="U19" s="2"/>
      <c r="V19" s="19"/>
      <c r="W19" s="2"/>
      <c r="X19" s="2">
        <f t="shared" si="2"/>
        <v>-39834.319999999992</v>
      </c>
      <c r="Y19" s="2"/>
      <c r="Z19" s="19">
        <f t="shared" si="3"/>
        <v>-0.77475660440954597</v>
      </c>
    </row>
    <row r="20" spans="1:26" s="23" customFormat="1" hidden="1" outlineLevel="1" x14ac:dyDescent="0.25">
      <c r="A20" s="44"/>
      <c r="B20" s="10" t="str">
        <f>CONCATENATE("          ", "4153", " - ", "NON-TAXABLE SALES-FOOD")</f>
        <v xml:space="preserve">          4153 - NON-TAXABLE SALES-FOOD</v>
      </c>
      <c r="C20" s="10"/>
      <c r="D20" s="2">
        <f>--4436.92</f>
        <v>4436.92</v>
      </c>
      <c r="E20" s="2"/>
      <c r="F20" s="19"/>
      <c r="G20" s="2"/>
      <c r="H20" s="2">
        <f>--3102.16</f>
        <v>3102.16</v>
      </c>
      <c r="I20" s="2"/>
      <c r="J20" s="19"/>
      <c r="K20" s="2"/>
      <c r="L20" s="2">
        <f t="shared" si="0"/>
        <v>1334.7600000000002</v>
      </c>
      <c r="M20" s="2"/>
      <c r="N20" s="19">
        <f t="shared" si="1"/>
        <v>0.43026794233695242</v>
      </c>
      <c r="O20" s="10"/>
      <c r="P20" s="2">
        <f>--47442.28</f>
        <v>47442.28</v>
      </c>
      <c r="Q20" s="2"/>
      <c r="R20" s="19"/>
      <c r="S20" s="2"/>
      <c r="T20" s="2">
        <f>--303620.18</f>
        <v>303620.18</v>
      </c>
      <c r="U20" s="2"/>
      <c r="V20" s="19"/>
      <c r="W20" s="2"/>
      <c r="X20" s="2">
        <f t="shared" si="2"/>
        <v>-256177.9</v>
      </c>
      <c r="Y20" s="2"/>
      <c r="Z20" s="19">
        <f t="shared" si="3"/>
        <v>-0.84374464174285124</v>
      </c>
    </row>
    <row r="21" spans="1:26" s="23" customFormat="1" hidden="1" outlineLevel="1" x14ac:dyDescent="0.25">
      <c r="A21" s="44"/>
      <c r="B21" s="10" t="str">
        <f>CONCATENATE("          ", "4155", " - ", "NON-TAXABLE SALES-FOOD")</f>
        <v xml:space="preserve">          4155 - NON-TAXABLE SALES-FOOD</v>
      </c>
      <c r="C21" s="10"/>
      <c r="D21" s="2">
        <f t="shared" ref="D21:D22" si="7">0</f>
        <v>0</v>
      </c>
      <c r="E21" s="2"/>
      <c r="F21" s="19"/>
      <c r="G21" s="2"/>
      <c r="H21" s="2">
        <f t="shared" ref="H21:H22" si="8"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ref="P21:P22" si="9">0</f>
        <v>0</v>
      </c>
      <c r="Q21" s="2"/>
      <c r="R21" s="19"/>
      <c r="S21" s="2"/>
      <c r="T21" s="2">
        <f>--691123.63</f>
        <v>691123.63</v>
      </c>
      <c r="U21" s="2"/>
      <c r="V21" s="19"/>
      <c r="W21" s="2"/>
      <c r="X21" s="2">
        <f t="shared" si="2"/>
        <v>-691123.63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"4158", " - ", "NON-TAXABLE SALES-FOOD")</f>
        <v xml:space="preserve">          4158 - NON-TAXABLE SALES-FOOD</v>
      </c>
      <c r="C22" s="10"/>
      <c r="D22" s="2">
        <f t="shared" si="7"/>
        <v>0</v>
      </c>
      <c r="E22" s="2"/>
      <c r="F22" s="19"/>
      <c r="G22" s="2"/>
      <c r="H22" s="2">
        <f t="shared" si="8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0"/>
      <c r="P22" s="2">
        <f t="shared" si="9"/>
        <v>0</v>
      </c>
      <c r="Q22" s="2"/>
      <c r="R22" s="19"/>
      <c r="S22" s="2"/>
      <c r="T22" s="2">
        <f>--474853.67</f>
        <v>474853.67</v>
      </c>
      <c r="U22" s="2"/>
      <c r="V22" s="19"/>
      <c r="W22" s="2"/>
      <c r="X22" s="2">
        <f t="shared" si="2"/>
        <v>-474853.67</v>
      </c>
      <c r="Y22" s="2"/>
      <c r="Z22" s="19">
        <f t="shared" si="3"/>
        <v>-1</v>
      </c>
    </row>
    <row r="23" spans="1:26" x14ac:dyDescent="0.25">
      <c r="A23" s="9"/>
      <c r="B23" s="11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collapsed="1" x14ac:dyDescent="0.25">
      <c r="A24" s="11"/>
      <c r="B24" s="28" t="s">
        <v>256</v>
      </c>
      <c r="C24" s="11"/>
      <c r="D24" s="4">
        <f>SUM(OSRRefD16x_0)</f>
        <v>50783.16</v>
      </c>
      <c r="E24" s="4"/>
      <c r="F24" s="13">
        <f t="shared" ref="F24:F26" si="10">IF(D$12=0,0,D24/D$12)</f>
        <v>0.31106992083462981</v>
      </c>
      <c r="G24" s="4"/>
      <c r="H24" s="4">
        <f>SUM(OSRRefH16x_0)</f>
        <v>89619.4</v>
      </c>
      <c r="I24" s="4"/>
      <c r="J24" s="13">
        <f t="shared" ref="J24:J26" si="11">IF(H$12=0,0,H24/H$12)</f>
        <v>20.608319727734724</v>
      </c>
      <c r="K24" s="4"/>
      <c r="L24" s="4">
        <f t="shared" ref="L24:L26" si="12">+D24-H24</f>
        <v>-38836.239999999991</v>
      </c>
      <c r="M24" s="4"/>
      <c r="N24" s="13">
        <f t="shared" ref="N24:N26" si="13">IF(H24=0,0,L24/H24)</f>
        <v>-0.43334635134803395</v>
      </c>
      <c r="O24" s="11"/>
      <c r="P24" s="4">
        <f>SUM(OSRRefP16x_0)</f>
        <v>429410.48</v>
      </c>
      <c r="Q24" s="4"/>
      <c r="R24" s="13">
        <f t="shared" ref="R24:R26" si="14">IF(P$12=0,0,P24/P$12)</f>
        <v>0.30716579933788718</v>
      </c>
      <c r="S24" s="4"/>
      <c r="T24" s="4">
        <f>SUM(OSRRefT16x_0)</f>
        <v>3796179.25</v>
      </c>
      <c r="U24" s="4"/>
      <c r="V24" s="13">
        <f t="shared" ref="V24:V26" si="15">IF(T$12=0,0,T24/T$12)</f>
        <v>0.27771905505025601</v>
      </c>
      <c r="W24" s="4"/>
      <c r="X24" s="4">
        <f t="shared" ref="X24:X26" si="16">+P24-T24</f>
        <v>-3366768.77</v>
      </c>
      <c r="Y24" s="4"/>
      <c r="Z24" s="13">
        <f t="shared" ref="Z24:Z26" si="17">IF(T24=0,0,X24/T24)</f>
        <v>-0.88688350793761916</v>
      </c>
    </row>
    <row r="25" spans="1:26" s="23" customFormat="1" hidden="1" outlineLevel="1" x14ac:dyDescent="0.25">
      <c r="A25" s="44"/>
      <c r="B25" s="10" t="str">
        <f>CONCATENATE("          ", "5053", " - ", "PURCHASES @ COST-FOOD")</f>
        <v xml:space="preserve">          5053 - PURCHASES @ COST-FOOD</v>
      </c>
      <c r="C25" s="10"/>
      <c r="D25" s="2">
        <v>50154.23</v>
      </c>
      <c r="E25" s="2"/>
      <c r="F25" s="19">
        <f t="shared" si="10"/>
        <v>0.30721743892309611</v>
      </c>
      <c r="G25" s="2"/>
      <c r="H25" s="2">
        <v>26047.4</v>
      </c>
      <c r="I25" s="2"/>
      <c r="J25" s="19">
        <f t="shared" si="11"/>
        <v>5.9896980706877923</v>
      </c>
      <c r="K25" s="2"/>
      <c r="L25" s="2">
        <f t="shared" si="12"/>
        <v>24106.83</v>
      </c>
      <c r="M25" s="2"/>
      <c r="N25" s="19">
        <f t="shared" si="13"/>
        <v>0.92549851424710339</v>
      </c>
      <c r="O25" s="10"/>
      <c r="P25" s="2">
        <v>427806.17</v>
      </c>
      <c r="Q25" s="2"/>
      <c r="R25" s="19">
        <f t="shared" si="14"/>
        <v>0.30601820470178098</v>
      </c>
      <c r="S25" s="2"/>
      <c r="T25" s="2">
        <v>3755372.52</v>
      </c>
      <c r="U25" s="2"/>
      <c r="V25" s="19">
        <f t="shared" si="15"/>
        <v>0.27473373593096234</v>
      </c>
      <c r="W25" s="2"/>
      <c r="X25" s="2">
        <f t="shared" si="16"/>
        <v>-3327566.35</v>
      </c>
      <c r="Y25" s="2"/>
      <c r="Z25" s="19">
        <f t="shared" si="17"/>
        <v>-0.88608156242246772</v>
      </c>
    </row>
    <row r="26" spans="1:26" s="23" customFormat="1" hidden="1" outlineLevel="1" x14ac:dyDescent="0.25">
      <c r="A26" s="44"/>
      <c r="B26" s="10" t="str">
        <f>CONCATENATE("          ", "5059", " - ", "PURCHASES @ COST-FOOD")</f>
        <v xml:space="preserve">          5059 - PURCHASES @ COST-FOOD</v>
      </c>
      <c r="C26" s="10"/>
      <c r="D26" s="2">
        <v>628.92999999999995</v>
      </c>
      <c r="E26" s="2"/>
      <c r="F26" s="19">
        <f t="shared" si="10"/>
        <v>3.8524819115337392E-3</v>
      </c>
      <c r="G26" s="2"/>
      <c r="H26" s="2">
        <v>63572</v>
      </c>
      <c r="I26" s="2"/>
      <c r="J26" s="19">
        <f t="shared" si="11"/>
        <v>14.618621657046933</v>
      </c>
      <c r="K26" s="2"/>
      <c r="L26" s="2">
        <f t="shared" si="12"/>
        <v>-62943.07</v>
      </c>
      <c r="M26" s="2"/>
      <c r="N26" s="19">
        <f t="shared" si="13"/>
        <v>-0.99010680802869189</v>
      </c>
      <c r="O26" s="10"/>
      <c r="P26" s="2">
        <v>1604.31</v>
      </c>
      <c r="Q26" s="2"/>
      <c r="R26" s="19">
        <f t="shared" si="14"/>
        <v>1.1475946361061465E-3</v>
      </c>
      <c r="S26" s="2"/>
      <c r="T26" s="2">
        <v>40806.730000000003</v>
      </c>
      <c r="U26" s="2"/>
      <c r="V26" s="19">
        <f t="shared" si="15"/>
        <v>2.9853191192936775E-3</v>
      </c>
      <c r="W26" s="2"/>
      <c r="X26" s="2">
        <f t="shared" si="16"/>
        <v>-39202.420000000006</v>
      </c>
      <c r="Y26" s="2"/>
      <c r="Z26" s="19">
        <f t="shared" si="17"/>
        <v>-0.96068516149174421</v>
      </c>
    </row>
    <row r="27" spans="1:26" x14ac:dyDescent="0.25">
      <c r="A27" s="9"/>
      <c r="B27" s="11"/>
      <c r="C27" s="11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1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4" customFormat="1" x14ac:dyDescent="0.25">
      <c r="A28" s="11"/>
      <c r="B28" s="29" t="s">
        <v>107</v>
      </c>
      <c r="C28" s="29"/>
      <c r="D28" s="20">
        <f>D12-D24</f>
        <v>112470.04000000004</v>
      </c>
      <c r="E28" s="14"/>
      <c r="F28" s="22">
        <f>IF(D$12=0,0,D28/D$12)</f>
        <v>0.68893007916537019</v>
      </c>
      <c r="G28" s="14"/>
      <c r="H28" s="20">
        <f>H12-H24</f>
        <v>-85270.7</v>
      </c>
      <c r="I28" s="14"/>
      <c r="J28" s="22">
        <f>IF(H$12=0,0,H28/H$12)</f>
        <v>-19.608319727734724</v>
      </c>
      <c r="K28" s="16"/>
      <c r="L28" s="20">
        <f>+D28-H28</f>
        <v>197740.74000000005</v>
      </c>
      <c r="M28" s="16"/>
      <c r="N28" s="22">
        <f>IF(H28=0,0,L28/H28)</f>
        <v>-2.3189763893107487</v>
      </c>
      <c r="O28" s="28"/>
      <c r="P28" s="20">
        <f>P12-P24</f>
        <v>968565.73</v>
      </c>
      <c r="Q28" s="14"/>
      <c r="R28" s="22">
        <f>IF(P$12=0,0,P28/P$12)</f>
        <v>0.69283420066211288</v>
      </c>
      <c r="S28" s="14"/>
      <c r="T28" s="20">
        <f>T12-T24</f>
        <v>9872955.7300000004</v>
      </c>
      <c r="U28" s="14"/>
      <c r="V28" s="22">
        <f>IF(T$12=0,0,T28/T$12)</f>
        <v>0.72228094494974404</v>
      </c>
      <c r="W28" s="16"/>
      <c r="X28" s="20">
        <f>+P28-T28</f>
        <v>-8904390</v>
      </c>
      <c r="Y28" s="16"/>
      <c r="Z28" s="22">
        <f>IF(T28=0,0,X28/T28)</f>
        <v>-0.90189708568661831</v>
      </c>
    </row>
    <row r="29" spans="1:26" x14ac:dyDescent="0.25">
      <c r="A29" s="9"/>
      <c r="B29" s="11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4" customFormat="1" x14ac:dyDescent="0.25">
      <c r="A30" s="11"/>
      <c r="B30" s="28" t="s">
        <v>294</v>
      </c>
      <c r="C30" s="11"/>
      <c r="D30" s="21">
        <f>SUM(OSRRefD22x_0)</f>
        <v>367637.8600000001</v>
      </c>
      <c r="E30" s="21"/>
      <c r="F30" s="31">
        <f t="shared" ref="F30:F40" si="18">IF(D$12=0,0,D30/D$12)</f>
        <v>2.2519488745090448</v>
      </c>
      <c r="G30" s="21"/>
      <c r="H30" s="21">
        <f>SUM(OSRRefH22x_0)</f>
        <v>196907</v>
      </c>
      <c r="I30" s="21"/>
      <c r="J30" s="31">
        <f t="shared" ref="J30:J40" si="19">IF(H$12=0,0,H30/H$12)</f>
        <v>45.279508818727436</v>
      </c>
      <c r="K30" s="4"/>
      <c r="L30" s="21">
        <f t="shared" ref="L30:L40" si="20">+D30-H30</f>
        <v>170730.8600000001</v>
      </c>
      <c r="M30" s="4"/>
      <c r="N30" s="31">
        <f t="shared" ref="N30:N40" si="21">IF(H30=0,0,L30/H30)</f>
        <v>0.86706343603833336</v>
      </c>
      <c r="O30" s="11"/>
      <c r="P30" s="21">
        <f>SUM(OSRRefP22x_0)</f>
        <v>3381388.5999999996</v>
      </c>
      <c r="Q30" s="21"/>
      <c r="R30" s="31">
        <f t="shared" ref="R30:R40" si="22">IF(P$12=0,0,P30/P$12)</f>
        <v>2.4187740648319043</v>
      </c>
      <c r="S30" s="21"/>
      <c r="T30" s="21">
        <f>SUM(OSRRefT22x_0)</f>
        <v>9195819.1000000015</v>
      </c>
      <c r="U30" s="21"/>
      <c r="V30" s="31">
        <f t="shared" ref="V30:V40" si="23">IF(T$12=0,0,T30/T$12)</f>
        <v>0.67274330917463809</v>
      </c>
      <c r="W30" s="4"/>
      <c r="X30" s="21">
        <f t="shared" ref="X30:X40" si="24">+P30-T30</f>
        <v>-5814430.5000000019</v>
      </c>
      <c r="Y30" s="4"/>
      <c r="Z30" s="31">
        <f t="shared" ref="Z30:Z40" si="25">IF(T30=0,0,X30/T30)</f>
        <v>-0.63229065695735587</v>
      </c>
    </row>
    <row r="31" spans="1:26" s="26" customFormat="1" outlineLevel="1" collapsed="1" x14ac:dyDescent="0.25">
      <c r="A31" s="25"/>
      <c r="B31" s="12" t="str">
        <f>CONCATENATE("     ","*Benefits                                         ")</f>
        <v xml:space="preserve">     *Benefits                                         </v>
      </c>
      <c r="C31" s="12"/>
      <c r="D31" s="1">
        <f>SUM(OSRRefD22_0x_0)</f>
        <v>104829.08</v>
      </c>
      <c r="E31" s="1"/>
      <c r="F31" s="5">
        <f t="shared" si="18"/>
        <v>0.64212572862277728</v>
      </c>
      <c r="G31" s="1"/>
      <c r="H31" s="1">
        <f>SUM(OSRRefH22_0x_0)</f>
        <v>-28995.460000000006</v>
      </c>
      <c r="I31" s="1"/>
      <c r="J31" s="5">
        <f t="shared" si="19"/>
        <v>-6.6676156092625396</v>
      </c>
      <c r="K31" s="1"/>
      <c r="L31" s="1">
        <f t="shared" si="20"/>
        <v>133824.54</v>
      </c>
      <c r="M31" s="1"/>
      <c r="N31" s="5">
        <f t="shared" si="21"/>
        <v>-4.6153618532004659</v>
      </c>
      <c r="O31" s="12"/>
      <c r="P31" s="1">
        <f>SUM(OSRRefP22_0x_0)</f>
        <v>982045.63000000012</v>
      </c>
      <c r="Q31" s="1"/>
      <c r="R31" s="5">
        <f t="shared" si="22"/>
        <v>0.70247663942721894</v>
      </c>
      <c r="S31" s="1"/>
      <c r="T31" s="1">
        <f>SUM(OSRRefT22_0x_0)</f>
        <v>1464400.95</v>
      </c>
      <c r="U31" s="1"/>
      <c r="V31" s="5">
        <f t="shared" si="23"/>
        <v>0.10713194010759559</v>
      </c>
      <c r="W31" s="1"/>
      <c r="X31" s="1">
        <f t="shared" si="24"/>
        <v>-482355.31999999983</v>
      </c>
      <c r="Y31" s="1"/>
      <c r="Z31" s="5">
        <f t="shared" si="25"/>
        <v>-0.32938746727800189</v>
      </c>
    </row>
    <row r="32" spans="1:26" s="23" customFormat="1" hidden="1" outlineLevel="2" x14ac:dyDescent="0.25">
      <c r="A32" s="27"/>
      <c r="B32" s="10" t="str">
        <f>CONCATENATE("          ", "6111", " - ", "F.I.C.A.")</f>
        <v xml:space="preserve">          6111 - F.I.C.A.</v>
      </c>
      <c r="C32" s="10"/>
      <c r="D32" s="6">
        <v>14541.6</v>
      </c>
      <c r="E32" s="2"/>
      <c r="F32" s="7">
        <f t="shared" si="18"/>
        <v>8.9073904830043127E-2</v>
      </c>
      <c r="G32" s="2"/>
      <c r="H32" s="6">
        <v>15558.58</v>
      </c>
      <c r="I32" s="2"/>
      <c r="J32" s="7">
        <f t="shared" si="19"/>
        <v>3.5777542713914503</v>
      </c>
      <c r="K32" s="2"/>
      <c r="L32" s="6">
        <f t="shared" si="20"/>
        <v>-1016.9799999999996</v>
      </c>
      <c r="M32" s="2"/>
      <c r="N32" s="7">
        <f t="shared" si="21"/>
        <v>-6.5364576972962801E-2</v>
      </c>
      <c r="O32" s="10"/>
      <c r="P32" s="6">
        <v>107773.3</v>
      </c>
      <c r="Q32" s="2"/>
      <c r="R32" s="7">
        <f t="shared" si="22"/>
        <v>7.7092370548995259E-2</v>
      </c>
      <c r="S32" s="2"/>
      <c r="T32" s="6">
        <v>268462.48</v>
      </c>
      <c r="U32" s="2"/>
      <c r="V32" s="7">
        <f t="shared" si="23"/>
        <v>1.9640048941853377E-2</v>
      </c>
      <c r="W32" s="2"/>
      <c r="X32" s="6">
        <f t="shared" si="24"/>
        <v>-160689.18</v>
      </c>
      <c r="Y32" s="2"/>
      <c r="Z32" s="7">
        <f t="shared" si="25"/>
        <v>-0.59855358558857086</v>
      </c>
    </row>
    <row r="33" spans="1:26" s="23" customFormat="1" hidden="1" outlineLevel="2" x14ac:dyDescent="0.25">
      <c r="A33" s="27"/>
      <c r="B33" s="10" t="str">
        <f>CONCATENATE("          ", "6112", " - ", "COMPENSATION INSURANCE")</f>
        <v xml:space="preserve">          6112 - COMPENSATION INSURANCE</v>
      </c>
      <c r="C33" s="10"/>
      <c r="D33" s="6">
        <v>5039.95</v>
      </c>
      <c r="E33" s="2"/>
      <c r="F33" s="7">
        <f t="shared" si="18"/>
        <v>3.0871982907532583E-2</v>
      </c>
      <c r="G33" s="2"/>
      <c r="H33" s="6">
        <v>4603.6899999999996</v>
      </c>
      <c r="I33" s="2"/>
      <c r="J33" s="7">
        <f t="shared" si="19"/>
        <v>1.0586359141812496</v>
      </c>
      <c r="K33" s="2"/>
      <c r="L33" s="6">
        <f t="shared" si="20"/>
        <v>436.26000000000022</v>
      </c>
      <c r="M33" s="2"/>
      <c r="N33" s="7">
        <f t="shared" si="21"/>
        <v>9.4763113936863749E-2</v>
      </c>
      <c r="O33" s="10"/>
      <c r="P33" s="6">
        <v>55789.98</v>
      </c>
      <c r="Q33" s="2"/>
      <c r="R33" s="7">
        <f t="shared" si="22"/>
        <v>3.9907674823736812E-2</v>
      </c>
      <c r="S33" s="2"/>
      <c r="T33" s="6">
        <v>155912.57999999999</v>
      </c>
      <c r="U33" s="2"/>
      <c r="V33" s="7">
        <f t="shared" si="23"/>
        <v>1.1406177510729356E-2</v>
      </c>
      <c r="W33" s="2"/>
      <c r="X33" s="6">
        <f t="shared" si="24"/>
        <v>-100122.59999999998</v>
      </c>
      <c r="Y33" s="2"/>
      <c r="Z33" s="7">
        <f t="shared" si="25"/>
        <v>-0.64217140143534268</v>
      </c>
    </row>
    <row r="34" spans="1:26" s="23" customFormat="1" hidden="1" outlineLevel="2" x14ac:dyDescent="0.25">
      <c r="A34" s="27"/>
      <c r="B34" s="10" t="str">
        <f>CONCATENATE("          ", "6113", " - ", "GROUP INSURANCE")</f>
        <v xml:space="preserve">          6113 - GROUP INSURANCE</v>
      </c>
      <c r="C34" s="10"/>
      <c r="D34" s="6">
        <v>53408.89</v>
      </c>
      <c r="E34" s="2"/>
      <c r="F34" s="7">
        <f t="shared" si="18"/>
        <v>0.32715370969757401</v>
      </c>
      <c r="G34" s="2"/>
      <c r="H34" s="6">
        <v>55309.58</v>
      </c>
      <c r="I34" s="2"/>
      <c r="J34" s="7">
        <f t="shared" si="19"/>
        <v>12.718646951962656</v>
      </c>
      <c r="K34" s="2"/>
      <c r="L34" s="6">
        <f t="shared" si="20"/>
        <v>-1900.6900000000023</v>
      </c>
      <c r="M34" s="2"/>
      <c r="N34" s="7">
        <f t="shared" si="21"/>
        <v>-3.4364571200866147E-2</v>
      </c>
      <c r="O34" s="10"/>
      <c r="P34" s="6">
        <v>543838.42000000004</v>
      </c>
      <c r="Q34" s="2"/>
      <c r="R34" s="7">
        <f t="shared" si="22"/>
        <v>0.38901836534113843</v>
      </c>
      <c r="S34" s="2"/>
      <c r="T34" s="6">
        <v>696652.36</v>
      </c>
      <c r="U34" s="2"/>
      <c r="V34" s="7">
        <f t="shared" si="23"/>
        <v>5.0965358160505923E-2</v>
      </c>
      <c r="W34" s="2"/>
      <c r="X34" s="6">
        <f t="shared" si="24"/>
        <v>-152813.93999999994</v>
      </c>
      <c r="Y34" s="2"/>
      <c r="Z34" s="7">
        <f t="shared" si="25"/>
        <v>-0.21935465775211033</v>
      </c>
    </row>
    <row r="35" spans="1:26" s="23" customFormat="1" hidden="1" outlineLevel="2" x14ac:dyDescent="0.25">
      <c r="A35" s="27"/>
      <c r="B35" s="10" t="str">
        <f>CONCATENATE("          ", "6114", " - ", "STATE UNEMPLOYMENT INSURANCE")</f>
        <v xml:space="preserve">          6114 - STATE UNEMPLOYMENT INSURANCE</v>
      </c>
      <c r="C35" s="10"/>
      <c r="D35" s="6">
        <v>347.65</v>
      </c>
      <c r="E35" s="2"/>
      <c r="F35" s="7">
        <f t="shared" si="18"/>
        <v>2.1295141534744795E-3</v>
      </c>
      <c r="G35" s="2"/>
      <c r="H35" s="6">
        <v>353.1</v>
      </c>
      <c r="I35" s="2"/>
      <c r="J35" s="7">
        <f t="shared" si="19"/>
        <v>8.1196679467427049E-2</v>
      </c>
      <c r="K35" s="2"/>
      <c r="L35" s="6">
        <f t="shared" si="20"/>
        <v>-5.4500000000000455</v>
      </c>
      <c r="M35" s="2"/>
      <c r="N35" s="7">
        <f t="shared" si="21"/>
        <v>-1.5434721042197806E-2</v>
      </c>
      <c r="O35" s="10"/>
      <c r="P35" s="6">
        <v>3956.47</v>
      </c>
      <c r="Q35" s="2"/>
      <c r="R35" s="7">
        <f t="shared" si="22"/>
        <v>2.8301411509713743E-3</v>
      </c>
      <c r="S35" s="2"/>
      <c r="T35" s="6">
        <v>12780.45</v>
      </c>
      <c r="U35" s="2"/>
      <c r="V35" s="7">
        <f t="shared" si="23"/>
        <v>9.3498601182150304E-4</v>
      </c>
      <c r="W35" s="2"/>
      <c r="X35" s="6">
        <f t="shared" si="24"/>
        <v>-8823.9800000000014</v>
      </c>
      <c r="Y35" s="2"/>
      <c r="Z35" s="7">
        <f t="shared" si="25"/>
        <v>-0.69042795832697601</v>
      </c>
    </row>
    <row r="36" spans="1:26" s="23" customFormat="1" hidden="1" outlineLevel="2" x14ac:dyDescent="0.25">
      <c r="A36" s="27"/>
      <c r="B36" s="10" t="str">
        <f>CONCATENATE("          ", "6115", " - ", "P.E.R.S.")</f>
        <v xml:space="preserve">          6115 - P.E.R.S.</v>
      </c>
      <c r="C36" s="10"/>
      <c r="D36" s="6">
        <v>6315.19</v>
      </c>
      <c r="E36" s="2"/>
      <c r="F36" s="7">
        <f t="shared" si="18"/>
        <v>3.8683407124638282E-2</v>
      </c>
      <c r="G36" s="2"/>
      <c r="H36" s="6">
        <v>10235.530000000001</v>
      </c>
      <c r="I36" s="2"/>
      <c r="J36" s="7">
        <f t="shared" si="19"/>
        <v>2.3536988065398856</v>
      </c>
      <c r="K36" s="2"/>
      <c r="L36" s="6">
        <f t="shared" si="20"/>
        <v>-3920.3400000000011</v>
      </c>
      <c r="M36" s="2"/>
      <c r="N36" s="7">
        <f t="shared" si="21"/>
        <v>-0.38301289723150639</v>
      </c>
      <c r="O36" s="10"/>
      <c r="P36" s="6">
        <v>72169.67</v>
      </c>
      <c r="Q36" s="2"/>
      <c r="R36" s="7">
        <f t="shared" si="22"/>
        <v>5.1624390661125771E-2</v>
      </c>
      <c r="S36" s="2"/>
      <c r="T36" s="6">
        <v>117991.51</v>
      </c>
      <c r="U36" s="2"/>
      <c r="V36" s="7">
        <f t="shared" si="23"/>
        <v>8.6319661172882794E-3</v>
      </c>
      <c r="W36" s="2"/>
      <c r="X36" s="6">
        <f t="shared" si="24"/>
        <v>-45821.84</v>
      </c>
      <c r="Y36" s="2"/>
      <c r="Z36" s="7">
        <f t="shared" si="25"/>
        <v>-0.38834861932015274</v>
      </c>
    </row>
    <row r="37" spans="1:26" s="23" customFormat="1" hidden="1" outlineLevel="2" x14ac:dyDescent="0.25">
      <c r="A37" s="27"/>
      <c r="B37" s="10" t="str">
        <f>CONCATENATE("          ", "6117", " - ", "RETIREMENT STAFF HOURLY")</f>
        <v xml:space="preserve">          6117 - RETIREMENT STAFF HOURLY</v>
      </c>
      <c r="C37" s="10"/>
      <c r="D37" s="6">
        <v>1408.97</v>
      </c>
      <c r="E37" s="2"/>
      <c r="F37" s="7">
        <f t="shared" si="18"/>
        <v>8.6305812075965407E-3</v>
      </c>
      <c r="G37" s="2"/>
      <c r="H37" s="6">
        <v>3948.67</v>
      </c>
      <c r="I37" s="2"/>
      <c r="J37" s="7">
        <f t="shared" si="19"/>
        <v>0.90801158967047624</v>
      </c>
      <c r="K37" s="2"/>
      <c r="L37" s="6">
        <f t="shared" si="20"/>
        <v>-2539.6999999999998</v>
      </c>
      <c r="M37" s="2"/>
      <c r="N37" s="7">
        <f t="shared" si="21"/>
        <v>-0.64317858924650573</v>
      </c>
      <c r="O37" s="10"/>
      <c r="P37" s="6">
        <v>15402.89</v>
      </c>
      <c r="Q37" s="2"/>
      <c r="R37" s="7">
        <f t="shared" si="22"/>
        <v>1.1017991500728042E-2</v>
      </c>
      <c r="S37" s="2"/>
      <c r="T37" s="6">
        <v>19327.509999999998</v>
      </c>
      <c r="U37" s="2"/>
      <c r="V37" s="7">
        <f t="shared" si="23"/>
        <v>1.4139526772015238E-3</v>
      </c>
      <c r="W37" s="2"/>
      <c r="X37" s="6">
        <f t="shared" si="24"/>
        <v>-3924.619999999999</v>
      </c>
      <c r="Y37" s="2"/>
      <c r="Z37" s="7">
        <f t="shared" si="25"/>
        <v>-0.20305874890247111</v>
      </c>
    </row>
    <row r="38" spans="1:26" s="23" customFormat="1" hidden="1" outlineLevel="2" x14ac:dyDescent="0.25">
      <c r="A38" s="27"/>
      <c r="B38" s="10" t="str">
        <f>CONCATENATE("          ", "6118", " - ", "VACATION")</f>
        <v xml:space="preserve">          6118 - VACATION</v>
      </c>
      <c r="C38" s="10"/>
      <c r="D38" s="6">
        <v>12746.94</v>
      </c>
      <c r="E38" s="2"/>
      <c r="F38" s="7">
        <f t="shared" si="18"/>
        <v>7.8080797191111703E-2</v>
      </c>
      <c r="G38" s="2"/>
      <c r="H38" s="6">
        <v>12813.15</v>
      </c>
      <c r="I38" s="2"/>
      <c r="J38" s="7">
        <f t="shared" si="19"/>
        <v>2.9464322671143099</v>
      </c>
      <c r="K38" s="2"/>
      <c r="L38" s="6">
        <f t="shared" si="20"/>
        <v>-66.209999999999127</v>
      </c>
      <c r="M38" s="2"/>
      <c r="N38" s="7">
        <f t="shared" si="21"/>
        <v>-5.1673476077310522E-3</v>
      </c>
      <c r="O38" s="10"/>
      <c r="P38" s="6">
        <v>94119.75</v>
      </c>
      <c r="Q38" s="2"/>
      <c r="R38" s="7">
        <f t="shared" si="22"/>
        <v>6.7325716508437577E-2</v>
      </c>
      <c r="S38" s="2"/>
      <c r="T38" s="6">
        <v>159722.68</v>
      </c>
      <c r="U38" s="2"/>
      <c r="V38" s="7">
        <f t="shared" si="23"/>
        <v>1.1684914973310184E-2</v>
      </c>
      <c r="W38" s="2"/>
      <c r="X38" s="6">
        <f t="shared" si="24"/>
        <v>-65602.929999999993</v>
      </c>
      <c r="Y38" s="2"/>
      <c r="Z38" s="7">
        <f t="shared" si="25"/>
        <v>-0.41073021063758758</v>
      </c>
    </row>
    <row r="39" spans="1:26" s="23" customFormat="1" hidden="1" outlineLevel="2" x14ac:dyDescent="0.25">
      <c r="A39" s="27"/>
      <c r="B39" s="10" t="str">
        <f>CONCATENATE("          ", "6119", " - ", "SICK LEAVE")</f>
        <v xml:space="preserve">          6119 - SICK LEAVE</v>
      </c>
      <c r="C39" s="10"/>
      <c r="D39" s="6">
        <v>8187.45</v>
      </c>
      <c r="E39" s="2"/>
      <c r="F39" s="7">
        <f t="shared" si="18"/>
        <v>5.0151850009678207E-2</v>
      </c>
      <c r="G39" s="2"/>
      <c r="H39" s="6">
        <v>-134212.26</v>
      </c>
      <c r="I39" s="2"/>
      <c r="J39" s="7">
        <f t="shared" si="19"/>
        <v>-30.862616414100771</v>
      </c>
      <c r="K39" s="2"/>
      <c r="L39" s="6">
        <f t="shared" si="20"/>
        <v>142399.71000000002</v>
      </c>
      <c r="M39" s="2"/>
      <c r="N39" s="7">
        <f t="shared" si="21"/>
        <v>-1.0610037413869642</v>
      </c>
      <c r="O39" s="10"/>
      <c r="P39" s="6">
        <v>60931.89</v>
      </c>
      <c r="Q39" s="2"/>
      <c r="R39" s="7">
        <f t="shared" si="22"/>
        <v>4.3585784625047377E-2</v>
      </c>
      <c r="S39" s="2"/>
      <c r="T39" s="6">
        <v>-28384.98</v>
      </c>
      <c r="U39" s="2"/>
      <c r="V39" s="7">
        <f t="shared" si="23"/>
        <v>-2.0765747094846523E-3</v>
      </c>
      <c r="W39" s="2"/>
      <c r="X39" s="6">
        <f t="shared" si="24"/>
        <v>89316.87</v>
      </c>
      <c r="Y39" s="2"/>
      <c r="Z39" s="7">
        <f t="shared" si="25"/>
        <v>-3.1466243766949984</v>
      </c>
    </row>
    <row r="40" spans="1:26" s="23" customFormat="1" hidden="1" outlineLevel="2" x14ac:dyDescent="0.25">
      <c r="A40" s="27"/>
      <c r="B40" s="10" t="str">
        <f>CONCATENATE("          ", "6156", " - ", "EMPLOYEE MEALS")</f>
        <v xml:space="preserve">          6156 - EMPLOYEE MEALS</v>
      </c>
      <c r="C40" s="10"/>
      <c r="D40" s="6">
        <v>2832.44</v>
      </c>
      <c r="E40" s="2"/>
      <c r="F40" s="7">
        <f t="shared" si="18"/>
        <v>1.7349981501128306E-2</v>
      </c>
      <c r="G40" s="2"/>
      <c r="H40" s="6">
        <v>2394.5</v>
      </c>
      <c r="I40" s="2"/>
      <c r="J40" s="7">
        <f t="shared" si="19"/>
        <v>0.55062432451077337</v>
      </c>
      <c r="K40" s="2"/>
      <c r="L40" s="6">
        <f t="shared" si="20"/>
        <v>437.94000000000005</v>
      </c>
      <c r="M40" s="2"/>
      <c r="N40" s="7">
        <f t="shared" si="21"/>
        <v>0.18289413238671959</v>
      </c>
      <c r="O40" s="10"/>
      <c r="P40" s="6">
        <v>28063.26</v>
      </c>
      <c r="Q40" s="2"/>
      <c r="R40" s="7">
        <f t="shared" si="22"/>
        <v>2.0074204267038279E-2</v>
      </c>
      <c r="S40" s="2"/>
      <c r="T40" s="6">
        <v>61936.36</v>
      </c>
      <c r="U40" s="2"/>
      <c r="V40" s="7">
        <f t="shared" si="23"/>
        <v>4.5311104243701012E-3</v>
      </c>
      <c r="W40" s="2"/>
      <c r="X40" s="6">
        <f t="shared" si="24"/>
        <v>-33873.100000000006</v>
      </c>
      <c r="Y40" s="2"/>
      <c r="Z40" s="7">
        <f t="shared" si="25"/>
        <v>-0.54690169070316696</v>
      </c>
    </row>
    <row r="41" spans="1:26" s="26" customFormat="1" outlineLevel="1" collapsed="1" x14ac:dyDescent="0.25">
      <c r="A41" s="25"/>
      <c r="B41" s="12" t="str">
        <f>CONCATENATE("     ","*Payroll                                          ")</f>
        <v xml:space="preserve">     *Payroll                                          </v>
      </c>
      <c r="C41" s="12"/>
      <c r="D41" s="1">
        <f>SUM(OSRRefD22_1x_0)</f>
        <v>148922.57000000004</v>
      </c>
      <c r="E41" s="1"/>
      <c r="F41" s="5">
        <f t="shared" ref="F41:F48" si="26">IF(D$12=0,0,D41/D$12)</f>
        <v>0.9122183822430433</v>
      </c>
      <c r="G41" s="1"/>
      <c r="H41" s="1">
        <f>SUM(OSRRefH22_1x_0)</f>
        <v>115955.66999999998</v>
      </c>
      <c r="I41" s="1"/>
      <c r="J41" s="5">
        <f t="shared" ref="J41:J48" si="27">IF(H$12=0,0,H41/H$12)</f>
        <v>26.66444454664612</v>
      </c>
      <c r="K41" s="1"/>
      <c r="L41" s="1">
        <f t="shared" ref="L41:L48" si="28">+D41-H41</f>
        <v>32966.900000000052</v>
      </c>
      <c r="M41" s="1"/>
      <c r="N41" s="5">
        <f t="shared" ref="N41:N48" si="29">IF(H41=0,0,L41/H41)</f>
        <v>0.28430606282556131</v>
      </c>
      <c r="O41" s="12"/>
      <c r="P41" s="1">
        <f>SUM(OSRRefP22_1x_0)</f>
        <v>1361148.74</v>
      </c>
      <c r="Q41" s="1"/>
      <c r="R41" s="5">
        <f t="shared" ref="R41:R48" si="30">IF(P$12=0,0,P41/P$12)</f>
        <v>0.97365658318320025</v>
      </c>
      <c r="S41" s="1"/>
      <c r="T41" s="1">
        <f>SUM(OSRRefT22_1x_0)</f>
        <v>4573166.6300000008</v>
      </c>
      <c r="U41" s="1"/>
      <c r="V41" s="5">
        <f t="shared" ref="V41:V48" si="31">IF(T$12=0,0,T41/T$12)</f>
        <v>0.33456152395094724</v>
      </c>
      <c r="W41" s="1"/>
      <c r="X41" s="1">
        <f t="shared" ref="X41:X48" si="32">+P41-T41</f>
        <v>-3212017.8900000006</v>
      </c>
      <c r="Y41" s="1"/>
      <c r="Z41" s="5">
        <f t="shared" ref="Z41:Z48" si="33">IF(T41=0,0,X41/T41)</f>
        <v>-0.70236187523304827</v>
      </c>
    </row>
    <row r="42" spans="1:26" s="23" customFormat="1" hidden="1" outlineLevel="2" x14ac:dyDescent="0.25">
      <c r="A42" s="27"/>
      <c r="B42" s="10" t="str">
        <f>CONCATENATE("          ", "6001", " - ", "ADMINISTRATIVE SALARIES")</f>
        <v xml:space="preserve">          6001 - ADMINISTRATIVE SALARIES</v>
      </c>
      <c r="C42" s="10"/>
      <c r="D42" s="6">
        <v>22796.34</v>
      </c>
      <c r="E42" s="2"/>
      <c r="F42" s="7">
        <f t="shared" si="26"/>
        <v>0.13963793665300278</v>
      </c>
      <c r="G42" s="2"/>
      <c r="H42" s="6">
        <v>27803.23</v>
      </c>
      <c r="I42" s="2"/>
      <c r="J42" s="7">
        <f t="shared" si="27"/>
        <v>6.3934578149791896</v>
      </c>
      <c r="K42" s="2"/>
      <c r="L42" s="6">
        <f t="shared" si="28"/>
        <v>-5006.8899999999994</v>
      </c>
      <c r="M42" s="2"/>
      <c r="N42" s="7">
        <f t="shared" si="29"/>
        <v>-0.18008303351804805</v>
      </c>
      <c r="O42" s="10"/>
      <c r="P42" s="6">
        <v>202220.49</v>
      </c>
      <c r="Q42" s="2"/>
      <c r="R42" s="7">
        <f t="shared" si="30"/>
        <v>0.1446523113580023</v>
      </c>
      <c r="S42" s="2"/>
      <c r="T42" s="6">
        <v>252147.56</v>
      </c>
      <c r="U42" s="2"/>
      <c r="V42" s="7">
        <f t="shared" si="31"/>
        <v>1.8446489874372429E-2</v>
      </c>
      <c r="W42" s="2"/>
      <c r="X42" s="6">
        <f t="shared" si="32"/>
        <v>-49927.070000000007</v>
      </c>
      <c r="Y42" s="2"/>
      <c r="Z42" s="7">
        <f t="shared" si="33"/>
        <v>-0.19800734934734252</v>
      </c>
    </row>
    <row r="43" spans="1:26" s="23" customFormat="1" hidden="1" outlineLevel="2" x14ac:dyDescent="0.25">
      <c r="A43" s="27"/>
      <c r="B43" s="10" t="str">
        <f>CONCATENATE("          ", "6002", " - ", "STAFF SALARIES")</f>
        <v xml:space="preserve">          6002 - STAFF SALARIES</v>
      </c>
      <c r="C43" s="10"/>
      <c r="D43" s="6">
        <v>45634.07</v>
      </c>
      <c r="E43" s="2"/>
      <c r="F43" s="7">
        <f t="shared" si="26"/>
        <v>0.27952940585544411</v>
      </c>
      <c r="G43" s="2"/>
      <c r="H43" s="6">
        <v>36442.67</v>
      </c>
      <c r="I43" s="2"/>
      <c r="J43" s="7">
        <f t="shared" si="27"/>
        <v>8.3801296939315204</v>
      </c>
      <c r="K43" s="2"/>
      <c r="L43" s="6">
        <f t="shared" si="28"/>
        <v>9191.4000000000015</v>
      </c>
      <c r="M43" s="2"/>
      <c r="N43" s="7">
        <f t="shared" si="29"/>
        <v>0.25221532889878823</v>
      </c>
      <c r="O43" s="10"/>
      <c r="P43" s="6">
        <v>440215.93</v>
      </c>
      <c r="Q43" s="2"/>
      <c r="R43" s="7">
        <f t="shared" si="30"/>
        <v>0.31489515118429662</v>
      </c>
      <c r="S43" s="2"/>
      <c r="T43" s="6">
        <v>980482.97</v>
      </c>
      <c r="U43" s="2"/>
      <c r="V43" s="7">
        <f t="shared" si="31"/>
        <v>7.1729701362565665E-2</v>
      </c>
      <c r="W43" s="2"/>
      <c r="X43" s="6">
        <f t="shared" si="32"/>
        <v>-540267.04</v>
      </c>
      <c r="Y43" s="2"/>
      <c r="Z43" s="7">
        <f t="shared" si="33"/>
        <v>-0.55102134002388647</v>
      </c>
    </row>
    <row r="44" spans="1:26" s="23" customFormat="1" hidden="1" outlineLevel="2" x14ac:dyDescent="0.25">
      <c r="A44" s="27"/>
      <c r="B44" s="10" t="str">
        <f>CONCATENATE("          ", "6004", " - ", "STAFF HOURLY")</f>
        <v xml:space="preserve">          6004 - STAFF HOURLY</v>
      </c>
      <c r="C44" s="10"/>
      <c r="D44" s="6">
        <v>70096.23</v>
      </c>
      <c r="E44" s="2"/>
      <c r="F44" s="7">
        <f t="shared" si="26"/>
        <v>0.42937124662793735</v>
      </c>
      <c r="G44" s="2"/>
      <c r="H44" s="6">
        <v>66963.929999999993</v>
      </c>
      <c r="I44" s="2"/>
      <c r="J44" s="7">
        <f t="shared" si="27"/>
        <v>15.398608779635293</v>
      </c>
      <c r="K44" s="2"/>
      <c r="L44" s="6">
        <f t="shared" si="28"/>
        <v>3132.3000000000029</v>
      </c>
      <c r="M44" s="2"/>
      <c r="N44" s="7">
        <f t="shared" si="29"/>
        <v>4.6775928473732103E-2</v>
      </c>
      <c r="O44" s="10"/>
      <c r="P44" s="6">
        <v>491027.52</v>
      </c>
      <c r="Q44" s="2"/>
      <c r="R44" s="7">
        <f t="shared" si="30"/>
        <v>0.3512416852930566</v>
      </c>
      <c r="S44" s="2"/>
      <c r="T44" s="6">
        <v>843936.03</v>
      </c>
      <c r="U44" s="2"/>
      <c r="V44" s="7">
        <f t="shared" si="31"/>
        <v>6.1740266025231687E-2</v>
      </c>
      <c r="W44" s="2"/>
      <c r="X44" s="6">
        <f t="shared" si="32"/>
        <v>-352908.51</v>
      </c>
      <c r="Y44" s="2"/>
      <c r="Z44" s="7">
        <f t="shared" si="33"/>
        <v>-0.41816973971356575</v>
      </c>
    </row>
    <row r="45" spans="1:26" s="23" customFormat="1" hidden="1" outlineLevel="2" x14ac:dyDescent="0.25">
      <c r="A45" s="27"/>
      <c r="B45" s="10" t="str">
        <f>CONCATENATE("          ", "6005", " - ", "TEMPORARY WAGES-HOURLY")</f>
        <v xml:space="preserve">          6005 - TEMPORARY WAGES-HOURLY</v>
      </c>
      <c r="C45" s="10"/>
      <c r="D45" s="6">
        <v>10996.89</v>
      </c>
      <c r="E45" s="2"/>
      <c r="F45" s="7">
        <f t="shared" si="26"/>
        <v>6.7360946064150634E-2</v>
      </c>
      <c r="G45" s="2"/>
      <c r="H45" s="6">
        <v>104.84</v>
      </c>
      <c r="I45" s="2"/>
      <c r="J45" s="7">
        <f t="shared" si="27"/>
        <v>2.4108354220801622E-2</v>
      </c>
      <c r="K45" s="2"/>
      <c r="L45" s="6">
        <f t="shared" si="28"/>
        <v>10892.05</v>
      </c>
      <c r="M45" s="2"/>
      <c r="N45" s="7">
        <f t="shared" si="29"/>
        <v>103.8921213277375</v>
      </c>
      <c r="O45" s="10"/>
      <c r="P45" s="6">
        <v>103265.12</v>
      </c>
      <c r="Q45" s="2"/>
      <c r="R45" s="7">
        <f t="shared" si="30"/>
        <v>7.3867580336005864E-2</v>
      </c>
      <c r="S45" s="2"/>
      <c r="T45" s="6">
        <v>831285.8</v>
      </c>
      <c r="U45" s="2"/>
      <c r="V45" s="7">
        <f t="shared" si="31"/>
        <v>6.0814806585515191E-2</v>
      </c>
      <c r="W45" s="2"/>
      <c r="X45" s="6">
        <f t="shared" si="32"/>
        <v>-728020.68</v>
      </c>
      <c r="Y45" s="2"/>
      <c r="Z45" s="7">
        <f t="shared" si="33"/>
        <v>-0.87577663422134722</v>
      </c>
    </row>
    <row r="46" spans="1:26" s="23" customFormat="1" hidden="1" outlineLevel="2" x14ac:dyDescent="0.25">
      <c r="A46" s="27"/>
      <c r="B46" s="10" t="str">
        <f>CONCATENATE("          ", "6006", " - ", "TEMPORARY PART TIME")</f>
        <v xml:space="preserve">          6006 - TEMPORARY PART TIME</v>
      </c>
      <c r="C46" s="10"/>
      <c r="D46" s="6">
        <v>847.56</v>
      </c>
      <c r="E46" s="2"/>
      <c r="F46" s="7">
        <f t="shared" si="26"/>
        <v>5.1916899638108152E-3</v>
      </c>
      <c r="G46" s="2"/>
      <c r="H46" s="6"/>
      <c r="I46" s="2"/>
      <c r="J46" s="7">
        <f t="shared" si="27"/>
        <v>0</v>
      </c>
      <c r="K46" s="2"/>
      <c r="L46" s="6">
        <f t="shared" si="28"/>
        <v>847.56</v>
      </c>
      <c r="M46" s="2"/>
      <c r="N46" s="7">
        <f t="shared" si="29"/>
        <v>0</v>
      </c>
      <c r="O46" s="10"/>
      <c r="P46" s="6">
        <v>2174.52</v>
      </c>
      <c r="Q46" s="2"/>
      <c r="R46" s="7">
        <f t="shared" si="30"/>
        <v>1.555477113591225E-3</v>
      </c>
      <c r="S46" s="2"/>
      <c r="T46" s="6">
        <v>45957.26</v>
      </c>
      <c r="U46" s="2"/>
      <c r="V46" s="7">
        <f t="shared" si="31"/>
        <v>3.3621191148702815E-3</v>
      </c>
      <c r="W46" s="2"/>
      <c r="X46" s="6">
        <f t="shared" si="32"/>
        <v>-43782.740000000005</v>
      </c>
      <c r="Y46" s="2"/>
      <c r="Z46" s="7">
        <f t="shared" si="33"/>
        <v>-0.95268386322422183</v>
      </c>
    </row>
    <row r="47" spans="1:26" s="23" customFormat="1" hidden="1" outlineLevel="2" x14ac:dyDescent="0.25">
      <c r="A47" s="27"/>
      <c r="B47" s="10" t="str">
        <f>CONCATENATE("          ", "6007", " - ", "STUDENT HOURLY")</f>
        <v xml:space="preserve">          6007 - STUDENT HOURLY</v>
      </c>
      <c r="C47" s="10"/>
      <c r="D47" s="6">
        <v>-1448.52</v>
      </c>
      <c r="E47" s="2"/>
      <c r="F47" s="7">
        <f t="shared" si="26"/>
        <v>-8.8728429213026129E-3</v>
      </c>
      <c r="G47" s="2"/>
      <c r="H47" s="6">
        <v>-15359</v>
      </c>
      <c r="I47" s="2"/>
      <c r="J47" s="7">
        <f t="shared" si="27"/>
        <v>-3.5318600961206799</v>
      </c>
      <c r="K47" s="2"/>
      <c r="L47" s="6">
        <f t="shared" si="28"/>
        <v>13910.48</v>
      </c>
      <c r="M47" s="2"/>
      <c r="N47" s="7">
        <f t="shared" si="29"/>
        <v>-0.90568917247216618</v>
      </c>
      <c r="O47" s="10"/>
      <c r="P47" s="6">
        <v>111614.28</v>
      </c>
      <c r="Q47" s="2"/>
      <c r="R47" s="7">
        <f t="shared" si="30"/>
        <v>7.9839899421464411E-2</v>
      </c>
      <c r="S47" s="2"/>
      <c r="T47" s="6">
        <v>1410448.02</v>
      </c>
      <c r="U47" s="2"/>
      <c r="V47" s="7">
        <f t="shared" si="31"/>
        <v>0.10318487761396003</v>
      </c>
      <c r="W47" s="2"/>
      <c r="X47" s="6">
        <f t="shared" si="32"/>
        <v>-1298833.74</v>
      </c>
      <c r="Y47" s="2"/>
      <c r="Z47" s="7">
        <f t="shared" si="33"/>
        <v>-0.92086608055219221</v>
      </c>
    </row>
    <row r="48" spans="1:26" s="23" customFormat="1" hidden="1" outlineLevel="2" x14ac:dyDescent="0.25">
      <c r="A48" s="27"/>
      <c r="B48" s="10" t="str">
        <f>CONCATENATE("          ", "6008", " - ", "STUDENT HOURLY-FICA EXEMPT")</f>
        <v xml:space="preserve">          6008 - STUDENT HOURLY-FICA EXEMPT</v>
      </c>
      <c r="C48" s="10"/>
      <c r="D48" s="6"/>
      <c r="E48" s="2"/>
      <c r="F48" s="7">
        <f t="shared" si="26"/>
        <v>0</v>
      </c>
      <c r="G48" s="2"/>
      <c r="H48" s="6"/>
      <c r="I48" s="2"/>
      <c r="J48" s="7">
        <f t="shared" si="27"/>
        <v>0</v>
      </c>
      <c r="K48" s="2"/>
      <c r="L48" s="6">
        <f t="shared" si="28"/>
        <v>0</v>
      </c>
      <c r="M48" s="2"/>
      <c r="N48" s="7">
        <f t="shared" si="29"/>
        <v>0</v>
      </c>
      <c r="O48" s="10"/>
      <c r="P48" s="6">
        <v>10630.88</v>
      </c>
      <c r="Q48" s="2"/>
      <c r="R48" s="7">
        <f t="shared" si="30"/>
        <v>7.6044784767832349E-3</v>
      </c>
      <c r="S48" s="2"/>
      <c r="T48" s="6">
        <v>208908.99</v>
      </c>
      <c r="U48" s="2"/>
      <c r="V48" s="7">
        <f t="shared" si="31"/>
        <v>1.5283263374431904E-2</v>
      </c>
      <c r="W48" s="2"/>
      <c r="X48" s="6">
        <f t="shared" si="32"/>
        <v>-198278.11</v>
      </c>
      <c r="Y48" s="2"/>
      <c r="Z48" s="7">
        <f t="shared" si="33"/>
        <v>-0.94911238621181404</v>
      </c>
    </row>
    <row r="49" spans="1:26" s="26" customFormat="1" outlineLevel="1" collapsed="1" x14ac:dyDescent="0.25">
      <c r="A49" s="25"/>
      <c r="B49" s="12" t="str">
        <f>CONCATENATE("     ","Advertising/Promo                                 ")</f>
        <v xml:space="preserve">     Advertising/Promo                                 </v>
      </c>
      <c r="C49" s="12"/>
      <c r="D49" s="1">
        <f>SUM(OSRRefD22_2x_0)</f>
        <v>190.89</v>
      </c>
      <c r="E49" s="1"/>
      <c r="F49" s="5">
        <f t="shared" ref="F49:F58" si="34">IF(D$12=0,0,D49/D$12)</f>
        <v>1.1692879527016925E-3</v>
      </c>
      <c r="G49" s="1"/>
      <c r="H49" s="1">
        <f>SUM(OSRRefH22_2x_0)</f>
        <v>256.07</v>
      </c>
      <c r="I49" s="1"/>
      <c r="J49" s="5">
        <f t="shared" ref="J49:J58" si="35">IF(H$12=0,0,H49/H$12)</f>
        <v>5.8884264262883158E-2</v>
      </c>
      <c r="K49" s="1"/>
      <c r="L49" s="1">
        <f t="shared" ref="L49:L58" si="36">+D49-H49</f>
        <v>-65.180000000000007</v>
      </c>
      <c r="M49" s="1"/>
      <c r="N49" s="5">
        <f t="shared" ref="N49:N58" si="37">IF(H49=0,0,L49/H49)</f>
        <v>-0.2545397742804702</v>
      </c>
      <c r="O49" s="12"/>
      <c r="P49" s="1">
        <f>SUM(OSRRefP22_2x_0)</f>
        <v>2009.08</v>
      </c>
      <c r="Q49" s="1"/>
      <c r="R49" s="5">
        <f t="shared" ref="R49:R58" si="38">IF(P$12=0,0,P49/P$12)</f>
        <v>1.4371346133279334E-3</v>
      </c>
      <c r="S49" s="1"/>
      <c r="T49" s="1">
        <f>SUM(OSRRefT22_2x_0)</f>
        <v>36871.68</v>
      </c>
      <c r="U49" s="1"/>
      <c r="V49" s="5">
        <f t="shared" ref="V49:V58" si="39">IF(T$12=0,0,T49/T$12)</f>
        <v>2.6974406247322023E-3</v>
      </c>
      <c r="W49" s="1"/>
      <c r="X49" s="1">
        <f t="shared" ref="X49:X58" si="40">+P49-T49</f>
        <v>-34862.6</v>
      </c>
      <c r="Y49" s="1"/>
      <c r="Z49" s="5">
        <f t="shared" ref="Z49:Z58" si="41">IF(T49=0,0,X49/T49)</f>
        <v>-0.94551156877039499</v>
      </c>
    </row>
    <row r="50" spans="1:26" s="23" customFormat="1" hidden="1" outlineLevel="2" x14ac:dyDescent="0.25">
      <c r="A50" s="27"/>
      <c r="B50" s="10" t="str">
        <f>CONCATENATE("          ", "6362", " - ", "ADVERTISING EXPENSE")</f>
        <v xml:space="preserve">          6362 - ADVERTISING EXPENSE</v>
      </c>
      <c r="C50" s="10"/>
      <c r="D50" s="6">
        <v>190.89</v>
      </c>
      <c r="E50" s="2"/>
      <c r="F50" s="7">
        <f t="shared" si="34"/>
        <v>1.1692879527016925E-3</v>
      </c>
      <c r="G50" s="2"/>
      <c r="H50" s="6">
        <v>256.07</v>
      </c>
      <c r="I50" s="2"/>
      <c r="J50" s="7">
        <f t="shared" si="35"/>
        <v>5.8884264262883158E-2</v>
      </c>
      <c r="K50" s="2"/>
      <c r="L50" s="6">
        <f t="shared" si="36"/>
        <v>-65.180000000000007</v>
      </c>
      <c r="M50" s="2"/>
      <c r="N50" s="7">
        <f t="shared" si="37"/>
        <v>-0.2545397742804702</v>
      </c>
      <c r="O50" s="10"/>
      <c r="P50" s="6">
        <v>2009.08</v>
      </c>
      <c r="Q50" s="2"/>
      <c r="R50" s="7">
        <f t="shared" si="38"/>
        <v>1.4371346133279334E-3</v>
      </c>
      <c r="S50" s="2"/>
      <c r="T50" s="6">
        <v>36871.68</v>
      </c>
      <c r="U50" s="2"/>
      <c r="V50" s="7">
        <f t="shared" si="39"/>
        <v>2.6974406247322023E-3</v>
      </c>
      <c r="W50" s="2"/>
      <c r="X50" s="6">
        <f t="shared" si="40"/>
        <v>-34862.6</v>
      </c>
      <c r="Y50" s="2"/>
      <c r="Z50" s="7">
        <f t="shared" si="41"/>
        <v>-0.94551156877039499</v>
      </c>
    </row>
    <row r="51" spans="1:26" s="26" customFormat="1" outlineLevel="1" collapsed="1" x14ac:dyDescent="0.25">
      <c r="A51" s="25"/>
      <c r="B51" s="12" t="str">
        <f>CONCATENATE("     ","Bad Debts/Over/Short                              ")</f>
        <v xml:space="preserve">     Bad Debts/Over/Short                              </v>
      </c>
      <c r="C51" s="12"/>
      <c r="D51" s="1">
        <f>SUM(OSRRefD22_3x_0)</f>
        <v>0.57999999999999996</v>
      </c>
      <c r="E51" s="1"/>
      <c r="F51" s="5">
        <f t="shared" si="34"/>
        <v>3.5527634374088826E-6</v>
      </c>
      <c r="G51" s="1"/>
      <c r="H51" s="1">
        <f>SUM(OSRRefH22_3x_0)</f>
        <v>0</v>
      </c>
      <c r="I51" s="1"/>
      <c r="J51" s="5">
        <f t="shared" si="35"/>
        <v>0</v>
      </c>
      <c r="K51" s="1"/>
      <c r="L51" s="1">
        <f t="shared" si="36"/>
        <v>0.57999999999999996</v>
      </c>
      <c r="M51" s="1"/>
      <c r="N51" s="5">
        <f t="shared" si="37"/>
        <v>0</v>
      </c>
      <c r="O51" s="12"/>
      <c r="P51" s="1">
        <f>SUM(OSRRefP22_3x_0)</f>
        <v>62.52</v>
      </c>
      <c r="Q51" s="1"/>
      <c r="R51" s="5">
        <f t="shared" si="38"/>
        <v>4.4721791081122905E-5</v>
      </c>
      <c r="S51" s="1"/>
      <c r="T51" s="1">
        <f>SUM(OSRRefT22_3x_0)</f>
        <v>-197.1</v>
      </c>
      <c r="U51" s="1"/>
      <c r="V51" s="5">
        <f t="shared" si="39"/>
        <v>-1.4419346965875085E-5</v>
      </c>
      <c r="W51" s="1"/>
      <c r="X51" s="1">
        <f t="shared" si="40"/>
        <v>259.62</v>
      </c>
      <c r="Y51" s="1"/>
      <c r="Z51" s="5">
        <f t="shared" si="41"/>
        <v>-1.3171993911719939</v>
      </c>
    </row>
    <row r="52" spans="1:26" s="23" customFormat="1" hidden="1" outlineLevel="2" x14ac:dyDescent="0.25">
      <c r="A52" s="27"/>
      <c r="B52" s="10" t="str">
        <f>CONCATENATE("          ", "6272", " - ", "CASH (OVER/SHORT)")</f>
        <v xml:space="preserve">          6272 - CASH (OVER/SHORT)</v>
      </c>
      <c r="C52" s="10"/>
      <c r="D52" s="6">
        <v>0.57999999999999996</v>
      </c>
      <c r="E52" s="2"/>
      <c r="F52" s="7">
        <f t="shared" si="34"/>
        <v>3.5527634374088826E-6</v>
      </c>
      <c r="G52" s="2"/>
      <c r="H52" s="6"/>
      <c r="I52" s="2"/>
      <c r="J52" s="7">
        <f t="shared" si="35"/>
        <v>0</v>
      </c>
      <c r="K52" s="2"/>
      <c r="L52" s="6">
        <f t="shared" si="36"/>
        <v>0.57999999999999996</v>
      </c>
      <c r="M52" s="2"/>
      <c r="N52" s="7">
        <f t="shared" si="37"/>
        <v>0</v>
      </c>
      <c r="O52" s="10"/>
      <c r="P52" s="6">
        <v>62.52</v>
      </c>
      <c r="Q52" s="2"/>
      <c r="R52" s="7">
        <f t="shared" si="38"/>
        <v>4.4721791081122905E-5</v>
      </c>
      <c r="S52" s="2"/>
      <c r="T52" s="6">
        <v>-197.1</v>
      </c>
      <c r="U52" s="2"/>
      <c r="V52" s="7">
        <f t="shared" si="39"/>
        <v>-1.4419346965875085E-5</v>
      </c>
      <c r="W52" s="2"/>
      <c r="X52" s="6">
        <f t="shared" si="40"/>
        <v>259.62</v>
      </c>
      <c r="Y52" s="2"/>
      <c r="Z52" s="7">
        <f t="shared" si="41"/>
        <v>-1.3171993911719939</v>
      </c>
    </row>
    <row r="53" spans="1:26" s="26" customFormat="1" outlineLevel="1" collapsed="1" x14ac:dyDescent="0.25">
      <c r="A53" s="25"/>
      <c r="B53" s="12" t="str">
        <f>CONCATENATE("     ","Bank/card Fees                                    ")</f>
        <v xml:space="preserve">     Bank/card Fees                                    </v>
      </c>
      <c r="C53" s="12"/>
      <c r="D53" s="1">
        <f>SUM(OSRRefD22_4x_0)</f>
        <v>1044.54</v>
      </c>
      <c r="E53" s="1"/>
      <c r="F53" s="5">
        <f t="shared" si="34"/>
        <v>6.3982819326053007E-3</v>
      </c>
      <c r="G53" s="1"/>
      <c r="H53" s="1">
        <f>SUM(OSRRefH22_4x_0)</f>
        <v>2778.44</v>
      </c>
      <c r="I53" s="1"/>
      <c r="J53" s="5">
        <f t="shared" si="35"/>
        <v>0.63891277853151518</v>
      </c>
      <c r="K53" s="1"/>
      <c r="L53" s="1">
        <f t="shared" si="36"/>
        <v>-1733.9</v>
      </c>
      <c r="M53" s="1"/>
      <c r="N53" s="5">
        <f t="shared" si="37"/>
        <v>-0.62405522523430412</v>
      </c>
      <c r="O53" s="12"/>
      <c r="P53" s="1">
        <f>SUM(OSRRefP22_4x_0)</f>
        <v>6669.39</v>
      </c>
      <c r="Q53" s="1"/>
      <c r="R53" s="5">
        <f t="shared" si="38"/>
        <v>4.7707464206418792E-3</v>
      </c>
      <c r="S53" s="1"/>
      <c r="T53" s="1">
        <f>SUM(OSRRefT22_4x_0)</f>
        <v>152244.37</v>
      </c>
      <c r="U53" s="1"/>
      <c r="V53" s="5">
        <f t="shared" si="39"/>
        <v>1.1137820368498547E-2</v>
      </c>
      <c r="W53" s="1"/>
      <c r="X53" s="1">
        <f t="shared" si="40"/>
        <v>-145574.97999999998</v>
      </c>
      <c r="Y53" s="1"/>
      <c r="Z53" s="5">
        <f t="shared" si="41"/>
        <v>-0.95619286282967297</v>
      </c>
    </row>
    <row r="54" spans="1:26" s="23" customFormat="1" hidden="1" outlineLevel="2" x14ac:dyDescent="0.25">
      <c r="A54" s="27"/>
      <c r="B54" s="10" t="str">
        <f>CONCATENATE("          ", "6381", " - ", "BANK/CREDIT CARD FEES")</f>
        <v xml:space="preserve">          6381 - BANK/CREDIT CARD FEES</v>
      </c>
      <c r="C54" s="10"/>
      <c r="D54" s="6">
        <v>1044.54</v>
      </c>
      <c r="E54" s="2"/>
      <c r="F54" s="7">
        <f t="shared" si="34"/>
        <v>6.3982819326053007E-3</v>
      </c>
      <c r="G54" s="2"/>
      <c r="H54" s="6">
        <v>2778.44</v>
      </c>
      <c r="I54" s="2"/>
      <c r="J54" s="7">
        <f t="shared" si="35"/>
        <v>0.63891277853151518</v>
      </c>
      <c r="K54" s="2"/>
      <c r="L54" s="6">
        <f t="shared" si="36"/>
        <v>-1733.9</v>
      </c>
      <c r="M54" s="2"/>
      <c r="N54" s="7">
        <f t="shared" si="37"/>
        <v>-0.62405522523430412</v>
      </c>
      <c r="O54" s="10"/>
      <c r="P54" s="6">
        <v>6669.39</v>
      </c>
      <c r="Q54" s="2"/>
      <c r="R54" s="7">
        <f t="shared" si="38"/>
        <v>4.7707464206418792E-3</v>
      </c>
      <c r="S54" s="2"/>
      <c r="T54" s="6">
        <v>152244.37</v>
      </c>
      <c r="U54" s="2"/>
      <c r="V54" s="7">
        <f t="shared" si="39"/>
        <v>1.1137820368498547E-2</v>
      </c>
      <c r="W54" s="2"/>
      <c r="X54" s="6">
        <f t="shared" si="40"/>
        <v>-145574.97999999998</v>
      </c>
      <c r="Y54" s="2"/>
      <c r="Z54" s="7">
        <f t="shared" si="41"/>
        <v>-0.95619286282967297</v>
      </c>
    </row>
    <row r="55" spans="1:26" s="26" customFormat="1" outlineLevel="1" collapsed="1" x14ac:dyDescent="0.25">
      <c r="A55" s="25"/>
      <c r="B55" s="12" t="str">
        <f>CONCATENATE("     ","Depreciation                                      ")</f>
        <v xml:space="preserve">     Depreciation                                      </v>
      </c>
      <c r="C55" s="12"/>
      <c r="D55" s="1">
        <f>SUM(OSRRefD22_5x_0)</f>
        <v>37479.26</v>
      </c>
      <c r="E55" s="1"/>
      <c r="F55" s="5">
        <f t="shared" si="34"/>
        <v>0.22957749067093319</v>
      </c>
      <c r="G55" s="1"/>
      <c r="H55" s="1">
        <f>SUM(OSRRefH22_5x_0)</f>
        <v>38354.51</v>
      </c>
      <c r="I55" s="1"/>
      <c r="J55" s="5">
        <f t="shared" si="35"/>
        <v>8.8197645273300083</v>
      </c>
      <c r="K55" s="1"/>
      <c r="L55" s="1">
        <f t="shared" si="36"/>
        <v>-875.25</v>
      </c>
      <c r="M55" s="1"/>
      <c r="N55" s="5">
        <f t="shared" si="37"/>
        <v>-2.2820002132734846E-2</v>
      </c>
      <c r="O55" s="12"/>
      <c r="P55" s="1">
        <f>SUM(OSRRefP22_5x_0)</f>
        <v>377087.68</v>
      </c>
      <c r="Q55" s="1"/>
      <c r="R55" s="5">
        <f t="shared" si="38"/>
        <v>0.26973826686220936</v>
      </c>
      <c r="S55" s="1"/>
      <c r="T55" s="1">
        <f>SUM(OSRRefT22_5x_0)</f>
        <v>402319.15</v>
      </c>
      <c r="U55" s="1"/>
      <c r="V55" s="5">
        <f t="shared" si="39"/>
        <v>2.9432670800943396E-2</v>
      </c>
      <c r="W55" s="1"/>
      <c r="X55" s="1">
        <f t="shared" si="40"/>
        <v>-25231.47000000003</v>
      </c>
      <c r="Y55" s="1"/>
      <c r="Z55" s="5">
        <f t="shared" si="41"/>
        <v>-6.2715060916190613E-2</v>
      </c>
    </row>
    <row r="56" spans="1:26" s="23" customFormat="1" hidden="1" outlineLevel="2" x14ac:dyDescent="0.25">
      <c r="A56" s="27"/>
      <c r="B56" s="10" t="str">
        <f>CONCATENATE("          ", "6321", " - ", "BUILDING DEPRECIATION")</f>
        <v xml:space="preserve">          6321 - BUILDING DEPRECIATION</v>
      </c>
      <c r="C56" s="10"/>
      <c r="D56" s="6">
        <v>23583.49</v>
      </c>
      <c r="E56" s="2"/>
      <c r="F56" s="7">
        <f t="shared" si="34"/>
        <v>0.14445958792844488</v>
      </c>
      <c r="G56" s="2"/>
      <c r="H56" s="6">
        <v>24042.959999999999</v>
      </c>
      <c r="I56" s="2"/>
      <c r="J56" s="7">
        <f t="shared" si="35"/>
        <v>5.5287695173270173</v>
      </c>
      <c r="K56" s="2"/>
      <c r="L56" s="6">
        <f t="shared" si="36"/>
        <v>-459.46999999999753</v>
      </c>
      <c r="M56" s="2"/>
      <c r="N56" s="7">
        <f t="shared" si="37"/>
        <v>-1.911037576072154E-2</v>
      </c>
      <c r="O56" s="10"/>
      <c r="P56" s="6">
        <v>236619.09</v>
      </c>
      <c r="Q56" s="2"/>
      <c r="R56" s="7">
        <f t="shared" si="38"/>
        <v>0.16925830948153259</v>
      </c>
      <c r="S56" s="2"/>
      <c r="T56" s="6">
        <v>240429.6</v>
      </c>
      <c r="U56" s="2"/>
      <c r="V56" s="7">
        <f t="shared" si="39"/>
        <v>1.7589232994756777E-2</v>
      </c>
      <c r="W56" s="2"/>
      <c r="X56" s="6">
        <f t="shared" si="40"/>
        <v>-3810.5100000000093</v>
      </c>
      <c r="Y56" s="2"/>
      <c r="Z56" s="7">
        <f t="shared" si="41"/>
        <v>-1.5848755727248264E-2</v>
      </c>
    </row>
    <row r="57" spans="1:26" s="23" customFormat="1" hidden="1" outlineLevel="2" x14ac:dyDescent="0.25">
      <c r="A57" s="27"/>
      <c r="B57" s="10" t="str">
        <f>CONCATENATE("          ", "6322", " - ", "EQUIPMENT DEPRECIATION EXPENSE")</f>
        <v xml:space="preserve">          6322 - EQUIPMENT DEPRECIATION EXPENSE</v>
      </c>
      <c r="C57" s="10"/>
      <c r="D57" s="6">
        <v>13895.77</v>
      </c>
      <c r="E57" s="2"/>
      <c r="F57" s="7">
        <f t="shared" si="34"/>
        <v>8.5117902742488344E-2</v>
      </c>
      <c r="G57" s="2"/>
      <c r="H57" s="6">
        <v>13887.32</v>
      </c>
      <c r="I57" s="2"/>
      <c r="J57" s="7">
        <f t="shared" si="35"/>
        <v>3.1934417182146388</v>
      </c>
      <c r="K57" s="2"/>
      <c r="L57" s="6">
        <f t="shared" si="36"/>
        <v>8.4500000000007276</v>
      </c>
      <c r="M57" s="2"/>
      <c r="N57" s="7">
        <f t="shared" si="37"/>
        <v>6.0846873262809006E-4</v>
      </c>
      <c r="O57" s="10"/>
      <c r="P57" s="6">
        <v>140468.59</v>
      </c>
      <c r="Q57" s="2"/>
      <c r="R57" s="7">
        <f t="shared" si="38"/>
        <v>0.10047995738067675</v>
      </c>
      <c r="S57" s="2"/>
      <c r="T57" s="6">
        <v>157647.07</v>
      </c>
      <c r="U57" s="2"/>
      <c r="V57" s="7">
        <f t="shared" si="39"/>
        <v>1.1533068495604247E-2</v>
      </c>
      <c r="W57" s="2"/>
      <c r="X57" s="6">
        <f t="shared" si="40"/>
        <v>-17178.48000000001</v>
      </c>
      <c r="Y57" s="2"/>
      <c r="Z57" s="7">
        <f t="shared" si="41"/>
        <v>-0.10896796242391317</v>
      </c>
    </row>
    <row r="58" spans="1:26" s="23" customFormat="1" hidden="1" outlineLevel="2" x14ac:dyDescent="0.25">
      <c r="A58" s="27"/>
      <c r="B58" s="10" t="str">
        <f>CONCATENATE("          ", "6326", " - ", "VEHICLES DEPRECIATION EXPENSE")</f>
        <v xml:space="preserve">          6326 - VEHICLES DEPRECIATION EXPENSE</v>
      </c>
      <c r="C58" s="10"/>
      <c r="D58" s="6"/>
      <c r="E58" s="2"/>
      <c r="F58" s="7">
        <f t="shared" si="34"/>
        <v>0</v>
      </c>
      <c r="G58" s="2"/>
      <c r="H58" s="6">
        <v>424.23</v>
      </c>
      <c r="I58" s="2"/>
      <c r="J58" s="7">
        <f t="shared" si="35"/>
        <v>9.7553291788350552E-2</v>
      </c>
      <c r="K58" s="2"/>
      <c r="L58" s="6">
        <f t="shared" si="36"/>
        <v>-424.23</v>
      </c>
      <c r="M58" s="2"/>
      <c r="N58" s="7">
        <f t="shared" si="37"/>
        <v>-1</v>
      </c>
      <c r="O58" s="10"/>
      <c r="P58" s="6"/>
      <c r="Q58" s="2"/>
      <c r="R58" s="7">
        <f t="shared" si="38"/>
        <v>0</v>
      </c>
      <c r="S58" s="2"/>
      <c r="T58" s="6">
        <v>4242.4799999999996</v>
      </c>
      <c r="U58" s="2"/>
      <c r="V58" s="7">
        <f t="shared" si="39"/>
        <v>3.1036931058237303E-4</v>
      </c>
      <c r="W58" s="2"/>
      <c r="X58" s="6">
        <f t="shared" si="40"/>
        <v>-4242.4799999999996</v>
      </c>
      <c r="Y58" s="2"/>
      <c r="Z58" s="7">
        <f t="shared" si="41"/>
        <v>-1</v>
      </c>
    </row>
    <row r="59" spans="1:26" s="26" customFormat="1" outlineLevel="1" collapsed="1" x14ac:dyDescent="0.25">
      <c r="A59" s="25"/>
      <c r="B59" s="12" t="str">
        <f>CONCATENATE("     ","Discounts and Markdowns                           ")</f>
        <v xml:space="preserve">     Discounts and Markdowns                           </v>
      </c>
      <c r="C59" s="12"/>
      <c r="D59" s="1">
        <f>SUM(OSRRefD22_6x_0)</f>
        <v>0</v>
      </c>
      <c r="E59" s="1"/>
      <c r="F59" s="5">
        <f t="shared" ref="F59:F71" si="42">IF(D$12=0,0,D59/D$12)</f>
        <v>0</v>
      </c>
      <c r="G59" s="1"/>
      <c r="H59" s="1">
        <f>SUM(OSRRefH22_6x_0)</f>
        <v>0</v>
      </c>
      <c r="I59" s="1"/>
      <c r="J59" s="5">
        <f t="shared" ref="J59:J71" si="43">IF(H$12=0,0,H59/H$12)</f>
        <v>0</v>
      </c>
      <c r="K59" s="1"/>
      <c r="L59" s="1">
        <f t="shared" ref="L59:L71" si="44">+D59-H59</f>
        <v>0</v>
      </c>
      <c r="M59" s="1"/>
      <c r="N59" s="5">
        <f t="shared" ref="N59:N71" si="45">IF(H59=0,0,L59/H59)</f>
        <v>0</v>
      </c>
      <c r="O59" s="12"/>
      <c r="P59" s="1">
        <f>SUM(OSRRefP22_6x_0)</f>
        <v>0</v>
      </c>
      <c r="Q59" s="1"/>
      <c r="R59" s="5">
        <f t="shared" ref="R59:R71" si="46">IF(P$12=0,0,P59/P$12)</f>
        <v>0</v>
      </c>
      <c r="S59" s="1"/>
      <c r="T59" s="1">
        <f>SUM(OSRRefT22_6x_0)</f>
        <v>0.09</v>
      </c>
      <c r="U59" s="1"/>
      <c r="V59" s="5">
        <f t="shared" ref="V59:V71" si="47">IF(T$12=0,0,T59/T$12)</f>
        <v>6.584176696746614E-9</v>
      </c>
      <c r="W59" s="1"/>
      <c r="X59" s="1">
        <f t="shared" ref="X59:X71" si="48">+P59-T59</f>
        <v>-0.09</v>
      </c>
      <c r="Y59" s="1"/>
      <c r="Z59" s="5">
        <f t="shared" ref="Z59:Z71" si="49">IF(T59=0,0,X59/T59)</f>
        <v>-1</v>
      </c>
    </row>
    <row r="60" spans="1:26" s="23" customFormat="1" hidden="1" outlineLevel="2" x14ac:dyDescent="0.25">
      <c r="A60" s="27"/>
      <c r="B60" s="10" t="str">
        <f>CONCATENATE("          ", "6382", " - ", "DISCOUNTS/MARK DOWNS")</f>
        <v xml:space="preserve">          6382 - DISCOUNTS/MARK DOWNS</v>
      </c>
      <c r="C60" s="10"/>
      <c r="D60" s="6"/>
      <c r="E60" s="2"/>
      <c r="F60" s="7">
        <f t="shared" si="42"/>
        <v>0</v>
      </c>
      <c r="G60" s="2"/>
      <c r="H60" s="6"/>
      <c r="I60" s="2"/>
      <c r="J60" s="7">
        <f t="shared" si="43"/>
        <v>0</v>
      </c>
      <c r="K60" s="2"/>
      <c r="L60" s="6">
        <f t="shared" si="44"/>
        <v>0</v>
      </c>
      <c r="M60" s="2"/>
      <c r="N60" s="7">
        <f t="shared" si="45"/>
        <v>0</v>
      </c>
      <c r="O60" s="10"/>
      <c r="P60" s="6"/>
      <c r="Q60" s="2"/>
      <c r="R60" s="7">
        <f t="shared" si="46"/>
        <v>0</v>
      </c>
      <c r="S60" s="2"/>
      <c r="T60" s="6">
        <v>0.09</v>
      </c>
      <c r="U60" s="2"/>
      <c r="V60" s="7">
        <f t="shared" si="47"/>
        <v>6.584176696746614E-9</v>
      </c>
      <c r="W60" s="2"/>
      <c r="X60" s="6">
        <f t="shared" si="48"/>
        <v>-0.09</v>
      </c>
      <c r="Y60" s="2"/>
      <c r="Z60" s="7">
        <f t="shared" si="49"/>
        <v>-1</v>
      </c>
    </row>
    <row r="61" spans="1:26" s="26" customFormat="1" outlineLevel="1" collapsed="1" x14ac:dyDescent="0.25">
      <c r="A61" s="25"/>
      <c r="B61" s="12" t="str">
        <f>CONCATENATE("     ","Donations                                         ")</f>
        <v xml:space="preserve">     Donations                                         </v>
      </c>
      <c r="C61" s="12"/>
      <c r="D61" s="1">
        <f>SUM(OSRRefD22_7x_0)</f>
        <v>7325.88</v>
      </c>
      <c r="E61" s="1"/>
      <c r="F61" s="5">
        <f t="shared" si="42"/>
        <v>4.487434243249136E-2</v>
      </c>
      <c r="G61" s="1"/>
      <c r="H61" s="1">
        <f>SUM(OSRRefH22_7x_0)</f>
        <v>0</v>
      </c>
      <c r="I61" s="1"/>
      <c r="J61" s="5">
        <f t="shared" si="43"/>
        <v>0</v>
      </c>
      <c r="K61" s="1"/>
      <c r="L61" s="1">
        <f t="shared" si="44"/>
        <v>7325.88</v>
      </c>
      <c r="M61" s="1"/>
      <c r="N61" s="5">
        <f t="shared" si="45"/>
        <v>0</v>
      </c>
      <c r="O61" s="12"/>
      <c r="P61" s="1">
        <f>SUM(OSRRefP22_7x_0)</f>
        <v>58305.64</v>
      </c>
      <c r="Q61" s="1"/>
      <c r="R61" s="5">
        <f t="shared" si="46"/>
        <v>4.1707176118540676E-2</v>
      </c>
      <c r="S61" s="1"/>
      <c r="T61" s="1">
        <f>SUM(OSRRefT22_7x_0)</f>
        <v>120380.53</v>
      </c>
      <c r="U61" s="1"/>
      <c r="V61" s="5">
        <f t="shared" si="47"/>
        <v>8.8067408929778518E-3</v>
      </c>
      <c r="W61" s="1"/>
      <c r="X61" s="1">
        <f t="shared" si="48"/>
        <v>-62074.89</v>
      </c>
      <c r="Y61" s="1"/>
      <c r="Z61" s="5">
        <f t="shared" si="49"/>
        <v>-0.51565556323767636</v>
      </c>
    </row>
    <row r="62" spans="1:26" s="23" customFormat="1" hidden="1" outlineLevel="2" x14ac:dyDescent="0.25">
      <c r="A62" s="27"/>
      <c r="B62" s="10" t="str">
        <f>CONCATENATE("          ", "6399", " - ", "DONATION-ON CAMPUS")</f>
        <v xml:space="preserve">          6399 - DONATION-ON CAMPUS</v>
      </c>
      <c r="C62" s="10"/>
      <c r="D62" s="6">
        <v>7325.88</v>
      </c>
      <c r="E62" s="2"/>
      <c r="F62" s="7">
        <f t="shared" si="42"/>
        <v>4.487434243249136E-2</v>
      </c>
      <c r="G62" s="2"/>
      <c r="H62" s="6"/>
      <c r="I62" s="2"/>
      <c r="J62" s="7">
        <f t="shared" si="43"/>
        <v>0</v>
      </c>
      <c r="K62" s="2"/>
      <c r="L62" s="6">
        <f t="shared" si="44"/>
        <v>7325.88</v>
      </c>
      <c r="M62" s="2"/>
      <c r="N62" s="7">
        <f t="shared" si="45"/>
        <v>0</v>
      </c>
      <c r="O62" s="10"/>
      <c r="P62" s="6">
        <v>58305.64</v>
      </c>
      <c r="Q62" s="2"/>
      <c r="R62" s="7">
        <f t="shared" si="46"/>
        <v>4.1707176118540676E-2</v>
      </c>
      <c r="S62" s="2"/>
      <c r="T62" s="6">
        <v>120380.53</v>
      </c>
      <c r="U62" s="2"/>
      <c r="V62" s="7">
        <f t="shared" si="47"/>
        <v>8.8067408929778518E-3</v>
      </c>
      <c r="W62" s="2"/>
      <c r="X62" s="6">
        <f t="shared" si="48"/>
        <v>-62074.89</v>
      </c>
      <c r="Y62" s="2"/>
      <c r="Z62" s="7">
        <f t="shared" si="49"/>
        <v>-0.51565556323767636</v>
      </c>
    </row>
    <row r="63" spans="1:26" s="26" customFormat="1" outlineLevel="1" collapsed="1" x14ac:dyDescent="0.25">
      <c r="A63" s="25"/>
      <c r="B63" s="12" t="str">
        <f>CONCATENATE("     ","Employees' Appreciation                           ")</f>
        <v xml:space="preserve">     Employees' Appreciation                           </v>
      </c>
      <c r="C63" s="12"/>
      <c r="D63" s="1">
        <f>SUM(OSRRefD22_8x_0)</f>
        <v>0</v>
      </c>
      <c r="E63" s="1"/>
      <c r="F63" s="5">
        <f t="shared" si="42"/>
        <v>0</v>
      </c>
      <c r="G63" s="1"/>
      <c r="H63" s="1">
        <f>SUM(OSRRefH22_8x_0)</f>
        <v>0</v>
      </c>
      <c r="I63" s="1"/>
      <c r="J63" s="5">
        <f t="shared" si="43"/>
        <v>0</v>
      </c>
      <c r="K63" s="1"/>
      <c r="L63" s="1">
        <f t="shared" si="44"/>
        <v>0</v>
      </c>
      <c r="M63" s="1"/>
      <c r="N63" s="5">
        <f t="shared" si="45"/>
        <v>0</v>
      </c>
      <c r="O63" s="12"/>
      <c r="P63" s="1">
        <f>SUM(OSRRefP22_8x_0)</f>
        <v>10</v>
      </c>
      <c r="Q63" s="1"/>
      <c r="R63" s="5">
        <f t="shared" si="46"/>
        <v>7.1531975497637407E-6</v>
      </c>
      <c r="S63" s="1"/>
      <c r="T63" s="1">
        <f>SUM(OSRRefT22_8x_0)</f>
        <v>3471.24</v>
      </c>
      <c r="U63" s="1"/>
      <c r="V63" s="5">
        <f t="shared" si="47"/>
        <v>2.5394730574238575E-4</v>
      </c>
      <c r="W63" s="1"/>
      <c r="X63" s="1">
        <f t="shared" si="48"/>
        <v>-3461.24</v>
      </c>
      <c r="Y63" s="1"/>
      <c r="Z63" s="5">
        <f t="shared" si="49"/>
        <v>-0.99711918507507402</v>
      </c>
    </row>
    <row r="64" spans="1:26" s="23" customFormat="1" hidden="1" outlineLevel="2" x14ac:dyDescent="0.25">
      <c r="A64" s="27"/>
      <c r="B64" s="10" t="str">
        <f>CONCATENATE("          ", "6277", " - ", "EMPLOYEE APPRECIATION")</f>
        <v xml:space="preserve">          6277 - EMPLOYEE APPRECIATION</v>
      </c>
      <c r="C64" s="10"/>
      <c r="D64" s="6"/>
      <c r="E64" s="2"/>
      <c r="F64" s="7">
        <f t="shared" si="42"/>
        <v>0</v>
      </c>
      <c r="G64" s="2"/>
      <c r="H64" s="6"/>
      <c r="I64" s="2"/>
      <c r="J64" s="7">
        <f t="shared" si="43"/>
        <v>0</v>
      </c>
      <c r="K64" s="2"/>
      <c r="L64" s="6">
        <f t="shared" si="44"/>
        <v>0</v>
      </c>
      <c r="M64" s="2"/>
      <c r="N64" s="7">
        <f t="shared" si="45"/>
        <v>0</v>
      </c>
      <c r="O64" s="10"/>
      <c r="P64" s="6">
        <v>10</v>
      </c>
      <c r="Q64" s="2"/>
      <c r="R64" s="7">
        <f t="shared" si="46"/>
        <v>7.1531975497637407E-6</v>
      </c>
      <c r="S64" s="2"/>
      <c r="T64" s="6">
        <v>3471.24</v>
      </c>
      <c r="U64" s="2"/>
      <c r="V64" s="7">
        <f t="shared" si="47"/>
        <v>2.5394730574238575E-4</v>
      </c>
      <c r="W64" s="2"/>
      <c r="X64" s="6">
        <f t="shared" si="48"/>
        <v>-3461.24</v>
      </c>
      <c r="Y64" s="2"/>
      <c r="Z64" s="7">
        <f t="shared" si="49"/>
        <v>-0.99711918507507402</v>
      </c>
    </row>
    <row r="65" spans="1:26" s="26" customFormat="1" outlineLevel="1" collapsed="1" x14ac:dyDescent="0.25">
      <c r="A65" s="25"/>
      <c r="B65" s="12" t="str">
        <f>CONCATENATE("     ","Equipment Rental                                  ")</f>
        <v xml:space="preserve">     Equipment Rental                                  </v>
      </c>
      <c r="C65" s="12"/>
      <c r="D65" s="1">
        <f>SUM(OSRRefD22_9x_0)</f>
        <v>1490.85</v>
      </c>
      <c r="E65" s="1"/>
      <c r="F65" s="5">
        <f t="shared" si="42"/>
        <v>9.1321333976914359E-3</v>
      </c>
      <c r="G65" s="1"/>
      <c r="H65" s="1">
        <f>SUM(OSRRefH22_9x_0)</f>
        <v>1347.79</v>
      </c>
      <c r="I65" s="1"/>
      <c r="J65" s="5">
        <f t="shared" si="43"/>
        <v>0.30992940418975784</v>
      </c>
      <c r="K65" s="1"/>
      <c r="L65" s="1">
        <f t="shared" si="44"/>
        <v>143.05999999999995</v>
      </c>
      <c r="M65" s="1"/>
      <c r="N65" s="5">
        <f t="shared" si="45"/>
        <v>0.10614413224612139</v>
      </c>
      <c r="O65" s="12"/>
      <c r="P65" s="1">
        <f>SUM(OSRRefP22_9x_0)</f>
        <v>10929</v>
      </c>
      <c r="Q65" s="1"/>
      <c r="R65" s="5">
        <f t="shared" si="46"/>
        <v>7.8177296021367925E-3</v>
      </c>
      <c r="S65" s="1"/>
      <c r="T65" s="1">
        <f>SUM(OSRRefT22_9x_0)</f>
        <v>29955.32</v>
      </c>
      <c r="U65" s="1"/>
      <c r="V65" s="5">
        <f t="shared" si="47"/>
        <v>2.1914568876398644E-3</v>
      </c>
      <c r="W65" s="1"/>
      <c r="X65" s="1">
        <f t="shared" si="48"/>
        <v>-19026.32</v>
      </c>
      <c r="Y65" s="1"/>
      <c r="Z65" s="5">
        <f t="shared" si="49"/>
        <v>-0.63515662660255345</v>
      </c>
    </row>
    <row r="66" spans="1:26" s="23" customFormat="1" hidden="1" outlineLevel="2" x14ac:dyDescent="0.25">
      <c r="A66" s="27"/>
      <c r="B66" s="10" t="str">
        <f>CONCATENATE("          ", "6351", " - ", "EQUIPMENT RENTAL")</f>
        <v xml:space="preserve">          6351 - EQUIPMENT RENTAL</v>
      </c>
      <c r="C66" s="10"/>
      <c r="D66" s="6">
        <v>1490.85</v>
      </c>
      <c r="E66" s="2"/>
      <c r="F66" s="7">
        <f t="shared" si="42"/>
        <v>9.1321333976914359E-3</v>
      </c>
      <c r="G66" s="2"/>
      <c r="H66" s="6">
        <v>1347.79</v>
      </c>
      <c r="I66" s="2"/>
      <c r="J66" s="7">
        <f t="shared" si="43"/>
        <v>0.30992940418975784</v>
      </c>
      <c r="K66" s="2"/>
      <c r="L66" s="6">
        <f t="shared" si="44"/>
        <v>143.05999999999995</v>
      </c>
      <c r="M66" s="2"/>
      <c r="N66" s="7">
        <f t="shared" si="45"/>
        <v>0.10614413224612139</v>
      </c>
      <c r="O66" s="10"/>
      <c r="P66" s="6">
        <v>10929</v>
      </c>
      <c r="Q66" s="2"/>
      <c r="R66" s="7">
        <f t="shared" si="46"/>
        <v>7.8177296021367925E-3</v>
      </c>
      <c r="S66" s="2"/>
      <c r="T66" s="6">
        <v>29955.32</v>
      </c>
      <c r="U66" s="2"/>
      <c r="V66" s="7">
        <f t="shared" si="47"/>
        <v>2.1914568876398644E-3</v>
      </c>
      <c r="W66" s="2"/>
      <c r="X66" s="6">
        <f t="shared" si="48"/>
        <v>-19026.32</v>
      </c>
      <c r="Y66" s="2"/>
      <c r="Z66" s="7">
        <f t="shared" si="49"/>
        <v>-0.63515662660255345</v>
      </c>
    </row>
    <row r="67" spans="1:26" s="26" customFormat="1" outlineLevel="1" collapsed="1" x14ac:dyDescent="0.25">
      <c r="A67" s="25"/>
      <c r="B67" s="12" t="str">
        <f>CONCATENATE("     ","Freight out/Postage                               ")</f>
        <v xml:space="preserve">     Freight out/Postage                               </v>
      </c>
      <c r="C67" s="12"/>
      <c r="D67" s="1">
        <f>SUM(OSRRefD22_10x_0)</f>
        <v>2.96</v>
      </c>
      <c r="E67" s="1"/>
      <c r="F67" s="5">
        <f t="shared" si="42"/>
        <v>1.8131344439190162E-5</v>
      </c>
      <c r="G67" s="1"/>
      <c r="H67" s="1">
        <f>SUM(OSRRefH22_10x_0)</f>
        <v>0</v>
      </c>
      <c r="I67" s="1"/>
      <c r="J67" s="5">
        <f t="shared" si="43"/>
        <v>0</v>
      </c>
      <c r="K67" s="1"/>
      <c r="L67" s="1">
        <f t="shared" si="44"/>
        <v>2.96</v>
      </c>
      <c r="M67" s="1"/>
      <c r="N67" s="5">
        <f t="shared" si="45"/>
        <v>0</v>
      </c>
      <c r="O67" s="12"/>
      <c r="P67" s="1">
        <f>SUM(OSRRefP22_10x_0)</f>
        <v>-2.4500000000000002</v>
      </c>
      <c r="Q67" s="1"/>
      <c r="R67" s="5">
        <f t="shared" si="46"/>
        <v>-1.7525333996921166E-6</v>
      </c>
      <c r="S67" s="1"/>
      <c r="T67" s="1">
        <f>SUM(OSRRefT22_10x_0)</f>
        <v>0</v>
      </c>
      <c r="U67" s="1"/>
      <c r="V67" s="5">
        <f t="shared" si="47"/>
        <v>0</v>
      </c>
      <c r="W67" s="1"/>
      <c r="X67" s="1">
        <f t="shared" si="48"/>
        <v>-2.4500000000000002</v>
      </c>
      <c r="Y67" s="1"/>
      <c r="Z67" s="5">
        <f t="shared" si="49"/>
        <v>0</v>
      </c>
    </row>
    <row r="68" spans="1:26" s="23" customFormat="1" hidden="1" outlineLevel="2" x14ac:dyDescent="0.25">
      <c r="A68" s="27"/>
      <c r="B68" s="10" t="str">
        <f>CONCATENATE("          ", "6307", " - ", "POSTAGE")</f>
        <v xml:space="preserve">          6307 - POSTAGE</v>
      </c>
      <c r="C68" s="10"/>
      <c r="D68" s="6">
        <v>2.96</v>
      </c>
      <c r="E68" s="2"/>
      <c r="F68" s="7">
        <f t="shared" si="42"/>
        <v>1.8131344439190162E-5</v>
      </c>
      <c r="G68" s="2"/>
      <c r="H68" s="6"/>
      <c r="I68" s="2"/>
      <c r="J68" s="7">
        <f t="shared" si="43"/>
        <v>0</v>
      </c>
      <c r="K68" s="2"/>
      <c r="L68" s="6">
        <f t="shared" si="44"/>
        <v>2.96</v>
      </c>
      <c r="M68" s="2"/>
      <c r="N68" s="7">
        <f t="shared" si="45"/>
        <v>0</v>
      </c>
      <c r="O68" s="10"/>
      <c r="P68" s="6">
        <v>-2.4500000000000002</v>
      </c>
      <c r="Q68" s="2"/>
      <c r="R68" s="7">
        <f t="shared" si="46"/>
        <v>-1.7525333996921166E-6</v>
      </c>
      <c r="S68" s="2"/>
      <c r="T68" s="6"/>
      <c r="U68" s="2"/>
      <c r="V68" s="7">
        <f t="shared" si="47"/>
        <v>0</v>
      </c>
      <c r="W68" s="2"/>
      <c r="X68" s="6">
        <f t="shared" si="48"/>
        <v>-2.4500000000000002</v>
      </c>
      <c r="Y68" s="2"/>
      <c r="Z68" s="7">
        <f t="shared" si="49"/>
        <v>0</v>
      </c>
    </row>
    <row r="69" spans="1:26" s="26" customFormat="1" outlineLevel="1" collapsed="1" x14ac:dyDescent="0.25">
      <c r="A69" s="25"/>
      <c r="B69" s="12" t="str">
        <f>CONCATENATE("     ","General                                           ")</f>
        <v xml:space="preserve">     General                                           </v>
      </c>
      <c r="C69" s="12"/>
      <c r="D69" s="1">
        <f>SUM(OSRRefD22_11x_0)</f>
        <v>224</v>
      </c>
      <c r="E69" s="1"/>
      <c r="F69" s="5">
        <f t="shared" si="42"/>
        <v>1.3721017413441203E-3</v>
      </c>
      <c r="G69" s="1"/>
      <c r="H69" s="1">
        <f>SUM(OSRRefH22_11x_0)</f>
        <v>606.42999999999995</v>
      </c>
      <c r="I69" s="1"/>
      <c r="J69" s="5">
        <f t="shared" si="43"/>
        <v>0.1394508703750546</v>
      </c>
      <c r="K69" s="1"/>
      <c r="L69" s="1">
        <f t="shared" si="44"/>
        <v>-382.42999999999995</v>
      </c>
      <c r="M69" s="1"/>
      <c r="N69" s="5">
        <f t="shared" si="45"/>
        <v>-0.63062513398083864</v>
      </c>
      <c r="O69" s="12"/>
      <c r="P69" s="1">
        <f>SUM(OSRRefP22_11x_0)</f>
        <v>15244.23</v>
      </c>
      <c r="Q69" s="1"/>
      <c r="R69" s="5">
        <f t="shared" si="46"/>
        <v>1.090449886840349E-2</v>
      </c>
      <c r="S69" s="1"/>
      <c r="T69" s="1">
        <f>SUM(OSRRefT22_11x_0)</f>
        <v>93801.46</v>
      </c>
      <c r="U69" s="1"/>
      <c r="V69" s="5">
        <f t="shared" si="47"/>
        <v>6.8622820783645526E-3</v>
      </c>
      <c r="W69" s="1"/>
      <c r="X69" s="1">
        <f t="shared" si="48"/>
        <v>-78557.23000000001</v>
      </c>
      <c r="Y69" s="1"/>
      <c r="Z69" s="5">
        <f t="shared" si="49"/>
        <v>-0.83748408606859648</v>
      </c>
    </row>
    <row r="70" spans="1:26" s="23" customFormat="1" hidden="1" outlineLevel="2" x14ac:dyDescent="0.25">
      <c r="A70" s="27"/>
      <c r="B70" s="10" t="str">
        <f>CONCATENATE("          ", "6269", " - ", "ENTERTAINMENT")</f>
        <v xml:space="preserve">          6269 - ENTERTAINMENT</v>
      </c>
      <c r="C70" s="10"/>
      <c r="D70" s="6"/>
      <c r="E70" s="2"/>
      <c r="F70" s="7">
        <f t="shared" si="42"/>
        <v>0</v>
      </c>
      <c r="G70" s="2"/>
      <c r="H70" s="6"/>
      <c r="I70" s="2"/>
      <c r="J70" s="7">
        <f t="shared" si="43"/>
        <v>0</v>
      </c>
      <c r="K70" s="2"/>
      <c r="L70" s="6">
        <f t="shared" si="44"/>
        <v>0</v>
      </c>
      <c r="M70" s="2"/>
      <c r="N70" s="7">
        <f t="shared" si="45"/>
        <v>0</v>
      </c>
      <c r="O70" s="10"/>
      <c r="P70" s="6"/>
      <c r="Q70" s="2"/>
      <c r="R70" s="7">
        <f t="shared" si="46"/>
        <v>0</v>
      </c>
      <c r="S70" s="2"/>
      <c r="T70" s="6">
        <v>10050</v>
      </c>
      <c r="U70" s="2"/>
      <c r="V70" s="7">
        <f t="shared" si="47"/>
        <v>7.3523306447003864E-4</v>
      </c>
      <c r="W70" s="2"/>
      <c r="X70" s="6">
        <f t="shared" si="48"/>
        <v>-10050</v>
      </c>
      <c r="Y70" s="2"/>
      <c r="Z70" s="7">
        <f t="shared" si="49"/>
        <v>-1</v>
      </c>
    </row>
    <row r="71" spans="1:26" s="23" customFormat="1" hidden="1" outlineLevel="2" x14ac:dyDescent="0.25">
      <c r="A71" s="27"/>
      <c r="B71" s="10" t="str">
        <f>CONCATENATE("          ", "6279", " - ", "GENERAL EXPENSE")</f>
        <v xml:space="preserve">          6279 - GENERAL EXPENSE</v>
      </c>
      <c r="C71" s="10"/>
      <c r="D71" s="6">
        <v>224</v>
      </c>
      <c r="E71" s="2"/>
      <c r="F71" s="7">
        <f t="shared" si="42"/>
        <v>1.3721017413441203E-3</v>
      </c>
      <c r="G71" s="2"/>
      <c r="H71" s="6">
        <v>606.42999999999995</v>
      </c>
      <c r="I71" s="2"/>
      <c r="J71" s="7">
        <f t="shared" si="43"/>
        <v>0.1394508703750546</v>
      </c>
      <c r="K71" s="2"/>
      <c r="L71" s="6">
        <f t="shared" si="44"/>
        <v>-382.42999999999995</v>
      </c>
      <c r="M71" s="2"/>
      <c r="N71" s="7">
        <f t="shared" si="45"/>
        <v>-0.63062513398083864</v>
      </c>
      <c r="O71" s="10"/>
      <c r="P71" s="6">
        <v>15244.23</v>
      </c>
      <c r="Q71" s="2"/>
      <c r="R71" s="7">
        <f t="shared" si="46"/>
        <v>1.090449886840349E-2</v>
      </c>
      <c r="S71" s="2"/>
      <c r="T71" s="6">
        <v>83751.460000000006</v>
      </c>
      <c r="U71" s="2"/>
      <c r="V71" s="7">
        <f t="shared" si="47"/>
        <v>6.1270490138945139E-3</v>
      </c>
      <c r="W71" s="2"/>
      <c r="X71" s="6">
        <f t="shared" si="48"/>
        <v>-68507.23000000001</v>
      </c>
      <c r="Y71" s="2"/>
      <c r="Z71" s="7">
        <f t="shared" si="49"/>
        <v>-0.81798251636449093</v>
      </c>
    </row>
    <row r="72" spans="1:26" s="26" customFormat="1" outlineLevel="1" collapsed="1" x14ac:dyDescent="0.25">
      <c r="A72" s="25"/>
      <c r="B72" s="12" t="str">
        <f>CONCATENATE("     ","Insurance                                         ")</f>
        <v xml:space="preserve">     Insurance                                         </v>
      </c>
      <c r="C72" s="12"/>
      <c r="D72" s="1">
        <f>SUM(OSRRefD22_12x_0)</f>
        <v>4246.03</v>
      </c>
      <c r="E72" s="1"/>
      <c r="F72" s="5">
        <f t="shared" ref="F72:F86" si="50">IF(D$12=0,0,D72/D$12)</f>
        <v>2.6008862307140067E-2</v>
      </c>
      <c r="G72" s="1"/>
      <c r="H72" s="1">
        <f>SUM(OSRRefH22_12x_0)</f>
        <v>4246.03</v>
      </c>
      <c r="I72" s="1"/>
      <c r="J72" s="5">
        <f t="shared" ref="J72:J86" si="51">IF(H$12=0,0,H72/H$12)</f>
        <v>0.97639064548025845</v>
      </c>
      <c r="K72" s="1"/>
      <c r="L72" s="1">
        <f t="shared" ref="L72:L86" si="52">+D72-H72</f>
        <v>0</v>
      </c>
      <c r="M72" s="1"/>
      <c r="N72" s="5">
        <f t="shared" ref="N72:N86" si="53">IF(H72=0,0,L72/H72)</f>
        <v>0</v>
      </c>
      <c r="O72" s="12"/>
      <c r="P72" s="1">
        <f>SUM(OSRRefP22_12x_0)</f>
        <v>48572.3</v>
      </c>
      <c r="Q72" s="1"/>
      <c r="R72" s="5">
        <f t="shared" ref="R72:R86" si="54">IF(P$12=0,0,P72/P$12)</f>
        <v>3.4744725734638937E-2</v>
      </c>
      <c r="S72" s="1"/>
      <c r="T72" s="1">
        <f>SUM(OSRRefT22_12x_0)</f>
        <v>48221.3</v>
      </c>
      <c r="U72" s="1"/>
      <c r="V72" s="5">
        <f t="shared" ref="V72:V86" si="55">IF(T$12=0,0,T72/T$12)</f>
        <v>3.5277506638536392E-3</v>
      </c>
      <c r="W72" s="1"/>
      <c r="X72" s="1">
        <f t="shared" ref="X72:X86" si="56">+P72-T72</f>
        <v>351</v>
      </c>
      <c r="Y72" s="1"/>
      <c r="Z72" s="5">
        <f t="shared" ref="Z72:Z86" si="57">IF(T72=0,0,X72/T72)</f>
        <v>7.2789410488725932E-3</v>
      </c>
    </row>
    <row r="73" spans="1:26" s="23" customFormat="1" hidden="1" outlineLevel="2" x14ac:dyDescent="0.25">
      <c r="A73" s="27"/>
      <c r="B73" s="10" t="str">
        <f>CONCATENATE("          ", "6314", " - ", "LIABILITY INSURANCE")</f>
        <v xml:space="preserve">          6314 - LIABILITY INSURANCE</v>
      </c>
      <c r="C73" s="10"/>
      <c r="D73" s="6">
        <v>4246.03</v>
      </c>
      <c r="E73" s="2"/>
      <c r="F73" s="7">
        <f t="shared" si="50"/>
        <v>2.6008862307140067E-2</v>
      </c>
      <c r="G73" s="2"/>
      <c r="H73" s="6">
        <v>4246.03</v>
      </c>
      <c r="I73" s="2"/>
      <c r="J73" s="7">
        <f t="shared" si="51"/>
        <v>0.97639064548025845</v>
      </c>
      <c r="K73" s="2"/>
      <c r="L73" s="6">
        <f t="shared" si="52"/>
        <v>0</v>
      </c>
      <c r="M73" s="2"/>
      <c r="N73" s="7">
        <f t="shared" si="53"/>
        <v>0</v>
      </c>
      <c r="O73" s="10"/>
      <c r="P73" s="6">
        <v>48572.3</v>
      </c>
      <c r="Q73" s="2"/>
      <c r="R73" s="7">
        <f t="shared" si="54"/>
        <v>3.4744725734638937E-2</v>
      </c>
      <c r="S73" s="2"/>
      <c r="T73" s="6">
        <v>48221.3</v>
      </c>
      <c r="U73" s="2"/>
      <c r="V73" s="7">
        <f t="shared" si="55"/>
        <v>3.5277506638536392E-3</v>
      </c>
      <c r="W73" s="2"/>
      <c r="X73" s="6">
        <f t="shared" si="56"/>
        <v>351</v>
      </c>
      <c r="Y73" s="2"/>
      <c r="Z73" s="7">
        <f t="shared" si="57"/>
        <v>7.2789410488725932E-3</v>
      </c>
    </row>
    <row r="74" spans="1:26" s="26" customFormat="1" outlineLevel="1" collapsed="1" x14ac:dyDescent="0.25">
      <c r="A74" s="25"/>
      <c r="B74" s="12" t="str">
        <f>CONCATENATE("     ","Interest                                          ")</f>
        <v xml:space="preserve">     Interest                                          </v>
      </c>
      <c r="C74" s="12"/>
      <c r="D74" s="1">
        <f>SUM(OSRRefD22_13x_0)</f>
        <v>5967</v>
      </c>
      <c r="E74" s="1"/>
      <c r="F74" s="5">
        <f t="shared" si="50"/>
        <v>3.6550585225894494E-2</v>
      </c>
      <c r="G74" s="1"/>
      <c r="H74" s="1">
        <f>SUM(OSRRefH22_13x_0)</f>
        <v>5803.23</v>
      </c>
      <c r="I74" s="1"/>
      <c r="J74" s="5">
        <f t="shared" si="51"/>
        <v>1.3344746705912112</v>
      </c>
      <c r="K74" s="1"/>
      <c r="L74" s="1">
        <f t="shared" si="52"/>
        <v>163.77000000000044</v>
      </c>
      <c r="M74" s="1"/>
      <c r="N74" s="5">
        <f t="shared" si="53"/>
        <v>2.8220491002424589E-2</v>
      </c>
      <c r="O74" s="12"/>
      <c r="P74" s="1">
        <f>SUM(OSRRefP22_13x_0)</f>
        <v>73070.149999999994</v>
      </c>
      <c r="Q74" s="1"/>
      <c r="R74" s="5">
        <f t="shared" si="54"/>
        <v>5.2268521794086892E-2</v>
      </c>
      <c r="S74" s="1"/>
      <c r="T74" s="1">
        <f>SUM(OSRRefT22_13x_0)</f>
        <v>75196.28</v>
      </c>
      <c r="U74" s="1"/>
      <c r="V74" s="5">
        <f t="shared" si="55"/>
        <v>5.5011732717559275E-3</v>
      </c>
      <c r="W74" s="1"/>
      <c r="X74" s="1">
        <f t="shared" si="56"/>
        <v>-2126.1300000000047</v>
      </c>
      <c r="Y74" s="1"/>
      <c r="Z74" s="5">
        <f t="shared" si="57"/>
        <v>-2.827440399977239E-2</v>
      </c>
    </row>
    <row r="75" spans="1:26" s="23" customFormat="1" hidden="1" outlineLevel="2" x14ac:dyDescent="0.25">
      <c r="A75" s="27"/>
      <c r="B75" s="10" t="str">
        <f>CONCATENATE("          ", "6401", " - ", "INTEREST EXPENSE")</f>
        <v xml:space="preserve">          6401 - INTEREST EXPENSE</v>
      </c>
      <c r="C75" s="10"/>
      <c r="D75" s="6">
        <v>5967</v>
      </c>
      <c r="E75" s="2"/>
      <c r="F75" s="7">
        <f t="shared" si="50"/>
        <v>3.6550585225894494E-2</v>
      </c>
      <c r="G75" s="2"/>
      <c r="H75" s="6">
        <v>5803.23</v>
      </c>
      <c r="I75" s="2"/>
      <c r="J75" s="7">
        <f t="shared" si="51"/>
        <v>1.3344746705912112</v>
      </c>
      <c r="K75" s="2"/>
      <c r="L75" s="6">
        <f t="shared" si="52"/>
        <v>163.77000000000044</v>
      </c>
      <c r="M75" s="2"/>
      <c r="N75" s="7">
        <f t="shared" si="53"/>
        <v>2.8220491002424589E-2</v>
      </c>
      <c r="O75" s="10"/>
      <c r="P75" s="6">
        <v>73070.149999999994</v>
      </c>
      <c r="Q75" s="2"/>
      <c r="R75" s="7">
        <f t="shared" si="54"/>
        <v>5.2268521794086892E-2</v>
      </c>
      <c r="S75" s="2"/>
      <c r="T75" s="6">
        <v>75196.28</v>
      </c>
      <c r="U75" s="2"/>
      <c r="V75" s="7">
        <f t="shared" si="55"/>
        <v>5.5011732717559275E-3</v>
      </c>
      <c r="W75" s="2"/>
      <c r="X75" s="6">
        <f t="shared" si="56"/>
        <v>-2126.1300000000047</v>
      </c>
      <c r="Y75" s="2"/>
      <c r="Z75" s="7">
        <f t="shared" si="57"/>
        <v>-2.827440399977239E-2</v>
      </c>
    </row>
    <row r="76" spans="1:26" s="26" customFormat="1" outlineLevel="1" collapsed="1" x14ac:dyDescent="0.25">
      <c r="A76" s="25"/>
      <c r="B76" s="12" t="str">
        <f>CONCATENATE("     ","Professional Services                             ")</f>
        <v xml:space="preserve">     Professional Services                             </v>
      </c>
      <c r="C76" s="12"/>
      <c r="D76" s="1">
        <f>SUM(OSRRefD22_14x_0)</f>
        <v>0</v>
      </c>
      <c r="E76" s="1"/>
      <c r="F76" s="5">
        <f t="shared" si="50"/>
        <v>0</v>
      </c>
      <c r="G76" s="1"/>
      <c r="H76" s="1">
        <f>SUM(OSRRefH22_14x_0)</f>
        <v>0</v>
      </c>
      <c r="I76" s="1"/>
      <c r="J76" s="5">
        <f t="shared" si="51"/>
        <v>0</v>
      </c>
      <c r="K76" s="1"/>
      <c r="L76" s="1">
        <f t="shared" si="52"/>
        <v>0</v>
      </c>
      <c r="M76" s="1"/>
      <c r="N76" s="5">
        <f t="shared" si="53"/>
        <v>0</v>
      </c>
      <c r="O76" s="12"/>
      <c r="P76" s="1">
        <f>SUM(OSRRefP22_14x_0)</f>
        <v>0</v>
      </c>
      <c r="Q76" s="1"/>
      <c r="R76" s="5">
        <f t="shared" si="54"/>
        <v>0</v>
      </c>
      <c r="S76" s="1"/>
      <c r="T76" s="1">
        <f>SUM(OSRRefT22_14x_0)</f>
        <v>125</v>
      </c>
      <c r="U76" s="1"/>
      <c r="V76" s="5">
        <f t="shared" si="55"/>
        <v>9.1446898565925194E-6</v>
      </c>
      <c r="W76" s="1"/>
      <c r="X76" s="1">
        <f t="shared" si="56"/>
        <v>-125</v>
      </c>
      <c r="Y76" s="1"/>
      <c r="Z76" s="5">
        <f t="shared" si="57"/>
        <v>-1</v>
      </c>
    </row>
    <row r="77" spans="1:26" s="23" customFormat="1" hidden="1" outlineLevel="2" x14ac:dyDescent="0.25">
      <c r="A77" s="27"/>
      <c r="B77" s="10" t="str">
        <f>CONCATENATE("          ", "6336", " - ", "PROFESSIONAL SERVICES")</f>
        <v xml:space="preserve">          6336 - PROFESSIONAL SERVICES</v>
      </c>
      <c r="C77" s="10"/>
      <c r="D77" s="6"/>
      <c r="E77" s="2"/>
      <c r="F77" s="7">
        <f t="shared" si="50"/>
        <v>0</v>
      </c>
      <c r="G77" s="2"/>
      <c r="H77" s="6"/>
      <c r="I77" s="2"/>
      <c r="J77" s="7">
        <f t="shared" si="51"/>
        <v>0</v>
      </c>
      <c r="K77" s="2"/>
      <c r="L77" s="6">
        <f t="shared" si="52"/>
        <v>0</v>
      </c>
      <c r="M77" s="2"/>
      <c r="N77" s="7">
        <f t="shared" si="53"/>
        <v>0</v>
      </c>
      <c r="O77" s="10"/>
      <c r="P77" s="6"/>
      <c r="Q77" s="2"/>
      <c r="R77" s="7">
        <f t="shared" si="54"/>
        <v>0</v>
      </c>
      <c r="S77" s="2"/>
      <c r="T77" s="6">
        <v>125</v>
      </c>
      <c r="U77" s="2"/>
      <c r="V77" s="7">
        <f t="shared" si="55"/>
        <v>9.1446898565925194E-6</v>
      </c>
      <c r="W77" s="2"/>
      <c r="X77" s="6">
        <f t="shared" si="56"/>
        <v>-125</v>
      </c>
      <c r="Y77" s="2"/>
      <c r="Z77" s="7">
        <f t="shared" si="57"/>
        <v>-1</v>
      </c>
    </row>
    <row r="78" spans="1:26" s="26" customFormat="1" outlineLevel="1" collapsed="1" x14ac:dyDescent="0.25">
      <c r="A78" s="25"/>
      <c r="B78" s="12" t="str">
        <f>CONCATENATE("     ","R/H Commissions                                   ")</f>
        <v xml:space="preserve">     R/H Commissions                                   </v>
      </c>
      <c r="C78" s="12"/>
      <c r="D78" s="1">
        <f>SUM(OSRRefD22_15x_0)</f>
        <v>6627.19</v>
      </c>
      <c r="E78" s="1"/>
      <c r="F78" s="5">
        <f t="shared" si="50"/>
        <v>4.0594548835796163E-2</v>
      </c>
      <c r="G78" s="1"/>
      <c r="H78" s="1">
        <f>SUM(OSRRefH22_15x_0)</f>
        <v>3314.86</v>
      </c>
      <c r="I78" s="1"/>
      <c r="J78" s="5">
        <f t="shared" si="51"/>
        <v>0.76226458481845161</v>
      </c>
      <c r="K78" s="1"/>
      <c r="L78" s="1">
        <f t="shared" si="52"/>
        <v>3312.3299999999995</v>
      </c>
      <c r="M78" s="1"/>
      <c r="N78" s="5">
        <f t="shared" si="53"/>
        <v>0.9992367701803393</v>
      </c>
      <c r="O78" s="12"/>
      <c r="P78" s="1">
        <f>SUM(OSRRefP22_15x_0)</f>
        <v>65639.789999999994</v>
      </c>
      <c r="Q78" s="1"/>
      <c r="R78" s="5">
        <f t="shared" si="54"/>
        <v>4.6953438499500642E-2</v>
      </c>
      <c r="S78" s="1"/>
      <c r="T78" s="1">
        <f>SUM(OSRRefT22_15x_0)</f>
        <v>705863.29</v>
      </c>
      <c r="U78" s="1"/>
      <c r="V78" s="5">
        <f t="shared" si="55"/>
        <v>5.1639206945632198E-2</v>
      </c>
      <c r="W78" s="1"/>
      <c r="X78" s="1">
        <f t="shared" si="56"/>
        <v>-640223.5</v>
      </c>
      <c r="Y78" s="1"/>
      <c r="Z78" s="5">
        <f t="shared" si="57"/>
        <v>-0.90700778616777189</v>
      </c>
    </row>
    <row r="79" spans="1:26" s="23" customFormat="1" hidden="1" outlineLevel="2" x14ac:dyDescent="0.25">
      <c r="A79" s="27"/>
      <c r="B79" s="10" t="str">
        <f>CONCATENATE("          ", "6387", " - ", "COMMISSION DUE HOUSING")</f>
        <v xml:space="preserve">          6387 - COMMISSION DUE HOUSING</v>
      </c>
      <c r="C79" s="10"/>
      <c r="D79" s="6">
        <v>6627.19</v>
      </c>
      <c r="E79" s="2"/>
      <c r="F79" s="7">
        <f t="shared" si="50"/>
        <v>4.0594548835796163E-2</v>
      </c>
      <c r="G79" s="2"/>
      <c r="H79" s="6">
        <v>3314.86</v>
      </c>
      <c r="I79" s="2"/>
      <c r="J79" s="7">
        <f t="shared" si="51"/>
        <v>0.76226458481845161</v>
      </c>
      <c r="K79" s="2"/>
      <c r="L79" s="6">
        <f t="shared" si="52"/>
        <v>3312.3299999999995</v>
      </c>
      <c r="M79" s="2"/>
      <c r="N79" s="7">
        <f t="shared" si="53"/>
        <v>0.9992367701803393</v>
      </c>
      <c r="O79" s="10"/>
      <c r="P79" s="6">
        <v>65639.789999999994</v>
      </c>
      <c r="Q79" s="2"/>
      <c r="R79" s="7">
        <f t="shared" si="54"/>
        <v>4.6953438499500642E-2</v>
      </c>
      <c r="S79" s="2"/>
      <c r="T79" s="6">
        <v>705863.29</v>
      </c>
      <c r="U79" s="2"/>
      <c r="V79" s="7">
        <f t="shared" si="55"/>
        <v>5.1639206945632198E-2</v>
      </c>
      <c r="W79" s="2"/>
      <c r="X79" s="6">
        <f t="shared" si="56"/>
        <v>-640223.5</v>
      </c>
      <c r="Y79" s="2"/>
      <c r="Z79" s="7">
        <f t="shared" si="57"/>
        <v>-0.90700778616777189</v>
      </c>
    </row>
    <row r="80" spans="1:26" s="26" customFormat="1" outlineLevel="1" collapsed="1" x14ac:dyDescent="0.25">
      <c r="A80" s="25"/>
      <c r="B80" s="12" t="str">
        <f>CONCATENATE("     ","Rent                                              ")</f>
        <v xml:space="preserve">     Rent                                              </v>
      </c>
      <c r="C80" s="12"/>
      <c r="D80" s="1">
        <f>SUM(OSRRefD22_16x_0)</f>
        <v>1850</v>
      </c>
      <c r="E80" s="1"/>
      <c r="F80" s="5">
        <f t="shared" si="50"/>
        <v>1.1332090274493851E-2</v>
      </c>
      <c r="G80" s="1"/>
      <c r="H80" s="1">
        <f>SUM(OSRRefH22_16x_0)</f>
        <v>1850</v>
      </c>
      <c r="I80" s="1"/>
      <c r="J80" s="5">
        <f t="shared" si="51"/>
        <v>0.42541449168717088</v>
      </c>
      <c r="K80" s="1"/>
      <c r="L80" s="1">
        <f t="shared" si="52"/>
        <v>0</v>
      </c>
      <c r="M80" s="1"/>
      <c r="N80" s="5">
        <f t="shared" si="53"/>
        <v>0</v>
      </c>
      <c r="O80" s="12"/>
      <c r="P80" s="1">
        <f>SUM(OSRRefP22_16x_0)</f>
        <v>12950</v>
      </c>
      <c r="Q80" s="1"/>
      <c r="R80" s="5">
        <f t="shared" si="54"/>
        <v>9.2633908269440443E-3</v>
      </c>
      <c r="S80" s="1"/>
      <c r="T80" s="1">
        <f>SUM(OSRRefT22_16x_0)</f>
        <v>18500</v>
      </c>
      <c r="U80" s="1"/>
      <c r="V80" s="5">
        <f t="shared" si="55"/>
        <v>1.353414098775693E-3</v>
      </c>
      <c r="W80" s="1"/>
      <c r="X80" s="1">
        <f t="shared" si="56"/>
        <v>-5550</v>
      </c>
      <c r="Y80" s="1"/>
      <c r="Z80" s="5">
        <f t="shared" si="57"/>
        <v>-0.3</v>
      </c>
    </row>
    <row r="81" spans="1:26" s="23" customFormat="1" hidden="1" outlineLevel="2" x14ac:dyDescent="0.25">
      <c r="A81" s="27"/>
      <c r="B81" s="10" t="str">
        <f>CONCATENATE("          ", "6273", " - ", "RENT")</f>
        <v xml:space="preserve">          6273 - RENT</v>
      </c>
      <c r="C81" s="10"/>
      <c r="D81" s="6">
        <v>1850</v>
      </c>
      <c r="E81" s="2"/>
      <c r="F81" s="7">
        <f t="shared" si="50"/>
        <v>1.1332090274493851E-2</v>
      </c>
      <c r="G81" s="2"/>
      <c r="H81" s="6">
        <v>1850</v>
      </c>
      <c r="I81" s="2"/>
      <c r="J81" s="7">
        <f t="shared" si="51"/>
        <v>0.42541449168717088</v>
      </c>
      <c r="K81" s="2"/>
      <c r="L81" s="6">
        <f t="shared" si="52"/>
        <v>0</v>
      </c>
      <c r="M81" s="2"/>
      <c r="N81" s="7">
        <f t="shared" si="53"/>
        <v>0</v>
      </c>
      <c r="O81" s="10"/>
      <c r="P81" s="6">
        <v>12950</v>
      </c>
      <c r="Q81" s="2"/>
      <c r="R81" s="7">
        <f t="shared" si="54"/>
        <v>9.2633908269440443E-3</v>
      </c>
      <c r="S81" s="2"/>
      <c r="T81" s="6">
        <v>18500</v>
      </c>
      <c r="U81" s="2"/>
      <c r="V81" s="7">
        <f t="shared" si="55"/>
        <v>1.353414098775693E-3</v>
      </c>
      <c r="W81" s="2"/>
      <c r="X81" s="6">
        <f t="shared" si="56"/>
        <v>-5550</v>
      </c>
      <c r="Y81" s="2"/>
      <c r="Z81" s="7">
        <f t="shared" si="57"/>
        <v>-0.3</v>
      </c>
    </row>
    <row r="82" spans="1:26" s="26" customFormat="1" outlineLevel="1" collapsed="1" x14ac:dyDescent="0.25">
      <c r="A82" s="25"/>
      <c r="B82" s="12" t="str">
        <f>CONCATENATE("     ","Repair and Maintenance                            ")</f>
        <v xml:space="preserve">     Repair and Maintenance                            </v>
      </c>
      <c r="C82" s="12"/>
      <c r="D82" s="1">
        <f>SUM(OSRRefD22_17x_0)</f>
        <v>5613.52</v>
      </c>
      <c r="E82" s="1"/>
      <c r="F82" s="5">
        <f t="shared" si="50"/>
        <v>3.4385359674419851E-2</v>
      </c>
      <c r="G82" s="1"/>
      <c r="H82" s="1">
        <f>SUM(OSRRefH22_17x_0)</f>
        <v>16085.5</v>
      </c>
      <c r="I82" s="1"/>
      <c r="J82" s="5">
        <f t="shared" si="51"/>
        <v>3.6989215167751284</v>
      </c>
      <c r="K82" s="1"/>
      <c r="L82" s="1">
        <f t="shared" si="52"/>
        <v>-10471.98</v>
      </c>
      <c r="M82" s="1"/>
      <c r="N82" s="5">
        <f t="shared" si="53"/>
        <v>-0.65101986260918221</v>
      </c>
      <c r="O82" s="12"/>
      <c r="P82" s="1">
        <f>SUM(OSRRefP22_17x_0)</f>
        <v>66468.639999999999</v>
      </c>
      <c r="Q82" s="1"/>
      <c r="R82" s="5">
        <f t="shared" si="54"/>
        <v>4.7546331278412818E-2</v>
      </c>
      <c r="S82" s="1"/>
      <c r="T82" s="1">
        <f>SUM(OSRRefT22_17x_0)</f>
        <v>283418.13</v>
      </c>
      <c r="U82" s="1"/>
      <c r="V82" s="5">
        <f t="shared" si="55"/>
        <v>2.0734167188683362E-2</v>
      </c>
      <c r="W82" s="1"/>
      <c r="X82" s="1">
        <f t="shared" si="56"/>
        <v>-216949.49</v>
      </c>
      <c r="Y82" s="1"/>
      <c r="Z82" s="5">
        <f t="shared" si="57"/>
        <v>-0.76547498919705659</v>
      </c>
    </row>
    <row r="83" spans="1:26" s="23" customFormat="1" hidden="1" outlineLevel="2" x14ac:dyDescent="0.25">
      <c r="A83" s="27"/>
      <c r="B83" s="10" t="str">
        <f>CONCATENATE("          ", "6371", " - ", "COMPUTER SOFTWARE MAINTENANCE")</f>
        <v xml:space="preserve">          6371 - COMPUTER SOFTWARE MAINTENANCE</v>
      </c>
      <c r="C83" s="10"/>
      <c r="D83" s="6">
        <v>3500</v>
      </c>
      <c r="E83" s="2"/>
      <c r="F83" s="7">
        <f t="shared" si="50"/>
        <v>2.143908970850188E-2</v>
      </c>
      <c r="G83" s="2"/>
      <c r="H83" s="6"/>
      <c r="I83" s="2"/>
      <c r="J83" s="7">
        <f t="shared" si="51"/>
        <v>0</v>
      </c>
      <c r="K83" s="2"/>
      <c r="L83" s="6">
        <f t="shared" si="52"/>
        <v>3500</v>
      </c>
      <c r="M83" s="2"/>
      <c r="N83" s="7">
        <f t="shared" si="53"/>
        <v>0</v>
      </c>
      <c r="O83" s="10"/>
      <c r="P83" s="6">
        <v>18202.27</v>
      </c>
      <c r="Q83" s="2"/>
      <c r="R83" s="7">
        <f t="shared" si="54"/>
        <v>1.3020443316413804E-2</v>
      </c>
      <c r="S83" s="2"/>
      <c r="T83" s="6">
        <v>73995.62</v>
      </c>
      <c r="U83" s="2"/>
      <c r="V83" s="7">
        <f t="shared" si="55"/>
        <v>5.4133359651701964E-3</v>
      </c>
      <c r="W83" s="2"/>
      <c r="X83" s="6">
        <f t="shared" si="56"/>
        <v>-55793.349999999991</v>
      </c>
      <c r="Y83" s="2"/>
      <c r="Z83" s="7">
        <f t="shared" si="57"/>
        <v>-0.75400881835978928</v>
      </c>
    </row>
    <row r="84" spans="1:26" s="23" customFormat="1" hidden="1" outlineLevel="2" x14ac:dyDescent="0.25">
      <c r="A84" s="27"/>
      <c r="B84" s="10" t="str">
        <f>CONCATENATE("          ", "6372", " - ", "COMPUTER HARDWARE MAINTENANCE")</f>
        <v xml:space="preserve">          6372 - COMPUTER HARDWARE MAINTENANCE</v>
      </c>
      <c r="C84" s="10"/>
      <c r="D84" s="6"/>
      <c r="E84" s="2"/>
      <c r="F84" s="7">
        <f t="shared" si="50"/>
        <v>0</v>
      </c>
      <c r="G84" s="2"/>
      <c r="H84" s="6">
        <v>8142.88</v>
      </c>
      <c r="I84" s="2"/>
      <c r="J84" s="7">
        <f t="shared" si="51"/>
        <v>1.8724860303079083</v>
      </c>
      <c r="K84" s="2"/>
      <c r="L84" s="6">
        <f t="shared" si="52"/>
        <v>-8142.88</v>
      </c>
      <c r="M84" s="2"/>
      <c r="N84" s="7">
        <f t="shared" si="53"/>
        <v>-1</v>
      </c>
      <c r="O84" s="10"/>
      <c r="P84" s="6">
        <v>100</v>
      </c>
      <c r="Q84" s="2"/>
      <c r="R84" s="7">
        <f t="shared" si="54"/>
        <v>7.153197549763741E-5</v>
      </c>
      <c r="S84" s="2"/>
      <c r="T84" s="6">
        <v>8142.87</v>
      </c>
      <c r="U84" s="2"/>
      <c r="V84" s="7">
        <f t="shared" si="55"/>
        <v>5.9571216554041219E-4</v>
      </c>
      <c r="W84" s="2"/>
      <c r="X84" s="6">
        <f t="shared" si="56"/>
        <v>-8042.87</v>
      </c>
      <c r="Y84" s="2"/>
      <c r="Z84" s="7">
        <f t="shared" si="57"/>
        <v>-0.98771931763616516</v>
      </c>
    </row>
    <row r="85" spans="1:26" s="23" customFormat="1" hidden="1" outlineLevel="2" x14ac:dyDescent="0.25">
      <c r="A85" s="27"/>
      <c r="B85" s="10" t="str">
        <f>CONCATENATE("          ", "6373", " - ", "MAINTENANCE CONTRACTS")</f>
        <v xml:space="preserve">          6373 - MAINTENANCE CONTRACTS</v>
      </c>
      <c r="C85" s="10"/>
      <c r="D85" s="6">
        <v>12.34</v>
      </c>
      <c r="E85" s="2"/>
      <c r="F85" s="7">
        <f t="shared" si="50"/>
        <v>7.5588104857975203E-5</v>
      </c>
      <c r="G85" s="2"/>
      <c r="H85" s="6">
        <v>6801.83</v>
      </c>
      <c r="I85" s="2"/>
      <c r="J85" s="7">
        <f t="shared" si="51"/>
        <v>1.5641065145905673</v>
      </c>
      <c r="K85" s="2"/>
      <c r="L85" s="6">
        <f t="shared" si="52"/>
        <v>-6789.49</v>
      </c>
      <c r="M85" s="2"/>
      <c r="N85" s="7">
        <f t="shared" si="53"/>
        <v>-0.99818578235563071</v>
      </c>
      <c r="O85" s="10"/>
      <c r="P85" s="6">
        <v>21463.21</v>
      </c>
      <c r="Q85" s="2"/>
      <c r="R85" s="7">
        <f t="shared" si="54"/>
        <v>1.5353058118206461E-2</v>
      </c>
      <c r="S85" s="2"/>
      <c r="T85" s="6">
        <v>87178.82</v>
      </c>
      <c r="U85" s="2"/>
      <c r="V85" s="7">
        <f t="shared" si="55"/>
        <v>6.3777861677096412E-3</v>
      </c>
      <c r="W85" s="2"/>
      <c r="X85" s="6">
        <f t="shared" si="56"/>
        <v>-65715.610000000015</v>
      </c>
      <c r="Y85" s="2"/>
      <c r="Z85" s="7">
        <f t="shared" si="57"/>
        <v>-0.75380247174715154</v>
      </c>
    </row>
    <row r="86" spans="1:26" s="23" customFormat="1" hidden="1" outlineLevel="2" x14ac:dyDescent="0.25">
      <c r="A86" s="27"/>
      <c r="B86" s="10" t="str">
        <f>CONCATENATE("          ", "6375", " - ", "OUTSIDE REPAIRS &amp; MAINTENANCE")</f>
        <v xml:space="preserve">          6375 - OUTSIDE REPAIRS &amp; MAINTENANCE</v>
      </c>
      <c r="C86" s="10"/>
      <c r="D86" s="6">
        <v>2101.1799999999998</v>
      </c>
      <c r="E86" s="2"/>
      <c r="F86" s="7">
        <f t="shared" si="50"/>
        <v>1.2870681861059993E-2</v>
      </c>
      <c r="G86" s="2"/>
      <c r="H86" s="6">
        <v>1140.79</v>
      </c>
      <c r="I86" s="2"/>
      <c r="J86" s="7">
        <f t="shared" si="51"/>
        <v>0.26232897187665277</v>
      </c>
      <c r="K86" s="2"/>
      <c r="L86" s="6">
        <f t="shared" si="52"/>
        <v>960.38999999999987</v>
      </c>
      <c r="M86" s="2"/>
      <c r="N86" s="7">
        <f t="shared" si="53"/>
        <v>0.84186397145837522</v>
      </c>
      <c r="O86" s="10"/>
      <c r="P86" s="6">
        <v>26703.16</v>
      </c>
      <c r="Q86" s="2"/>
      <c r="R86" s="7">
        <f t="shared" si="54"/>
        <v>1.9101297868294911E-2</v>
      </c>
      <c r="S86" s="2"/>
      <c r="T86" s="6">
        <v>114100.82</v>
      </c>
      <c r="U86" s="2"/>
      <c r="V86" s="7">
        <f t="shared" si="55"/>
        <v>8.3473328902631122E-3</v>
      </c>
      <c r="W86" s="2"/>
      <c r="X86" s="6">
        <f t="shared" si="56"/>
        <v>-87397.66</v>
      </c>
      <c r="Y86" s="2"/>
      <c r="Z86" s="7">
        <f t="shared" si="57"/>
        <v>-0.76596872835795571</v>
      </c>
    </row>
    <row r="87" spans="1:26" s="26" customFormat="1" outlineLevel="1" collapsed="1" x14ac:dyDescent="0.25">
      <c r="A87" s="25"/>
      <c r="B87" s="12" t="str">
        <f>CONCATENATE("     ","Royalty &amp; Commissions                             ")</f>
        <v xml:space="preserve">     Royalty &amp; Commissions                             </v>
      </c>
      <c r="C87" s="12"/>
      <c r="D87" s="1">
        <f>SUM(OSRRefD22_18x_0)</f>
        <v>0</v>
      </c>
      <c r="E87" s="1"/>
      <c r="F87" s="5">
        <f t="shared" ref="F87:F89" si="58">IF(D$12=0,0,D87/D$12)</f>
        <v>0</v>
      </c>
      <c r="G87" s="1"/>
      <c r="H87" s="1">
        <f>SUM(OSRRefH22_18x_0)</f>
        <v>0</v>
      </c>
      <c r="I87" s="1"/>
      <c r="J87" s="5">
        <f t="shared" ref="J87:J89" si="59">IF(H$12=0,0,H87/H$12)</f>
        <v>0</v>
      </c>
      <c r="K87" s="1"/>
      <c r="L87" s="1">
        <f t="shared" ref="L87:L89" si="60">+D87-H87</f>
        <v>0</v>
      </c>
      <c r="M87" s="1"/>
      <c r="N87" s="5">
        <f t="shared" ref="N87:N89" si="61">IF(H87=0,0,L87/H87)</f>
        <v>0</v>
      </c>
      <c r="O87" s="12"/>
      <c r="P87" s="1">
        <f>SUM(OSRRefP22_18x_0)</f>
        <v>0</v>
      </c>
      <c r="Q87" s="1"/>
      <c r="R87" s="5">
        <f t="shared" ref="R87:R89" si="62">IF(P$12=0,0,P87/P$12)</f>
        <v>0</v>
      </c>
      <c r="S87" s="1"/>
      <c r="T87" s="1">
        <f>SUM(OSRRefT22_18x_0)</f>
        <v>233763.47</v>
      </c>
      <c r="U87" s="1"/>
      <c r="V87" s="5">
        <f t="shared" ref="V87:V89" si="63">IF(T$12=0,0,T87/T$12)</f>
        <v>1.7101555463606959E-2</v>
      </c>
      <c r="W87" s="1"/>
      <c r="X87" s="1">
        <f t="shared" ref="X87:X89" si="64">+P87-T87</f>
        <v>-233763.47</v>
      </c>
      <c r="Y87" s="1"/>
      <c r="Z87" s="5">
        <f t="shared" ref="Z87:Z89" si="65">IF(T87=0,0,X87/T87)</f>
        <v>-1</v>
      </c>
    </row>
    <row r="88" spans="1:26" s="23" customFormat="1" hidden="1" outlineLevel="2" x14ac:dyDescent="0.25">
      <c r="A88" s="27"/>
      <c r="B88" s="10" t="str">
        <f>CONCATENATE("          ", "6254", " - ", "ROYALTY &amp; COMMISSIONS")</f>
        <v xml:space="preserve">          6254 - ROYALTY &amp; COMMISSIONS</v>
      </c>
      <c r="C88" s="10"/>
      <c r="D88" s="6"/>
      <c r="E88" s="2"/>
      <c r="F88" s="7">
        <f t="shared" si="58"/>
        <v>0</v>
      </c>
      <c r="G88" s="2"/>
      <c r="H88" s="6"/>
      <c r="I88" s="2"/>
      <c r="J88" s="7">
        <f t="shared" si="59"/>
        <v>0</v>
      </c>
      <c r="K88" s="2"/>
      <c r="L88" s="6">
        <f t="shared" si="60"/>
        <v>0</v>
      </c>
      <c r="M88" s="2"/>
      <c r="N88" s="7">
        <f t="shared" si="61"/>
        <v>0</v>
      </c>
      <c r="O88" s="10"/>
      <c r="P88" s="6"/>
      <c r="Q88" s="2"/>
      <c r="R88" s="7">
        <f t="shared" si="62"/>
        <v>0</v>
      </c>
      <c r="S88" s="2"/>
      <c r="T88" s="6">
        <v>129093.51</v>
      </c>
      <c r="U88" s="2"/>
      <c r="V88" s="7">
        <f t="shared" si="63"/>
        <v>9.4441608915913997E-3</v>
      </c>
      <c r="W88" s="2"/>
      <c r="X88" s="6">
        <f t="shared" si="64"/>
        <v>-129093.51</v>
      </c>
      <c r="Y88" s="2"/>
      <c r="Z88" s="7">
        <f t="shared" si="65"/>
        <v>-1</v>
      </c>
    </row>
    <row r="89" spans="1:26" s="23" customFormat="1" hidden="1" outlineLevel="2" x14ac:dyDescent="0.25">
      <c r="A89" s="27"/>
      <c r="B89" s="10" t="str">
        <f>CONCATENATE("          ", "6259", " - ", "ROYALTY &amp; COMMISSIONS")</f>
        <v xml:space="preserve">          6259 - ROYALTY &amp; COMMISSIONS</v>
      </c>
      <c r="C89" s="10"/>
      <c r="D89" s="6"/>
      <c r="E89" s="2"/>
      <c r="F89" s="7">
        <f t="shared" si="58"/>
        <v>0</v>
      </c>
      <c r="G89" s="2"/>
      <c r="H89" s="6"/>
      <c r="I89" s="2"/>
      <c r="J89" s="7">
        <f t="shared" si="59"/>
        <v>0</v>
      </c>
      <c r="K89" s="2"/>
      <c r="L89" s="6">
        <f t="shared" si="60"/>
        <v>0</v>
      </c>
      <c r="M89" s="2"/>
      <c r="N89" s="7">
        <f t="shared" si="61"/>
        <v>0</v>
      </c>
      <c r="O89" s="10"/>
      <c r="P89" s="6"/>
      <c r="Q89" s="2"/>
      <c r="R89" s="7">
        <f t="shared" si="62"/>
        <v>0</v>
      </c>
      <c r="S89" s="2"/>
      <c r="T89" s="6">
        <v>104669.96</v>
      </c>
      <c r="U89" s="2"/>
      <c r="V89" s="7">
        <f t="shared" si="63"/>
        <v>7.6573945720155587E-3</v>
      </c>
      <c r="W89" s="2"/>
      <c r="X89" s="6">
        <f t="shared" si="64"/>
        <v>-104669.96</v>
      </c>
      <c r="Y89" s="2"/>
      <c r="Z89" s="7">
        <f t="shared" si="65"/>
        <v>-1</v>
      </c>
    </row>
    <row r="90" spans="1:26" s="26" customFormat="1" outlineLevel="1" collapsed="1" x14ac:dyDescent="0.25">
      <c r="A90" s="25"/>
      <c r="B90" s="12" t="str">
        <f>CONCATENATE("     ","Services                                          ")</f>
        <v xml:space="preserve">     Services                                          </v>
      </c>
      <c r="C90" s="12"/>
      <c r="D90" s="1">
        <f>SUM(OSRRefD22_19x_0)</f>
        <v>23614.69</v>
      </c>
      <c r="E90" s="1"/>
      <c r="F90" s="5">
        <f t="shared" ref="F90:F95" si="66">IF(D$12=0,0,D90/D$12)</f>
        <v>0.14465070209956063</v>
      </c>
      <c r="G90" s="1"/>
      <c r="H90" s="1">
        <f>SUM(OSRRefH22_19x_0)</f>
        <v>10427.910000000002</v>
      </c>
      <c r="I90" s="1"/>
      <c r="J90" s="5">
        <f t="shared" ref="J90:J95" si="67">IF(H$12=0,0,H90/H$12)</f>
        <v>2.397937314599766</v>
      </c>
      <c r="K90" s="1"/>
      <c r="L90" s="1">
        <f t="shared" ref="L90:L95" si="68">+D90-H90</f>
        <v>13186.779999999997</v>
      </c>
      <c r="M90" s="1"/>
      <c r="N90" s="5">
        <f t="shared" ref="N90:N95" si="69">IF(H90=0,0,L90/H90)</f>
        <v>1.2645659580874782</v>
      </c>
      <c r="O90" s="12"/>
      <c r="P90" s="1">
        <f>SUM(OSRRefP22_19x_0)</f>
        <v>172266.55</v>
      </c>
      <c r="Q90" s="1"/>
      <c r="R90" s="5">
        <f t="shared" ref="R90:R95" si="70">IF(P$12=0,0,P90/P$12)</f>
        <v>0.12322566633662528</v>
      </c>
      <c r="S90" s="1"/>
      <c r="T90" s="1">
        <f>SUM(OSRRefT22_19x_0)</f>
        <v>388649.85</v>
      </c>
      <c r="U90" s="1"/>
      <c r="V90" s="5">
        <f t="shared" ref="V90:V95" si="71">IF(T$12=0,0,T90/T$12)</f>
        <v>2.8432658728489633E-2</v>
      </c>
      <c r="W90" s="1"/>
      <c r="X90" s="1">
        <f t="shared" ref="X90:X95" si="72">+P90-T90</f>
        <v>-216383.3</v>
      </c>
      <c r="Y90" s="1"/>
      <c r="Z90" s="5">
        <f t="shared" ref="Z90:Z95" si="73">IF(T90=0,0,X90/T90)</f>
        <v>-0.5567564222654402</v>
      </c>
    </row>
    <row r="91" spans="1:26" s="23" customFormat="1" hidden="1" outlineLevel="2" x14ac:dyDescent="0.25">
      <c r="A91" s="27"/>
      <c r="B91" s="10" t="str">
        <f>CONCATENATE("          ", "6282", " - ", "JANITORIAL/EXTERMINATOR EXPENS")</f>
        <v xml:space="preserve">          6282 - JANITORIAL/EXTERMINATOR EXPENS</v>
      </c>
      <c r="C91" s="10"/>
      <c r="D91" s="6">
        <v>4056.96</v>
      </c>
      <c r="E91" s="2"/>
      <c r="F91" s="7">
        <f t="shared" si="66"/>
        <v>2.4850722681086797E-2</v>
      </c>
      <c r="G91" s="2"/>
      <c r="H91" s="6">
        <v>1580.07</v>
      </c>
      <c r="I91" s="2"/>
      <c r="J91" s="7">
        <f t="shared" si="67"/>
        <v>0.36334306804332328</v>
      </c>
      <c r="K91" s="2"/>
      <c r="L91" s="6">
        <f t="shared" si="68"/>
        <v>2476.8900000000003</v>
      </c>
      <c r="M91" s="2"/>
      <c r="N91" s="7">
        <f t="shared" si="69"/>
        <v>1.5675824488788475</v>
      </c>
      <c r="O91" s="10"/>
      <c r="P91" s="6">
        <v>24556.98</v>
      </c>
      <c r="Q91" s="2"/>
      <c r="R91" s="7">
        <f t="shared" si="70"/>
        <v>1.7566092916559719E-2</v>
      </c>
      <c r="S91" s="2"/>
      <c r="T91" s="6">
        <v>29540.04</v>
      </c>
      <c r="U91" s="2"/>
      <c r="V91" s="7">
        <f t="shared" si="71"/>
        <v>2.1610760332106986E-3</v>
      </c>
      <c r="W91" s="2"/>
      <c r="X91" s="6">
        <f t="shared" si="72"/>
        <v>-4983.0600000000013</v>
      </c>
      <c r="Y91" s="2"/>
      <c r="Z91" s="7">
        <f t="shared" si="73"/>
        <v>-0.16868832946739412</v>
      </c>
    </row>
    <row r="92" spans="1:26" s="23" customFormat="1" hidden="1" outlineLevel="2" x14ac:dyDescent="0.25">
      <c r="A92" s="27"/>
      <c r="B92" s="10" t="str">
        <f>CONCATENATE("          ", "6283", " - ", "PLANT SERVICE")</f>
        <v xml:space="preserve">          6283 - PLANT SERVICE</v>
      </c>
      <c r="C92" s="10"/>
      <c r="D92" s="6"/>
      <c r="E92" s="2"/>
      <c r="F92" s="7">
        <f t="shared" si="66"/>
        <v>0</v>
      </c>
      <c r="G92" s="2"/>
      <c r="H92" s="6">
        <v>399.56</v>
      </c>
      <c r="I92" s="2"/>
      <c r="J92" s="7">
        <f t="shared" si="67"/>
        <v>9.1880332053257296E-2</v>
      </c>
      <c r="K92" s="2"/>
      <c r="L92" s="6">
        <f t="shared" si="68"/>
        <v>-399.56</v>
      </c>
      <c r="M92" s="2"/>
      <c r="N92" s="7">
        <f t="shared" si="69"/>
        <v>-1</v>
      </c>
      <c r="O92" s="10"/>
      <c r="P92" s="6"/>
      <c r="Q92" s="2"/>
      <c r="R92" s="7">
        <f t="shared" si="70"/>
        <v>0</v>
      </c>
      <c r="S92" s="2"/>
      <c r="T92" s="6">
        <v>1798.02</v>
      </c>
      <c r="U92" s="2"/>
      <c r="V92" s="7">
        <f t="shared" si="71"/>
        <v>1.3153868204760386E-4</v>
      </c>
      <c r="W92" s="2"/>
      <c r="X92" s="6">
        <f t="shared" si="72"/>
        <v>-1798.02</v>
      </c>
      <c r="Y92" s="2"/>
      <c r="Z92" s="7">
        <f t="shared" si="73"/>
        <v>-1</v>
      </c>
    </row>
    <row r="93" spans="1:26" s="23" customFormat="1" hidden="1" outlineLevel="2" x14ac:dyDescent="0.25">
      <c r="A93" s="27"/>
      <c r="B93" s="10" t="str">
        <f>CONCATENATE("          ", "6284", " - ", "TRASH REMOVAL EXPENSE")</f>
        <v xml:space="preserve">          6284 - TRASH REMOVAL EXPENSE</v>
      </c>
      <c r="C93" s="10"/>
      <c r="D93" s="6">
        <v>5369</v>
      </c>
      <c r="E93" s="2"/>
      <c r="F93" s="7">
        <f t="shared" si="66"/>
        <v>3.2887563612841883E-2</v>
      </c>
      <c r="G93" s="2"/>
      <c r="H93" s="6">
        <v>5128</v>
      </c>
      <c r="I93" s="2"/>
      <c r="J93" s="7">
        <f t="shared" si="67"/>
        <v>1.1792029802009796</v>
      </c>
      <c r="K93" s="2"/>
      <c r="L93" s="6">
        <f t="shared" si="68"/>
        <v>241</v>
      </c>
      <c r="M93" s="2"/>
      <c r="N93" s="7">
        <f t="shared" si="69"/>
        <v>4.6996879875195005E-2</v>
      </c>
      <c r="O93" s="10"/>
      <c r="P93" s="6">
        <v>26294.75</v>
      </c>
      <c r="Q93" s="2"/>
      <c r="R93" s="7">
        <f t="shared" si="70"/>
        <v>1.8809154127165013E-2</v>
      </c>
      <c r="S93" s="2"/>
      <c r="T93" s="6">
        <v>43411</v>
      </c>
      <c r="U93" s="2"/>
      <c r="V93" s="7">
        <f t="shared" si="71"/>
        <v>3.1758410509163029E-3</v>
      </c>
      <c r="W93" s="2"/>
      <c r="X93" s="6">
        <f t="shared" si="72"/>
        <v>-17116.25</v>
      </c>
      <c r="Y93" s="2"/>
      <c r="Z93" s="7">
        <f t="shared" si="73"/>
        <v>-0.39428370689456588</v>
      </c>
    </row>
    <row r="94" spans="1:26" s="23" customFormat="1" hidden="1" outlineLevel="2" x14ac:dyDescent="0.25">
      <c r="A94" s="27"/>
      <c r="B94" s="10" t="str">
        <f>CONCATENATE("          ", "6285", " - ", "JANITORIAL SERVICES")</f>
        <v xml:space="preserve">          6285 - JANITORIAL SERVICES</v>
      </c>
      <c r="C94" s="10"/>
      <c r="D94" s="6">
        <v>12282.71</v>
      </c>
      <c r="E94" s="2"/>
      <c r="F94" s="7">
        <f t="shared" si="66"/>
        <v>7.5237177586718038E-2</v>
      </c>
      <c r="G94" s="2"/>
      <c r="H94" s="6">
        <v>2411.5</v>
      </c>
      <c r="I94" s="2"/>
      <c r="J94" s="7">
        <f t="shared" si="67"/>
        <v>0.55453353875870948</v>
      </c>
      <c r="K94" s="2"/>
      <c r="L94" s="6">
        <f t="shared" si="68"/>
        <v>9871.2099999999991</v>
      </c>
      <c r="M94" s="2"/>
      <c r="N94" s="7">
        <f t="shared" si="69"/>
        <v>4.0933900062201944</v>
      </c>
      <c r="O94" s="10"/>
      <c r="P94" s="6">
        <v>105922.44</v>
      </c>
      <c r="Q94" s="2"/>
      <c r="R94" s="7">
        <f t="shared" si="70"/>
        <v>7.576841382729968E-2</v>
      </c>
      <c r="S94" s="2"/>
      <c r="T94" s="6">
        <v>245352.19</v>
      </c>
      <c r="U94" s="2"/>
      <c r="V94" s="7">
        <f t="shared" si="71"/>
        <v>1.7949357465486086E-2</v>
      </c>
      <c r="W94" s="2"/>
      <c r="X94" s="6">
        <f t="shared" si="72"/>
        <v>-139429.75</v>
      </c>
      <c r="Y94" s="2"/>
      <c r="Z94" s="7">
        <f t="shared" si="73"/>
        <v>-0.5682841062066738</v>
      </c>
    </row>
    <row r="95" spans="1:26" s="23" customFormat="1" hidden="1" outlineLevel="2" x14ac:dyDescent="0.25">
      <c r="A95" s="27"/>
      <c r="B95" s="10" t="str">
        <f>CONCATENATE("          ", "6286", " - ", "LAUNDRY EXPENSE")</f>
        <v xml:space="preserve">          6286 - LAUNDRY EXPENSE</v>
      </c>
      <c r="C95" s="10"/>
      <c r="D95" s="6">
        <v>1906.02</v>
      </c>
      <c r="E95" s="2"/>
      <c r="F95" s="7">
        <f t="shared" si="66"/>
        <v>1.167523821891393E-2</v>
      </c>
      <c r="G95" s="2"/>
      <c r="H95" s="6">
        <v>908.78</v>
      </c>
      <c r="I95" s="2"/>
      <c r="J95" s="7">
        <f t="shared" si="67"/>
        <v>0.20897739554349576</v>
      </c>
      <c r="K95" s="2"/>
      <c r="L95" s="6">
        <f t="shared" si="68"/>
        <v>997.24</v>
      </c>
      <c r="M95" s="2"/>
      <c r="N95" s="7">
        <f t="shared" si="69"/>
        <v>1.0973392900371928</v>
      </c>
      <c r="O95" s="10"/>
      <c r="P95" s="6">
        <v>15492.38</v>
      </c>
      <c r="Q95" s="2"/>
      <c r="R95" s="7">
        <f t="shared" si="70"/>
        <v>1.1082005465600878E-2</v>
      </c>
      <c r="S95" s="2"/>
      <c r="T95" s="6">
        <v>68548.600000000006</v>
      </c>
      <c r="U95" s="2"/>
      <c r="V95" s="7">
        <f t="shared" si="71"/>
        <v>5.0148454968289447E-3</v>
      </c>
      <c r="W95" s="2"/>
      <c r="X95" s="6">
        <f t="shared" si="72"/>
        <v>-53056.220000000008</v>
      </c>
      <c r="Y95" s="2"/>
      <c r="Z95" s="7">
        <f t="shared" si="73"/>
        <v>-0.77399421724149009</v>
      </c>
    </row>
    <row r="96" spans="1:26" s="26" customFormat="1" outlineLevel="1" collapsed="1" x14ac:dyDescent="0.25">
      <c r="A96" s="25"/>
      <c r="B96" s="12" t="str">
        <f>CONCATENATE("     ","Subscriptions &amp; Dues                              ")</f>
        <v xml:space="preserve">     Subscriptions &amp; Dues                              </v>
      </c>
      <c r="C96" s="12"/>
      <c r="D96" s="1">
        <f>SUM(OSRRefD22_20x_0)</f>
        <v>0</v>
      </c>
      <c r="E96" s="1"/>
      <c r="F96" s="5">
        <f t="shared" ref="F96:F98" si="74">IF(D$12=0,0,D96/D$12)</f>
        <v>0</v>
      </c>
      <c r="G96" s="1"/>
      <c r="H96" s="1">
        <f>SUM(OSRRefH22_20x_0)</f>
        <v>4.25</v>
      </c>
      <c r="I96" s="1"/>
      <c r="J96" s="5">
        <f t="shared" ref="J96:J98" si="75">IF(H$12=0,0,H96/H$12)</f>
        <v>9.7730356198404123E-4</v>
      </c>
      <c r="K96" s="1"/>
      <c r="L96" s="1">
        <f t="shared" ref="L96:L98" si="76">+D96-H96</f>
        <v>-4.25</v>
      </c>
      <c r="M96" s="1"/>
      <c r="N96" s="5">
        <f t="shared" ref="N96:N98" si="77">IF(H96=0,0,L96/H96)</f>
        <v>-1</v>
      </c>
      <c r="O96" s="12"/>
      <c r="P96" s="1">
        <f>SUM(OSRRefP22_20x_0)</f>
        <v>1711.08</v>
      </c>
      <c r="Q96" s="1"/>
      <c r="R96" s="5">
        <f t="shared" ref="R96:R98" si="78">IF(P$12=0,0,P96/P$12)</f>
        <v>1.2239693263449741E-3</v>
      </c>
      <c r="S96" s="1"/>
      <c r="T96" s="1">
        <f>SUM(OSRRefT22_20x_0)</f>
        <v>7300.55</v>
      </c>
      <c r="U96" s="1"/>
      <c r="V96" s="5">
        <f t="shared" ref="V96:V98" si="79">IF(T$12=0,0,T96/T$12)</f>
        <v>5.3409012426037215E-4</v>
      </c>
      <c r="W96" s="1"/>
      <c r="X96" s="1">
        <f t="shared" ref="X96:X98" si="80">+P96-T96</f>
        <v>-5589.47</v>
      </c>
      <c r="Y96" s="1"/>
      <c r="Z96" s="5">
        <f t="shared" ref="Z96:Z98" si="81">IF(T96=0,0,X96/T96)</f>
        <v>-0.76562313798275472</v>
      </c>
    </row>
    <row r="97" spans="1:26" s="23" customFormat="1" hidden="1" outlineLevel="2" x14ac:dyDescent="0.25">
      <c r="A97" s="27"/>
      <c r="B97" s="10" t="str">
        <f>CONCATENATE("          ", "6258", " - ", "MEMBERSHIP DUES")</f>
        <v xml:space="preserve">          6258 - MEMBERSHIP DUES</v>
      </c>
      <c r="C97" s="10"/>
      <c r="D97" s="6"/>
      <c r="E97" s="2"/>
      <c r="F97" s="7">
        <f t="shared" si="74"/>
        <v>0</v>
      </c>
      <c r="G97" s="2"/>
      <c r="H97" s="6"/>
      <c r="I97" s="2"/>
      <c r="J97" s="7">
        <f t="shared" si="75"/>
        <v>0</v>
      </c>
      <c r="K97" s="2"/>
      <c r="L97" s="6">
        <f t="shared" si="76"/>
        <v>0</v>
      </c>
      <c r="M97" s="2"/>
      <c r="N97" s="7">
        <f t="shared" si="77"/>
        <v>0</v>
      </c>
      <c r="O97" s="10"/>
      <c r="P97" s="6">
        <v>795</v>
      </c>
      <c r="Q97" s="2"/>
      <c r="R97" s="7">
        <f t="shared" si="78"/>
        <v>5.6867920520621736E-4</v>
      </c>
      <c r="S97" s="2"/>
      <c r="T97" s="6">
        <v>3730</v>
      </c>
      <c r="U97" s="2"/>
      <c r="V97" s="7">
        <f t="shared" si="79"/>
        <v>2.728775453207208E-4</v>
      </c>
      <c r="W97" s="2"/>
      <c r="X97" s="6">
        <f t="shared" si="80"/>
        <v>-2935</v>
      </c>
      <c r="Y97" s="2"/>
      <c r="Z97" s="7">
        <f t="shared" si="81"/>
        <v>-0.78686327077747986</v>
      </c>
    </row>
    <row r="98" spans="1:26" s="23" customFormat="1" hidden="1" outlineLevel="2" x14ac:dyDescent="0.25">
      <c r="A98" s="27"/>
      <c r="B98" s="10" t="str">
        <f>CONCATENATE("          ", "6275", " - ", "SUBSCRIPTIONS")</f>
        <v xml:space="preserve">          6275 - SUBSCRIPTIONS</v>
      </c>
      <c r="C98" s="10"/>
      <c r="D98" s="6"/>
      <c r="E98" s="2"/>
      <c r="F98" s="7">
        <f t="shared" si="74"/>
        <v>0</v>
      </c>
      <c r="G98" s="2"/>
      <c r="H98" s="6">
        <v>4.25</v>
      </c>
      <c r="I98" s="2"/>
      <c r="J98" s="7">
        <f t="shared" si="75"/>
        <v>9.7730356198404123E-4</v>
      </c>
      <c r="K98" s="2"/>
      <c r="L98" s="6">
        <f t="shared" si="76"/>
        <v>-4.25</v>
      </c>
      <c r="M98" s="2"/>
      <c r="N98" s="7">
        <f t="shared" si="77"/>
        <v>-1</v>
      </c>
      <c r="O98" s="10"/>
      <c r="P98" s="6">
        <v>916.08</v>
      </c>
      <c r="Q98" s="2"/>
      <c r="R98" s="7">
        <f t="shared" si="78"/>
        <v>6.5529012113875679E-4</v>
      </c>
      <c r="S98" s="2"/>
      <c r="T98" s="6">
        <v>3570.55</v>
      </c>
      <c r="U98" s="2"/>
      <c r="V98" s="7">
        <f t="shared" si="79"/>
        <v>2.6121257893965141E-4</v>
      </c>
      <c r="W98" s="2"/>
      <c r="X98" s="6">
        <f t="shared" si="80"/>
        <v>-2654.4700000000003</v>
      </c>
      <c r="Y98" s="2"/>
      <c r="Z98" s="7">
        <f t="shared" si="81"/>
        <v>-0.74343448488328134</v>
      </c>
    </row>
    <row r="99" spans="1:26" s="26" customFormat="1" outlineLevel="1" collapsed="1" x14ac:dyDescent="0.25">
      <c r="A99" s="25"/>
      <c r="B99" s="12" t="str">
        <f>CONCATENATE("     ","Supplies                                          ")</f>
        <v xml:space="preserve">     Supplies                                          </v>
      </c>
      <c r="C99" s="12"/>
      <c r="D99" s="1">
        <f>SUM(OSRRefD22_21x_0)</f>
        <v>13903.92</v>
      </c>
      <c r="E99" s="1"/>
      <c r="F99" s="5">
        <f t="shared" ref="F99:F109" si="82">IF(D$12=0,0,D99/D$12)</f>
        <v>8.5167825194238128E-2</v>
      </c>
      <c r="G99" s="1"/>
      <c r="H99" s="1">
        <f>SUM(OSRRefH22_21x_0)</f>
        <v>4933.12</v>
      </c>
      <c r="I99" s="1"/>
      <c r="J99" s="5">
        <f t="shared" ref="J99:J109" si="83">IF(H$12=0,0,H99/H$12)</f>
        <v>1.1343895876928738</v>
      </c>
      <c r="K99" s="1"/>
      <c r="L99" s="1">
        <f t="shared" ref="L99:L109" si="84">+D99-H99</f>
        <v>8970.7999999999993</v>
      </c>
      <c r="M99" s="1"/>
      <c r="N99" s="5">
        <f t="shared" ref="N99:N109" si="85">IF(H99=0,0,L99/H99)</f>
        <v>1.8184840425531914</v>
      </c>
      <c r="O99" s="12"/>
      <c r="P99" s="1">
        <f>SUM(OSRRefP22_21x_0)</f>
        <v>112712.56000000001</v>
      </c>
      <c r="Q99" s="1"/>
      <c r="R99" s="5">
        <f t="shared" ref="R99:R109" si="86">IF(P$12=0,0,P99/P$12)</f>
        <v>8.0625520801959866E-2</v>
      </c>
      <c r="S99" s="1"/>
      <c r="T99" s="1">
        <f>SUM(OSRRefT22_21x_0)</f>
        <v>356815.27</v>
      </c>
      <c r="U99" s="1"/>
      <c r="V99" s="5">
        <f t="shared" ref="V99:V109" si="87">IF(T$12=0,0,T99/T$12)</f>
        <v>2.6103719841970571E-2</v>
      </c>
      <c r="W99" s="1"/>
      <c r="X99" s="1">
        <f t="shared" ref="X99:X109" si="88">+P99-T99</f>
        <v>-244102.71000000002</v>
      </c>
      <c r="Y99" s="1"/>
      <c r="Z99" s="5">
        <f t="shared" ref="Z99:Z109" si="89">IF(T99=0,0,X99/T99)</f>
        <v>-0.68411508846019964</v>
      </c>
    </row>
    <row r="100" spans="1:26" s="23" customFormat="1" hidden="1" outlineLevel="2" x14ac:dyDescent="0.25">
      <c r="A100" s="27"/>
      <c r="B100" s="10" t="str">
        <f>CONCATENATE("          ", "6234", " - ", "EXPENDABLE SUPPLIES &amp; EQUIPMEN")</f>
        <v xml:space="preserve">          6234 - EXPENDABLE SUPPLIES &amp; EQUIPMEN</v>
      </c>
      <c r="C100" s="10"/>
      <c r="D100" s="6">
        <v>26.25</v>
      </c>
      <c r="E100" s="2"/>
      <c r="F100" s="7">
        <f t="shared" si="82"/>
        <v>1.6079317281376409E-4</v>
      </c>
      <c r="G100" s="2"/>
      <c r="H100" s="6">
        <v>142.07</v>
      </c>
      <c r="I100" s="2"/>
      <c r="J100" s="7">
        <f t="shared" si="83"/>
        <v>3.2669533423781823E-2</v>
      </c>
      <c r="K100" s="2"/>
      <c r="L100" s="6">
        <f t="shared" si="84"/>
        <v>-115.82</v>
      </c>
      <c r="M100" s="2"/>
      <c r="N100" s="7">
        <f t="shared" si="85"/>
        <v>-0.81523192792285493</v>
      </c>
      <c r="O100" s="10"/>
      <c r="P100" s="6">
        <v>337.16</v>
      </c>
      <c r="Q100" s="2"/>
      <c r="R100" s="7">
        <f t="shared" si="86"/>
        <v>2.4117720858783429E-4</v>
      </c>
      <c r="S100" s="2"/>
      <c r="T100" s="6">
        <v>14804.83</v>
      </c>
      <c r="U100" s="2"/>
      <c r="V100" s="7">
        <f t="shared" si="87"/>
        <v>1.083084629836613E-3</v>
      </c>
      <c r="W100" s="2"/>
      <c r="X100" s="6">
        <f t="shared" si="88"/>
        <v>-14467.67</v>
      </c>
      <c r="Y100" s="2"/>
      <c r="Z100" s="7">
        <f t="shared" si="89"/>
        <v>-0.97722635113000289</v>
      </c>
    </row>
    <row r="101" spans="1:26" s="23" customFormat="1" hidden="1" outlineLevel="2" x14ac:dyDescent="0.25">
      <c r="A101" s="27"/>
      <c r="B101" s="10" t="str">
        <f>CONCATENATE("          ", "6235", " - ", "COVID-19 EXPENSES")</f>
        <v xml:space="preserve">          6235 - COVID-19 EXPENSES</v>
      </c>
      <c r="C101" s="10"/>
      <c r="D101" s="6">
        <v>2986.65</v>
      </c>
      <c r="E101" s="2"/>
      <c r="F101" s="7">
        <f t="shared" si="82"/>
        <v>1.8294587793684897E-2</v>
      </c>
      <c r="G101" s="2"/>
      <c r="H101" s="6"/>
      <c r="I101" s="2"/>
      <c r="J101" s="7">
        <f t="shared" si="83"/>
        <v>0</v>
      </c>
      <c r="K101" s="2"/>
      <c r="L101" s="6">
        <f t="shared" si="84"/>
        <v>2986.65</v>
      </c>
      <c r="M101" s="2"/>
      <c r="N101" s="7">
        <f t="shared" si="85"/>
        <v>0</v>
      </c>
      <c r="O101" s="10"/>
      <c r="P101" s="6">
        <v>63438.06</v>
      </c>
      <c r="Q101" s="2"/>
      <c r="R101" s="7">
        <f t="shared" si="86"/>
        <v>4.5378497535376511E-2</v>
      </c>
      <c r="S101" s="2"/>
      <c r="T101" s="6"/>
      <c r="U101" s="2"/>
      <c r="V101" s="7">
        <f t="shared" si="87"/>
        <v>0</v>
      </c>
      <c r="W101" s="2"/>
      <c r="X101" s="6">
        <f t="shared" si="88"/>
        <v>63438.06</v>
      </c>
      <c r="Y101" s="2"/>
      <c r="Z101" s="7">
        <f t="shared" si="89"/>
        <v>0</v>
      </c>
    </row>
    <row r="102" spans="1:26" s="23" customFormat="1" hidden="1" outlineLevel="2" x14ac:dyDescent="0.25">
      <c r="A102" s="27"/>
      <c r="B102" s="10" t="str">
        <f>CONCATENATE("          ", "6237", " - ", "JANITORIAL SUPPLIES")</f>
        <v xml:space="preserve">          6237 - JANITORIAL SUPPLIES</v>
      </c>
      <c r="C102" s="10"/>
      <c r="D102" s="6">
        <v>1902.43</v>
      </c>
      <c r="E102" s="2"/>
      <c r="F102" s="7">
        <f t="shared" si="82"/>
        <v>1.165324783832721E-2</v>
      </c>
      <c r="G102" s="2"/>
      <c r="H102" s="6">
        <v>1472.58</v>
      </c>
      <c r="I102" s="2"/>
      <c r="J102" s="7">
        <f t="shared" si="83"/>
        <v>0.33862533630740221</v>
      </c>
      <c r="K102" s="2"/>
      <c r="L102" s="6">
        <f t="shared" si="84"/>
        <v>429.85000000000014</v>
      </c>
      <c r="M102" s="2"/>
      <c r="N102" s="7">
        <f t="shared" si="85"/>
        <v>0.29190264705482905</v>
      </c>
      <c r="O102" s="10"/>
      <c r="P102" s="6">
        <v>22100.63</v>
      </c>
      <c r="Q102" s="2"/>
      <c r="R102" s="7">
        <f t="shared" si="86"/>
        <v>1.5809017236423504E-2</v>
      </c>
      <c r="S102" s="2"/>
      <c r="T102" s="6">
        <v>121564.92</v>
      </c>
      <c r="U102" s="2"/>
      <c r="V102" s="7">
        <f t="shared" si="87"/>
        <v>8.8933879267318484E-3</v>
      </c>
      <c r="W102" s="2"/>
      <c r="X102" s="6">
        <f t="shared" si="88"/>
        <v>-99464.29</v>
      </c>
      <c r="Y102" s="2"/>
      <c r="Z102" s="7">
        <f t="shared" si="89"/>
        <v>-0.81819895081574512</v>
      </c>
    </row>
    <row r="103" spans="1:26" s="23" customFormat="1" hidden="1" outlineLevel="2" x14ac:dyDescent="0.25">
      <c r="A103" s="27"/>
      <c r="B103" s="10" t="str">
        <f>CONCATENATE("          ", "6239", " - ", "KITCHEN SUPPLIES")</f>
        <v xml:space="preserve">          6239 - KITCHEN SUPPLIES</v>
      </c>
      <c r="C103" s="10"/>
      <c r="D103" s="6">
        <v>160.30000000000001</v>
      </c>
      <c r="E103" s="2"/>
      <c r="F103" s="7">
        <f t="shared" si="82"/>
        <v>9.8191030864938612E-4</v>
      </c>
      <c r="G103" s="2"/>
      <c r="H103" s="6">
        <v>390.29</v>
      </c>
      <c r="I103" s="2"/>
      <c r="J103" s="7">
        <f t="shared" si="83"/>
        <v>8.9748660519235648E-2</v>
      </c>
      <c r="K103" s="2"/>
      <c r="L103" s="6">
        <f t="shared" si="84"/>
        <v>-229.99</v>
      </c>
      <c r="M103" s="2"/>
      <c r="N103" s="7">
        <f t="shared" si="85"/>
        <v>-0.58927976632760259</v>
      </c>
      <c r="O103" s="10"/>
      <c r="P103" s="6">
        <v>7267.21</v>
      </c>
      <c r="Q103" s="2"/>
      <c r="R103" s="7">
        <f t="shared" si="86"/>
        <v>5.1983788765618552E-3</v>
      </c>
      <c r="S103" s="2"/>
      <c r="T103" s="6">
        <v>72324.13</v>
      </c>
      <c r="U103" s="2"/>
      <c r="V103" s="7">
        <f t="shared" si="87"/>
        <v>5.2910539039830303E-3</v>
      </c>
      <c r="W103" s="2"/>
      <c r="X103" s="6">
        <f t="shared" si="88"/>
        <v>-65056.920000000006</v>
      </c>
      <c r="Y103" s="2"/>
      <c r="Z103" s="7">
        <f t="shared" si="89"/>
        <v>-0.8995188742678274</v>
      </c>
    </row>
    <row r="104" spans="1:26" s="23" customFormat="1" hidden="1" outlineLevel="2" x14ac:dyDescent="0.25">
      <c r="A104" s="27"/>
      <c r="B104" s="10" t="str">
        <f>CONCATENATE("          ", "6241", " - ", "OFFICE EXPENSE")</f>
        <v xml:space="preserve">          6241 - OFFICE EXPENSE</v>
      </c>
      <c r="C104" s="10"/>
      <c r="D104" s="6">
        <v>1699</v>
      </c>
      <c r="E104" s="2"/>
      <c r="F104" s="7">
        <f t="shared" si="82"/>
        <v>1.0407146689927056E-2</v>
      </c>
      <c r="G104" s="2"/>
      <c r="H104" s="6">
        <v>1030.8399999999999</v>
      </c>
      <c r="I104" s="2"/>
      <c r="J104" s="7">
        <f t="shared" si="83"/>
        <v>0.23704555384367743</v>
      </c>
      <c r="K104" s="2"/>
      <c r="L104" s="6">
        <f t="shared" si="84"/>
        <v>668.16000000000008</v>
      </c>
      <c r="M104" s="2"/>
      <c r="N104" s="7">
        <f t="shared" si="85"/>
        <v>0.64817042412013515</v>
      </c>
      <c r="O104" s="10"/>
      <c r="P104" s="6">
        <v>-20562.34</v>
      </c>
      <c r="Q104" s="2"/>
      <c r="R104" s="7">
        <f t="shared" si="86"/>
        <v>-1.4708648010540896E-2</v>
      </c>
      <c r="S104" s="2"/>
      <c r="T104" s="6">
        <v>46139.519999999997</v>
      </c>
      <c r="U104" s="2"/>
      <c r="V104" s="7">
        <f t="shared" si="87"/>
        <v>3.3754528042563813E-3</v>
      </c>
      <c r="W104" s="2"/>
      <c r="X104" s="6">
        <f t="shared" si="88"/>
        <v>-66701.86</v>
      </c>
      <c r="Y104" s="2"/>
      <c r="Z104" s="7">
        <f t="shared" si="89"/>
        <v>-1.4456556981953865</v>
      </c>
    </row>
    <row r="105" spans="1:26" s="23" customFormat="1" hidden="1" outlineLevel="2" x14ac:dyDescent="0.25">
      <c r="A105" s="27"/>
      <c r="B105" s="10" t="str">
        <f>CONCATENATE("          ", "6243", " - ", "PAPER SUPPLIES")</f>
        <v xml:space="preserve">          6243 - PAPER SUPPLIES</v>
      </c>
      <c r="C105" s="10"/>
      <c r="D105" s="6">
        <v>7129.29</v>
      </c>
      <c r="E105" s="2"/>
      <c r="F105" s="7">
        <f t="shared" si="82"/>
        <v>4.3670139390835819E-2</v>
      </c>
      <c r="G105" s="2"/>
      <c r="H105" s="6">
        <v>1881.7</v>
      </c>
      <c r="I105" s="2"/>
      <c r="J105" s="7">
        <f t="shared" si="83"/>
        <v>0.43270402649067541</v>
      </c>
      <c r="K105" s="2"/>
      <c r="L105" s="6">
        <f t="shared" si="84"/>
        <v>5247.59</v>
      </c>
      <c r="M105" s="2"/>
      <c r="N105" s="7">
        <f t="shared" si="85"/>
        <v>2.7887495349949516</v>
      </c>
      <c r="O105" s="10"/>
      <c r="P105" s="6">
        <v>35631.25</v>
      </c>
      <c r="Q105" s="2"/>
      <c r="R105" s="7">
        <f t="shared" si="86"/>
        <v>2.5487737019501928E-2</v>
      </c>
      <c r="S105" s="2"/>
      <c r="T105" s="6">
        <v>87846.29</v>
      </c>
      <c r="U105" s="2"/>
      <c r="V105" s="7">
        <f t="shared" si="87"/>
        <v>6.4266166168182792E-3</v>
      </c>
      <c r="W105" s="2"/>
      <c r="X105" s="6">
        <f t="shared" si="88"/>
        <v>-52215.039999999994</v>
      </c>
      <c r="Y105" s="2"/>
      <c r="Z105" s="7">
        <f t="shared" si="89"/>
        <v>-0.59439095265150066</v>
      </c>
    </row>
    <row r="106" spans="1:26" s="23" customFormat="1" hidden="1" outlineLevel="2" x14ac:dyDescent="0.25">
      <c r="A106" s="27"/>
      <c r="B106" s="10" t="str">
        <f>CONCATENATE("          ", "6245", " - ", "PRINTING")</f>
        <v xml:space="preserve">          6245 - PRINTING</v>
      </c>
      <c r="C106" s="10"/>
      <c r="D106" s="6"/>
      <c r="E106" s="2"/>
      <c r="F106" s="7">
        <f t="shared" si="82"/>
        <v>0</v>
      </c>
      <c r="G106" s="2"/>
      <c r="H106" s="6"/>
      <c r="I106" s="2"/>
      <c r="J106" s="7">
        <f t="shared" si="83"/>
        <v>0</v>
      </c>
      <c r="K106" s="2"/>
      <c r="L106" s="6">
        <f t="shared" si="84"/>
        <v>0</v>
      </c>
      <c r="M106" s="2"/>
      <c r="N106" s="7">
        <f t="shared" si="85"/>
        <v>0</v>
      </c>
      <c r="O106" s="10"/>
      <c r="P106" s="6"/>
      <c r="Q106" s="2"/>
      <c r="R106" s="7">
        <f t="shared" si="86"/>
        <v>0</v>
      </c>
      <c r="S106" s="2"/>
      <c r="T106" s="6">
        <v>1882.72</v>
      </c>
      <c r="U106" s="2"/>
      <c r="V106" s="7">
        <f t="shared" si="87"/>
        <v>1.3773512389443095E-4</v>
      </c>
      <c r="W106" s="2"/>
      <c r="X106" s="6">
        <f t="shared" si="88"/>
        <v>-1882.72</v>
      </c>
      <c r="Y106" s="2"/>
      <c r="Z106" s="7">
        <f t="shared" si="89"/>
        <v>-1</v>
      </c>
    </row>
    <row r="107" spans="1:26" s="23" customFormat="1" hidden="1" outlineLevel="2" x14ac:dyDescent="0.25">
      <c r="A107" s="27"/>
      <c r="B107" s="10" t="str">
        <f>CONCATENATE("          ", "6246", " - ", "REPLACEMENTS")</f>
        <v xml:space="preserve">          6246 - REPLACEMENTS</v>
      </c>
      <c r="C107" s="10"/>
      <c r="D107" s="6"/>
      <c r="E107" s="2"/>
      <c r="F107" s="7">
        <f t="shared" si="82"/>
        <v>0</v>
      </c>
      <c r="G107" s="2"/>
      <c r="H107" s="6"/>
      <c r="I107" s="2"/>
      <c r="J107" s="7">
        <f t="shared" si="83"/>
        <v>0</v>
      </c>
      <c r="K107" s="2"/>
      <c r="L107" s="6">
        <f t="shared" si="84"/>
        <v>0</v>
      </c>
      <c r="M107" s="2"/>
      <c r="N107" s="7">
        <f t="shared" si="85"/>
        <v>0</v>
      </c>
      <c r="O107" s="10"/>
      <c r="P107" s="6"/>
      <c r="Q107" s="2"/>
      <c r="R107" s="7">
        <f t="shared" si="86"/>
        <v>0</v>
      </c>
      <c r="S107" s="2"/>
      <c r="T107" s="6">
        <v>25.87</v>
      </c>
      <c r="U107" s="2"/>
      <c r="V107" s="7">
        <f t="shared" si="87"/>
        <v>1.8925850127203879E-6</v>
      </c>
      <c r="W107" s="2"/>
      <c r="X107" s="6">
        <f t="shared" si="88"/>
        <v>-25.87</v>
      </c>
      <c r="Y107" s="2"/>
      <c r="Z107" s="7">
        <f t="shared" si="89"/>
        <v>-1</v>
      </c>
    </row>
    <row r="108" spans="1:26" s="23" customFormat="1" hidden="1" outlineLevel="2" x14ac:dyDescent="0.25">
      <c r="A108" s="27"/>
      <c r="B108" s="10" t="str">
        <f>CONCATENATE("          ", "6247", " - ", "STORE SUPPLIES")</f>
        <v xml:space="preserve">          6247 - STORE SUPPLIES</v>
      </c>
      <c r="C108" s="10"/>
      <c r="D108" s="6"/>
      <c r="E108" s="2"/>
      <c r="F108" s="7">
        <f t="shared" si="82"/>
        <v>0</v>
      </c>
      <c r="G108" s="2"/>
      <c r="H108" s="6">
        <v>15.64</v>
      </c>
      <c r="I108" s="2"/>
      <c r="J108" s="7">
        <f t="shared" si="83"/>
        <v>3.5964771081012721E-3</v>
      </c>
      <c r="K108" s="2"/>
      <c r="L108" s="6">
        <f t="shared" si="84"/>
        <v>-15.64</v>
      </c>
      <c r="M108" s="2"/>
      <c r="N108" s="7">
        <f t="shared" si="85"/>
        <v>-1</v>
      </c>
      <c r="O108" s="10"/>
      <c r="P108" s="6"/>
      <c r="Q108" s="2"/>
      <c r="R108" s="7">
        <f t="shared" si="86"/>
        <v>0</v>
      </c>
      <c r="S108" s="2"/>
      <c r="T108" s="6">
        <v>7629.9</v>
      </c>
      <c r="U108" s="2"/>
      <c r="V108" s="7">
        <f t="shared" si="87"/>
        <v>5.5818455309452209E-4</v>
      </c>
      <c r="W108" s="2"/>
      <c r="X108" s="6">
        <f t="shared" si="88"/>
        <v>-7629.9</v>
      </c>
      <c r="Y108" s="2"/>
      <c r="Z108" s="7">
        <f t="shared" si="89"/>
        <v>-1</v>
      </c>
    </row>
    <row r="109" spans="1:26" s="23" customFormat="1" hidden="1" outlineLevel="2" x14ac:dyDescent="0.25">
      <c r="A109" s="27"/>
      <c r="B109" s="10" t="str">
        <f>CONCATENATE("          ", "6248", " - ", "UNIFORMS")</f>
        <v xml:space="preserve">          6248 - UNIFORMS</v>
      </c>
      <c r="C109" s="10"/>
      <c r="D109" s="6"/>
      <c r="E109" s="2"/>
      <c r="F109" s="7">
        <f t="shared" si="82"/>
        <v>0</v>
      </c>
      <c r="G109" s="2"/>
      <c r="H109" s="6"/>
      <c r="I109" s="2"/>
      <c r="J109" s="7">
        <f t="shared" si="83"/>
        <v>0</v>
      </c>
      <c r="K109" s="2"/>
      <c r="L109" s="6">
        <f t="shared" si="84"/>
        <v>0</v>
      </c>
      <c r="M109" s="2"/>
      <c r="N109" s="7">
        <f t="shared" si="85"/>
        <v>0</v>
      </c>
      <c r="O109" s="10"/>
      <c r="P109" s="6">
        <v>4500.59</v>
      </c>
      <c r="Q109" s="2"/>
      <c r="R109" s="7">
        <f t="shared" si="86"/>
        <v>3.2193609360491194E-3</v>
      </c>
      <c r="S109" s="2"/>
      <c r="T109" s="6">
        <v>4597.09</v>
      </c>
      <c r="U109" s="2"/>
      <c r="V109" s="7">
        <f t="shared" si="87"/>
        <v>3.3631169834274328E-4</v>
      </c>
      <c r="W109" s="2"/>
      <c r="X109" s="6">
        <f t="shared" si="88"/>
        <v>-96.5</v>
      </c>
      <c r="Y109" s="2"/>
      <c r="Z109" s="7">
        <f t="shared" si="89"/>
        <v>-2.0991540300494441E-2</v>
      </c>
    </row>
    <row r="110" spans="1:26" s="26" customFormat="1" outlineLevel="1" collapsed="1" x14ac:dyDescent="0.25">
      <c r="A110" s="25"/>
      <c r="B110" s="12" t="str">
        <f>CONCATENATE("     ","Telephone/Data Lines                              ")</f>
        <v xml:space="preserve">     Telephone/Data Lines                              </v>
      </c>
      <c r="C110" s="12"/>
      <c r="D110" s="1">
        <f>SUM(OSRRefD22_22x_0)</f>
        <v>496.6</v>
      </c>
      <c r="E110" s="1"/>
      <c r="F110" s="5">
        <f t="shared" ref="F110:F117" si="90">IF(D$12=0,0,D110/D$12)</f>
        <v>3.0419005569262956E-3</v>
      </c>
      <c r="G110" s="1"/>
      <c r="H110" s="1">
        <f>SUM(OSRRefH22_22x_0)</f>
        <v>2498.2199999999998</v>
      </c>
      <c r="I110" s="1"/>
      <c r="J110" s="5">
        <f t="shared" ref="J110:J117" si="91">IF(H$12=0,0,H110/H$12)</f>
        <v>0.57447513049876975</v>
      </c>
      <c r="K110" s="1"/>
      <c r="L110" s="1">
        <f t="shared" ref="L110:L117" si="92">+D110-H110</f>
        <v>-2001.62</v>
      </c>
      <c r="M110" s="1"/>
      <c r="N110" s="5">
        <f t="shared" ref="N110:N117" si="93">IF(H110=0,0,L110/H110)</f>
        <v>-0.80121846754889481</v>
      </c>
      <c r="O110" s="12"/>
      <c r="P110" s="1">
        <f>SUM(OSRRefP22_22x_0)</f>
        <v>10621.33</v>
      </c>
      <c r="Q110" s="1"/>
      <c r="R110" s="5">
        <f t="shared" ref="R110:R117" si="94">IF(P$12=0,0,P110/P$12)</f>
        <v>7.597647173123211E-3</v>
      </c>
      <c r="S110" s="1"/>
      <c r="T110" s="1">
        <f>SUM(OSRRefT22_22x_0)</f>
        <v>25575.82</v>
      </c>
      <c r="U110" s="1"/>
      <c r="V110" s="5">
        <f t="shared" ref="V110:V117" si="95">IF(T$12=0,0,T110/T$12)</f>
        <v>1.8710635338242889E-3</v>
      </c>
      <c r="W110" s="1"/>
      <c r="X110" s="1">
        <f t="shared" ref="X110:X117" si="96">+P110-T110</f>
        <v>-14954.49</v>
      </c>
      <c r="Y110" s="1"/>
      <c r="Z110" s="5">
        <f t="shared" ref="Z110:Z117" si="97">IF(T110=0,0,X110/T110)</f>
        <v>-0.58471204442320912</v>
      </c>
    </row>
    <row r="111" spans="1:26" s="23" customFormat="1" hidden="1" outlineLevel="2" x14ac:dyDescent="0.25">
      <c r="A111" s="27"/>
      <c r="B111" s="10" t="str">
        <f>CONCATENATE("          ", "6309", " - ", "TELEPHONE")</f>
        <v xml:space="preserve">          6309 - TELEPHONE</v>
      </c>
      <c r="C111" s="10"/>
      <c r="D111" s="6">
        <v>496.6</v>
      </c>
      <c r="E111" s="2"/>
      <c r="F111" s="7">
        <f t="shared" si="90"/>
        <v>3.0419005569262956E-3</v>
      </c>
      <c r="G111" s="2"/>
      <c r="H111" s="6">
        <v>2498.2199999999998</v>
      </c>
      <c r="I111" s="2"/>
      <c r="J111" s="7">
        <f t="shared" si="91"/>
        <v>0.57447513049876975</v>
      </c>
      <c r="K111" s="2"/>
      <c r="L111" s="6">
        <f t="shared" si="92"/>
        <v>-2001.62</v>
      </c>
      <c r="M111" s="2"/>
      <c r="N111" s="7">
        <f t="shared" si="93"/>
        <v>-0.80121846754889481</v>
      </c>
      <c r="O111" s="10"/>
      <c r="P111" s="6">
        <v>10621.33</v>
      </c>
      <c r="Q111" s="2"/>
      <c r="R111" s="7">
        <f t="shared" si="94"/>
        <v>7.597647173123211E-3</v>
      </c>
      <c r="S111" s="2"/>
      <c r="T111" s="6">
        <v>25575.82</v>
      </c>
      <c r="U111" s="2"/>
      <c r="V111" s="7">
        <f t="shared" si="95"/>
        <v>1.8710635338242889E-3</v>
      </c>
      <c r="W111" s="2"/>
      <c r="X111" s="6">
        <f t="shared" si="96"/>
        <v>-14954.49</v>
      </c>
      <c r="Y111" s="2"/>
      <c r="Z111" s="7">
        <f t="shared" si="97"/>
        <v>-0.58471204442320912</v>
      </c>
    </row>
    <row r="112" spans="1:26" s="26" customFormat="1" outlineLevel="1" collapsed="1" x14ac:dyDescent="0.25">
      <c r="A112" s="25"/>
      <c r="B112" s="12" t="str">
        <f>CONCATENATE("     ","Training                                          ")</f>
        <v xml:space="preserve">     Training                                          </v>
      </c>
      <c r="C112" s="12"/>
      <c r="D112" s="1">
        <f>SUM(OSRRefD22_23x_0)</f>
        <v>0</v>
      </c>
      <c r="E112" s="1"/>
      <c r="F112" s="5">
        <f t="shared" si="90"/>
        <v>0</v>
      </c>
      <c r="G112" s="1"/>
      <c r="H112" s="1">
        <f>SUM(OSRRefH22_23x_0)</f>
        <v>120</v>
      </c>
      <c r="I112" s="1"/>
      <c r="J112" s="5">
        <f t="shared" si="91"/>
        <v>2.7594453514843516E-2</v>
      </c>
      <c r="K112" s="1"/>
      <c r="L112" s="1">
        <f t="shared" si="92"/>
        <v>-120</v>
      </c>
      <c r="M112" s="1"/>
      <c r="N112" s="5">
        <f t="shared" si="93"/>
        <v>-1</v>
      </c>
      <c r="O112" s="12"/>
      <c r="P112" s="1">
        <f>SUM(OSRRefP22_23x_0)</f>
        <v>1186.23</v>
      </c>
      <c r="Q112" s="1"/>
      <c r="R112" s="5">
        <f t="shared" si="94"/>
        <v>8.485337529456242E-4</v>
      </c>
      <c r="S112" s="1"/>
      <c r="T112" s="1">
        <f>SUM(OSRRefT22_23x_0)</f>
        <v>8521.24</v>
      </c>
      <c r="U112" s="1"/>
      <c r="V112" s="5">
        <f t="shared" si="95"/>
        <v>6.2339277594872353E-4</v>
      </c>
      <c r="W112" s="1"/>
      <c r="X112" s="1">
        <f t="shared" si="96"/>
        <v>-7335.01</v>
      </c>
      <c r="Y112" s="1"/>
      <c r="Z112" s="5">
        <f t="shared" si="97"/>
        <v>-0.86079138716900361</v>
      </c>
    </row>
    <row r="113" spans="1:26" s="23" customFormat="1" hidden="1" outlineLevel="2" x14ac:dyDescent="0.25">
      <c r="A113" s="27"/>
      <c r="B113" s="10" t="str">
        <f>CONCATENATE("          ", "6376", " - ", "TRAINING")</f>
        <v xml:space="preserve">          6376 - TRAINING</v>
      </c>
      <c r="C113" s="10"/>
      <c r="D113" s="6"/>
      <c r="E113" s="2"/>
      <c r="F113" s="7">
        <f t="shared" si="90"/>
        <v>0</v>
      </c>
      <c r="G113" s="2"/>
      <c r="H113" s="6">
        <v>120</v>
      </c>
      <c r="I113" s="2"/>
      <c r="J113" s="7">
        <f t="shared" si="91"/>
        <v>2.7594453514843516E-2</v>
      </c>
      <c r="K113" s="2"/>
      <c r="L113" s="6">
        <f t="shared" si="92"/>
        <v>-120</v>
      </c>
      <c r="M113" s="2"/>
      <c r="N113" s="7">
        <f t="shared" si="93"/>
        <v>-1</v>
      </c>
      <c r="O113" s="10"/>
      <c r="P113" s="6">
        <v>1186.23</v>
      </c>
      <c r="Q113" s="2"/>
      <c r="R113" s="7">
        <f t="shared" si="94"/>
        <v>8.485337529456242E-4</v>
      </c>
      <c r="S113" s="2"/>
      <c r="T113" s="6">
        <v>8521.24</v>
      </c>
      <c r="U113" s="2"/>
      <c r="V113" s="7">
        <f t="shared" si="95"/>
        <v>6.2339277594872353E-4</v>
      </c>
      <c r="W113" s="2"/>
      <c r="X113" s="6">
        <f t="shared" si="96"/>
        <v>-7335.01</v>
      </c>
      <c r="Y113" s="2"/>
      <c r="Z113" s="7">
        <f t="shared" si="97"/>
        <v>-0.86079138716900361</v>
      </c>
    </row>
    <row r="114" spans="1:26" s="26" customFormat="1" outlineLevel="1" collapsed="1" x14ac:dyDescent="0.25">
      <c r="A114" s="25"/>
      <c r="B114" s="12" t="str">
        <f>CONCATENATE("     ","Travel                                            ")</f>
        <v xml:space="preserve">     Travel                                            </v>
      </c>
      <c r="C114" s="12"/>
      <c r="D114" s="1">
        <f>SUM(OSRRefD22_24x_0)</f>
        <v>160.30000000000001</v>
      </c>
      <c r="E114" s="1"/>
      <c r="F114" s="5">
        <f t="shared" si="90"/>
        <v>9.8191030864938612E-4</v>
      </c>
      <c r="G114" s="1"/>
      <c r="H114" s="1">
        <f>SUM(OSRRefH22_24x_0)</f>
        <v>1737.4299999999998</v>
      </c>
      <c r="I114" s="1"/>
      <c r="J114" s="5">
        <f t="shared" si="91"/>
        <v>0.39952859475245472</v>
      </c>
      <c r="K114" s="1"/>
      <c r="L114" s="1">
        <f t="shared" si="92"/>
        <v>-1577.1299999999999</v>
      </c>
      <c r="M114" s="1"/>
      <c r="N114" s="5">
        <f t="shared" si="93"/>
        <v>-0.90773729013542992</v>
      </c>
      <c r="O114" s="12"/>
      <c r="P114" s="1">
        <f>SUM(OSRRefP22_24x_0)</f>
        <v>492.51</v>
      </c>
      <c r="Q114" s="1"/>
      <c r="R114" s="5">
        <f t="shared" si="94"/>
        <v>3.5230213252341398E-4</v>
      </c>
      <c r="S114" s="1"/>
      <c r="T114" s="1">
        <f>SUM(OSRRefT22_24x_0)</f>
        <v>8235.58</v>
      </c>
      <c r="U114" s="1"/>
      <c r="V114" s="5">
        <f t="shared" si="95"/>
        <v>6.0249459911324976E-4</v>
      </c>
      <c r="W114" s="1"/>
      <c r="X114" s="1">
        <f t="shared" si="96"/>
        <v>-7743.07</v>
      </c>
      <c r="Y114" s="1"/>
      <c r="Z114" s="5">
        <f t="shared" si="97"/>
        <v>-0.94019729029406551</v>
      </c>
    </row>
    <row r="115" spans="1:26" s="23" customFormat="1" hidden="1" outlineLevel="2" x14ac:dyDescent="0.25">
      <c r="A115" s="27"/>
      <c r="B115" s="10" t="str">
        <f>CONCATENATE("          ", "6292", " - ", "TRAVEL/CONFERENCE")</f>
        <v xml:space="preserve">          6292 - TRAVEL/CONFERENCE</v>
      </c>
      <c r="C115" s="10"/>
      <c r="D115" s="6"/>
      <c r="E115" s="2"/>
      <c r="F115" s="7">
        <f t="shared" si="90"/>
        <v>0</v>
      </c>
      <c r="G115" s="2"/>
      <c r="H115" s="6">
        <v>1547.08</v>
      </c>
      <c r="I115" s="2"/>
      <c r="J115" s="7">
        <f t="shared" si="91"/>
        <v>0.35575689286453421</v>
      </c>
      <c r="K115" s="2"/>
      <c r="L115" s="6">
        <f t="shared" si="92"/>
        <v>-1547.08</v>
      </c>
      <c r="M115" s="2"/>
      <c r="N115" s="7">
        <f t="shared" si="93"/>
        <v>-1</v>
      </c>
      <c r="O115" s="10"/>
      <c r="P115" s="6"/>
      <c r="Q115" s="2"/>
      <c r="R115" s="7">
        <f t="shared" si="94"/>
        <v>0</v>
      </c>
      <c r="S115" s="2"/>
      <c r="T115" s="6">
        <v>6889.94</v>
      </c>
      <c r="U115" s="2"/>
      <c r="V115" s="7">
        <f t="shared" si="95"/>
        <v>5.0405091544424854E-4</v>
      </c>
      <c r="W115" s="2"/>
      <c r="X115" s="6">
        <f t="shared" si="96"/>
        <v>-6889.94</v>
      </c>
      <c r="Y115" s="2"/>
      <c r="Z115" s="7">
        <f t="shared" si="97"/>
        <v>-1</v>
      </c>
    </row>
    <row r="116" spans="1:26" s="23" customFormat="1" hidden="1" outlineLevel="2" x14ac:dyDescent="0.25">
      <c r="A116" s="27"/>
      <c r="B116" s="10" t="str">
        <f>CONCATENATE("          ", "6294", " - ", "TRAVEL OPERATIONAL")</f>
        <v xml:space="preserve">          6294 - TRAVEL OPERATIONAL</v>
      </c>
      <c r="C116" s="10"/>
      <c r="D116" s="6">
        <v>160.30000000000001</v>
      </c>
      <c r="E116" s="2"/>
      <c r="F116" s="7">
        <f t="shared" si="90"/>
        <v>9.8191030864938612E-4</v>
      </c>
      <c r="G116" s="2"/>
      <c r="H116" s="6"/>
      <c r="I116" s="2"/>
      <c r="J116" s="7">
        <f t="shared" si="91"/>
        <v>0</v>
      </c>
      <c r="K116" s="2"/>
      <c r="L116" s="6">
        <f t="shared" si="92"/>
        <v>160.30000000000001</v>
      </c>
      <c r="M116" s="2"/>
      <c r="N116" s="7">
        <f t="shared" si="93"/>
        <v>0</v>
      </c>
      <c r="O116" s="10"/>
      <c r="P116" s="6">
        <v>160.30000000000001</v>
      </c>
      <c r="Q116" s="2"/>
      <c r="R116" s="7">
        <f t="shared" si="94"/>
        <v>1.1466575672271277E-4</v>
      </c>
      <c r="S116" s="2"/>
      <c r="T116" s="6">
        <v>56.99</v>
      </c>
      <c r="U116" s="2"/>
      <c r="V116" s="7">
        <f t="shared" si="95"/>
        <v>4.1692469994176615E-6</v>
      </c>
      <c r="W116" s="2"/>
      <c r="X116" s="6">
        <f t="shared" si="96"/>
        <v>103.31</v>
      </c>
      <c r="Y116" s="2"/>
      <c r="Z116" s="7">
        <f t="shared" si="97"/>
        <v>1.8127741709071767</v>
      </c>
    </row>
    <row r="117" spans="1:26" s="23" customFormat="1" hidden="1" outlineLevel="2" x14ac:dyDescent="0.25">
      <c r="A117" s="27"/>
      <c r="B117" s="10" t="str">
        <f>CONCATENATE("          ", "6298", " - ", "VEHICLE MILEAGE")</f>
        <v xml:space="preserve">          6298 - VEHICLE MILEAGE</v>
      </c>
      <c r="C117" s="10"/>
      <c r="D117" s="6"/>
      <c r="E117" s="2"/>
      <c r="F117" s="7">
        <f t="shared" si="90"/>
        <v>0</v>
      </c>
      <c r="G117" s="2"/>
      <c r="H117" s="6">
        <v>190.35</v>
      </c>
      <c r="I117" s="2"/>
      <c r="J117" s="7">
        <f t="shared" si="91"/>
        <v>4.3771701887920532E-2</v>
      </c>
      <c r="K117" s="2"/>
      <c r="L117" s="6">
        <f t="shared" si="92"/>
        <v>-190.35</v>
      </c>
      <c r="M117" s="2"/>
      <c r="N117" s="7">
        <f t="shared" si="93"/>
        <v>-1</v>
      </c>
      <c r="O117" s="10"/>
      <c r="P117" s="6">
        <v>332.21</v>
      </c>
      <c r="Q117" s="2"/>
      <c r="R117" s="7">
        <f t="shared" si="94"/>
        <v>2.3763637580070121E-4</v>
      </c>
      <c r="S117" s="2"/>
      <c r="T117" s="6">
        <v>1288.6500000000001</v>
      </c>
      <c r="U117" s="2"/>
      <c r="V117" s="7">
        <f t="shared" si="95"/>
        <v>9.4274436669583616E-5</v>
      </c>
      <c r="W117" s="2"/>
      <c r="X117" s="6">
        <f t="shared" si="96"/>
        <v>-956.44</v>
      </c>
      <c r="Y117" s="2"/>
      <c r="Z117" s="7">
        <f t="shared" si="97"/>
        <v>-0.74220308074341368</v>
      </c>
    </row>
    <row r="118" spans="1:26" s="26" customFormat="1" outlineLevel="1" collapsed="1" x14ac:dyDescent="0.25">
      <c r="A118" s="25"/>
      <c r="B118" s="12" t="str">
        <f>CONCATENATE("     ","Utilities                                         ")</f>
        <v xml:space="preserve">     Utilities                                         </v>
      </c>
      <c r="C118" s="12"/>
      <c r="D118" s="1">
        <f>SUM(OSRRefD22_25x_0)</f>
        <v>3648</v>
      </c>
      <c r="E118" s="1"/>
      <c r="F118" s="5">
        <f t="shared" ref="F118:F119" si="98">IF(D$12=0,0,D118/D$12)</f>
        <v>2.2345656930461387E-2</v>
      </c>
      <c r="G118" s="1"/>
      <c r="H118" s="1">
        <f>SUM(OSRRefH22_25x_0)</f>
        <v>15583</v>
      </c>
      <c r="I118" s="1"/>
      <c r="J118" s="5">
        <f t="shared" ref="J118:J119" si="99">IF(H$12=0,0,H118/H$12)</f>
        <v>3.5833697426817213</v>
      </c>
      <c r="K118" s="1"/>
      <c r="L118" s="1">
        <f t="shared" ref="L118:L119" si="100">+D118-H118</f>
        <v>-11935</v>
      </c>
      <c r="M118" s="1"/>
      <c r="N118" s="5">
        <f t="shared" ref="N118:N119" si="101">IF(H118=0,0,L118/H118)</f>
        <v>-0.76589873580183532</v>
      </c>
      <c r="O118" s="12"/>
      <c r="P118" s="1">
        <f>SUM(OSRRefP22_25x_0)</f>
        <v>2188</v>
      </c>
      <c r="Q118" s="1"/>
      <c r="R118" s="5">
        <f t="shared" ref="R118:R119" si="102">IF(P$12=0,0,P118/P$12)</f>
        <v>1.5651196238883065E-3</v>
      </c>
      <c r="S118" s="1"/>
      <c r="T118" s="1">
        <f>SUM(OSRRefT22_25x_0)</f>
        <v>159219</v>
      </c>
      <c r="U118" s="1"/>
      <c r="V118" s="5">
        <f t="shared" ref="V118:V119" si="103">IF(T$12=0,0,T118/T$12)</f>
        <v>1.1648066994214435E-2</v>
      </c>
      <c r="W118" s="1"/>
      <c r="X118" s="1">
        <f t="shared" ref="X118:X119" si="104">+P118-T118</f>
        <v>-157031</v>
      </c>
      <c r="Y118" s="1"/>
      <c r="Z118" s="5">
        <f t="shared" ref="Z118:Z119" si="105">IF(T118=0,0,X118/T118)</f>
        <v>-0.98625792147922042</v>
      </c>
    </row>
    <row r="119" spans="1:26" s="23" customFormat="1" hidden="1" outlineLevel="2" x14ac:dyDescent="0.25">
      <c r="A119" s="27"/>
      <c r="B119" s="10" t="str">
        <f>CONCATENATE("          ", "6274", " - ", "UTILITIES")</f>
        <v xml:space="preserve">          6274 - UTILITIES</v>
      </c>
      <c r="C119" s="10"/>
      <c r="D119" s="6">
        <v>3648</v>
      </c>
      <c r="E119" s="2"/>
      <c r="F119" s="7">
        <f t="shared" si="98"/>
        <v>2.2345656930461387E-2</v>
      </c>
      <c r="G119" s="2"/>
      <c r="H119" s="6">
        <v>15583</v>
      </c>
      <c r="I119" s="2"/>
      <c r="J119" s="7">
        <f t="shared" si="99"/>
        <v>3.5833697426817213</v>
      </c>
      <c r="K119" s="2"/>
      <c r="L119" s="6">
        <f t="shared" si="100"/>
        <v>-11935</v>
      </c>
      <c r="M119" s="2"/>
      <c r="N119" s="7">
        <f t="shared" si="101"/>
        <v>-0.76589873580183532</v>
      </c>
      <c r="O119" s="10"/>
      <c r="P119" s="6">
        <v>2188</v>
      </c>
      <c r="Q119" s="2"/>
      <c r="R119" s="7">
        <f t="shared" si="102"/>
        <v>1.5651196238883065E-3</v>
      </c>
      <c r="S119" s="2"/>
      <c r="T119" s="6">
        <v>159219</v>
      </c>
      <c r="U119" s="2"/>
      <c r="V119" s="7">
        <f t="shared" si="103"/>
        <v>1.1648066994214435E-2</v>
      </c>
      <c r="W119" s="2"/>
      <c r="X119" s="6">
        <f t="shared" si="104"/>
        <v>-157031</v>
      </c>
      <c r="Y119" s="2"/>
      <c r="Z119" s="7">
        <f t="shared" si="105"/>
        <v>-0.98625792147922042</v>
      </c>
    </row>
    <row r="120" spans="1:26" s="62" customFormat="1" x14ac:dyDescent="0.25">
      <c r="A120" s="37"/>
      <c r="B120" s="37"/>
      <c r="C120" s="37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7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4" customFormat="1" collapsed="1" x14ac:dyDescent="0.25">
      <c r="A121" s="11"/>
      <c r="B121" s="28" t="s">
        <v>292</v>
      </c>
      <c r="C121" s="11"/>
      <c r="D121" s="4">
        <f>SUM(OSRRefD25x_0)</f>
        <v>1579.7400000000002</v>
      </c>
      <c r="E121" s="4"/>
      <c r="F121" s="13">
        <f t="shared" ref="F121:F124" si="106">IF(D$12=0,0,D121/D$12)</f>
        <v>9.6766250217453619E-3</v>
      </c>
      <c r="G121" s="4"/>
      <c r="H121" s="4">
        <f>SUM(OSRRefH25x_0)</f>
        <v>24358.23</v>
      </c>
      <c r="I121" s="4"/>
      <c r="J121" s="13">
        <f t="shared" ref="J121:J124" si="107">IF(H$12=0,0,H121/H$12)</f>
        <v>5.6012670453238904</v>
      </c>
      <c r="K121" s="4"/>
      <c r="L121" s="4">
        <f t="shared" ref="L121:L124" si="108">+D121-H121</f>
        <v>-22778.489999999998</v>
      </c>
      <c r="M121" s="4"/>
      <c r="N121" s="13">
        <f t="shared" ref="N121:N124" si="109">IF(H121=0,0,L121/H121)</f>
        <v>-0.93514553397352762</v>
      </c>
      <c r="O121" s="11"/>
      <c r="P121" s="4">
        <f>SUM(OSRRefP25x_0)</f>
        <v>22445.4</v>
      </c>
      <c r="Q121" s="4"/>
      <c r="R121" s="13">
        <f t="shared" ref="R121:R124" si="110">IF(P$12=0,0,P121/P$12)</f>
        <v>1.6055638028346707E-2</v>
      </c>
      <c r="S121" s="4"/>
      <c r="T121" s="4">
        <f>SUM(OSRRefT25x_0)</f>
        <v>680573.99</v>
      </c>
      <c r="U121" s="4"/>
      <c r="V121" s="13">
        <f t="shared" ref="V121:V124" si="111">IF(T$12=0,0,T121/T$12)</f>
        <v>4.9789104504109588E-2</v>
      </c>
      <c r="W121" s="4"/>
      <c r="X121" s="4">
        <f t="shared" ref="X121:X124" si="112">+P121-T121</f>
        <v>-658128.59</v>
      </c>
      <c r="Y121" s="4"/>
      <c r="Z121" s="13">
        <f t="shared" ref="Z121:Z124" si="113">IF(T121=0,0,X121/T121)</f>
        <v>-0.96701989742511318</v>
      </c>
    </row>
    <row r="122" spans="1:26" s="23" customFormat="1" hidden="1" outlineLevel="1" x14ac:dyDescent="0.25">
      <c r="A122" s="44"/>
      <c r="B122" s="10" t="str">
        <f>CONCATENATE("          ", "9150", " - ", "MISC. INCOME")</f>
        <v xml:space="preserve">          9150 - MISC. INCOME</v>
      </c>
      <c r="C122" s="10"/>
      <c r="D122" s="2">
        <f>--496.99</f>
        <v>496.99</v>
      </c>
      <c r="E122" s="2"/>
      <c r="F122" s="19">
        <f t="shared" si="106"/>
        <v>3.0442894840652427E-3</v>
      </c>
      <c r="G122" s="2"/>
      <c r="H122" s="2">
        <f>--20725.38</f>
        <v>20725.38</v>
      </c>
      <c r="I122" s="2"/>
      <c r="J122" s="19">
        <f t="shared" si="107"/>
        <v>4.7658794582288966</v>
      </c>
      <c r="K122" s="2"/>
      <c r="L122" s="2">
        <f t="shared" si="108"/>
        <v>-20228.39</v>
      </c>
      <c r="M122" s="2"/>
      <c r="N122" s="19">
        <f t="shared" si="109"/>
        <v>-0.97602022254839227</v>
      </c>
      <c r="O122" s="10"/>
      <c r="P122" s="2">
        <f>--5341.48</f>
        <v>5341.48</v>
      </c>
      <c r="Q122" s="2"/>
      <c r="R122" s="19">
        <f t="shared" si="110"/>
        <v>3.820866164811202E-3</v>
      </c>
      <c r="S122" s="2"/>
      <c r="T122" s="2">
        <f>--313984.54</f>
        <v>313984.53999999998</v>
      </c>
      <c r="U122" s="2"/>
      <c r="V122" s="19">
        <f t="shared" si="111"/>
        <v>2.2970329904518944E-2</v>
      </c>
      <c r="W122" s="2"/>
      <c r="X122" s="2">
        <f t="shared" si="112"/>
        <v>-308643.06</v>
      </c>
      <c r="Y122" s="2"/>
      <c r="Z122" s="19">
        <f t="shared" si="113"/>
        <v>-0.98298807960417423</v>
      </c>
    </row>
    <row r="123" spans="1:26" s="23" customFormat="1" hidden="1" outlineLevel="1" x14ac:dyDescent="0.25">
      <c r="A123" s="44"/>
      <c r="B123" s="10" t="str">
        <f>CONCATENATE("          ", "9160", " - ", "MISC. INCOME")</f>
        <v xml:space="preserve">          9160 - MISC. INCOME</v>
      </c>
      <c r="C123" s="10"/>
      <c r="D123" s="2">
        <f>--732.1</f>
        <v>732.1</v>
      </c>
      <c r="E123" s="2"/>
      <c r="F123" s="19">
        <f t="shared" si="106"/>
        <v>4.4844450215983508E-3</v>
      </c>
      <c r="G123" s="2"/>
      <c r="H123" s="2">
        <f>0</f>
        <v>0</v>
      </c>
      <c r="I123" s="2"/>
      <c r="J123" s="19">
        <f t="shared" si="107"/>
        <v>0</v>
      </c>
      <c r="K123" s="2"/>
      <c r="L123" s="2">
        <f t="shared" si="108"/>
        <v>732.1</v>
      </c>
      <c r="M123" s="2"/>
      <c r="N123" s="19">
        <f t="shared" si="109"/>
        <v>0</v>
      </c>
      <c r="O123" s="10"/>
      <c r="P123" s="2">
        <f>--13615.06</f>
        <v>13615.06</v>
      </c>
      <c r="Q123" s="2"/>
      <c r="R123" s="19">
        <f t="shared" si="110"/>
        <v>9.73912138318863E-3</v>
      </c>
      <c r="S123" s="2"/>
      <c r="T123" s="2">
        <f>--130089.32</f>
        <v>130089.32</v>
      </c>
      <c r="U123" s="2"/>
      <c r="V123" s="19">
        <f t="shared" si="111"/>
        <v>9.5170118804401484E-3</v>
      </c>
      <c r="W123" s="2"/>
      <c r="X123" s="2">
        <f t="shared" si="112"/>
        <v>-116474.26000000001</v>
      </c>
      <c r="Y123" s="2"/>
      <c r="Z123" s="19">
        <f t="shared" si="113"/>
        <v>-0.89534067823553853</v>
      </c>
    </row>
    <row r="124" spans="1:26" s="23" customFormat="1" hidden="1" outlineLevel="1" x14ac:dyDescent="0.25">
      <c r="A124" s="44"/>
      <c r="B124" s="10" t="str">
        <f>CONCATENATE("          ", "9165", " - ", "OTHER INCOME")</f>
        <v xml:space="preserve">          9165 - OTHER INCOME</v>
      </c>
      <c r="C124" s="10"/>
      <c r="D124" s="2">
        <f>--350.65</f>
        <v>350.65</v>
      </c>
      <c r="E124" s="2"/>
      <c r="F124" s="19">
        <f t="shared" si="106"/>
        <v>2.1478905160817667E-3</v>
      </c>
      <c r="G124" s="2"/>
      <c r="H124" s="2">
        <f>--3632.85</f>
        <v>3632.85</v>
      </c>
      <c r="I124" s="2"/>
      <c r="J124" s="19">
        <f t="shared" si="107"/>
        <v>0.83538758709499394</v>
      </c>
      <c r="K124" s="2"/>
      <c r="L124" s="2">
        <f t="shared" si="108"/>
        <v>-3282.2</v>
      </c>
      <c r="M124" s="2"/>
      <c r="N124" s="19">
        <f t="shared" si="109"/>
        <v>-0.9034779856035895</v>
      </c>
      <c r="O124" s="10"/>
      <c r="P124" s="2">
        <f>--3488.86</f>
        <v>3488.86</v>
      </c>
      <c r="Q124" s="2"/>
      <c r="R124" s="19">
        <f t="shared" si="110"/>
        <v>2.4956504803468724E-3</v>
      </c>
      <c r="S124" s="2"/>
      <c r="T124" s="2">
        <f>--236500.13</f>
        <v>236500.13</v>
      </c>
      <c r="U124" s="2"/>
      <c r="V124" s="19">
        <f t="shared" si="111"/>
        <v>1.7301762719150498E-2</v>
      </c>
      <c r="W124" s="2"/>
      <c r="X124" s="2">
        <f t="shared" si="112"/>
        <v>-233011.27000000002</v>
      </c>
      <c r="Y124" s="2"/>
      <c r="Z124" s="19">
        <f t="shared" si="113"/>
        <v>-0.98524795736898751</v>
      </c>
    </row>
    <row r="125" spans="1:26" x14ac:dyDescent="0.25">
      <c r="A125" s="9"/>
      <c r="B125" s="11"/>
      <c r="C125" s="11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1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4" customFormat="1" x14ac:dyDescent="0.25">
      <c r="A126" s="11"/>
      <c r="B126" s="29" t="s">
        <v>276</v>
      </c>
      <c r="C126" s="29"/>
      <c r="D126" s="20">
        <f>+D28-D30+D121</f>
        <v>-253588.08000000007</v>
      </c>
      <c r="E126" s="14"/>
      <c r="F126" s="22">
        <f>IF(D$12=0,0,D126/D$12)</f>
        <v>-1.5533421703219294</v>
      </c>
      <c r="G126" s="14"/>
      <c r="H126" s="20">
        <f>+H28-H30+H121</f>
        <v>-257819.47</v>
      </c>
      <c r="I126" s="14"/>
      <c r="J126" s="22">
        <f>IF(H$12=0,0,H126/H$12)</f>
        <v>-59.286561501138273</v>
      </c>
      <c r="K126" s="16"/>
      <c r="L126" s="20">
        <f>+D126-H126</f>
        <v>4231.3899999999267</v>
      </c>
      <c r="M126" s="16"/>
      <c r="N126" s="22">
        <f>IF(H126=0,0,L126/H126)</f>
        <v>-1.6412220535555078E-2</v>
      </c>
      <c r="O126" s="28"/>
      <c r="P126" s="20">
        <f>+P28-P30+P121</f>
        <v>-2390377.4699999997</v>
      </c>
      <c r="Q126" s="14"/>
      <c r="R126" s="22">
        <f>IF(P$12=0,0,P126/P$12)</f>
        <v>-1.7098842261414446</v>
      </c>
      <c r="S126" s="14"/>
      <c r="T126" s="20">
        <f>+T28-T30+T121</f>
        <v>1357710.6199999989</v>
      </c>
      <c r="U126" s="14"/>
      <c r="V126" s="22">
        <f>IF(T$12=0,0,T126/T$12)</f>
        <v>9.9326740279215453E-2</v>
      </c>
      <c r="W126" s="16"/>
      <c r="X126" s="20">
        <f>+P126-T126</f>
        <v>-3748088.0899999989</v>
      </c>
      <c r="Y126" s="16"/>
      <c r="Z126" s="22">
        <f>IF(T126=0,0,X126/T126)</f>
        <v>-2.7605942199966012</v>
      </c>
    </row>
    <row r="127" spans="1:26" x14ac:dyDescent="0.25">
      <c r="A127" s="9"/>
      <c r="B127" s="11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4" customFormat="1" x14ac:dyDescent="0.25">
      <c r="A128" s="51"/>
      <c r="B128" s="11" t="s">
        <v>127</v>
      </c>
      <c r="C128" s="11"/>
      <c r="D128" s="4">
        <v>37996.35</v>
      </c>
      <c r="E128" s="4"/>
      <c r="F128" s="13">
        <f>IF(D$12=0,0,D128/D$12)</f>
        <v>0.23274490178446725</v>
      </c>
      <c r="G128" s="4"/>
      <c r="H128" s="4">
        <v>87817.48</v>
      </c>
      <c r="I128" s="4"/>
      <c r="J128" s="13">
        <f>IF(H$12=0,0,H128/H$12)</f>
        <v>20.193961413755837</v>
      </c>
      <c r="K128" s="4"/>
      <c r="L128" s="4">
        <f>+D128-H128</f>
        <v>-49821.13</v>
      </c>
      <c r="M128" s="4"/>
      <c r="N128" s="13">
        <f>IF(H128=0,0,L128/H128)</f>
        <v>-0.56732589001642952</v>
      </c>
      <c r="O128" s="11"/>
      <c r="P128" s="4">
        <v>292462.28999999998</v>
      </c>
      <c r="Q128" s="4"/>
      <c r="R128" s="13">
        <f>IF(P$12=0,0,P128/P$12)</f>
        <v>0.20920405362262923</v>
      </c>
      <c r="S128" s="4"/>
      <c r="T128" s="4">
        <v>1552032.44</v>
      </c>
      <c r="U128" s="4"/>
      <c r="V128" s="13">
        <f>IF(T$12=0,0,T128/T$12)</f>
        <v>0.1135428424893643</v>
      </c>
      <c r="W128" s="4"/>
      <c r="X128" s="4">
        <f>+P128-T128</f>
        <v>-1259570.1499999999</v>
      </c>
      <c r="Y128" s="4"/>
      <c r="Z128" s="13">
        <f>IF(T128=0,0,X128/T128)</f>
        <v>-0.81156174158318495</v>
      </c>
    </row>
    <row r="129" spans="1:26" x14ac:dyDescent="0.25">
      <c r="A129" s="9"/>
      <c r="B129" s="11"/>
      <c r="C129" s="11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1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4" customFormat="1" ht="15.75" thickBot="1" x14ac:dyDescent="0.3">
      <c r="A130" s="11"/>
      <c r="B130" s="29" t="s">
        <v>125</v>
      </c>
      <c r="C130" s="29"/>
      <c r="D130" s="30">
        <f>+D126-D128</f>
        <v>-291584.43000000005</v>
      </c>
      <c r="E130" s="14"/>
      <c r="F130" s="34">
        <f>IF(D$12=0,0,D130/D$12)</f>
        <v>-1.7860870721063966</v>
      </c>
      <c r="G130" s="14"/>
      <c r="H130" s="30">
        <f>+H126-H128</f>
        <v>-345636.95</v>
      </c>
      <c r="I130" s="14"/>
      <c r="J130" s="34">
        <f>IF(H$12=0,0,H130/H$12)</f>
        <v>-79.480522914894109</v>
      </c>
      <c r="K130" s="16"/>
      <c r="L130" s="30">
        <f>D130-H130</f>
        <v>54052.51999999996</v>
      </c>
      <c r="M130" s="16"/>
      <c r="N130" s="34">
        <f>IF(H130=0,0,L130/H130)</f>
        <v>-0.15638524758420638</v>
      </c>
      <c r="O130" s="28"/>
      <c r="P130" s="30">
        <f>+P126-P128</f>
        <v>-2682839.7599999998</v>
      </c>
      <c r="Q130" s="14"/>
      <c r="R130" s="34">
        <f>IF(P$12=0,0,P130/P$12)</f>
        <v>-1.919088279764074</v>
      </c>
      <c r="S130" s="14"/>
      <c r="T130" s="30">
        <f>+T126-T128</f>
        <v>-194321.820000001</v>
      </c>
      <c r="U130" s="14"/>
      <c r="V130" s="34">
        <f>IF(T$12=0,0,T130/T$12)</f>
        <v>-1.4216102210148853E-2</v>
      </c>
      <c r="W130" s="16"/>
      <c r="X130" s="30">
        <f>P130-T130</f>
        <v>-2488517.9399999985</v>
      </c>
      <c r="Y130" s="16"/>
      <c r="Z130" s="34">
        <f>IF(T130=0,0,X130/T130)</f>
        <v>12.806168344862074</v>
      </c>
    </row>
    <row r="131" spans="1:26" ht="15.75" thickTop="1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4" customFormat="1" ht="15.75" thickBot="1" x14ac:dyDescent="0.3">
      <c r="A133" s="11"/>
      <c r="B133" s="29" t="s">
        <v>293</v>
      </c>
      <c r="C133" s="29"/>
      <c r="D133" s="32">
        <f>SUM(D130:D132)</f>
        <v>-291584.43000000005</v>
      </c>
      <c r="E133" s="14"/>
      <c r="F133" s="35">
        <f>IF(D$12=0,0,D133/D$12)</f>
        <v>-1.7860870721063966</v>
      </c>
      <c r="G133" s="14"/>
      <c r="H133" s="32">
        <f>SUM(H130:H132)</f>
        <v>-345636.95</v>
      </c>
      <c r="I133" s="14"/>
      <c r="J133" s="35">
        <f>IF(H$12=0,0,H133/H$12)</f>
        <v>-79.480522914894109</v>
      </c>
      <c r="K133" s="16"/>
      <c r="L133" s="32">
        <f>+D133-H133</f>
        <v>54052.51999999996</v>
      </c>
      <c r="M133" s="16"/>
      <c r="N133" s="35">
        <f>IF(H133=0,0,L133/H133)</f>
        <v>-0.15638524758420638</v>
      </c>
      <c r="O133" s="28"/>
      <c r="P133" s="32">
        <f>SUM(P130:P132)</f>
        <v>-2682839.7599999998</v>
      </c>
      <c r="Q133" s="14"/>
      <c r="R133" s="35">
        <f>IF(P$12=0,0,P133/P$12)</f>
        <v>-1.919088279764074</v>
      </c>
      <c r="S133" s="14"/>
      <c r="T133" s="32">
        <f>SUM(T130:T132)</f>
        <v>-194321.820000001</v>
      </c>
      <c r="U133" s="14"/>
      <c r="V133" s="35">
        <f>IF(T$12=0,0,T133/T$12)</f>
        <v>-1.4216102210148853E-2</v>
      </c>
      <c r="W133" s="16"/>
      <c r="X133" s="32">
        <f>+P133-T133</f>
        <v>-2488517.9399999985</v>
      </c>
      <c r="Y133" s="16"/>
      <c r="Z133" s="35">
        <f>IF(T133=0,0,X133/T133)</f>
        <v>12.806168344862074</v>
      </c>
    </row>
    <row r="134" spans="1:26" ht="15.75" thickTop="1" x14ac:dyDescent="0.25">
      <c r="A134" s="9"/>
      <c r="C134" s="9"/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A135" s="9"/>
      <c r="B135" s="59">
        <v>44330.008817557871</v>
      </c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  <row r="136" spans="1:26" x14ac:dyDescent="0.25">
      <c r="A136" s="9"/>
      <c r="B136" s="52" t="s">
        <v>56</v>
      </c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  <row r="137" spans="1:26" x14ac:dyDescent="0.25">
      <c r="A137" s="9"/>
      <c r="B137" s="55"/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  <row r="138" spans="1:26" x14ac:dyDescent="0.25"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55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73139.31</v>
      </c>
      <c r="E12" s="4"/>
      <c r="F12" s="13"/>
      <c r="G12" s="4"/>
      <c r="H12" s="4">
        <f>SUM(OSRRefH13x_0)</f>
        <v>45.309999999999995</v>
      </c>
      <c r="I12" s="4"/>
      <c r="J12" s="13"/>
      <c r="K12" s="4"/>
      <c r="L12" s="4">
        <f t="shared" ref="L12:L28" si="0">+D12-H12</f>
        <v>73094</v>
      </c>
      <c r="M12" s="4"/>
      <c r="N12" s="13">
        <f t="shared" ref="N12:N28" si="1">IF(H12=0,0,L12/H12)</f>
        <v>1613.1979695431473</v>
      </c>
      <c r="O12" s="11"/>
      <c r="P12" s="4">
        <f>SUM(OSRRefP13x_0)</f>
        <v>459493.23</v>
      </c>
      <c r="Q12" s="4"/>
      <c r="R12" s="13"/>
      <c r="S12" s="4"/>
      <c r="T12" s="4">
        <f>SUM(OSRRefT13x_0)</f>
        <v>6984123.2400000002</v>
      </c>
      <c r="U12" s="4"/>
      <c r="V12" s="13"/>
      <c r="W12" s="4"/>
      <c r="X12" s="4">
        <f t="shared" ref="X12:X28" si="2">+P12-T12</f>
        <v>-6524630.0099999998</v>
      </c>
      <c r="Y12" s="4"/>
      <c r="Z12" s="13">
        <f t="shared" ref="Z12:Z28" si="3">IF(T12=0,0,X12/T12)</f>
        <v>-0.93420888861634688</v>
      </c>
    </row>
    <row r="13" spans="1:26" s="23" customFormat="1" hidden="1" outlineLevel="1" x14ac:dyDescent="0.25">
      <c r="A13" s="44"/>
      <c r="B13" s="10" t="str">
        <f>CONCATENATE("          ", "4032", " - ", "TAXABLE SALES-JUICE")</f>
        <v xml:space="preserve">          4032 - TAXABLE SALES-JUICE</v>
      </c>
      <c r="C13" s="10"/>
      <c r="D13" s="2">
        <f t="shared" ref="D13:D14" si="4">0</f>
        <v>0</v>
      </c>
      <c r="E13" s="2"/>
      <c r="F13" s="19"/>
      <c r="G13" s="2"/>
      <c r="H13" s="2">
        <f>--1.35</f>
        <v>1.35</v>
      </c>
      <c r="I13" s="2"/>
      <c r="J13" s="19"/>
      <c r="K13" s="2"/>
      <c r="L13" s="2">
        <f t="shared" si="0"/>
        <v>-1.35</v>
      </c>
      <c r="M13" s="2"/>
      <c r="N13" s="19">
        <f t="shared" si="1"/>
        <v>-1</v>
      </c>
      <c r="O13" s="10"/>
      <c r="P13" s="2">
        <f>--444.59</f>
        <v>444.59</v>
      </c>
      <c r="Q13" s="2"/>
      <c r="R13" s="19"/>
      <c r="S13" s="2"/>
      <c r="T13" s="2">
        <f>--275749.46</f>
        <v>275749.46000000002</v>
      </c>
      <c r="U13" s="2"/>
      <c r="V13" s="19"/>
      <c r="W13" s="2"/>
      <c r="X13" s="2">
        <f t="shared" si="2"/>
        <v>-275304.87</v>
      </c>
      <c r="Y13" s="2"/>
      <c r="Z13" s="19">
        <f t="shared" si="3"/>
        <v>-0.99838770309831237</v>
      </c>
    </row>
    <row r="14" spans="1:26" s="23" customFormat="1" hidden="1" outlineLevel="1" x14ac:dyDescent="0.25">
      <c r="A14" s="44"/>
      <c r="B14" s="10" t="str">
        <f>CONCATENATE("          ", "4034", " - ", "TAXABLE SALES-SODA")</f>
        <v xml:space="preserve">          4034 - TAXABLE SALES-SODA</v>
      </c>
      <c r="C14" s="10"/>
      <c r="D14" s="2">
        <f t="shared" si="4"/>
        <v>0</v>
      </c>
      <c r="E14" s="2"/>
      <c r="F14" s="19"/>
      <c r="G14" s="2"/>
      <c r="H14" s="2">
        <f>--3.4</f>
        <v>3.4</v>
      </c>
      <c r="I14" s="2"/>
      <c r="J14" s="19"/>
      <c r="K14" s="2"/>
      <c r="L14" s="2">
        <f t="shared" si="0"/>
        <v>-3.4</v>
      </c>
      <c r="M14" s="2"/>
      <c r="N14" s="19">
        <f t="shared" si="1"/>
        <v>-1</v>
      </c>
      <c r="O14" s="10"/>
      <c r="P14" s="2">
        <f>0</f>
        <v>0</v>
      </c>
      <c r="Q14" s="2"/>
      <c r="R14" s="19"/>
      <c r="S14" s="2"/>
      <c r="T14" s="2">
        <f>--3121.95</f>
        <v>3121.95</v>
      </c>
      <c r="U14" s="2"/>
      <c r="V14" s="19"/>
      <c r="W14" s="2"/>
      <c r="X14" s="2">
        <f t="shared" si="2"/>
        <v>-3121.95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"4051", " - ", "TAXABLE SALES-FOOD")</f>
        <v xml:space="preserve">          4051 - TAXABLE SALES-FOOD</v>
      </c>
      <c r="C15" s="10"/>
      <c r="D15" s="2">
        <f>--6552.2</f>
        <v>6552.2</v>
      </c>
      <c r="E15" s="2"/>
      <c r="F15" s="19"/>
      <c r="G15" s="2"/>
      <c r="H15" s="2">
        <f t="shared" ref="H15:H19" si="5">0</f>
        <v>0</v>
      </c>
      <c r="I15" s="2"/>
      <c r="J15" s="19"/>
      <c r="K15" s="2"/>
      <c r="L15" s="2">
        <f t="shared" si="0"/>
        <v>6552.2</v>
      </c>
      <c r="M15" s="2"/>
      <c r="N15" s="19">
        <f t="shared" si="1"/>
        <v>0</v>
      </c>
      <c r="O15" s="10"/>
      <c r="P15" s="2">
        <f>--32121.26</f>
        <v>32121.26</v>
      </c>
      <c r="Q15" s="2"/>
      <c r="R15" s="19"/>
      <c r="S15" s="2"/>
      <c r="T15" s="2">
        <f>--604143.21</f>
        <v>604143.21</v>
      </c>
      <c r="U15" s="2"/>
      <c r="V15" s="19"/>
      <c r="W15" s="2"/>
      <c r="X15" s="2">
        <f t="shared" si="2"/>
        <v>-572021.94999999995</v>
      </c>
      <c r="Y15" s="2"/>
      <c r="Z15" s="19">
        <f t="shared" si="3"/>
        <v>-0.94683171230212115</v>
      </c>
    </row>
    <row r="16" spans="1:26" s="23" customFormat="1" hidden="1" outlineLevel="1" x14ac:dyDescent="0.25">
      <c r="A16" s="44"/>
      <c r="B16" s="10" t="str">
        <f>CONCATENATE("          ", "4052", " - ", "TAXABLE SALES-FOOD")</f>
        <v xml:space="preserve">          4052 - TAXABLE SALES-FOOD</v>
      </c>
      <c r="C16" s="10"/>
      <c r="D16" s="2">
        <f>--48734.68</f>
        <v>48734.68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48734.68</v>
      </c>
      <c r="M16" s="2"/>
      <c r="N16" s="19">
        <f t="shared" si="1"/>
        <v>0</v>
      </c>
      <c r="O16" s="10"/>
      <c r="P16" s="2">
        <f>--380674.79</f>
        <v>380674.79</v>
      </c>
      <c r="Q16" s="2"/>
      <c r="R16" s="19"/>
      <c r="S16" s="2"/>
      <c r="T16" s="2">
        <f>--836487.29</f>
        <v>836487.29</v>
      </c>
      <c r="U16" s="2"/>
      <c r="V16" s="19"/>
      <c r="W16" s="2"/>
      <c r="X16" s="2">
        <f t="shared" si="2"/>
        <v>-455812.50000000006</v>
      </c>
      <c r="Y16" s="2"/>
      <c r="Z16" s="19">
        <f t="shared" si="3"/>
        <v>-0.54491264296436592</v>
      </c>
    </row>
    <row r="17" spans="1:26" s="23" customFormat="1" hidden="1" outlineLevel="1" x14ac:dyDescent="0.25">
      <c r="A17" s="44"/>
      <c r="B17" s="10" t="str">
        <f>CONCATENATE("          ", "4053", " - ", "TAXABLE SALES-FOOD")</f>
        <v xml:space="preserve">          4053 - TAXABLE SALES-FOOD</v>
      </c>
      <c r="C17" s="10"/>
      <c r="D17" s="2">
        <f t="shared" ref="D17:D23" si="6">0</f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ref="P17:P18" si="7">0</f>
        <v>0</v>
      </c>
      <c r="Q17" s="2"/>
      <c r="R17" s="19"/>
      <c r="S17" s="2"/>
      <c r="T17" s="2">
        <f>--253270.4</f>
        <v>253270.39999999999</v>
      </c>
      <c r="U17" s="2"/>
      <c r="V17" s="19"/>
      <c r="W17" s="2"/>
      <c r="X17" s="2">
        <f t="shared" si="2"/>
        <v>-253270.39999999999</v>
      </c>
      <c r="Y17" s="2"/>
      <c r="Z17" s="19">
        <f t="shared" si="3"/>
        <v>-1</v>
      </c>
    </row>
    <row r="18" spans="1:26" s="23" customFormat="1" hidden="1" outlineLevel="1" x14ac:dyDescent="0.25">
      <c r="A18" s="44"/>
      <c r="B18" s="10" t="str">
        <f>CONCATENATE("          ", "4055", " - ", "TAXABLE SALES-FOOD")</f>
        <v xml:space="preserve">          4055 - TAXABLE SALES-FOOD</v>
      </c>
      <c r="C18" s="10"/>
      <c r="D18" s="2">
        <f t="shared" si="6"/>
        <v>0</v>
      </c>
      <c r="E18" s="2"/>
      <c r="F18" s="19"/>
      <c r="G18" s="2"/>
      <c r="H18" s="2">
        <f t="shared" si="5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0"/>
      <c r="P18" s="2">
        <f t="shared" si="7"/>
        <v>0</v>
      </c>
      <c r="Q18" s="2"/>
      <c r="R18" s="19"/>
      <c r="S18" s="2"/>
      <c r="T18" s="2">
        <f>--381406.04</f>
        <v>381406.04</v>
      </c>
      <c r="U18" s="2"/>
      <c r="V18" s="19"/>
      <c r="W18" s="2"/>
      <c r="X18" s="2">
        <f t="shared" si="2"/>
        <v>-381406.04</v>
      </c>
      <c r="Y18" s="2"/>
      <c r="Z18" s="19">
        <f t="shared" si="3"/>
        <v>-1</v>
      </c>
    </row>
    <row r="19" spans="1:26" s="23" customFormat="1" hidden="1" outlineLevel="1" x14ac:dyDescent="0.25">
      <c r="A19" s="44"/>
      <c r="B19" s="10" t="str">
        <f>CONCATENATE("          ", "4058", " - ", "TAXABLE SALES-FOOD")</f>
        <v xml:space="preserve">          4058 - TAXABLE SALES-FOOD</v>
      </c>
      <c r="C19" s="10"/>
      <c r="D19" s="2">
        <f t="shared" si="6"/>
        <v>0</v>
      </c>
      <c r="E19" s="2"/>
      <c r="F19" s="19"/>
      <c r="G19" s="2"/>
      <c r="H19" s="2">
        <f t="shared" si="5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0"/>
      <c r="P19" s="2">
        <f>--974.91</f>
        <v>974.91</v>
      </c>
      <c r="Q19" s="2"/>
      <c r="R19" s="19"/>
      <c r="S19" s="2"/>
      <c r="T19" s="2">
        <f>--117077.57</f>
        <v>117077.57</v>
      </c>
      <c r="U19" s="2"/>
      <c r="V19" s="19"/>
      <c r="W19" s="2"/>
      <c r="X19" s="2">
        <f t="shared" si="2"/>
        <v>-116102.66</v>
      </c>
      <c r="Y19" s="2"/>
      <c r="Z19" s="19">
        <f t="shared" si="3"/>
        <v>-0.99167295665600164</v>
      </c>
    </row>
    <row r="20" spans="1:26" s="23" customFormat="1" hidden="1" outlineLevel="1" x14ac:dyDescent="0.25">
      <c r="A20" s="44"/>
      <c r="B20" s="10" t="str">
        <f>CONCATENATE("          ", "4132", " - ", "NON-TAXABLE SALES-JUICE")</f>
        <v xml:space="preserve">          4132 - NON-TAXABLE SALES-JUICE</v>
      </c>
      <c r="C20" s="10"/>
      <c r="D20" s="2">
        <f t="shared" si="6"/>
        <v>0</v>
      </c>
      <c r="E20" s="2"/>
      <c r="F20" s="19"/>
      <c r="G20" s="2"/>
      <c r="H20" s="2">
        <f>--0.05</f>
        <v>0.05</v>
      </c>
      <c r="I20" s="2"/>
      <c r="J20" s="19"/>
      <c r="K20" s="2"/>
      <c r="L20" s="2">
        <f t="shared" si="0"/>
        <v>-0.05</v>
      </c>
      <c r="M20" s="2"/>
      <c r="N20" s="19">
        <f t="shared" si="1"/>
        <v>-1</v>
      </c>
      <c r="O20" s="10"/>
      <c r="P20" s="2">
        <f>--2031.88</f>
        <v>2031.88</v>
      </c>
      <c r="Q20" s="2"/>
      <c r="R20" s="19"/>
      <c r="S20" s="2"/>
      <c r="T20" s="2">
        <f>--1093778.15</f>
        <v>1093778.1499999999</v>
      </c>
      <c r="U20" s="2"/>
      <c r="V20" s="19"/>
      <c r="W20" s="2"/>
      <c r="X20" s="2">
        <f t="shared" si="2"/>
        <v>-1091746.27</v>
      </c>
      <c r="Y20" s="2"/>
      <c r="Z20" s="19">
        <f t="shared" si="3"/>
        <v>-0.99814232895400234</v>
      </c>
    </row>
    <row r="21" spans="1:26" s="23" customFormat="1" hidden="1" outlineLevel="1" x14ac:dyDescent="0.25">
      <c r="A21" s="44"/>
      <c r="B21" s="10" t="str">
        <f>CONCATENATE("          ", "4133", " - ", "NON-TAXABLE SALES-CANDY")</f>
        <v xml:space="preserve">          4133 - NON-TAXABLE SALES-CANDY</v>
      </c>
      <c r="C21" s="10"/>
      <c r="D21" s="2">
        <f t="shared" si="6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ref="P21:P23" si="8">0</f>
        <v>0</v>
      </c>
      <c r="Q21" s="2"/>
      <c r="R21" s="19"/>
      <c r="S21" s="2"/>
      <c r="T21" s="2">
        <f>--1.59</f>
        <v>1.59</v>
      </c>
      <c r="U21" s="2"/>
      <c r="V21" s="19"/>
      <c r="W21" s="2"/>
      <c r="X21" s="2">
        <f t="shared" si="2"/>
        <v>-1.59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"4134", " - ", "NON-TAXABLE SALES-SODA")</f>
        <v xml:space="preserve">          4134 - NON-TAXABLE SALES-SODA</v>
      </c>
      <c r="C22" s="10"/>
      <c r="D22" s="2">
        <f t="shared" si="6"/>
        <v>0</v>
      </c>
      <c r="E22" s="2"/>
      <c r="F22" s="19"/>
      <c r="G22" s="2"/>
      <c r="H22" s="2">
        <f>--35.86</f>
        <v>35.86</v>
      </c>
      <c r="I22" s="2"/>
      <c r="J22" s="19"/>
      <c r="K22" s="2"/>
      <c r="L22" s="2">
        <f t="shared" si="0"/>
        <v>-35.86</v>
      </c>
      <c r="M22" s="2"/>
      <c r="N22" s="19">
        <f t="shared" si="1"/>
        <v>-1</v>
      </c>
      <c r="O22" s="10"/>
      <c r="P22" s="2">
        <f t="shared" si="8"/>
        <v>0</v>
      </c>
      <c r="Q22" s="2"/>
      <c r="R22" s="19"/>
      <c r="S22" s="2"/>
      <c r="T22" s="2">
        <f>--71.2</f>
        <v>71.2</v>
      </c>
      <c r="U22" s="2"/>
      <c r="V22" s="19"/>
      <c r="W22" s="2"/>
      <c r="X22" s="2">
        <f t="shared" si="2"/>
        <v>-71.2</v>
      </c>
      <c r="Y22" s="2"/>
      <c r="Z22" s="19">
        <f t="shared" si="3"/>
        <v>-1</v>
      </c>
    </row>
    <row r="23" spans="1:26" s="23" customFormat="1" hidden="1" outlineLevel="1" x14ac:dyDescent="0.25">
      <c r="A23" s="44"/>
      <c r="B23" s="10" t="str">
        <f>CONCATENATE("          ", "4137", " - ", "NON-TAXABLE SALES-WATER")</f>
        <v xml:space="preserve">          4137 - NON-TAXABLE SALES-WATER</v>
      </c>
      <c r="C23" s="10"/>
      <c r="D23" s="2">
        <f t="shared" si="6"/>
        <v>0</v>
      </c>
      <c r="E23" s="2"/>
      <c r="F23" s="19"/>
      <c r="G23" s="2"/>
      <c r="H23" s="2">
        <f>--4.65</f>
        <v>4.6500000000000004</v>
      </c>
      <c r="I23" s="2"/>
      <c r="J23" s="19"/>
      <c r="K23" s="2"/>
      <c r="L23" s="2">
        <f t="shared" si="0"/>
        <v>-4.6500000000000004</v>
      </c>
      <c r="M23" s="2"/>
      <c r="N23" s="19">
        <f t="shared" si="1"/>
        <v>-1</v>
      </c>
      <c r="O23" s="10"/>
      <c r="P23" s="2">
        <f t="shared" si="8"/>
        <v>0</v>
      </c>
      <c r="Q23" s="2"/>
      <c r="R23" s="19"/>
      <c r="S23" s="2"/>
      <c r="T23" s="2">
        <f>--1573.44</f>
        <v>1573.44</v>
      </c>
      <c r="U23" s="2"/>
      <c r="V23" s="19"/>
      <c r="W23" s="2"/>
      <c r="X23" s="2">
        <f t="shared" si="2"/>
        <v>-1573.44</v>
      </c>
      <c r="Y23" s="2"/>
      <c r="Z23" s="19">
        <f t="shared" si="3"/>
        <v>-1</v>
      </c>
    </row>
    <row r="24" spans="1:26" s="23" customFormat="1" hidden="1" outlineLevel="1" x14ac:dyDescent="0.25">
      <c r="A24" s="44"/>
      <c r="B24" s="10" t="str">
        <f>CONCATENATE("          ", "4151", " - ", "NON-TAXABLE SALES-FOOD")</f>
        <v xml:space="preserve">          4151 - NON-TAXABLE SALES-FOOD</v>
      </c>
      <c r="C24" s="10"/>
      <c r="D24" s="2">
        <f>--6219.58</f>
        <v>6219.58</v>
      </c>
      <c r="E24" s="2"/>
      <c r="F24" s="19"/>
      <c r="G24" s="2"/>
      <c r="H24" s="2">
        <f t="shared" ref="H24:H28" si="9">0</f>
        <v>0</v>
      </c>
      <c r="I24" s="2"/>
      <c r="J24" s="19"/>
      <c r="K24" s="2"/>
      <c r="L24" s="2">
        <f t="shared" si="0"/>
        <v>6219.58</v>
      </c>
      <c r="M24" s="2"/>
      <c r="N24" s="19">
        <f t="shared" si="1"/>
        <v>0</v>
      </c>
      <c r="O24" s="10"/>
      <c r="P24" s="2">
        <f>--31268.4</f>
        <v>31268.400000000001</v>
      </c>
      <c r="Q24" s="2"/>
      <c r="R24" s="19"/>
      <c r="S24" s="2"/>
      <c r="T24" s="2">
        <f>--2191470.18</f>
        <v>2191470.1800000002</v>
      </c>
      <c r="U24" s="2"/>
      <c r="V24" s="19"/>
      <c r="W24" s="2"/>
      <c r="X24" s="2">
        <f t="shared" si="2"/>
        <v>-2160201.7800000003</v>
      </c>
      <c r="Y24" s="2"/>
      <c r="Z24" s="19">
        <f t="shared" si="3"/>
        <v>-0.98573177025844816</v>
      </c>
    </row>
    <row r="25" spans="1:26" s="23" customFormat="1" hidden="1" outlineLevel="1" x14ac:dyDescent="0.25">
      <c r="A25" s="44"/>
      <c r="B25" s="10" t="str">
        <f>CONCATENATE("          ", "4152", " - ", "NON-TAXABLE SALES-FOOD")</f>
        <v xml:space="preserve">          4152 - NON-TAXABLE SALES-FOOD</v>
      </c>
      <c r="C25" s="10"/>
      <c r="D25" s="2">
        <f>--11580.95</f>
        <v>11580.95</v>
      </c>
      <c r="E25" s="2"/>
      <c r="F25" s="19"/>
      <c r="G25" s="2"/>
      <c r="H25" s="2">
        <f t="shared" si="9"/>
        <v>0</v>
      </c>
      <c r="I25" s="2"/>
      <c r="J25" s="19"/>
      <c r="K25" s="2"/>
      <c r="L25" s="2">
        <f t="shared" si="0"/>
        <v>11580.95</v>
      </c>
      <c r="M25" s="2"/>
      <c r="N25" s="19">
        <f t="shared" si="1"/>
        <v>0</v>
      </c>
      <c r="O25" s="10"/>
      <c r="P25" s="2">
        <f>--11580.95</f>
        <v>11580.95</v>
      </c>
      <c r="Q25" s="2"/>
      <c r="R25" s="19"/>
      <c r="S25" s="2"/>
      <c r="T25" s="2">
        <f>--51415.27</f>
        <v>51415.27</v>
      </c>
      <c r="U25" s="2"/>
      <c r="V25" s="19"/>
      <c r="W25" s="2"/>
      <c r="X25" s="2">
        <f t="shared" si="2"/>
        <v>-39834.319999999992</v>
      </c>
      <c r="Y25" s="2"/>
      <c r="Z25" s="19">
        <f t="shared" si="3"/>
        <v>-0.77475660440954597</v>
      </c>
    </row>
    <row r="26" spans="1:26" s="23" customFormat="1" hidden="1" outlineLevel="1" x14ac:dyDescent="0.25">
      <c r="A26" s="44"/>
      <c r="B26" s="10" t="str">
        <f>CONCATENATE("          ", "4153", " - ", "NON-TAXABLE SALES-FOOD")</f>
        <v xml:space="preserve">          4153 - NON-TAXABLE SALES-FOOD</v>
      </c>
      <c r="C26" s="10"/>
      <c r="D26" s="2">
        <f>--51.9</f>
        <v>51.9</v>
      </c>
      <c r="E26" s="2"/>
      <c r="F26" s="19"/>
      <c r="G26" s="2"/>
      <c r="H26" s="2">
        <f t="shared" si="9"/>
        <v>0</v>
      </c>
      <c r="I26" s="2"/>
      <c r="J26" s="19"/>
      <c r="K26" s="2"/>
      <c r="L26" s="2">
        <f t="shared" si="0"/>
        <v>51.9</v>
      </c>
      <c r="M26" s="2"/>
      <c r="N26" s="19">
        <f t="shared" si="1"/>
        <v>0</v>
      </c>
      <c r="O26" s="10"/>
      <c r="P26" s="2">
        <f>--396.45</f>
        <v>396.45</v>
      </c>
      <c r="Q26" s="2"/>
      <c r="R26" s="19"/>
      <c r="S26" s="2"/>
      <c r="T26" s="2">
        <f>--12314.09</f>
        <v>12314.09</v>
      </c>
      <c r="U26" s="2"/>
      <c r="V26" s="19"/>
      <c r="W26" s="2"/>
      <c r="X26" s="2">
        <f t="shared" si="2"/>
        <v>-11917.64</v>
      </c>
      <c r="Y26" s="2"/>
      <c r="Z26" s="19">
        <f t="shared" si="3"/>
        <v>-0.96780517277362754</v>
      </c>
    </row>
    <row r="27" spans="1:26" s="23" customFormat="1" hidden="1" outlineLevel="1" x14ac:dyDescent="0.25">
      <c r="A27" s="44"/>
      <c r="B27" s="10" t="str">
        <f>CONCATENATE("          ", "4155", " - ", "NON-TAXABLE SALES-FOOD")</f>
        <v xml:space="preserve">          4155 - NON-TAXABLE SALES-FOOD</v>
      </c>
      <c r="C27" s="10"/>
      <c r="D27" s="2">
        <f t="shared" ref="D27:D28" si="10">0</f>
        <v>0</v>
      </c>
      <c r="E27" s="2"/>
      <c r="F27" s="19"/>
      <c r="G27" s="2"/>
      <c r="H27" s="2">
        <f t="shared" si="9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0"/>
      <c r="P27" s="2">
        <f t="shared" ref="P27:P28" si="11">0</f>
        <v>0</v>
      </c>
      <c r="Q27" s="2"/>
      <c r="R27" s="19"/>
      <c r="S27" s="2"/>
      <c r="T27" s="2">
        <f>--687389.73</f>
        <v>687389.73</v>
      </c>
      <c r="U27" s="2"/>
      <c r="V27" s="19"/>
      <c r="W27" s="2"/>
      <c r="X27" s="2">
        <f t="shared" si="2"/>
        <v>-687389.73</v>
      </c>
      <c r="Y27" s="2"/>
      <c r="Z27" s="19">
        <f t="shared" si="3"/>
        <v>-1</v>
      </c>
    </row>
    <row r="28" spans="1:26" s="23" customFormat="1" hidden="1" outlineLevel="1" x14ac:dyDescent="0.25">
      <c r="A28" s="44"/>
      <c r="B28" s="10" t="str">
        <f>CONCATENATE("          ", "4158", " - ", "NON-TAXABLE SALES-FOOD")</f>
        <v xml:space="preserve">          4158 - NON-TAXABLE SALES-FOOD</v>
      </c>
      <c r="C28" s="10"/>
      <c r="D28" s="2">
        <f t="shared" si="10"/>
        <v>0</v>
      </c>
      <c r="E28" s="2"/>
      <c r="F28" s="19"/>
      <c r="G28" s="2"/>
      <c r="H28" s="2">
        <f t="shared" si="9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0"/>
      <c r="P28" s="2">
        <f t="shared" si="11"/>
        <v>0</v>
      </c>
      <c r="Q28" s="2"/>
      <c r="R28" s="19"/>
      <c r="S28" s="2"/>
      <c r="T28" s="2">
        <f>--474853.67</f>
        <v>474853.67</v>
      </c>
      <c r="U28" s="2"/>
      <c r="V28" s="19"/>
      <c r="W28" s="2"/>
      <c r="X28" s="2">
        <f t="shared" si="2"/>
        <v>-474853.67</v>
      </c>
      <c r="Y28" s="2"/>
      <c r="Z28" s="19">
        <f t="shared" si="3"/>
        <v>-1</v>
      </c>
    </row>
    <row r="29" spans="1:26" x14ac:dyDescent="0.25">
      <c r="A29" s="9"/>
      <c r="B29" s="11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4" customFormat="1" collapsed="1" x14ac:dyDescent="0.25">
      <c r="A30" s="11"/>
      <c r="B30" s="28" t="s">
        <v>256</v>
      </c>
      <c r="C30" s="11"/>
      <c r="D30" s="4">
        <f>SUM(OSRRefD16x_0)</f>
        <v>4076.83</v>
      </c>
      <c r="E30" s="4"/>
      <c r="F30" s="13">
        <f t="shared" ref="F30:F32" si="12">IF(D$12=0,0,D30/D$12)</f>
        <v>5.5740613358261103E-2</v>
      </c>
      <c r="G30" s="4"/>
      <c r="H30" s="4">
        <f>SUM(OSRRefH16x_0)</f>
        <v>201758.78</v>
      </c>
      <c r="I30" s="4"/>
      <c r="J30" s="13">
        <f t="shared" ref="J30:J32" si="13">IF(H$12=0,0,H30/H$12)</f>
        <v>4452.8532332818368</v>
      </c>
      <c r="K30" s="4"/>
      <c r="L30" s="4">
        <f t="shared" ref="L30:L32" si="14">+D30-H30</f>
        <v>-197681.95</v>
      </c>
      <c r="M30" s="4"/>
      <c r="N30" s="13">
        <f t="shared" ref="N30:N32" si="15">IF(H30=0,0,L30/H30)</f>
        <v>-0.97979354355731141</v>
      </c>
      <c r="O30" s="11"/>
      <c r="P30" s="4">
        <f>SUM(OSRRefP16x_0)</f>
        <v>41940.14</v>
      </c>
      <c r="Q30" s="4"/>
      <c r="R30" s="13">
        <f t="shared" ref="R30:R32" si="16">IF(P$12=0,0,P30/P$12)</f>
        <v>9.1274772427006157E-2</v>
      </c>
      <c r="S30" s="4"/>
      <c r="T30" s="4">
        <f>SUM(OSRRefT16x_0)</f>
        <v>2861532.89</v>
      </c>
      <c r="U30" s="4"/>
      <c r="V30" s="13">
        <f t="shared" ref="V30:V32" si="17">IF(T$12=0,0,T30/T$12)</f>
        <v>0.40971970162428006</v>
      </c>
      <c r="W30" s="4"/>
      <c r="X30" s="4">
        <f t="shared" ref="X30:X32" si="18">+P30-T30</f>
        <v>-2819592.75</v>
      </c>
      <c r="Y30" s="4"/>
      <c r="Z30" s="13">
        <f t="shared" ref="Z30:Z32" si="19">IF(T30=0,0,X30/T30)</f>
        <v>-0.98534347092547303</v>
      </c>
    </row>
    <row r="31" spans="1:26" s="23" customFormat="1" hidden="1" outlineLevel="1" x14ac:dyDescent="0.25">
      <c r="A31" s="44"/>
      <c r="B31" s="10" t="str">
        <f>CONCATENATE("          ", "5053", " - ", "PURCHASES @ COST-FOOD")</f>
        <v xml:space="preserve">          5053 - PURCHASES @ COST-FOOD</v>
      </c>
      <c r="C31" s="10"/>
      <c r="D31" s="2">
        <v>3918.82</v>
      </c>
      <c r="E31" s="2"/>
      <c r="F31" s="19">
        <f t="shared" si="12"/>
        <v>5.3580215618659791E-2</v>
      </c>
      <c r="G31" s="2"/>
      <c r="H31" s="2">
        <v>11268.83</v>
      </c>
      <c r="I31" s="2"/>
      <c r="J31" s="19">
        <f t="shared" si="13"/>
        <v>248.70514235268155</v>
      </c>
      <c r="K31" s="2"/>
      <c r="L31" s="2">
        <f t="shared" si="14"/>
        <v>-7350.01</v>
      </c>
      <c r="M31" s="2"/>
      <c r="N31" s="19">
        <f t="shared" si="15"/>
        <v>-0.6522425131979096</v>
      </c>
      <c r="O31" s="10"/>
      <c r="P31" s="2">
        <v>5666.14</v>
      </c>
      <c r="Q31" s="2"/>
      <c r="R31" s="19">
        <f t="shared" si="16"/>
        <v>1.2331280702438207E-2</v>
      </c>
      <c r="S31" s="2"/>
      <c r="T31" s="2">
        <v>2757006.1</v>
      </c>
      <c r="U31" s="2"/>
      <c r="V31" s="19">
        <f t="shared" si="17"/>
        <v>0.39475335776005005</v>
      </c>
      <c r="W31" s="2"/>
      <c r="X31" s="2">
        <f t="shared" si="18"/>
        <v>-2751339.96</v>
      </c>
      <c r="Y31" s="2"/>
      <c r="Z31" s="19">
        <f t="shared" si="19"/>
        <v>-0.99794482137707274</v>
      </c>
    </row>
    <row r="32" spans="1:26" s="23" customFormat="1" hidden="1" outlineLevel="1" x14ac:dyDescent="0.25">
      <c r="A32" s="44"/>
      <c r="B32" s="10" t="str">
        <f>CONCATENATE("          ", "5059", " - ", "PURCHASES @ COST-FOOD")</f>
        <v xml:space="preserve">          5059 - PURCHASES @ COST-FOOD</v>
      </c>
      <c r="C32" s="10"/>
      <c r="D32" s="2">
        <v>158.01</v>
      </c>
      <c r="E32" s="2"/>
      <c r="F32" s="19">
        <f t="shared" si="12"/>
        <v>2.1603977396013169E-3</v>
      </c>
      <c r="G32" s="2"/>
      <c r="H32" s="2">
        <v>190489.95</v>
      </c>
      <c r="I32" s="2"/>
      <c r="J32" s="19">
        <f t="shared" si="13"/>
        <v>4204.1480909291558</v>
      </c>
      <c r="K32" s="2"/>
      <c r="L32" s="2">
        <f t="shared" si="14"/>
        <v>-190331.94</v>
      </c>
      <c r="M32" s="2"/>
      <c r="N32" s="19">
        <f t="shared" si="15"/>
        <v>-0.9991705074204702</v>
      </c>
      <c r="O32" s="10"/>
      <c r="P32" s="2">
        <v>36274</v>
      </c>
      <c r="Q32" s="2"/>
      <c r="R32" s="19">
        <f t="shared" si="16"/>
        <v>7.8943491724567952E-2</v>
      </c>
      <c r="S32" s="2"/>
      <c r="T32" s="2">
        <v>104526.79</v>
      </c>
      <c r="U32" s="2"/>
      <c r="V32" s="19">
        <f t="shared" si="17"/>
        <v>1.4966343864229978E-2</v>
      </c>
      <c r="W32" s="2"/>
      <c r="X32" s="2">
        <f t="shared" si="18"/>
        <v>-68252.789999999994</v>
      </c>
      <c r="Y32" s="2"/>
      <c r="Z32" s="19">
        <f t="shared" si="19"/>
        <v>-0.65296934881478708</v>
      </c>
    </row>
    <row r="33" spans="1:26" x14ac:dyDescent="0.25">
      <c r="A33" s="9"/>
      <c r="B33" s="11"/>
      <c r="C33" s="11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1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4" customFormat="1" x14ac:dyDescent="0.25">
      <c r="A34" s="11"/>
      <c r="B34" s="29" t="s">
        <v>107</v>
      </c>
      <c r="C34" s="29"/>
      <c r="D34" s="20">
        <f>D12-D30</f>
        <v>69062.48</v>
      </c>
      <c r="E34" s="14"/>
      <c r="F34" s="22">
        <f>IF(D$12=0,0,D34/D$12)</f>
        <v>0.94425938664173892</v>
      </c>
      <c r="G34" s="14"/>
      <c r="H34" s="20">
        <f>H12-H30</f>
        <v>-201713.47</v>
      </c>
      <c r="I34" s="14"/>
      <c r="J34" s="22">
        <f>IF(H$12=0,0,H34/H$12)</f>
        <v>-4451.8532332818368</v>
      </c>
      <c r="K34" s="16"/>
      <c r="L34" s="20">
        <f>+D34-H34</f>
        <v>270775.95</v>
      </c>
      <c r="M34" s="16"/>
      <c r="N34" s="22">
        <f>IF(H34=0,0,L34/H34)</f>
        <v>-1.3423791182611653</v>
      </c>
      <c r="O34" s="28"/>
      <c r="P34" s="20">
        <f>P12-P30</f>
        <v>417553.08999999997</v>
      </c>
      <c r="Q34" s="14"/>
      <c r="R34" s="22">
        <f>IF(P$12=0,0,P34/P$12)</f>
        <v>0.90872522757299379</v>
      </c>
      <c r="S34" s="14"/>
      <c r="T34" s="20">
        <f>T12-T30</f>
        <v>4122590.35</v>
      </c>
      <c r="U34" s="14"/>
      <c r="V34" s="22">
        <f>IF(T$12=0,0,T34/T$12)</f>
        <v>0.59028029837571994</v>
      </c>
      <c r="W34" s="16"/>
      <c r="X34" s="20">
        <f>+P34-T34</f>
        <v>-3705037.2600000002</v>
      </c>
      <c r="Y34" s="16"/>
      <c r="Z34" s="22">
        <f>IF(T34=0,0,X34/T34)</f>
        <v>-0.89871584257698567</v>
      </c>
    </row>
    <row r="35" spans="1:26" x14ac:dyDescent="0.25">
      <c r="A35" s="9"/>
      <c r="B35" s="11"/>
      <c r="C35" s="9"/>
      <c r="D35" s="1"/>
      <c r="E35" s="1"/>
      <c r="F35" s="5"/>
      <c r="G35" s="1"/>
      <c r="H35" s="1"/>
      <c r="I35" s="1"/>
      <c r="J35" s="5"/>
      <c r="K35" s="1"/>
      <c r="L35" s="1"/>
      <c r="M35" s="1"/>
      <c r="N35" s="5"/>
      <c r="O35" s="37"/>
      <c r="P35" s="1"/>
      <c r="Q35" s="1"/>
      <c r="R35" s="5"/>
      <c r="S35" s="1"/>
      <c r="T35" s="1"/>
      <c r="U35" s="1"/>
      <c r="V35" s="5"/>
      <c r="W35" s="1"/>
      <c r="X35" s="1"/>
      <c r="Y35" s="1"/>
      <c r="Z35" s="5"/>
    </row>
    <row r="36" spans="1:26" s="24" customFormat="1" x14ac:dyDescent="0.25">
      <c r="A36" s="11"/>
      <c r="B36" s="28" t="s">
        <v>294</v>
      </c>
      <c r="C36" s="11"/>
      <c r="D36" s="21">
        <f>SUM(OSRRefD22x_0)</f>
        <v>137230.85000000006</v>
      </c>
      <c r="E36" s="21"/>
      <c r="F36" s="31">
        <f t="shared" ref="F36:F46" si="20">IF(D$12=0,0,D36/D$12)</f>
        <v>1.8762940202744607</v>
      </c>
      <c r="G36" s="21"/>
      <c r="H36" s="21">
        <f>SUM(OSRRefH22x_0)</f>
        <v>128986.44</v>
      </c>
      <c r="I36" s="21"/>
      <c r="J36" s="31">
        <f t="shared" ref="J36:J46" si="21">IF(H$12=0,0,H36/H$12)</f>
        <v>2846.7543588611788</v>
      </c>
      <c r="K36" s="4"/>
      <c r="L36" s="21">
        <f t="shared" ref="L36:L46" si="22">+D36-H36</f>
        <v>8244.4100000000617</v>
      </c>
      <c r="M36" s="4"/>
      <c r="N36" s="31">
        <f t="shared" ref="N36:N46" si="23">IF(H36=0,0,L36/H36)</f>
        <v>6.3916873742697777E-2</v>
      </c>
      <c r="O36" s="11"/>
      <c r="P36" s="21">
        <f>SUM(OSRRefP22x_0)</f>
        <v>1347146.7900000003</v>
      </c>
      <c r="Q36" s="21"/>
      <c r="R36" s="31">
        <f t="shared" ref="R36:R46" si="24">IF(P$12=0,0,P36/P$12)</f>
        <v>2.931809876720056</v>
      </c>
      <c r="S36" s="21"/>
      <c r="T36" s="21">
        <f>SUM(OSRRefT22x_0)</f>
        <v>5553077.9400000023</v>
      </c>
      <c r="U36" s="21"/>
      <c r="V36" s="31">
        <f t="shared" ref="V36:V46" si="25">IF(T$12=0,0,T36/T$12)</f>
        <v>0.79510022220054666</v>
      </c>
      <c r="W36" s="4"/>
      <c r="X36" s="21">
        <f t="shared" ref="X36:X46" si="26">+P36-T36</f>
        <v>-4205931.1500000022</v>
      </c>
      <c r="Y36" s="4"/>
      <c r="Z36" s="31">
        <f t="shared" ref="Z36:Z46" si="27">IF(T36=0,0,X36/T36)</f>
        <v>-0.75740538768667098</v>
      </c>
    </row>
    <row r="37" spans="1:26" s="26" customFormat="1" outlineLevel="1" collapsed="1" x14ac:dyDescent="0.25">
      <c r="A37" s="25"/>
      <c r="B37" s="12" t="str">
        <f>CONCATENATE("     ","*Benefits                                         ")</f>
        <v xml:space="preserve">     *Benefits                                         </v>
      </c>
      <c r="C37" s="12"/>
      <c r="D37" s="1">
        <f>SUM(OSRRefD22_0x_0)</f>
        <v>22024.969999999998</v>
      </c>
      <c r="E37" s="1"/>
      <c r="F37" s="5">
        <f t="shared" si="20"/>
        <v>0.30113724069860653</v>
      </c>
      <c r="G37" s="1"/>
      <c r="H37" s="1">
        <f>SUM(OSRRefH22_0x_0)</f>
        <v>-17530.660000000003</v>
      </c>
      <c r="I37" s="1"/>
      <c r="J37" s="5">
        <f t="shared" si="21"/>
        <v>-386.90487751048346</v>
      </c>
      <c r="K37" s="1"/>
      <c r="L37" s="1">
        <f t="shared" si="22"/>
        <v>39555.630000000005</v>
      </c>
      <c r="M37" s="1"/>
      <c r="N37" s="5">
        <f t="shared" si="23"/>
        <v>-2.2563685565745955</v>
      </c>
      <c r="O37" s="12"/>
      <c r="P37" s="1">
        <f>SUM(OSRRefP22_0x_0)</f>
        <v>243866.19999999998</v>
      </c>
      <c r="Q37" s="1"/>
      <c r="R37" s="5">
        <f t="shared" si="24"/>
        <v>0.53072860290019941</v>
      </c>
      <c r="S37" s="1"/>
      <c r="T37" s="1">
        <f>SUM(OSRRefT22_0x_0)</f>
        <v>720933.59000000008</v>
      </c>
      <c r="U37" s="1"/>
      <c r="V37" s="5">
        <f t="shared" si="25"/>
        <v>0.10322463754233524</v>
      </c>
      <c r="W37" s="1"/>
      <c r="X37" s="1">
        <f t="shared" si="26"/>
        <v>-477067.39000000013</v>
      </c>
      <c r="Y37" s="1"/>
      <c r="Z37" s="5">
        <f t="shared" si="27"/>
        <v>-0.66173555597541245</v>
      </c>
    </row>
    <row r="38" spans="1:26" s="23" customFormat="1" hidden="1" outlineLevel="2" x14ac:dyDescent="0.25">
      <c r="A38" s="27"/>
      <c r="B38" s="10" t="str">
        <f>CONCATENATE("          ", "6111", " - ", "F.I.C.A.")</f>
        <v xml:space="preserve">          6111 - F.I.C.A.</v>
      </c>
      <c r="C38" s="10"/>
      <c r="D38" s="6">
        <v>3515.25</v>
      </c>
      <c r="E38" s="2"/>
      <c r="F38" s="7">
        <f t="shared" si="20"/>
        <v>4.806238943189374E-2</v>
      </c>
      <c r="G38" s="2"/>
      <c r="H38" s="6">
        <v>6150.75</v>
      </c>
      <c r="I38" s="2"/>
      <c r="J38" s="7">
        <f t="shared" si="21"/>
        <v>135.74817920988747</v>
      </c>
      <c r="K38" s="2"/>
      <c r="L38" s="6">
        <f t="shared" si="22"/>
        <v>-2635.5</v>
      </c>
      <c r="M38" s="2"/>
      <c r="N38" s="7">
        <f t="shared" si="23"/>
        <v>-0.42848433117912449</v>
      </c>
      <c r="O38" s="10"/>
      <c r="P38" s="6">
        <v>29494.97</v>
      </c>
      <c r="Q38" s="2"/>
      <c r="R38" s="7">
        <f t="shared" si="24"/>
        <v>6.4190216687196905E-2</v>
      </c>
      <c r="S38" s="2"/>
      <c r="T38" s="6">
        <v>153611.01999999999</v>
      </c>
      <c r="U38" s="2"/>
      <c r="V38" s="7">
        <f t="shared" si="25"/>
        <v>2.199431692731699E-2</v>
      </c>
      <c r="W38" s="2"/>
      <c r="X38" s="6">
        <f t="shared" si="26"/>
        <v>-124116.04999999999</v>
      </c>
      <c r="Y38" s="2"/>
      <c r="Z38" s="7">
        <f t="shared" si="27"/>
        <v>-0.80798923150175028</v>
      </c>
    </row>
    <row r="39" spans="1:26" s="23" customFormat="1" hidden="1" outlineLevel="2" x14ac:dyDescent="0.25">
      <c r="A39" s="27"/>
      <c r="B39" s="10" t="str">
        <f>CONCATENATE("          ", "6112", " - ", "COMPENSATION INSURANCE")</f>
        <v xml:space="preserve">          6112 - COMPENSATION INSURANCE</v>
      </c>
      <c r="C39" s="10"/>
      <c r="D39" s="6">
        <v>611.07000000000005</v>
      </c>
      <c r="E39" s="2"/>
      <c r="F39" s="7">
        <f t="shared" si="20"/>
        <v>8.3548778351887655E-3</v>
      </c>
      <c r="G39" s="2"/>
      <c r="H39" s="6">
        <v>1326.52</v>
      </c>
      <c r="I39" s="2"/>
      <c r="J39" s="7">
        <f t="shared" si="21"/>
        <v>29.276539395276984</v>
      </c>
      <c r="K39" s="2"/>
      <c r="L39" s="6">
        <f t="shared" si="22"/>
        <v>-715.44999999999993</v>
      </c>
      <c r="M39" s="2"/>
      <c r="N39" s="7">
        <f t="shared" si="23"/>
        <v>-0.53934354551759489</v>
      </c>
      <c r="O39" s="10"/>
      <c r="P39" s="6">
        <v>7845.21</v>
      </c>
      <c r="Q39" s="2"/>
      <c r="R39" s="7">
        <f t="shared" si="24"/>
        <v>1.707361390286425E-2</v>
      </c>
      <c r="S39" s="2"/>
      <c r="T39" s="6">
        <v>78835.5</v>
      </c>
      <c r="U39" s="2"/>
      <c r="V39" s="7">
        <f t="shared" si="25"/>
        <v>1.1287816278568417E-2</v>
      </c>
      <c r="W39" s="2"/>
      <c r="X39" s="6">
        <f t="shared" si="26"/>
        <v>-70990.289999999994</v>
      </c>
      <c r="Y39" s="2"/>
      <c r="Z39" s="7">
        <f t="shared" si="27"/>
        <v>-0.90048632912837479</v>
      </c>
    </row>
    <row r="40" spans="1:26" s="23" customFormat="1" hidden="1" outlineLevel="2" x14ac:dyDescent="0.25">
      <c r="A40" s="27"/>
      <c r="B40" s="10" t="str">
        <f>CONCATENATE("          ", "6113", " - ", "GROUP INSURANCE")</f>
        <v xml:space="preserve">          6113 - GROUP INSURANCE</v>
      </c>
      <c r="C40" s="10"/>
      <c r="D40" s="6">
        <v>8554.93</v>
      </c>
      <c r="E40" s="2"/>
      <c r="F40" s="7">
        <f t="shared" si="20"/>
        <v>0.11696760606573949</v>
      </c>
      <c r="G40" s="2"/>
      <c r="H40" s="6">
        <v>18239.09</v>
      </c>
      <c r="I40" s="2"/>
      <c r="J40" s="7">
        <f t="shared" si="21"/>
        <v>402.54005738247633</v>
      </c>
      <c r="K40" s="2"/>
      <c r="L40" s="6">
        <f t="shared" si="22"/>
        <v>-9684.16</v>
      </c>
      <c r="M40" s="2"/>
      <c r="N40" s="7">
        <f t="shared" si="23"/>
        <v>-0.53095631415821731</v>
      </c>
      <c r="O40" s="10"/>
      <c r="P40" s="6">
        <v>113219.29</v>
      </c>
      <c r="Q40" s="2"/>
      <c r="R40" s="7">
        <f t="shared" si="24"/>
        <v>0.24640034413564699</v>
      </c>
      <c r="S40" s="2"/>
      <c r="T40" s="6">
        <v>277412.53000000003</v>
      </c>
      <c r="U40" s="2"/>
      <c r="V40" s="7">
        <f t="shared" si="25"/>
        <v>3.9720451725591258E-2</v>
      </c>
      <c r="W40" s="2"/>
      <c r="X40" s="6">
        <f t="shared" si="26"/>
        <v>-164193.24000000005</v>
      </c>
      <c r="Y40" s="2"/>
      <c r="Z40" s="7">
        <f t="shared" si="27"/>
        <v>-0.59187391427488889</v>
      </c>
    </row>
    <row r="41" spans="1:26" s="23" customFormat="1" hidden="1" outlineLevel="2" x14ac:dyDescent="0.25">
      <c r="A41" s="27"/>
      <c r="B41" s="10" t="str">
        <f>CONCATENATE("          ", "6114", " - ", "STATE UNEMPLOYMENT INSURANCE")</f>
        <v xml:space="preserve">          6114 - STATE UNEMPLOYMENT INSURANCE</v>
      </c>
      <c r="C41" s="10"/>
      <c r="D41" s="6">
        <v>78.72</v>
      </c>
      <c r="E41" s="2"/>
      <c r="F41" s="7">
        <f t="shared" si="20"/>
        <v>1.0763021964522224E-3</v>
      </c>
      <c r="G41" s="2"/>
      <c r="H41" s="6">
        <v>146.99</v>
      </c>
      <c r="I41" s="2"/>
      <c r="J41" s="7">
        <f t="shared" si="21"/>
        <v>3.2440962259986765</v>
      </c>
      <c r="K41" s="2"/>
      <c r="L41" s="6">
        <f t="shared" si="22"/>
        <v>-68.27000000000001</v>
      </c>
      <c r="M41" s="2"/>
      <c r="N41" s="7">
        <f t="shared" si="23"/>
        <v>-0.46445336417443367</v>
      </c>
      <c r="O41" s="10"/>
      <c r="P41" s="6">
        <v>1044.1199999999999</v>
      </c>
      <c r="Q41" s="2"/>
      <c r="R41" s="7">
        <f t="shared" si="24"/>
        <v>2.2723294530367726E-3</v>
      </c>
      <c r="S41" s="2"/>
      <c r="T41" s="6">
        <v>7356.8</v>
      </c>
      <c r="U41" s="2"/>
      <c r="V41" s="7">
        <f t="shared" si="25"/>
        <v>1.0533605646970228E-3</v>
      </c>
      <c r="W41" s="2"/>
      <c r="X41" s="6">
        <f t="shared" si="26"/>
        <v>-6312.68</v>
      </c>
      <c r="Y41" s="2"/>
      <c r="Z41" s="7">
        <f t="shared" si="27"/>
        <v>-0.85807416267942582</v>
      </c>
    </row>
    <row r="42" spans="1:26" s="23" customFormat="1" hidden="1" outlineLevel="2" x14ac:dyDescent="0.25">
      <c r="A42" s="27"/>
      <c r="B42" s="10" t="str">
        <f>CONCATENATE("          ", "6115", " - ", "P.E.R.S.")</f>
        <v xml:space="preserve">          6115 - P.E.R.S.</v>
      </c>
      <c r="C42" s="10"/>
      <c r="D42" s="6">
        <v>2720.89</v>
      </c>
      <c r="E42" s="2"/>
      <c r="F42" s="7">
        <f t="shared" si="20"/>
        <v>3.7201472094828346E-2</v>
      </c>
      <c r="G42" s="2"/>
      <c r="H42" s="6">
        <v>6542.76</v>
      </c>
      <c r="I42" s="2"/>
      <c r="J42" s="7">
        <f t="shared" si="21"/>
        <v>144.39991171926729</v>
      </c>
      <c r="K42" s="2"/>
      <c r="L42" s="6">
        <f t="shared" si="22"/>
        <v>-3821.8700000000003</v>
      </c>
      <c r="M42" s="2"/>
      <c r="N42" s="7">
        <f t="shared" si="23"/>
        <v>-0.58413727540059546</v>
      </c>
      <c r="O42" s="10"/>
      <c r="P42" s="6">
        <v>37956.480000000003</v>
      </c>
      <c r="Q42" s="2"/>
      <c r="R42" s="7">
        <f t="shared" si="24"/>
        <v>8.2605090830173936E-2</v>
      </c>
      <c r="S42" s="2"/>
      <c r="T42" s="6">
        <v>88274</v>
      </c>
      <c r="U42" s="2"/>
      <c r="V42" s="7">
        <f t="shared" si="25"/>
        <v>1.2639238593962725E-2</v>
      </c>
      <c r="W42" s="2"/>
      <c r="X42" s="6">
        <f t="shared" si="26"/>
        <v>-50317.52</v>
      </c>
      <c r="Y42" s="2"/>
      <c r="Z42" s="7">
        <f t="shared" si="27"/>
        <v>-0.57001518000770324</v>
      </c>
    </row>
    <row r="43" spans="1:26" s="23" customFormat="1" hidden="1" outlineLevel="2" x14ac:dyDescent="0.25">
      <c r="A43" s="27"/>
      <c r="B43" s="10" t="str">
        <f>CONCATENATE("          ", "6117", " - ", "RETIREMENT STAFF HOURLY")</f>
        <v xml:space="preserve">          6117 - RETIREMENT STAFF HOURLY</v>
      </c>
      <c r="C43" s="10"/>
      <c r="D43" s="6"/>
      <c r="E43" s="2"/>
      <c r="F43" s="7">
        <f t="shared" si="20"/>
        <v>0</v>
      </c>
      <c r="G43" s="2"/>
      <c r="H43" s="6">
        <v>505.87</v>
      </c>
      <c r="I43" s="2"/>
      <c r="J43" s="7">
        <f t="shared" si="21"/>
        <v>11.164643566541603</v>
      </c>
      <c r="K43" s="2"/>
      <c r="L43" s="6">
        <f t="shared" si="22"/>
        <v>-505.87</v>
      </c>
      <c r="M43" s="2"/>
      <c r="N43" s="7">
        <f t="shared" si="23"/>
        <v>-1</v>
      </c>
      <c r="O43" s="10"/>
      <c r="P43" s="6"/>
      <c r="Q43" s="2"/>
      <c r="R43" s="7">
        <f t="shared" si="24"/>
        <v>0</v>
      </c>
      <c r="S43" s="2"/>
      <c r="T43" s="6">
        <v>1352.45</v>
      </c>
      <c r="U43" s="2"/>
      <c r="V43" s="7">
        <f t="shared" si="25"/>
        <v>1.9364635381204984E-4</v>
      </c>
      <c r="W43" s="2"/>
      <c r="X43" s="6">
        <f t="shared" si="26"/>
        <v>-1352.45</v>
      </c>
      <c r="Y43" s="2"/>
      <c r="Z43" s="7">
        <f t="shared" si="27"/>
        <v>-1</v>
      </c>
    </row>
    <row r="44" spans="1:26" s="23" customFormat="1" hidden="1" outlineLevel="2" x14ac:dyDescent="0.25">
      <c r="A44" s="27"/>
      <c r="B44" s="10" t="str">
        <f>CONCATENATE("          ", "6118", " - ", "VACATION")</f>
        <v xml:space="preserve">          6118 - VACATION</v>
      </c>
      <c r="C44" s="10"/>
      <c r="D44" s="6">
        <v>3694.38</v>
      </c>
      <c r="E44" s="2"/>
      <c r="F44" s="7">
        <f t="shared" si="20"/>
        <v>5.0511551175421263E-2</v>
      </c>
      <c r="G44" s="2"/>
      <c r="H44" s="6">
        <v>5664.27</v>
      </c>
      <c r="I44" s="2"/>
      <c r="J44" s="7">
        <f t="shared" si="21"/>
        <v>125.01147649525494</v>
      </c>
      <c r="K44" s="2"/>
      <c r="L44" s="6">
        <f t="shared" si="22"/>
        <v>-1969.8900000000003</v>
      </c>
      <c r="M44" s="2"/>
      <c r="N44" s="7">
        <f t="shared" si="23"/>
        <v>-0.34777473531452424</v>
      </c>
      <c r="O44" s="10"/>
      <c r="P44" s="6">
        <v>30515.3</v>
      </c>
      <c r="Q44" s="2"/>
      <c r="R44" s="7">
        <f t="shared" si="24"/>
        <v>6.6410771710390601E-2</v>
      </c>
      <c r="S44" s="2"/>
      <c r="T44" s="6">
        <v>84966.11</v>
      </c>
      <c r="U44" s="2"/>
      <c r="V44" s="7">
        <f t="shared" si="25"/>
        <v>1.2165608635508557E-2</v>
      </c>
      <c r="W44" s="2"/>
      <c r="X44" s="6">
        <f t="shared" si="26"/>
        <v>-54450.81</v>
      </c>
      <c r="Y44" s="2"/>
      <c r="Z44" s="7">
        <f t="shared" si="27"/>
        <v>-0.64085327667701864</v>
      </c>
    </row>
    <row r="45" spans="1:26" s="23" customFormat="1" hidden="1" outlineLevel="2" x14ac:dyDescent="0.25">
      <c r="A45" s="27"/>
      <c r="B45" s="10" t="str">
        <f>CONCATENATE("          ", "6119", " - ", "SICK LEAVE")</f>
        <v xml:space="preserve">          6119 - SICK LEAVE</v>
      </c>
      <c r="C45" s="10"/>
      <c r="D45" s="6">
        <v>2074.29</v>
      </c>
      <c r="E45" s="2"/>
      <c r="F45" s="7">
        <f t="shared" si="20"/>
        <v>2.8360808982201228E-2</v>
      </c>
      <c r="G45" s="2"/>
      <c r="H45" s="6">
        <v>-56650.91</v>
      </c>
      <c r="I45" s="2"/>
      <c r="J45" s="7">
        <f t="shared" si="21"/>
        <v>-1250.2959611564779</v>
      </c>
      <c r="K45" s="2"/>
      <c r="L45" s="6">
        <f t="shared" si="22"/>
        <v>58725.200000000004</v>
      </c>
      <c r="M45" s="2"/>
      <c r="N45" s="7">
        <f t="shared" si="23"/>
        <v>-1.0366152988539814</v>
      </c>
      <c r="O45" s="10"/>
      <c r="P45" s="6">
        <v>18029.61</v>
      </c>
      <c r="Q45" s="2"/>
      <c r="R45" s="7">
        <f t="shared" si="24"/>
        <v>3.9238031863929747E-2</v>
      </c>
      <c r="S45" s="2"/>
      <c r="T45" s="6">
        <v>-1364.57</v>
      </c>
      <c r="U45" s="2"/>
      <c r="V45" s="7">
        <f t="shared" si="25"/>
        <v>-1.9538171837872665E-4</v>
      </c>
      <c r="W45" s="2"/>
      <c r="X45" s="6">
        <f t="shared" si="26"/>
        <v>19394.18</v>
      </c>
      <c r="Y45" s="2"/>
      <c r="Z45" s="7">
        <f t="shared" si="27"/>
        <v>-14.212667726829698</v>
      </c>
    </row>
    <row r="46" spans="1:26" s="23" customFormat="1" hidden="1" outlineLevel="2" x14ac:dyDescent="0.25">
      <c r="A46" s="27"/>
      <c r="B46" s="10" t="str">
        <f>CONCATENATE("          ", "6156", " - ", "EMPLOYEE MEALS")</f>
        <v xml:space="preserve">          6156 - EMPLOYEE MEALS</v>
      </c>
      <c r="C46" s="10"/>
      <c r="D46" s="6">
        <v>775.44</v>
      </c>
      <c r="E46" s="2"/>
      <c r="F46" s="7">
        <f t="shared" si="20"/>
        <v>1.0602232916881497E-2</v>
      </c>
      <c r="G46" s="2"/>
      <c r="H46" s="6">
        <v>544</v>
      </c>
      <c r="I46" s="2"/>
      <c r="J46" s="7">
        <f t="shared" si="21"/>
        <v>12.006179651291108</v>
      </c>
      <c r="K46" s="2"/>
      <c r="L46" s="6">
        <f t="shared" si="22"/>
        <v>231.44000000000005</v>
      </c>
      <c r="M46" s="2"/>
      <c r="N46" s="7">
        <f t="shared" si="23"/>
        <v>0.42544117647058832</v>
      </c>
      <c r="O46" s="10"/>
      <c r="P46" s="6">
        <v>5761.22</v>
      </c>
      <c r="Q46" s="2"/>
      <c r="R46" s="7">
        <f t="shared" si="24"/>
        <v>1.2538204316960231E-2</v>
      </c>
      <c r="S46" s="2"/>
      <c r="T46" s="6">
        <v>30489.75</v>
      </c>
      <c r="U46" s="2"/>
      <c r="V46" s="7">
        <f t="shared" si="25"/>
        <v>4.3655801812569391E-3</v>
      </c>
      <c r="W46" s="2"/>
      <c r="X46" s="6">
        <f t="shared" si="26"/>
        <v>-24728.53</v>
      </c>
      <c r="Y46" s="2"/>
      <c r="Z46" s="7">
        <f t="shared" si="27"/>
        <v>-0.81104403939028691</v>
      </c>
    </row>
    <row r="47" spans="1:26" s="26" customFormat="1" outlineLevel="1" collapsed="1" x14ac:dyDescent="0.25">
      <c r="A47" s="25"/>
      <c r="B47" s="12" t="str">
        <f>CONCATENATE("     ","*Payroll                                          ")</f>
        <v xml:space="preserve">     *Payroll                                          </v>
      </c>
      <c r="C47" s="12"/>
      <c r="D47" s="1">
        <f>SUM(OSRRefD22_1x_0)</f>
        <v>32003.24</v>
      </c>
      <c r="E47" s="1"/>
      <c r="F47" s="5">
        <f t="shared" ref="F47:F54" si="28">IF(D$12=0,0,D47/D$12)</f>
        <v>0.43756551709333874</v>
      </c>
      <c r="G47" s="1"/>
      <c r="H47" s="1">
        <f>SUM(OSRRefH22_1x_0)</f>
        <v>32597.909999999996</v>
      </c>
      <c r="I47" s="1"/>
      <c r="J47" s="5">
        <f t="shared" ref="J47:J54" si="29">IF(H$12=0,0,H47/H$12)</f>
        <v>719.44184506731403</v>
      </c>
      <c r="K47" s="1"/>
      <c r="L47" s="1">
        <f t="shared" ref="L47:L54" si="30">+D47-H47</f>
        <v>-594.66999999999462</v>
      </c>
      <c r="M47" s="1"/>
      <c r="N47" s="5">
        <f t="shared" ref="N47:N54" si="31">IF(H47=0,0,L47/H47)</f>
        <v>-1.8242580582620013E-2</v>
      </c>
      <c r="O47" s="12"/>
      <c r="P47" s="1">
        <f>SUM(OSRRefP22_1x_0)</f>
        <v>334887.94</v>
      </c>
      <c r="Q47" s="1"/>
      <c r="R47" s="5">
        <f t="shared" ref="R47:R54" si="32">IF(P$12=0,0,P47/P$12)</f>
        <v>0.72882018305253382</v>
      </c>
      <c r="S47" s="1"/>
      <c r="T47" s="1">
        <f>SUM(OSRRefT22_1x_0)</f>
        <v>2603533.9900000002</v>
      </c>
      <c r="U47" s="1"/>
      <c r="V47" s="5">
        <f t="shared" ref="V47:V54" si="33">IF(T$12=0,0,T47/T$12)</f>
        <v>0.37277893022975928</v>
      </c>
      <c r="W47" s="1"/>
      <c r="X47" s="1">
        <f t="shared" ref="X47:X54" si="34">+P47-T47</f>
        <v>-2268646.0500000003</v>
      </c>
      <c r="Y47" s="1"/>
      <c r="Z47" s="5">
        <f t="shared" ref="Z47:Z54" si="35">IF(T47=0,0,X47/T47)</f>
        <v>-0.87137178109205327</v>
      </c>
    </row>
    <row r="48" spans="1:26" s="23" customFormat="1" hidden="1" outlineLevel="2" x14ac:dyDescent="0.25">
      <c r="A48" s="27"/>
      <c r="B48" s="10" t="str">
        <f>CONCATENATE("          ", "6001", " - ", "ADMINISTRATIVE SALARIES")</f>
        <v xml:space="preserve">          6001 - ADMINISTRATIVE SALARIES</v>
      </c>
      <c r="C48" s="10"/>
      <c r="D48" s="6">
        <v>13836.92</v>
      </c>
      <c r="E48" s="2"/>
      <c r="F48" s="7">
        <f t="shared" si="28"/>
        <v>0.18918581539803972</v>
      </c>
      <c r="G48" s="2"/>
      <c r="H48" s="6">
        <v>16603.919999999998</v>
      </c>
      <c r="I48" s="2"/>
      <c r="J48" s="7">
        <f t="shared" si="29"/>
        <v>366.45155594791436</v>
      </c>
      <c r="K48" s="2"/>
      <c r="L48" s="6">
        <f t="shared" si="30"/>
        <v>-2766.9999999999982</v>
      </c>
      <c r="M48" s="2"/>
      <c r="N48" s="7">
        <f t="shared" si="31"/>
        <v>-0.16664739410934276</v>
      </c>
      <c r="O48" s="10"/>
      <c r="P48" s="6">
        <v>111056.17</v>
      </c>
      <c r="Q48" s="2"/>
      <c r="R48" s="7">
        <f t="shared" si="32"/>
        <v>0.24169272308973955</v>
      </c>
      <c r="S48" s="2"/>
      <c r="T48" s="6">
        <v>169475.39</v>
      </c>
      <c r="U48" s="2"/>
      <c r="V48" s="7">
        <f t="shared" si="33"/>
        <v>2.4265807485951522E-2</v>
      </c>
      <c r="W48" s="2"/>
      <c r="X48" s="6">
        <f t="shared" si="34"/>
        <v>-58419.220000000016</v>
      </c>
      <c r="Y48" s="2"/>
      <c r="Z48" s="7">
        <f t="shared" si="35"/>
        <v>-0.34470621368683685</v>
      </c>
    </row>
    <row r="49" spans="1:26" s="23" customFormat="1" hidden="1" outlineLevel="2" x14ac:dyDescent="0.25">
      <c r="A49" s="27"/>
      <c r="B49" s="10" t="str">
        <f>CONCATENATE("          ", "6002", " - ", "STAFF SALARIES")</f>
        <v xml:space="preserve">          6002 - STAFF SALARIES</v>
      </c>
      <c r="C49" s="10"/>
      <c r="D49" s="6">
        <v>14540.3</v>
      </c>
      <c r="E49" s="2"/>
      <c r="F49" s="7">
        <f t="shared" si="28"/>
        <v>0.19880280522197979</v>
      </c>
      <c r="G49" s="2"/>
      <c r="H49" s="6">
        <v>16727.03</v>
      </c>
      <c r="I49" s="2"/>
      <c r="J49" s="7">
        <f t="shared" si="29"/>
        <v>369.16861619951447</v>
      </c>
      <c r="K49" s="2"/>
      <c r="L49" s="6">
        <f t="shared" si="30"/>
        <v>-2186.7299999999996</v>
      </c>
      <c r="M49" s="2"/>
      <c r="N49" s="7">
        <f t="shared" si="31"/>
        <v>-0.13073032092367862</v>
      </c>
      <c r="O49" s="10"/>
      <c r="P49" s="6">
        <v>189681.71</v>
      </c>
      <c r="Q49" s="2"/>
      <c r="R49" s="7">
        <f t="shared" si="32"/>
        <v>0.41280632143372387</v>
      </c>
      <c r="S49" s="2"/>
      <c r="T49" s="6">
        <v>737304.21</v>
      </c>
      <c r="U49" s="2"/>
      <c r="V49" s="7">
        <f t="shared" si="33"/>
        <v>0.1055686139352833</v>
      </c>
      <c r="W49" s="2"/>
      <c r="X49" s="6">
        <f t="shared" si="34"/>
        <v>-547622.5</v>
      </c>
      <c r="Y49" s="2"/>
      <c r="Z49" s="7">
        <f t="shared" si="35"/>
        <v>-0.74273616313678725</v>
      </c>
    </row>
    <row r="50" spans="1:26" s="23" customFormat="1" hidden="1" outlineLevel="2" x14ac:dyDescent="0.25">
      <c r="A50" s="27"/>
      <c r="B50" s="10" t="str">
        <f>CONCATENATE("          ", "6004", " - ", "STAFF HOURLY")</f>
        <v xml:space="preserve">          6004 - STAFF HOURLY</v>
      </c>
      <c r="C50" s="10"/>
      <c r="D50" s="6">
        <v>4020.03</v>
      </c>
      <c r="E50" s="2"/>
      <c r="F50" s="7">
        <f t="shared" si="28"/>
        <v>5.4964013196186844E-2</v>
      </c>
      <c r="G50" s="2"/>
      <c r="H50" s="6">
        <v>2701.12</v>
      </c>
      <c r="I50" s="2"/>
      <c r="J50" s="7">
        <f t="shared" si="29"/>
        <v>59.614213197969548</v>
      </c>
      <c r="K50" s="2"/>
      <c r="L50" s="6">
        <f t="shared" si="30"/>
        <v>1318.9100000000003</v>
      </c>
      <c r="M50" s="2"/>
      <c r="N50" s="7">
        <f t="shared" si="31"/>
        <v>0.48828263831299623</v>
      </c>
      <c r="O50" s="10"/>
      <c r="P50" s="6">
        <v>28579.360000000001</v>
      </c>
      <c r="Q50" s="2"/>
      <c r="R50" s="7">
        <f t="shared" si="32"/>
        <v>6.2197564912980334E-2</v>
      </c>
      <c r="S50" s="2"/>
      <c r="T50" s="6">
        <v>217541.13</v>
      </c>
      <c r="U50" s="2"/>
      <c r="V50" s="7">
        <f t="shared" si="33"/>
        <v>3.114795122086076E-2</v>
      </c>
      <c r="W50" s="2"/>
      <c r="X50" s="6">
        <f t="shared" si="34"/>
        <v>-188961.77000000002</v>
      </c>
      <c r="Y50" s="2"/>
      <c r="Z50" s="7">
        <f t="shared" si="35"/>
        <v>-0.86862548705157505</v>
      </c>
    </row>
    <row r="51" spans="1:26" s="23" customFormat="1" hidden="1" outlineLevel="2" x14ac:dyDescent="0.25">
      <c r="A51" s="27"/>
      <c r="B51" s="10" t="str">
        <f>CONCATENATE("          ", "6005", " - ", "TEMPORARY WAGES-HOURLY")</f>
        <v xml:space="preserve">          6005 - TEMPORARY WAGES-HOURLY</v>
      </c>
      <c r="C51" s="10"/>
      <c r="D51" s="6">
        <v>382.01</v>
      </c>
      <c r="E51" s="2"/>
      <c r="F51" s="7">
        <f t="shared" si="28"/>
        <v>5.223046266091381E-3</v>
      </c>
      <c r="G51" s="2"/>
      <c r="H51" s="6">
        <v>104.84</v>
      </c>
      <c r="I51" s="2"/>
      <c r="J51" s="7">
        <f t="shared" si="29"/>
        <v>2.3138380048554406</v>
      </c>
      <c r="K51" s="2"/>
      <c r="L51" s="6">
        <f t="shared" si="30"/>
        <v>277.16999999999996</v>
      </c>
      <c r="M51" s="2"/>
      <c r="N51" s="7">
        <f t="shared" si="31"/>
        <v>2.6437428462418922</v>
      </c>
      <c r="O51" s="10"/>
      <c r="P51" s="6">
        <v>5423.01</v>
      </c>
      <c r="Q51" s="2"/>
      <c r="R51" s="7">
        <f t="shared" si="32"/>
        <v>1.1802154299422432E-2</v>
      </c>
      <c r="S51" s="2"/>
      <c r="T51" s="6">
        <v>505027.62</v>
      </c>
      <c r="U51" s="2"/>
      <c r="V51" s="7">
        <f t="shared" si="33"/>
        <v>7.2310811628805108E-2</v>
      </c>
      <c r="W51" s="2"/>
      <c r="X51" s="6">
        <f t="shared" si="34"/>
        <v>-499604.61</v>
      </c>
      <c r="Y51" s="2"/>
      <c r="Z51" s="7">
        <f t="shared" si="35"/>
        <v>-0.98926195363334779</v>
      </c>
    </row>
    <row r="52" spans="1:26" s="23" customFormat="1" hidden="1" outlineLevel="2" x14ac:dyDescent="0.25">
      <c r="A52" s="27"/>
      <c r="B52" s="10" t="str">
        <f>CONCATENATE("          ", "6006", " - ", "TEMPORARY PART TIME")</f>
        <v xml:space="preserve">          6006 - TEMPORARY PART TIME</v>
      </c>
      <c r="C52" s="10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0"/>
      <c r="P52" s="6"/>
      <c r="Q52" s="2"/>
      <c r="R52" s="7">
        <f t="shared" si="32"/>
        <v>0</v>
      </c>
      <c r="S52" s="2"/>
      <c r="T52" s="6">
        <v>33612.15</v>
      </c>
      <c r="U52" s="2"/>
      <c r="V52" s="7">
        <f t="shared" si="33"/>
        <v>4.8126513300186264E-3</v>
      </c>
      <c r="W52" s="2"/>
      <c r="X52" s="6">
        <f t="shared" si="34"/>
        <v>-33612.15</v>
      </c>
      <c r="Y52" s="2"/>
      <c r="Z52" s="7">
        <f t="shared" si="35"/>
        <v>-1</v>
      </c>
    </row>
    <row r="53" spans="1:26" s="23" customFormat="1" hidden="1" outlineLevel="2" x14ac:dyDescent="0.25">
      <c r="A53" s="27"/>
      <c r="B53" s="10" t="str">
        <f>CONCATENATE("          ", "6007", " - ", "STUDENT HOURLY")</f>
        <v xml:space="preserve">          6007 - STUDENT HOURLY</v>
      </c>
      <c r="C53" s="10"/>
      <c r="D53" s="6">
        <v>-776.02</v>
      </c>
      <c r="E53" s="2"/>
      <c r="F53" s="7">
        <f t="shared" si="28"/>
        <v>-1.0610162988959015E-2</v>
      </c>
      <c r="G53" s="2"/>
      <c r="H53" s="6">
        <v>-3539</v>
      </c>
      <c r="I53" s="2"/>
      <c r="J53" s="7">
        <f t="shared" si="29"/>
        <v>-78.106378282939758</v>
      </c>
      <c r="K53" s="2"/>
      <c r="L53" s="6">
        <f t="shared" si="30"/>
        <v>2762.98</v>
      </c>
      <c r="M53" s="2"/>
      <c r="N53" s="7">
        <f t="shared" si="31"/>
        <v>-0.78072336818310262</v>
      </c>
      <c r="O53" s="10"/>
      <c r="P53" s="6">
        <v>147.69</v>
      </c>
      <c r="Q53" s="2"/>
      <c r="R53" s="7">
        <f t="shared" si="32"/>
        <v>3.2141931666762532E-4</v>
      </c>
      <c r="S53" s="2"/>
      <c r="T53" s="6">
        <v>893279.31</v>
      </c>
      <c r="U53" s="2"/>
      <c r="V53" s="7">
        <f t="shared" si="33"/>
        <v>0.12790142431679083</v>
      </c>
      <c r="W53" s="2"/>
      <c r="X53" s="6">
        <f t="shared" si="34"/>
        <v>-893131.62000000011</v>
      </c>
      <c r="Y53" s="2"/>
      <c r="Z53" s="7">
        <f t="shared" si="35"/>
        <v>-0.999834665374708</v>
      </c>
    </row>
    <row r="54" spans="1:26" s="23" customFormat="1" hidden="1" outlineLevel="2" x14ac:dyDescent="0.25">
      <c r="A54" s="27"/>
      <c r="B54" s="10" t="str">
        <f>CONCATENATE("          ", "6008", " - ", "STUDENT HOURLY-FICA EXEMPT")</f>
        <v xml:space="preserve">          6008 - STUDENT HOURLY-FICA EXEMPT</v>
      </c>
      <c r="C54" s="10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0"/>
      <c r="P54" s="6"/>
      <c r="Q54" s="2"/>
      <c r="R54" s="7">
        <f t="shared" si="32"/>
        <v>0</v>
      </c>
      <c r="S54" s="2"/>
      <c r="T54" s="6">
        <v>47294.18</v>
      </c>
      <c r="U54" s="2"/>
      <c r="V54" s="7">
        <f t="shared" si="33"/>
        <v>6.7716703120490754E-3</v>
      </c>
      <c r="W54" s="2"/>
      <c r="X54" s="6">
        <f t="shared" si="34"/>
        <v>-47294.18</v>
      </c>
      <c r="Y54" s="2"/>
      <c r="Z54" s="7">
        <f t="shared" si="35"/>
        <v>-1</v>
      </c>
    </row>
    <row r="55" spans="1:26" s="26" customFormat="1" outlineLevel="1" collapsed="1" x14ac:dyDescent="0.25">
      <c r="A55" s="25"/>
      <c r="B55" s="12" t="str">
        <f>CONCATENATE("     ","Advertising/Promo                                 ")</f>
        <v xml:space="preserve">     Advertising/Promo                                 </v>
      </c>
      <c r="C55" s="12"/>
      <c r="D55" s="1">
        <f>SUM(OSRRefD22_2x_0)</f>
        <v>68.13</v>
      </c>
      <c r="E55" s="1"/>
      <c r="F55" s="5">
        <f t="shared" ref="F55:F64" si="36">IF(D$12=0,0,D55/D$12)</f>
        <v>9.3151001834717879E-4</v>
      </c>
      <c r="G55" s="1"/>
      <c r="H55" s="1">
        <f>SUM(OSRRefH22_2x_0)</f>
        <v>256.07</v>
      </c>
      <c r="I55" s="1"/>
      <c r="J55" s="5">
        <f t="shared" ref="J55:J64" si="37">IF(H$12=0,0,H55/H$12)</f>
        <v>5.6515118075480029</v>
      </c>
      <c r="K55" s="1"/>
      <c r="L55" s="1">
        <f t="shared" ref="L55:L64" si="38">+D55-H55</f>
        <v>-187.94</v>
      </c>
      <c r="M55" s="1"/>
      <c r="N55" s="5">
        <f t="shared" ref="N55:N64" si="39">IF(H55=0,0,L55/H55)</f>
        <v>-0.73393993829812165</v>
      </c>
      <c r="O55" s="12"/>
      <c r="P55" s="1">
        <f>SUM(OSRRefP22_2x_0)</f>
        <v>441.15</v>
      </c>
      <c r="Q55" s="1"/>
      <c r="R55" s="5">
        <f t="shared" ref="R55:R64" si="40">IF(P$12=0,0,P55/P$12)</f>
        <v>9.6007943359687799E-4</v>
      </c>
      <c r="S55" s="1"/>
      <c r="T55" s="1">
        <f>SUM(OSRRefT22_2x_0)</f>
        <v>32001.16</v>
      </c>
      <c r="U55" s="1"/>
      <c r="V55" s="5">
        <f t="shared" ref="V55:V64" si="41">IF(T$12=0,0,T55/T$12)</f>
        <v>4.5819867290887032E-3</v>
      </c>
      <c r="W55" s="1"/>
      <c r="X55" s="1">
        <f t="shared" ref="X55:X64" si="42">+P55-T55</f>
        <v>-31560.01</v>
      </c>
      <c r="Y55" s="1"/>
      <c r="Z55" s="5">
        <f t="shared" ref="Z55:Z64" si="43">IF(T55=0,0,X55/T55)</f>
        <v>-0.98621456222211945</v>
      </c>
    </row>
    <row r="56" spans="1:26" s="23" customFormat="1" hidden="1" outlineLevel="2" x14ac:dyDescent="0.25">
      <c r="A56" s="27"/>
      <c r="B56" s="10" t="str">
        <f>CONCATENATE("          ", "6362", " - ", "ADVERTISING EXPENSE")</f>
        <v xml:space="preserve">          6362 - ADVERTISING EXPENSE</v>
      </c>
      <c r="C56" s="10"/>
      <c r="D56" s="6">
        <v>68.13</v>
      </c>
      <c r="E56" s="2"/>
      <c r="F56" s="7">
        <f t="shared" si="36"/>
        <v>9.3151001834717879E-4</v>
      </c>
      <c r="G56" s="2"/>
      <c r="H56" s="6">
        <v>256.07</v>
      </c>
      <c r="I56" s="2"/>
      <c r="J56" s="7">
        <f t="shared" si="37"/>
        <v>5.6515118075480029</v>
      </c>
      <c r="K56" s="2"/>
      <c r="L56" s="6">
        <f t="shared" si="38"/>
        <v>-187.94</v>
      </c>
      <c r="M56" s="2"/>
      <c r="N56" s="7">
        <f t="shared" si="39"/>
        <v>-0.73393993829812165</v>
      </c>
      <c r="O56" s="10"/>
      <c r="P56" s="6">
        <v>441.15</v>
      </c>
      <c r="Q56" s="2"/>
      <c r="R56" s="7">
        <f t="shared" si="40"/>
        <v>9.6007943359687799E-4</v>
      </c>
      <c r="S56" s="2"/>
      <c r="T56" s="6">
        <v>32001.16</v>
      </c>
      <c r="U56" s="2"/>
      <c r="V56" s="7">
        <f t="shared" si="41"/>
        <v>4.5819867290887032E-3</v>
      </c>
      <c r="W56" s="2"/>
      <c r="X56" s="6">
        <f t="shared" si="42"/>
        <v>-31560.01</v>
      </c>
      <c r="Y56" s="2"/>
      <c r="Z56" s="7">
        <f t="shared" si="43"/>
        <v>-0.98621456222211945</v>
      </c>
    </row>
    <row r="57" spans="1:26" s="26" customFormat="1" outlineLevel="1" collapsed="1" x14ac:dyDescent="0.25">
      <c r="A57" s="25"/>
      <c r="B57" s="12" t="str">
        <f>CONCATENATE("     ","Bad Debts/Over/Short                              ")</f>
        <v xml:space="preserve">     Bad Debts/Over/Short                              </v>
      </c>
      <c r="C57" s="12"/>
      <c r="D57" s="1">
        <f>SUM(OSRRefD22_3x_0)</f>
        <v>0.57999999999999996</v>
      </c>
      <c r="E57" s="1"/>
      <c r="F57" s="5">
        <f t="shared" si="36"/>
        <v>7.930072077518916E-6</v>
      </c>
      <c r="G57" s="1"/>
      <c r="H57" s="1">
        <f>SUM(OSRRefH22_3x_0)</f>
        <v>0</v>
      </c>
      <c r="I57" s="1"/>
      <c r="J57" s="5">
        <f t="shared" si="37"/>
        <v>0</v>
      </c>
      <c r="K57" s="1"/>
      <c r="L57" s="1">
        <f t="shared" si="38"/>
        <v>0.57999999999999996</v>
      </c>
      <c r="M57" s="1"/>
      <c r="N57" s="5">
        <f t="shared" si="39"/>
        <v>0</v>
      </c>
      <c r="O57" s="12"/>
      <c r="P57" s="1">
        <f>SUM(OSRRefP22_3x_0)</f>
        <v>12.29</v>
      </c>
      <c r="Q57" s="1"/>
      <c r="R57" s="5">
        <f t="shared" si="40"/>
        <v>2.6746857619643275E-5</v>
      </c>
      <c r="S57" s="1"/>
      <c r="T57" s="1">
        <f>SUM(OSRRefT22_3x_0)</f>
        <v>-689.57</v>
      </c>
      <c r="U57" s="1"/>
      <c r="V57" s="5">
        <f t="shared" si="41"/>
        <v>-9.8733939294003639E-5</v>
      </c>
      <c r="W57" s="1"/>
      <c r="X57" s="1">
        <f t="shared" si="42"/>
        <v>701.86</v>
      </c>
      <c r="Y57" s="1"/>
      <c r="Z57" s="5">
        <f t="shared" si="43"/>
        <v>-1.0178227011035863</v>
      </c>
    </row>
    <row r="58" spans="1:26" s="23" customFormat="1" hidden="1" outlineLevel="2" x14ac:dyDescent="0.25">
      <c r="A58" s="27"/>
      <c r="B58" s="10" t="str">
        <f>CONCATENATE("          ", "6272", " - ", "CASH (OVER/SHORT)")</f>
        <v xml:space="preserve">          6272 - CASH (OVER/SHORT)</v>
      </c>
      <c r="C58" s="10"/>
      <c r="D58" s="6">
        <v>0.57999999999999996</v>
      </c>
      <c r="E58" s="2"/>
      <c r="F58" s="7">
        <f t="shared" si="36"/>
        <v>7.930072077518916E-6</v>
      </c>
      <c r="G58" s="2"/>
      <c r="H58" s="6"/>
      <c r="I58" s="2"/>
      <c r="J58" s="7">
        <f t="shared" si="37"/>
        <v>0</v>
      </c>
      <c r="K58" s="2"/>
      <c r="L58" s="6">
        <f t="shared" si="38"/>
        <v>0.57999999999999996</v>
      </c>
      <c r="M58" s="2"/>
      <c r="N58" s="7">
        <f t="shared" si="39"/>
        <v>0</v>
      </c>
      <c r="O58" s="10"/>
      <c r="P58" s="6">
        <v>12.29</v>
      </c>
      <c r="Q58" s="2"/>
      <c r="R58" s="7">
        <f t="shared" si="40"/>
        <v>2.6746857619643275E-5</v>
      </c>
      <c r="S58" s="2"/>
      <c r="T58" s="6">
        <v>-689.57</v>
      </c>
      <c r="U58" s="2"/>
      <c r="V58" s="7">
        <f t="shared" si="41"/>
        <v>-9.8733939294003639E-5</v>
      </c>
      <c r="W58" s="2"/>
      <c r="X58" s="6">
        <f t="shared" si="42"/>
        <v>701.86</v>
      </c>
      <c r="Y58" s="2"/>
      <c r="Z58" s="7">
        <f t="shared" si="43"/>
        <v>-1.0178227011035863</v>
      </c>
    </row>
    <row r="59" spans="1:26" s="26" customFormat="1" outlineLevel="1" collapsed="1" x14ac:dyDescent="0.25">
      <c r="A59" s="25"/>
      <c r="B59" s="12" t="str">
        <f>CONCATENATE("     ","Bank/card Fees                                    ")</f>
        <v xml:space="preserve">     Bank/card Fees                                    </v>
      </c>
      <c r="C59" s="12"/>
      <c r="D59" s="1">
        <f>SUM(OSRRefD22_4x_0)</f>
        <v>1701.74</v>
      </c>
      <c r="E59" s="1"/>
      <c r="F59" s="5">
        <f t="shared" si="36"/>
        <v>2.3267104926201793E-2</v>
      </c>
      <c r="G59" s="1"/>
      <c r="H59" s="1">
        <f>SUM(OSRRefH22_4x_0)</f>
        <v>2838.44</v>
      </c>
      <c r="I59" s="1"/>
      <c r="J59" s="5">
        <f t="shared" si="37"/>
        <v>62.644890752593255</v>
      </c>
      <c r="K59" s="1"/>
      <c r="L59" s="1">
        <f t="shared" si="38"/>
        <v>-1136.7</v>
      </c>
      <c r="M59" s="1"/>
      <c r="N59" s="5">
        <f t="shared" si="39"/>
        <v>-0.40046645340398246</v>
      </c>
      <c r="O59" s="12"/>
      <c r="P59" s="1">
        <f>SUM(OSRRefP22_4x_0)</f>
        <v>8647.77</v>
      </c>
      <c r="Q59" s="1"/>
      <c r="R59" s="5">
        <f t="shared" si="40"/>
        <v>1.8820233760571403E-2</v>
      </c>
      <c r="S59" s="1"/>
      <c r="T59" s="1">
        <f>SUM(OSRRefT22_4x_0)</f>
        <v>238252.66</v>
      </c>
      <c r="U59" s="1"/>
      <c r="V59" s="5">
        <f t="shared" si="41"/>
        <v>3.411346733337426E-2</v>
      </c>
      <c r="W59" s="1"/>
      <c r="X59" s="1">
        <f t="shared" si="42"/>
        <v>-229604.89</v>
      </c>
      <c r="Y59" s="1"/>
      <c r="Z59" s="5">
        <f t="shared" si="43"/>
        <v>-0.96370336431920633</v>
      </c>
    </row>
    <row r="60" spans="1:26" s="23" customFormat="1" hidden="1" outlineLevel="2" x14ac:dyDescent="0.25">
      <c r="A60" s="27"/>
      <c r="B60" s="10" t="str">
        <f>CONCATENATE("          ", "6381", " - ", "BANK/CREDIT CARD FEES")</f>
        <v xml:space="preserve">          6381 - BANK/CREDIT CARD FEES</v>
      </c>
      <c r="C60" s="10"/>
      <c r="D60" s="6">
        <v>1701.74</v>
      </c>
      <c r="E60" s="2"/>
      <c r="F60" s="7">
        <f t="shared" si="36"/>
        <v>2.3267104926201793E-2</v>
      </c>
      <c r="G60" s="2"/>
      <c r="H60" s="6">
        <v>2838.44</v>
      </c>
      <c r="I60" s="2"/>
      <c r="J60" s="7">
        <f t="shared" si="37"/>
        <v>62.644890752593255</v>
      </c>
      <c r="K60" s="2"/>
      <c r="L60" s="6">
        <f t="shared" si="38"/>
        <v>-1136.7</v>
      </c>
      <c r="M60" s="2"/>
      <c r="N60" s="7">
        <f t="shared" si="39"/>
        <v>-0.40046645340398246</v>
      </c>
      <c r="O60" s="10"/>
      <c r="P60" s="6">
        <v>8647.77</v>
      </c>
      <c r="Q60" s="2"/>
      <c r="R60" s="7">
        <f t="shared" si="40"/>
        <v>1.8820233760571403E-2</v>
      </c>
      <c r="S60" s="2"/>
      <c r="T60" s="6">
        <v>238252.66</v>
      </c>
      <c r="U60" s="2"/>
      <c r="V60" s="7">
        <f t="shared" si="41"/>
        <v>3.411346733337426E-2</v>
      </c>
      <c r="W60" s="2"/>
      <c r="X60" s="6">
        <f t="shared" si="42"/>
        <v>-229604.89</v>
      </c>
      <c r="Y60" s="2"/>
      <c r="Z60" s="7">
        <f t="shared" si="43"/>
        <v>-0.96370336431920633</v>
      </c>
    </row>
    <row r="61" spans="1:26" s="26" customFormat="1" outlineLevel="1" collapsed="1" x14ac:dyDescent="0.25">
      <c r="A61" s="25"/>
      <c r="B61" s="12" t="str">
        <f>CONCATENATE("     ","Depreciation                                      ")</f>
        <v xml:space="preserve">     Depreciation                                      </v>
      </c>
      <c r="C61" s="12"/>
      <c r="D61" s="1">
        <f>SUM(OSRRefD22_5x_0)</f>
        <v>45872.85</v>
      </c>
      <c r="E61" s="1"/>
      <c r="F61" s="5">
        <f t="shared" si="36"/>
        <v>0.62719828776071307</v>
      </c>
      <c r="G61" s="1"/>
      <c r="H61" s="1">
        <f>SUM(OSRRefH22_5x_0)</f>
        <v>47132.220000000008</v>
      </c>
      <c r="I61" s="1"/>
      <c r="J61" s="5">
        <f t="shared" si="37"/>
        <v>1040.2167291988526</v>
      </c>
      <c r="K61" s="1"/>
      <c r="L61" s="1">
        <f t="shared" si="38"/>
        <v>-1259.3700000000099</v>
      </c>
      <c r="M61" s="1"/>
      <c r="N61" s="5">
        <f t="shared" si="39"/>
        <v>-2.6719938080574386E-2</v>
      </c>
      <c r="O61" s="12"/>
      <c r="P61" s="1">
        <f>SUM(OSRRefP22_5x_0)</f>
        <v>461733.3</v>
      </c>
      <c r="Q61" s="1"/>
      <c r="R61" s="5">
        <f t="shared" si="40"/>
        <v>1.0048750881487416</v>
      </c>
      <c r="S61" s="1"/>
      <c r="T61" s="1">
        <f>SUM(OSRRefT22_5x_0)</f>
        <v>487621.33999999997</v>
      </c>
      <c r="U61" s="1"/>
      <c r="V61" s="5">
        <f t="shared" si="41"/>
        <v>6.9818547474543122E-2</v>
      </c>
      <c r="W61" s="1"/>
      <c r="X61" s="1">
        <f t="shared" si="42"/>
        <v>-25888.039999999979</v>
      </c>
      <c r="Y61" s="1"/>
      <c r="Z61" s="5">
        <f t="shared" si="43"/>
        <v>-5.3090457443884596E-2</v>
      </c>
    </row>
    <row r="62" spans="1:26" s="23" customFormat="1" hidden="1" outlineLevel="2" x14ac:dyDescent="0.25">
      <c r="A62" s="27"/>
      <c r="B62" s="10" t="str">
        <f>CONCATENATE("          ", "6321", " - ", "BUILDING DEPRECIATION")</f>
        <v xml:space="preserve">          6321 - BUILDING DEPRECIATION</v>
      </c>
      <c r="C62" s="10"/>
      <c r="D62" s="6">
        <v>28664</v>
      </c>
      <c r="E62" s="2"/>
      <c r="F62" s="7">
        <f t="shared" si="36"/>
        <v>0.39190963108621069</v>
      </c>
      <c r="G62" s="2"/>
      <c r="H62" s="6">
        <v>29123.47</v>
      </c>
      <c r="I62" s="2"/>
      <c r="J62" s="7">
        <f t="shared" si="37"/>
        <v>642.76031781063796</v>
      </c>
      <c r="K62" s="2"/>
      <c r="L62" s="6">
        <f t="shared" si="38"/>
        <v>-459.47000000000116</v>
      </c>
      <c r="M62" s="2"/>
      <c r="N62" s="7">
        <f t="shared" si="39"/>
        <v>-1.5776622771943079E-2</v>
      </c>
      <c r="O62" s="10"/>
      <c r="P62" s="6">
        <v>287424.19</v>
      </c>
      <c r="Q62" s="2"/>
      <c r="R62" s="7">
        <f t="shared" si="40"/>
        <v>0.62552431947691589</v>
      </c>
      <c r="S62" s="2"/>
      <c r="T62" s="6">
        <v>291234.7</v>
      </c>
      <c r="U62" s="2"/>
      <c r="V62" s="7">
        <f t="shared" si="41"/>
        <v>4.1699536218378644E-2</v>
      </c>
      <c r="W62" s="2"/>
      <c r="X62" s="6">
        <f t="shared" si="42"/>
        <v>-3810.5100000000093</v>
      </c>
      <c r="Y62" s="2"/>
      <c r="Z62" s="7">
        <f t="shared" si="43"/>
        <v>-1.3083983467629404E-2</v>
      </c>
    </row>
    <row r="63" spans="1:26" s="23" customFormat="1" hidden="1" outlineLevel="2" x14ac:dyDescent="0.25">
      <c r="A63" s="27"/>
      <c r="B63" s="10" t="str">
        <f>CONCATENATE("          ", "6322", " - ", "EQUIPMENT DEPRECIATION EXPENSE")</f>
        <v xml:space="preserve">          6322 - EQUIPMENT DEPRECIATION EXPENSE</v>
      </c>
      <c r="C63" s="10"/>
      <c r="D63" s="6">
        <v>17208.849999999999</v>
      </c>
      <c r="E63" s="2"/>
      <c r="F63" s="7">
        <f t="shared" si="36"/>
        <v>0.23528865667450238</v>
      </c>
      <c r="G63" s="2"/>
      <c r="H63" s="6">
        <v>17584.52</v>
      </c>
      <c r="I63" s="2"/>
      <c r="J63" s="7">
        <f t="shared" si="37"/>
        <v>388.09357757669392</v>
      </c>
      <c r="K63" s="2"/>
      <c r="L63" s="6">
        <f t="shared" si="38"/>
        <v>-375.67000000000189</v>
      </c>
      <c r="M63" s="2"/>
      <c r="N63" s="7">
        <f t="shared" si="39"/>
        <v>-2.1363676688360096E-2</v>
      </c>
      <c r="O63" s="10"/>
      <c r="P63" s="6">
        <v>174309.11</v>
      </c>
      <c r="Q63" s="2"/>
      <c r="R63" s="7">
        <f t="shared" si="40"/>
        <v>0.37935076867182566</v>
      </c>
      <c r="S63" s="2"/>
      <c r="T63" s="6">
        <v>192144.16</v>
      </c>
      <c r="U63" s="2"/>
      <c r="V63" s="7">
        <f t="shared" si="41"/>
        <v>2.7511564930518036E-2</v>
      </c>
      <c r="W63" s="2"/>
      <c r="X63" s="6">
        <f t="shared" si="42"/>
        <v>-17835.050000000017</v>
      </c>
      <c r="Y63" s="2"/>
      <c r="Z63" s="7">
        <f t="shared" si="43"/>
        <v>-9.2821192171544623E-2</v>
      </c>
    </row>
    <row r="64" spans="1:26" s="23" customFormat="1" hidden="1" outlineLevel="2" x14ac:dyDescent="0.25">
      <c r="A64" s="27"/>
      <c r="B64" s="10" t="str">
        <f>CONCATENATE("          ", "6326", " - ", "VEHICLES DEPRECIATION EXPENSE")</f>
        <v xml:space="preserve">          6326 - VEHICLES DEPRECIATION EXPENSE</v>
      </c>
      <c r="C64" s="10"/>
      <c r="D64" s="6"/>
      <c r="E64" s="2"/>
      <c r="F64" s="7">
        <f t="shared" si="36"/>
        <v>0</v>
      </c>
      <c r="G64" s="2"/>
      <c r="H64" s="6">
        <v>424.23</v>
      </c>
      <c r="I64" s="2"/>
      <c r="J64" s="7">
        <f t="shared" si="37"/>
        <v>9.3628338115206375</v>
      </c>
      <c r="K64" s="2"/>
      <c r="L64" s="6">
        <f t="shared" si="38"/>
        <v>-424.23</v>
      </c>
      <c r="M64" s="2"/>
      <c r="N64" s="7">
        <f t="shared" si="39"/>
        <v>-1</v>
      </c>
      <c r="O64" s="10"/>
      <c r="P64" s="6"/>
      <c r="Q64" s="2"/>
      <c r="R64" s="7">
        <f t="shared" si="40"/>
        <v>0</v>
      </c>
      <c r="S64" s="2"/>
      <c r="T64" s="6">
        <v>4242.4799999999996</v>
      </c>
      <c r="U64" s="2"/>
      <c r="V64" s="7">
        <f t="shared" si="41"/>
        <v>6.0744632564645282E-4</v>
      </c>
      <c r="W64" s="2"/>
      <c r="X64" s="6">
        <f t="shared" si="42"/>
        <v>-4242.4799999999996</v>
      </c>
      <c r="Y64" s="2"/>
      <c r="Z64" s="7">
        <f t="shared" si="43"/>
        <v>-1</v>
      </c>
    </row>
    <row r="65" spans="1:26" s="26" customFormat="1" outlineLevel="1" collapsed="1" x14ac:dyDescent="0.25">
      <c r="A65" s="25"/>
      <c r="B65" s="12" t="str">
        <f>CONCATENATE("     ","Discounts and Markdowns                           ")</f>
        <v xml:space="preserve">     Discounts and Markdowns                           </v>
      </c>
      <c r="C65" s="12"/>
      <c r="D65" s="1">
        <f>SUM(OSRRefD22_6x_0)</f>
        <v>0</v>
      </c>
      <c r="E65" s="1"/>
      <c r="F65" s="5">
        <f t="shared" ref="F65:F75" si="44">IF(D$12=0,0,D65/D$12)</f>
        <v>0</v>
      </c>
      <c r="G65" s="1"/>
      <c r="H65" s="1">
        <f>SUM(OSRRefH22_6x_0)</f>
        <v>0</v>
      </c>
      <c r="I65" s="1"/>
      <c r="J65" s="5">
        <f t="shared" ref="J65:J75" si="45">IF(H$12=0,0,H65/H$12)</f>
        <v>0</v>
      </c>
      <c r="K65" s="1"/>
      <c r="L65" s="1">
        <f t="shared" ref="L65:L75" si="46">+D65-H65</f>
        <v>0</v>
      </c>
      <c r="M65" s="1"/>
      <c r="N65" s="5">
        <f t="shared" ref="N65:N75" si="47">IF(H65=0,0,L65/H65)</f>
        <v>0</v>
      </c>
      <c r="O65" s="12"/>
      <c r="P65" s="1">
        <f>SUM(OSRRefP22_6x_0)</f>
        <v>0</v>
      </c>
      <c r="Q65" s="1"/>
      <c r="R65" s="5">
        <f t="shared" ref="R65:R75" si="48">IF(P$12=0,0,P65/P$12)</f>
        <v>0</v>
      </c>
      <c r="S65" s="1"/>
      <c r="T65" s="1">
        <f>SUM(OSRRefT22_6x_0)</f>
        <v>125.96</v>
      </c>
      <c r="U65" s="1"/>
      <c r="V65" s="5">
        <f t="shared" ref="V65:V75" si="49">IF(T$12=0,0,T65/T$12)</f>
        <v>1.8035191486684015E-5</v>
      </c>
      <c r="W65" s="1"/>
      <c r="X65" s="1">
        <f t="shared" ref="X65:X75" si="50">+P65-T65</f>
        <v>-125.96</v>
      </c>
      <c r="Y65" s="1"/>
      <c r="Z65" s="5">
        <f t="shared" ref="Z65:Z75" si="51">IF(T65=0,0,X65/T65)</f>
        <v>-1</v>
      </c>
    </row>
    <row r="66" spans="1:26" s="23" customFormat="1" hidden="1" outlineLevel="2" x14ac:dyDescent="0.25">
      <c r="A66" s="27"/>
      <c r="B66" s="10" t="str">
        <f>CONCATENATE("          ", "6382", " - ", "DISCOUNTS/MARK DOWNS")</f>
        <v xml:space="preserve">          6382 - DISCOUNTS/MARK DOWNS</v>
      </c>
      <c r="C66" s="10"/>
      <c r="D66" s="6"/>
      <c r="E66" s="2"/>
      <c r="F66" s="7">
        <f t="shared" si="44"/>
        <v>0</v>
      </c>
      <c r="G66" s="2"/>
      <c r="H66" s="6"/>
      <c r="I66" s="2"/>
      <c r="J66" s="7">
        <f t="shared" si="45"/>
        <v>0</v>
      </c>
      <c r="K66" s="2"/>
      <c r="L66" s="6">
        <f t="shared" si="46"/>
        <v>0</v>
      </c>
      <c r="M66" s="2"/>
      <c r="N66" s="7">
        <f t="shared" si="47"/>
        <v>0</v>
      </c>
      <c r="O66" s="10"/>
      <c r="P66" s="6"/>
      <c r="Q66" s="2"/>
      <c r="R66" s="7">
        <f t="shared" si="48"/>
        <v>0</v>
      </c>
      <c r="S66" s="2"/>
      <c r="T66" s="6">
        <v>125.96</v>
      </c>
      <c r="U66" s="2"/>
      <c r="V66" s="7">
        <f t="shared" si="49"/>
        <v>1.8035191486684015E-5</v>
      </c>
      <c r="W66" s="2"/>
      <c r="X66" s="6">
        <f t="shared" si="50"/>
        <v>-125.96</v>
      </c>
      <c r="Y66" s="2"/>
      <c r="Z66" s="7">
        <f t="shared" si="51"/>
        <v>-1</v>
      </c>
    </row>
    <row r="67" spans="1:26" s="26" customFormat="1" outlineLevel="1" collapsed="1" x14ac:dyDescent="0.25">
      <c r="A67" s="25"/>
      <c r="B67" s="12" t="str">
        <f>CONCATENATE("     ","Donations                                         ")</f>
        <v xml:space="preserve">     Donations                                         </v>
      </c>
      <c r="C67" s="12"/>
      <c r="D67" s="1">
        <f>SUM(OSRRefD22_7x_0)</f>
        <v>0</v>
      </c>
      <c r="E67" s="1"/>
      <c r="F67" s="5">
        <f t="shared" si="44"/>
        <v>0</v>
      </c>
      <c r="G67" s="1"/>
      <c r="H67" s="1">
        <f>SUM(OSRRefH22_7x_0)</f>
        <v>0</v>
      </c>
      <c r="I67" s="1"/>
      <c r="J67" s="5">
        <f t="shared" si="45"/>
        <v>0</v>
      </c>
      <c r="K67" s="1"/>
      <c r="L67" s="1">
        <f t="shared" si="46"/>
        <v>0</v>
      </c>
      <c r="M67" s="1"/>
      <c r="N67" s="5">
        <f t="shared" si="47"/>
        <v>0</v>
      </c>
      <c r="O67" s="12"/>
      <c r="P67" s="1">
        <f>SUM(OSRRefP22_7x_0)</f>
        <v>0</v>
      </c>
      <c r="Q67" s="1"/>
      <c r="R67" s="5">
        <f t="shared" si="48"/>
        <v>0</v>
      </c>
      <c r="S67" s="1"/>
      <c r="T67" s="1">
        <f>SUM(OSRRefT22_7x_0)</f>
        <v>236.68</v>
      </c>
      <c r="U67" s="1"/>
      <c r="V67" s="5">
        <f t="shared" si="49"/>
        <v>3.3888290894477402E-5</v>
      </c>
      <c r="W67" s="1"/>
      <c r="X67" s="1">
        <f t="shared" si="50"/>
        <v>-236.68</v>
      </c>
      <c r="Y67" s="1"/>
      <c r="Z67" s="5">
        <f t="shared" si="51"/>
        <v>-1</v>
      </c>
    </row>
    <row r="68" spans="1:26" s="23" customFormat="1" hidden="1" outlineLevel="2" x14ac:dyDescent="0.25">
      <c r="A68" s="27"/>
      <c r="B68" s="10" t="str">
        <f>CONCATENATE("          ", "6399", " - ", "DONATION-ON CAMPUS")</f>
        <v xml:space="preserve">          6399 - DONATION-ON CAMPUS</v>
      </c>
      <c r="C68" s="10"/>
      <c r="D68" s="6"/>
      <c r="E68" s="2"/>
      <c r="F68" s="7">
        <f t="shared" si="44"/>
        <v>0</v>
      </c>
      <c r="G68" s="2"/>
      <c r="H68" s="6"/>
      <c r="I68" s="2"/>
      <c r="J68" s="7">
        <f t="shared" si="45"/>
        <v>0</v>
      </c>
      <c r="K68" s="2"/>
      <c r="L68" s="6">
        <f t="shared" si="46"/>
        <v>0</v>
      </c>
      <c r="M68" s="2"/>
      <c r="N68" s="7">
        <f t="shared" si="47"/>
        <v>0</v>
      </c>
      <c r="O68" s="10"/>
      <c r="P68" s="6"/>
      <c r="Q68" s="2"/>
      <c r="R68" s="7">
        <f t="shared" si="48"/>
        <v>0</v>
      </c>
      <c r="S68" s="2"/>
      <c r="T68" s="6">
        <v>236.68</v>
      </c>
      <c r="U68" s="2"/>
      <c r="V68" s="7">
        <f t="shared" si="49"/>
        <v>3.3888290894477402E-5</v>
      </c>
      <c r="W68" s="2"/>
      <c r="X68" s="6">
        <f t="shared" si="50"/>
        <v>-236.68</v>
      </c>
      <c r="Y68" s="2"/>
      <c r="Z68" s="7">
        <f t="shared" si="51"/>
        <v>-1</v>
      </c>
    </row>
    <row r="69" spans="1:26" s="26" customFormat="1" outlineLevel="1" collapsed="1" x14ac:dyDescent="0.25">
      <c r="A69" s="25"/>
      <c r="B69" s="12" t="str">
        <f>CONCATENATE("     ","Employees' Appreciation                           ")</f>
        <v xml:space="preserve">     Employees' Appreciation                           </v>
      </c>
      <c r="C69" s="12"/>
      <c r="D69" s="1">
        <f>SUM(OSRRefD22_8x_0)</f>
        <v>0</v>
      </c>
      <c r="E69" s="1"/>
      <c r="F69" s="5">
        <f t="shared" si="44"/>
        <v>0</v>
      </c>
      <c r="G69" s="1"/>
      <c r="H69" s="1">
        <f>SUM(OSRRefH22_8x_0)</f>
        <v>0</v>
      </c>
      <c r="I69" s="1"/>
      <c r="J69" s="5">
        <f t="shared" si="45"/>
        <v>0</v>
      </c>
      <c r="K69" s="1"/>
      <c r="L69" s="1">
        <f t="shared" si="46"/>
        <v>0</v>
      </c>
      <c r="M69" s="1"/>
      <c r="N69" s="5">
        <f t="shared" si="47"/>
        <v>0</v>
      </c>
      <c r="O69" s="12"/>
      <c r="P69" s="1">
        <f>SUM(OSRRefP22_8x_0)</f>
        <v>10</v>
      </c>
      <c r="Q69" s="1"/>
      <c r="R69" s="5">
        <f t="shared" si="48"/>
        <v>2.1763106281239443E-5</v>
      </c>
      <c r="S69" s="1"/>
      <c r="T69" s="1">
        <f>SUM(OSRRefT22_8x_0)</f>
        <v>1836.65</v>
      </c>
      <c r="U69" s="1"/>
      <c r="V69" s="5">
        <f t="shared" si="49"/>
        <v>2.6297502734215787E-4</v>
      </c>
      <c r="W69" s="1"/>
      <c r="X69" s="1">
        <f t="shared" si="50"/>
        <v>-1826.65</v>
      </c>
      <c r="Y69" s="1"/>
      <c r="Z69" s="5">
        <f t="shared" si="51"/>
        <v>-0.99455530449459617</v>
      </c>
    </row>
    <row r="70" spans="1:26" s="23" customFormat="1" hidden="1" outlineLevel="2" x14ac:dyDescent="0.25">
      <c r="A70" s="27"/>
      <c r="B70" s="10" t="str">
        <f>CONCATENATE("          ", "6277", " - ", "EMPLOYEE APPRECIATION")</f>
        <v xml:space="preserve">          6277 - EMPLOYEE APPRECIATION</v>
      </c>
      <c r="C70" s="10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0"/>
      <c r="P70" s="6">
        <v>10</v>
      </c>
      <c r="Q70" s="2"/>
      <c r="R70" s="7">
        <f t="shared" si="48"/>
        <v>2.1763106281239443E-5</v>
      </c>
      <c r="S70" s="2"/>
      <c r="T70" s="6">
        <v>1836.65</v>
      </c>
      <c r="U70" s="2"/>
      <c r="V70" s="7">
        <f t="shared" si="49"/>
        <v>2.6297502734215787E-4</v>
      </c>
      <c r="W70" s="2"/>
      <c r="X70" s="6">
        <f t="shared" si="50"/>
        <v>-1826.65</v>
      </c>
      <c r="Y70" s="2"/>
      <c r="Z70" s="7">
        <f t="shared" si="51"/>
        <v>-0.99455530449459617</v>
      </c>
    </row>
    <row r="71" spans="1:26" s="26" customFormat="1" outlineLevel="1" collapsed="1" x14ac:dyDescent="0.25">
      <c r="A71" s="25"/>
      <c r="B71" s="12" t="str">
        <f>CONCATENATE("     ","Equipment Rental                                  ")</f>
        <v xml:space="preserve">     Equipment Rental                                  </v>
      </c>
      <c r="C71" s="12"/>
      <c r="D71" s="1">
        <f>SUM(OSRRefD22_9x_0)</f>
        <v>743.99</v>
      </c>
      <c r="E71" s="1"/>
      <c r="F71" s="5">
        <f t="shared" si="44"/>
        <v>1.0172231594747066E-2</v>
      </c>
      <c r="G71" s="1"/>
      <c r="H71" s="1">
        <f>SUM(OSRRefH22_9x_0)</f>
        <v>1292.8</v>
      </c>
      <c r="I71" s="1"/>
      <c r="J71" s="5">
        <f t="shared" si="45"/>
        <v>28.532332818362395</v>
      </c>
      <c r="K71" s="1"/>
      <c r="L71" s="1">
        <f t="shared" si="46"/>
        <v>-548.80999999999995</v>
      </c>
      <c r="M71" s="1"/>
      <c r="N71" s="5">
        <f t="shared" si="47"/>
        <v>-0.42451268564356431</v>
      </c>
      <c r="O71" s="12"/>
      <c r="P71" s="1">
        <f>SUM(OSRRefP22_9x_0)</f>
        <v>6069.17</v>
      </c>
      <c r="Q71" s="1"/>
      <c r="R71" s="5">
        <f t="shared" si="48"/>
        <v>1.3208399174891E-2</v>
      </c>
      <c r="S71" s="1"/>
      <c r="T71" s="1">
        <f>SUM(OSRRefT22_9x_0)</f>
        <v>26045.57</v>
      </c>
      <c r="U71" s="1"/>
      <c r="V71" s="5">
        <f t="shared" si="49"/>
        <v>3.7292540674010214E-3</v>
      </c>
      <c r="W71" s="1"/>
      <c r="X71" s="1">
        <f t="shared" si="50"/>
        <v>-19976.400000000001</v>
      </c>
      <c r="Y71" s="1"/>
      <c r="Z71" s="5">
        <f t="shared" si="51"/>
        <v>-0.76697879908176325</v>
      </c>
    </row>
    <row r="72" spans="1:26" s="23" customFormat="1" hidden="1" outlineLevel="2" x14ac:dyDescent="0.25">
      <c r="A72" s="27"/>
      <c r="B72" s="10" t="str">
        <f>CONCATENATE("          ", "6351", " - ", "EQUIPMENT RENTAL")</f>
        <v xml:space="preserve">          6351 - EQUIPMENT RENTAL</v>
      </c>
      <c r="C72" s="10"/>
      <c r="D72" s="6">
        <v>743.99</v>
      </c>
      <c r="E72" s="2"/>
      <c r="F72" s="7">
        <f t="shared" si="44"/>
        <v>1.0172231594747066E-2</v>
      </c>
      <c r="G72" s="2"/>
      <c r="H72" s="6">
        <v>1292.8</v>
      </c>
      <c r="I72" s="2"/>
      <c r="J72" s="7">
        <f t="shared" si="45"/>
        <v>28.532332818362395</v>
      </c>
      <c r="K72" s="2"/>
      <c r="L72" s="6">
        <f t="shared" si="46"/>
        <v>-548.80999999999995</v>
      </c>
      <c r="M72" s="2"/>
      <c r="N72" s="7">
        <f t="shared" si="47"/>
        <v>-0.42451268564356431</v>
      </c>
      <c r="O72" s="10"/>
      <c r="P72" s="6">
        <v>6069.17</v>
      </c>
      <c r="Q72" s="2"/>
      <c r="R72" s="7">
        <f t="shared" si="48"/>
        <v>1.3208399174891E-2</v>
      </c>
      <c r="S72" s="2"/>
      <c r="T72" s="6">
        <v>26045.57</v>
      </c>
      <c r="U72" s="2"/>
      <c r="V72" s="7">
        <f t="shared" si="49"/>
        <v>3.7292540674010214E-3</v>
      </c>
      <c r="W72" s="2"/>
      <c r="X72" s="6">
        <f t="shared" si="50"/>
        <v>-19976.400000000001</v>
      </c>
      <c r="Y72" s="2"/>
      <c r="Z72" s="7">
        <f t="shared" si="51"/>
        <v>-0.76697879908176325</v>
      </c>
    </row>
    <row r="73" spans="1:26" s="26" customFormat="1" outlineLevel="1" collapsed="1" x14ac:dyDescent="0.25">
      <c r="A73" s="25"/>
      <c r="B73" s="12" t="str">
        <f>CONCATENATE("     ","Freight out/Postage                               ")</f>
        <v xml:space="preserve">     Freight out/Postage                               </v>
      </c>
      <c r="C73" s="12"/>
      <c r="D73" s="1">
        <f>SUM(OSRRefD22_10x_0)</f>
        <v>33.24</v>
      </c>
      <c r="E73" s="1"/>
      <c r="F73" s="5">
        <f t="shared" si="44"/>
        <v>4.5447516527022202E-4</v>
      </c>
      <c r="G73" s="1"/>
      <c r="H73" s="1">
        <f>SUM(OSRRefH22_10x_0)</f>
        <v>20.010000000000002</v>
      </c>
      <c r="I73" s="1"/>
      <c r="J73" s="5">
        <f t="shared" si="45"/>
        <v>0.44162436548223361</v>
      </c>
      <c r="K73" s="1"/>
      <c r="L73" s="1">
        <f t="shared" si="46"/>
        <v>13.23</v>
      </c>
      <c r="M73" s="1"/>
      <c r="N73" s="5">
        <f t="shared" si="47"/>
        <v>0.66116941529235385</v>
      </c>
      <c r="O73" s="12"/>
      <c r="P73" s="1">
        <f>SUM(OSRRefP22_10x_0)</f>
        <v>277.65000000000003</v>
      </c>
      <c r="Q73" s="1"/>
      <c r="R73" s="5">
        <f t="shared" si="48"/>
        <v>6.0425264589861324E-4</v>
      </c>
      <c r="S73" s="1"/>
      <c r="T73" s="1">
        <f>SUM(OSRRefT22_10x_0)</f>
        <v>331.18</v>
      </c>
      <c r="U73" s="1"/>
      <c r="V73" s="5">
        <f t="shared" si="49"/>
        <v>4.7418979966338626E-5</v>
      </c>
      <c r="W73" s="1"/>
      <c r="X73" s="1">
        <f t="shared" si="50"/>
        <v>-53.529999999999973</v>
      </c>
      <c r="Y73" s="1"/>
      <c r="Z73" s="5">
        <f t="shared" si="51"/>
        <v>-0.16163415665197164</v>
      </c>
    </row>
    <row r="74" spans="1:26" s="23" customFormat="1" hidden="1" outlineLevel="2" x14ac:dyDescent="0.25">
      <c r="A74" s="27"/>
      <c r="B74" s="10" t="str">
        <f>CONCATENATE("          ", "6305", " - ", "FREIGHT OUT")</f>
        <v xml:space="preserve">          6305 - FREIGHT OUT</v>
      </c>
      <c r="C74" s="10"/>
      <c r="D74" s="6">
        <v>30.28</v>
      </c>
      <c r="E74" s="2"/>
      <c r="F74" s="7">
        <f t="shared" si="44"/>
        <v>4.1400445259874618E-4</v>
      </c>
      <c r="G74" s="2"/>
      <c r="H74" s="6">
        <v>20.010000000000002</v>
      </c>
      <c r="I74" s="2"/>
      <c r="J74" s="7">
        <f t="shared" si="45"/>
        <v>0.44162436548223361</v>
      </c>
      <c r="K74" s="2"/>
      <c r="L74" s="6">
        <f t="shared" si="46"/>
        <v>10.27</v>
      </c>
      <c r="M74" s="2"/>
      <c r="N74" s="7">
        <f t="shared" si="47"/>
        <v>0.51324337831084454</v>
      </c>
      <c r="O74" s="10"/>
      <c r="P74" s="6">
        <v>280.10000000000002</v>
      </c>
      <c r="Q74" s="2"/>
      <c r="R74" s="7">
        <f t="shared" si="48"/>
        <v>6.0958460693751688E-4</v>
      </c>
      <c r="S74" s="2"/>
      <c r="T74" s="6">
        <v>331.18</v>
      </c>
      <c r="U74" s="2"/>
      <c r="V74" s="7">
        <f t="shared" si="49"/>
        <v>4.7418979966338626E-5</v>
      </c>
      <c r="W74" s="2"/>
      <c r="X74" s="6">
        <f t="shared" si="50"/>
        <v>-51.079999999999984</v>
      </c>
      <c r="Y74" s="2"/>
      <c r="Z74" s="7">
        <f t="shared" si="51"/>
        <v>-0.15423636693037013</v>
      </c>
    </row>
    <row r="75" spans="1:26" s="23" customFormat="1" hidden="1" outlineLevel="2" x14ac:dyDescent="0.25">
      <c r="A75" s="27"/>
      <c r="B75" s="10" t="str">
        <f>CONCATENATE("          ", "6307", " - ", "POSTAGE")</f>
        <v xml:space="preserve">          6307 - POSTAGE</v>
      </c>
      <c r="C75" s="10"/>
      <c r="D75" s="6">
        <v>2.96</v>
      </c>
      <c r="E75" s="2"/>
      <c r="F75" s="7">
        <f t="shared" si="44"/>
        <v>4.0470712671475846E-5</v>
      </c>
      <c r="G75" s="2"/>
      <c r="H75" s="6"/>
      <c r="I75" s="2"/>
      <c r="J75" s="7">
        <f t="shared" si="45"/>
        <v>0</v>
      </c>
      <c r="K75" s="2"/>
      <c r="L75" s="6">
        <f t="shared" si="46"/>
        <v>2.96</v>
      </c>
      <c r="M75" s="2"/>
      <c r="N75" s="7">
        <f t="shared" si="47"/>
        <v>0</v>
      </c>
      <c r="O75" s="10"/>
      <c r="P75" s="6">
        <v>-2.4500000000000002</v>
      </c>
      <c r="Q75" s="2"/>
      <c r="R75" s="7">
        <f t="shared" si="48"/>
        <v>-5.3319610389036641E-6</v>
      </c>
      <c r="S75" s="2"/>
      <c r="T75" s="6"/>
      <c r="U75" s="2"/>
      <c r="V75" s="7">
        <f t="shared" si="49"/>
        <v>0</v>
      </c>
      <c r="W75" s="2"/>
      <c r="X75" s="6">
        <f t="shared" si="50"/>
        <v>-2.4500000000000002</v>
      </c>
      <c r="Y75" s="2"/>
      <c r="Z75" s="7">
        <f t="shared" si="51"/>
        <v>0</v>
      </c>
    </row>
    <row r="76" spans="1:26" s="26" customFormat="1" outlineLevel="1" collapsed="1" x14ac:dyDescent="0.25">
      <c r="A76" s="25"/>
      <c r="B76" s="12" t="str">
        <f>CONCATENATE("     ","General                                           ")</f>
        <v xml:space="preserve">     General                                           </v>
      </c>
      <c r="C76" s="12"/>
      <c r="D76" s="1">
        <f>SUM(OSRRefD22_11x_0)</f>
        <v>325</v>
      </c>
      <c r="E76" s="1"/>
      <c r="F76" s="5">
        <f t="shared" ref="F76:F78" si="52">IF(D$12=0,0,D76/D$12)</f>
        <v>4.4435748710235307E-3</v>
      </c>
      <c r="G76" s="1"/>
      <c r="H76" s="1">
        <f>SUM(OSRRefH22_11x_0)</f>
        <v>519.42999999999995</v>
      </c>
      <c r="I76" s="1"/>
      <c r="J76" s="5">
        <f t="shared" ref="J76:J78" si="53">IF(H$12=0,0,H76/H$12)</f>
        <v>11.46391525049658</v>
      </c>
      <c r="K76" s="1"/>
      <c r="L76" s="1">
        <f t="shared" ref="L76:L78" si="54">+D76-H76</f>
        <v>-194.42999999999995</v>
      </c>
      <c r="M76" s="1"/>
      <c r="N76" s="5">
        <f t="shared" ref="N76:N78" si="55">IF(H76=0,0,L76/H76)</f>
        <v>-0.37431415205128693</v>
      </c>
      <c r="O76" s="12"/>
      <c r="P76" s="1">
        <f>SUM(OSRRefP22_11x_0)</f>
        <v>11185.34</v>
      </c>
      <c r="Q76" s="1"/>
      <c r="R76" s="5">
        <f t="shared" ref="R76:R78" si="56">IF(P$12=0,0,P76/P$12)</f>
        <v>2.4342774321179879E-2</v>
      </c>
      <c r="S76" s="1"/>
      <c r="T76" s="1">
        <f>SUM(OSRRefT22_11x_0)</f>
        <v>95568.49</v>
      </c>
      <c r="U76" s="1"/>
      <c r="V76" s="5">
        <f t="shared" ref="V76:V78" si="57">IF(T$12=0,0,T76/T$12)</f>
        <v>1.3683677494786018E-2</v>
      </c>
      <c r="W76" s="1"/>
      <c r="X76" s="1">
        <f t="shared" ref="X76:X78" si="58">+P76-T76</f>
        <v>-84383.150000000009</v>
      </c>
      <c r="Y76" s="1"/>
      <c r="Z76" s="5">
        <f t="shared" ref="Z76:Z78" si="59">IF(T76=0,0,X76/T76)</f>
        <v>-0.88295995887347389</v>
      </c>
    </row>
    <row r="77" spans="1:26" s="23" customFormat="1" hidden="1" outlineLevel="2" x14ac:dyDescent="0.25">
      <c r="A77" s="27"/>
      <c r="B77" s="10" t="str">
        <f>CONCATENATE("          ", "6269", " - ", "ENTERTAINMENT")</f>
        <v xml:space="preserve">          6269 - ENTERTAINMENT</v>
      </c>
      <c r="C77" s="10"/>
      <c r="D77" s="6"/>
      <c r="E77" s="2"/>
      <c r="F77" s="7">
        <f t="shared" si="52"/>
        <v>0</v>
      </c>
      <c r="G77" s="2"/>
      <c r="H77" s="6"/>
      <c r="I77" s="2"/>
      <c r="J77" s="7">
        <f t="shared" si="53"/>
        <v>0</v>
      </c>
      <c r="K77" s="2"/>
      <c r="L77" s="6">
        <f t="shared" si="54"/>
        <v>0</v>
      </c>
      <c r="M77" s="2"/>
      <c r="N77" s="7">
        <f t="shared" si="55"/>
        <v>0</v>
      </c>
      <c r="O77" s="10"/>
      <c r="P77" s="6"/>
      <c r="Q77" s="2"/>
      <c r="R77" s="7">
        <f t="shared" si="56"/>
        <v>0</v>
      </c>
      <c r="S77" s="2"/>
      <c r="T77" s="6">
        <v>10050</v>
      </c>
      <c r="U77" s="2"/>
      <c r="V77" s="7">
        <f t="shared" si="57"/>
        <v>1.4389780441503206E-3</v>
      </c>
      <c r="W77" s="2"/>
      <c r="X77" s="6">
        <f t="shared" si="58"/>
        <v>-10050</v>
      </c>
      <c r="Y77" s="2"/>
      <c r="Z77" s="7">
        <f t="shared" si="59"/>
        <v>-1</v>
      </c>
    </row>
    <row r="78" spans="1:26" s="23" customFormat="1" hidden="1" outlineLevel="2" x14ac:dyDescent="0.25">
      <c r="A78" s="27"/>
      <c r="B78" s="10" t="str">
        <f>CONCATENATE("          ", "6279", " - ", "GENERAL EXPENSE")</f>
        <v xml:space="preserve">          6279 - GENERAL EXPENSE</v>
      </c>
      <c r="C78" s="10"/>
      <c r="D78" s="6">
        <v>325</v>
      </c>
      <c r="E78" s="2"/>
      <c r="F78" s="7">
        <f t="shared" si="52"/>
        <v>4.4435748710235307E-3</v>
      </c>
      <c r="G78" s="2"/>
      <c r="H78" s="6">
        <v>519.42999999999995</v>
      </c>
      <c r="I78" s="2"/>
      <c r="J78" s="7">
        <f t="shared" si="53"/>
        <v>11.46391525049658</v>
      </c>
      <c r="K78" s="2"/>
      <c r="L78" s="6">
        <f t="shared" si="54"/>
        <v>-194.42999999999995</v>
      </c>
      <c r="M78" s="2"/>
      <c r="N78" s="7">
        <f t="shared" si="55"/>
        <v>-0.37431415205128693</v>
      </c>
      <c r="O78" s="10"/>
      <c r="P78" s="6">
        <v>11185.34</v>
      </c>
      <c r="Q78" s="2"/>
      <c r="R78" s="7">
        <f t="shared" si="56"/>
        <v>2.4342774321179879E-2</v>
      </c>
      <c r="S78" s="2"/>
      <c r="T78" s="6">
        <v>85518.49</v>
      </c>
      <c r="U78" s="2"/>
      <c r="V78" s="7">
        <f t="shared" si="57"/>
        <v>1.2244699450635697E-2</v>
      </c>
      <c r="W78" s="2"/>
      <c r="X78" s="6">
        <f t="shared" si="58"/>
        <v>-74333.150000000009</v>
      </c>
      <c r="Y78" s="2"/>
      <c r="Z78" s="7">
        <f t="shared" si="59"/>
        <v>-0.86920559518766061</v>
      </c>
    </row>
    <row r="79" spans="1:26" s="26" customFormat="1" outlineLevel="1" collapsed="1" x14ac:dyDescent="0.25">
      <c r="A79" s="25"/>
      <c r="B79" s="12" t="str">
        <f>CONCATENATE("     ","Insurance                                         ")</f>
        <v xml:space="preserve">     Insurance                                         </v>
      </c>
      <c r="C79" s="12"/>
      <c r="D79" s="1">
        <f>SUM(OSRRefD22_12x_0)</f>
        <v>4483.67</v>
      </c>
      <c r="E79" s="1"/>
      <c r="F79" s="5">
        <f t="shared" ref="F79:F91" si="60">IF(D$12=0,0,D79/D$12)</f>
        <v>6.1303148744498687E-2</v>
      </c>
      <c r="G79" s="1"/>
      <c r="H79" s="1">
        <f>SUM(OSRRefH22_12x_0)</f>
        <v>4483.67</v>
      </c>
      <c r="I79" s="1"/>
      <c r="J79" s="5">
        <f t="shared" ref="J79:J91" si="61">IF(H$12=0,0,H79/H$12)</f>
        <v>98.955418229971315</v>
      </c>
      <c r="K79" s="1"/>
      <c r="L79" s="1">
        <f t="shared" ref="L79:L91" si="62">+D79-H79</f>
        <v>0</v>
      </c>
      <c r="M79" s="1"/>
      <c r="N79" s="5">
        <f t="shared" ref="N79:N91" si="63">IF(H79=0,0,L79/H79)</f>
        <v>0</v>
      </c>
      <c r="O79" s="12"/>
      <c r="P79" s="1">
        <f>SUM(OSRRefP22_12x_0)</f>
        <v>50948.7</v>
      </c>
      <c r="Q79" s="1"/>
      <c r="R79" s="5">
        <f t="shared" ref="R79:R91" si="64">IF(P$12=0,0,P79/P$12)</f>
        <v>0.1108801972990984</v>
      </c>
      <c r="S79" s="1"/>
      <c r="T79" s="1">
        <f>SUM(OSRRefT22_12x_0)</f>
        <v>50597.7</v>
      </c>
      <c r="U79" s="1"/>
      <c r="V79" s="5">
        <f t="shared" ref="V79:V91" si="65">IF(T$12=0,0,T79/T$12)</f>
        <v>7.2446745656223549E-3</v>
      </c>
      <c r="W79" s="1"/>
      <c r="X79" s="1">
        <f t="shared" ref="X79:X91" si="66">+P79-T79</f>
        <v>351</v>
      </c>
      <c r="Y79" s="1"/>
      <c r="Z79" s="5">
        <f t="shared" ref="Z79:Z91" si="67">IF(T79=0,0,X79/T79)</f>
        <v>6.9370742148358528E-3</v>
      </c>
    </row>
    <row r="80" spans="1:26" s="23" customFormat="1" hidden="1" outlineLevel="2" x14ac:dyDescent="0.25">
      <c r="A80" s="27"/>
      <c r="B80" s="10" t="str">
        <f>CONCATENATE("          ", "6314", " - ", "LIABILITY INSURANCE")</f>
        <v xml:space="preserve">          6314 - LIABILITY INSURANCE</v>
      </c>
      <c r="C80" s="10"/>
      <c r="D80" s="6">
        <v>4483.67</v>
      </c>
      <c r="E80" s="2"/>
      <c r="F80" s="7">
        <f t="shared" si="60"/>
        <v>6.1303148744498687E-2</v>
      </c>
      <c r="G80" s="2"/>
      <c r="H80" s="6">
        <v>4483.67</v>
      </c>
      <c r="I80" s="2"/>
      <c r="J80" s="7">
        <f t="shared" si="61"/>
        <v>98.955418229971315</v>
      </c>
      <c r="K80" s="2"/>
      <c r="L80" s="6">
        <f t="shared" si="62"/>
        <v>0</v>
      </c>
      <c r="M80" s="2"/>
      <c r="N80" s="7">
        <f t="shared" si="63"/>
        <v>0</v>
      </c>
      <c r="O80" s="10"/>
      <c r="P80" s="6">
        <v>50948.7</v>
      </c>
      <c r="Q80" s="2"/>
      <c r="R80" s="7">
        <f t="shared" si="64"/>
        <v>0.1108801972990984</v>
      </c>
      <c r="S80" s="2"/>
      <c r="T80" s="6">
        <v>50597.7</v>
      </c>
      <c r="U80" s="2"/>
      <c r="V80" s="7">
        <f t="shared" si="65"/>
        <v>7.2446745656223549E-3</v>
      </c>
      <c r="W80" s="2"/>
      <c r="X80" s="6">
        <f t="shared" si="66"/>
        <v>351</v>
      </c>
      <c r="Y80" s="2"/>
      <c r="Z80" s="7">
        <f t="shared" si="67"/>
        <v>6.9370742148358528E-3</v>
      </c>
    </row>
    <row r="81" spans="1:26" s="26" customFormat="1" outlineLevel="1" collapsed="1" x14ac:dyDescent="0.25">
      <c r="A81" s="25"/>
      <c r="B81" s="12" t="str">
        <f>CONCATENATE("     ","Interest                                          ")</f>
        <v xml:space="preserve">     Interest                                          </v>
      </c>
      <c r="C81" s="12"/>
      <c r="D81" s="1">
        <f>SUM(OSRRefD22_13x_0)</f>
        <v>9180</v>
      </c>
      <c r="E81" s="1"/>
      <c r="F81" s="5">
        <f t="shared" si="60"/>
        <v>0.12551389943383387</v>
      </c>
      <c r="G81" s="1"/>
      <c r="H81" s="1">
        <f>SUM(OSRRefH22_13x_0)</f>
        <v>8928.0499999999993</v>
      </c>
      <c r="I81" s="1"/>
      <c r="J81" s="5">
        <f t="shared" si="61"/>
        <v>197.0436989627014</v>
      </c>
      <c r="K81" s="1"/>
      <c r="L81" s="1">
        <f t="shared" si="62"/>
        <v>251.95000000000073</v>
      </c>
      <c r="M81" s="1"/>
      <c r="N81" s="5">
        <f t="shared" si="63"/>
        <v>2.8220048050806249E-2</v>
      </c>
      <c r="O81" s="12"/>
      <c r="P81" s="1">
        <f>SUM(OSRRefP22_13x_0)</f>
        <v>112417</v>
      </c>
      <c r="Q81" s="1"/>
      <c r="R81" s="5">
        <f t="shared" si="64"/>
        <v>0.24465431188180944</v>
      </c>
      <c r="S81" s="1"/>
      <c r="T81" s="1">
        <f>SUM(OSRRefT22_13x_0)</f>
        <v>115690.05</v>
      </c>
      <c r="U81" s="1"/>
      <c r="V81" s="5">
        <f t="shared" si="65"/>
        <v>1.6564720584741573E-2</v>
      </c>
      <c r="W81" s="1"/>
      <c r="X81" s="1">
        <f t="shared" si="66"/>
        <v>-3273.0500000000029</v>
      </c>
      <c r="Y81" s="1"/>
      <c r="Z81" s="5">
        <f t="shared" si="67"/>
        <v>-2.8291542790412856E-2</v>
      </c>
    </row>
    <row r="82" spans="1:26" s="23" customFormat="1" hidden="1" outlineLevel="2" x14ac:dyDescent="0.25">
      <c r="A82" s="27"/>
      <c r="B82" s="10" t="str">
        <f>CONCATENATE("          ", "6401", " - ", "INTEREST EXPENSE")</f>
        <v xml:space="preserve">          6401 - INTEREST EXPENSE</v>
      </c>
      <c r="C82" s="10"/>
      <c r="D82" s="6">
        <v>9180</v>
      </c>
      <c r="E82" s="2"/>
      <c r="F82" s="7">
        <f t="shared" si="60"/>
        <v>0.12551389943383387</v>
      </c>
      <c r="G82" s="2"/>
      <c r="H82" s="6">
        <v>8928.0499999999993</v>
      </c>
      <c r="I82" s="2"/>
      <c r="J82" s="7">
        <f t="shared" si="61"/>
        <v>197.0436989627014</v>
      </c>
      <c r="K82" s="2"/>
      <c r="L82" s="6">
        <f t="shared" si="62"/>
        <v>251.95000000000073</v>
      </c>
      <c r="M82" s="2"/>
      <c r="N82" s="7">
        <f t="shared" si="63"/>
        <v>2.8220048050806249E-2</v>
      </c>
      <c r="O82" s="10"/>
      <c r="P82" s="6">
        <v>112417</v>
      </c>
      <c r="Q82" s="2"/>
      <c r="R82" s="7">
        <f t="shared" si="64"/>
        <v>0.24465431188180944</v>
      </c>
      <c r="S82" s="2"/>
      <c r="T82" s="6">
        <v>115690.05</v>
      </c>
      <c r="U82" s="2"/>
      <c r="V82" s="7">
        <f t="shared" si="65"/>
        <v>1.6564720584741573E-2</v>
      </c>
      <c r="W82" s="2"/>
      <c r="X82" s="6">
        <f t="shared" si="66"/>
        <v>-3273.0500000000029</v>
      </c>
      <c r="Y82" s="2"/>
      <c r="Z82" s="7">
        <f t="shared" si="67"/>
        <v>-2.8291542790412856E-2</v>
      </c>
    </row>
    <row r="83" spans="1:26" s="26" customFormat="1" outlineLevel="1" collapsed="1" x14ac:dyDescent="0.25">
      <c r="A83" s="25"/>
      <c r="B83" s="12" t="str">
        <f>CONCATENATE("     ","Professional Services                             ")</f>
        <v xml:space="preserve">     Professional Services                             </v>
      </c>
      <c r="C83" s="12"/>
      <c r="D83" s="1">
        <f>SUM(OSRRefD22_14x_0)</f>
        <v>0</v>
      </c>
      <c r="E83" s="1"/>
      <c r="F83" s="5">
        <f t="shared" si="60"/>
        <v>0</v>
      </c>
      <c r="G83" s="1"/>
      <c r="H83" s="1">
        <f>SUM(OSRRefH22_14x_0)</f>
        <v>0</v>
      </c>
      <c r="I83" s="1"/>
      <c r="J83" s="5">
        <f t="shared" si="61"/>
        <v>0</v>
      </c>
      <c r="K83" s="1"/>
      <c r="L83" s="1">
        <f t="shared" si="62"/>
        <v>0</v>
      </c>
      <c r="M83" s="1"/>
      <c r="N83" s="5">
        <f t="shared" si="63"/>
        <v>0</v>
      </c>
      <c r="O83" s="12"/>
      <c r="P83" s="1">
        <f>SUM(OSRRefP22_14x_0)</f>
        <v>0</v>
      </c>
      <c r="Q83" s="1"/>
      <c r="R83" s="5">
        <f t="shared" si="64"/>
        <v>0</v>
      </c>
      <c r="S83" s="1"/>
      <c r="T83" s="1">
        <f>SUM(OSRRefT22_14x_0)</f>
        <v>125</v>
      </c>
      <c r="U83" s="1"/>
      <c r="V83" s="5">
        <f t="shared" si="65"/>
        <v>1.78977368675413E-5</v>
      </c>
      <c r="W83" s="1"/>
      <c r="X83" s="1">
        <f t="shared" si="66"/>
        <v>-125</v>
      </c>
      <c r="Y83" s="1"/>
      <c r="Z83" s="5">
        <f t="shared" si="67"/>
        <v>-1</v>
      </c>
    </row>
    <row r="84" spans="1:26" s="23" customFormat="1" hidden="1" outlineLevel="2" x14ac:dyDescent="0.25">
      <c r="A84" s="27"/>
      <c r="B84" s="10" t="str">
        <f>CONCATENATE("          ", "6336", " - ", "PROFESSIONAL SERVICES")</f>
        <v xml:space="preserve">          6336 - PROFESSIONAL SERVICES</v>
      </c>
      <c r="C84" s="10"/>
      <c r="D84" s="6"/>
      <c r="E84" s="2"/>
      <c r="F84" s="7">
        <f t="shared" si="60"/>
        <v>0</v>
      </c>
      <c r="G84" s="2"/>
      <c r="H84" s="6"/>
      <c r="I84" s="2"/>
      <c r="J84" s="7">
        <f t="shared" si="61"/>
        <v>0</v>
      </c>
      <c r="K84" s="2"/>
      <c r="L84" s="6">
        <f t="shared" si="62"/>
        <v>0</v>
      </c>
      <c r="M84" s="2"/>
      <c r="N84" s="7">
        <f t="shared" si="63"/>
        <v>0</v>
      </c>
      <c r="O84" s="10"/>
      <c r="P84" s="6"/>
      <c r="Q84" s="2"/>
      <c r="R84" s="7">
        <f t="shared" si="64"/>
        <v>0</v>
      </c>
      <c r="S84" s="2"/>
      <c r="T84" s="6">
        <v>125</v>
      </c>
      <c r="U84" s="2"/>
      <c r="V84" s="7">
        <f t="shared" si="65"/>
        <v>1.78977368675413E-5</v>
      </c>
      <c r="W84" s="2"/>
      <c r="X84" s="6">
        <f t="shared" si="66"/>
        <v>-125</v>
      </c>
      <c r="Y84" s="2"/>
      <c r="Z84" s="7">
        <f t="shared" si="67"/>
        <v>-1</v>
      </c>
    </row>
    <row r="85" spans="1:26" s="26" customFormat="1" outlineLevel="1" collapsed="1" x14ac:dyDescent="0.25">
      <c r="A85" s="25"/>
      <c r="B85" s="12" t="str">
        <f>CONCATENATE("     ","Rent                                              ")</f>
        <v xml:space="preserve">     Rent                                              </v>
      </c>
      <c r="C85" s="12"/>
      <c r="D85" s="1">
        <f>SUM(OSRRefD22_15x_0)</f>
        <v>1850</v>
      </c>
      <c r="E85" s="1"/>
      <c r="F85" s="5">
        <f t="shared" si="60"/>
        <v>2.5294195419672403E-2</v>
      </c>
      <c r="G85" s="1"/>
      <c r="H85" s="1">
        <f>SUM(OSRRefH22_15x_0)</f>
        <v>3000</v>
      </c>
      <c r="I85" s="1"/>
      <c r="J85" s="5">
        <f t="shared" si="61"/>
        <v>66.210549547561257</v>
      </c>
      <c r="K85" s="1"/>
      <c r="L85" s="1">
        <f t="shared" si="62"/>
        <v>-1150</v>
      </c>
      <c r="M85" s="1"/>
      <c r="N85" s="5">
        <f t="shared" si="63"/>
        <v>-0.38333333333333336</v>
      </c>
      <c r="O85" s="12"/>
      <c r="P85" s="1">
        <f>SUM(OSRRefP22_15x_0)</f>
        <v>12950</v>
      </c>
      <c r="Q85" s="1"/>
      <c r="R85" s="5">
        <f t="shared" si="64"/>
        <v>2.8183222634205078E-2</v>
      </c>
      <c r="S85" s="1"/>
      <c r="T85" s="1">
        <f>SUM(OSRRefT22_15x_0)</f>
        <v>30000</v>
      </c>
      <c r="U85" s="1"/>
      <c r="V85" s="5">
        <f t="shared" si="65"/>
        <v>4.2954568482099116E-3</v>
      </c>
      <c r="W85" s="1"/>
      <c r="X85" s="1">
        <f t="shared" si="66"/>
        <v>-17050</v>
      </c>
      <c r="Y85" s="1"/>
      <c r="Z85" s="5">
        <f t="shared" si="67"/>
        <v>-0.56833333333333336</v>
      </c>
    </row>
    <row r="86" spans="1:26" s="23" customFormat="1" hidden="1" outlineLevel="2" x14ac:dyDescent="0.25">
      <c r="A86" s="27"/>
      <c r="B86" s="10" t="str">
        <f>CONCATENATE("          ", "6273", " - ", "RENT")</f>
        <v xml:space="preserve">          6273 - RENT</v>
      </c>
      <c r="C86" s="10"/>
      <c r="D86" s="6">
        <v>1850</v>
      </c>
      <c r="E86" s="2"/>
      <c r="F86" s="7">
        <f t="shared" si="60"/>
        <v>2.5294195419672403E-2</v>
      </c>
      <c r="G86" s="2"/>
      <c r="H86" s="6">
        <v>3000</v>
      </c>
      <c r="I86" s="2"/>
      <c r="J86" s="7">
        <f t="shared" si="61"/>
        <v>66.210549547561257</v>
      </c>
      <c r="K86" s="2"/>
      <c r="L86" s="6">
        <f t="shared" si="62"/>
        <v>-1150</v>
      </c>
      <c r="M86" s="2"/>
      <c r="N86" s="7">
        <f t="shared" si="63"/>
        <v>-0.38333333333333336</v>
      </c>
      <c r="O86" s="10"/>
      <c r="P86" s="6">
        <v>12950</v>
      </c>
      <c r="Q86" s="2"/>
      <c r="R86" s="7">
        <f t="shared" si="64"/>
        <v>2.8183222634205078E-2</v>
      </c>
      <c r="S86" s="2"/>
      <c r="T86" s="6">
        <v>30000</v>
      </c>
      <c r="U86" s="2"/>
      <c r="V86" s="7">
        <f t="shared" si="65"/>
        <v>4.2954568482099116E-3</v>
      </c>
      <c r="W86" s="2"/>
      <c r="X86" s="6">
        <f t="shared" si="66"/>
        <v>-17050</v>
      </c>
      <c r="Y86" s="2"/>
      <c r="Z86" s="7">
        <f t="shared" si="67"/>
        <v>-0.56833333333333336</v>
      </c>
    </row>
    <row r="87" spans="1:26" s="26" customFormat="1" outlineLevel="1" collapsed="1" x14ac:dyDescent="0.25">
      <c r="A87" s="25"/>
      <c r="B87" s="12" t="str">
        <f>CONCATENATE("     ","Repair and Maintenance                            ")</f>
        <v xml:space="preserve">     Repair and Maintenance                            </v>
      </c>
      <c r="C87" s="12"/>
      <c r="D87" s="1">
        <f>SUM(OSRRefD22_16x_0)</f>
        <v>2052.63</v>
      </c>
      <c r="E87" s="1"/>
      <c r="F87" s="5">
        <f t="shared" si="60"/>
        <v>2.806466180772009E-2</v>
      </c>
      <c r="G87" s="1"/>
      <c r="H87" s="1">
        <f>SUM(OSRRefH22_16x_0)</f>
        <v>16213.880000000001</v>
      </c>
      <c r="I87" s="1"/>
      <c r="J87" s="5">
        <f t="shared" si="61"/>
        <v>357.84330169940415</v>
      </c>
      <c r="K87" s="1"/>
      <c r="L87" s="1">
        <f t="shared" si="62"/>
        <v>-14161.25</v>
      </c>
      <c r="M87" s="1"/>
      <c r="N87" s="5">
        <f t="shared" si="63"/>
        <v>-0.87340291157946148</v>
      </c>
      <c r="O87" s="12"/>
      <c r="P87" s="1">
        <f>SUM(OSRRefP22_16x_0)</f>
        <v>46732.959999999999</v>
      </c>
      <c r="Q87" s="1"/>
      <c r="R87" s="5">
        <f t="shared" si="64"/>
        <v>0.10170543753169116</v>
      </c>
      <c r="S87" s="1"/>
      <c r="T87" s="1">
        <f>SUM(OSRRefT22_16x_0)</f>
        <v>236086.02000000002</v>
      </c>
      <c r="U87" s="1"/>
      <c r="V87" s="5">
        <f t="shared" si="65"/>
        <v>3.3803243712520747E-2</v>
      </c>
      <c r="W87" s="1"/>
      <c r="X87" s="1">
        <f t="shared" si="66"/>
        <v>-189353.06000000003</v>
      </c>
      <c r="Y87" s="1"/>
      <c r="Z87" s="5">
        <f t="shared" si="67"/>
        <v>-0.80205113373506831</v>
      </c>
    </row>
    <row r="88" spans="1:26" s="23" customFormat="1" hidden="1" outlineLevel="2" x14ac:dyDescent="0.25">
      <c r="A88" s="27"/>
      <c r="B88" s="10" t="str">
        <f>CONCATENATE("          ", "6371", " - ", "COMPUTER SOFTWARE MAINTENANCE")</f>
        <v xml:space="preserve">          6371 - COMPUTER SOFTWARE MAINTENANCE</v>
      </c>
      <c r="C88" s="10"/>
      <c r="D88" s="6"/>
      <c r="E88" s="2"/>
      <c r="F88" s="7">
        <f t="shared" si="60"/>
        <v>0</v>
      </c>
      <c r="G88" s="2"/>
      <c r="H88" s="6"/>
      <c r="I88" s="2"/>
      <c r="J88" s="7">
        <f t="shared" si="61"/>
        <v>0</v>
      </c>
      <c r="K88" s="2"/>
      <c r="L88" s="6">
        <f t="shared" si="62"/>
        <v>0</v>
      </c>
      <c r="M88" s="2"/>
      <c r="N88" s="7">
        <f t="shared" si="63"/>
        <v>0</v>
      </c>
      <c r="O88" s="10"/>
      <c r="P88" s="6">
        <v>702.27</v>
      </c>
      <c r="Q88" s="2"/>
      <c r="R88" s="7">
        <f t="shared" si="64"/>
        <v>1.5283576648126025E-3</v>
      </c>
      <c r="S88" s="2"/>
      <c r="T88" s="6">
        <v>12244.62</v>
      </c>
      <c r="U88" s="2"/>
      <c r="V88" s="7">
        <f t="shared" si="65"/>
        <v>1.7532078944242685E-3</v>
      </c>
      <c r="W88" s="2"/>
      <c r="X88" s="6">
        <f t="shared" si="66"/>
        <v>-11542.35</v>
      </c>
      <c r="Y88" s="2"/>
      <c r="Z88" s="7">
        <f t="shared" si="67"/>
        <v>-0.94264664807891141</v>
      </c>
    </row>
    <row r="89" spans="1:26" s="23" customFormat="1" hidden="1" outlineLevel="2" x14ac:dyDescent="0.25">
      <c r="A89" s="27"/>
      <c r="B89" s="10" t="str">
        <f>CONCATENATE("          ", "6372", " - ", "COMPUTER HARDWARE MAINTENANCE")</f>
        <v xml:space="preserve">          6372 - COMPUTER HARDWARE MAINTENANCE</v>
      </c>
      <c r="C89" s="10"/>
      <c r="D89" s="6"/>
      <c r="E89" s="2"/>
      <c r="F89" s="7">
        <f t="shared" si="60"/>
        <v>0</v>
      </c>
      <c r="G89" s="2"/>
      <c r="H89" s="6">
        <v>8142.88</v>
      </c>
      <c r="I89" s="2"/>
      <c r="J89" s="7">
        <f t="shared" si="61"/>
        <v>179.71485323328187</v>
      </c>
      <c r="K89" s="2"/>
      <c r="L89" s="6">
        <f t="shared" si="62"/>
        <v>-8142.88</v>
      </c>
      <c r="M89" s="2"/>
      <c r="N89" s="7">
        <f t="shared" si="63"/>
        <v>-1</v>
      </c>
      <c r="O89" s="10"/>
      <c r="P89" s="6">
        <v>100</v>
      </c>
      <c r="Q89" s="2"/>
      <c r="R89" s="7">
        <f t="shared" si="64"/>
        <v>2.1763106281239445E-4</v>
      </c>
      <c r="S89" s="2"/>
      <c r="T89" s="6">
        <v>8142.87</v>
      </c>
      <c r="U89" s="2"/>
      <c r="V89" s="7">
        <f t="shared" si="65"/>
        <v>1.1659115568527683E-3</v>
      </c>
      <c r="W89" s="2"/>
      <c r="X89" s="6">
        <f t="shared" si="66"/>
        <v>-8042.87</v>
      </c>
      <c r="Y89" s="2"/>
      <c r="Z89" s="7">
        <f t="shared" si="67"/>
        <v>-0.98771931763616516</v>
      </c>
    </row>
    <row r="90" spans="1:26" s="23" customFormat="1" hidden="1" outlineLevel="2" x14ac:dyDescent="0.25">
      <c r="A90" s="27"/>
      <c r="B90" s="10" t="str">
        <f>CONCATENATE("          ", "6373", " - ", "MAINTENANCE CONTRACTS")</f>
        <v xml:space="preserve">          6373 - MAINTENANCE CONTRACTS</v>
      </c>
      <c r="C90" s="10"/>
      <c r="D90" s="6"/>
      <c r="E90" s="2"/>
      <c r="F90" s="7">
        <f t="shared" si="60"/>
        <v>0</v>
      </c>
      <c r="G90" s="2"/>
      <c r="H90" s="6">
        <v>6800.21</v>
      </c>
      <c r="I90" s="2"/>
      <c r="J90" s="7">
        <f t="shared" si="61"/>
        <v>150.08188037960716</v>
      </c>
      <c r="K90" s="2"/>
      <c r="L90" s="6">
        <f t="shared" si="62"/>
        <v>-6800.21</v>
      </c>
      <c r="M90" s="2"/>
      <c r="N90" s="7">
        <f t="shared" si="63"/>
        <v>-1</v>
      </c>
      <c r="O90" s="10"/>
      <c r="P90" s="6">
        <v>19481.849999999999</v>
      </c>
      <c r="Q90" s="2"/>
      <c r="R90" s="7">
        <f t="shared" si="64"/>
        <v>4.2398557210516462E-2</v>
      </c>
      <c r="S90" s="2"/>
      <c r="T90" s="6">
        <v>87339.99</v>
      </c>
      <c r="U90" s="2"/>
      <c r="V90" s="7">
        <f t="shared" si="65"/>
        <v>1.2505505272269509E-2</v>
      </c>
      <c r="W90" s="2"/>
      <c r="X90" s="6">
        <f t="shared" si="66"/>
        <v>-67858.140000000014</v>
      </c>
      <c r="Y90" s="2"/>
      <c r="Z90" s="7">
        <f t="shared" si="67"/>
        <v>-0.77694238343741517</v>
      </c>
    </row>
    <row r="91" spans="1:26" s="23" customFormat="1" hidden="1" outlineLevel="2" x14ac:dyDescent="0.25">
      <c r="A91" s="27"/>
      <c r="B91" s="10" t="str">
        <f>CONCATENATE("          ", "6375", " - ", "OUTSIDE REPAIRS &amp; MAINTENANCE")</f>
        <v xml:space="preserve">          6375 - OUTSIDE REPAIRS &amp; MAINTENANCE</v>
      </c>
      <c r="C91" s="10"/>
      <c r="D91" s="6">
        <v>2052.63</v>
      </c>
      <c r="E91" s="2"/>
      <c r="F91" s="7">
        <f t="shared" si="60"/>
        <v>2.806466180772009E-2</v>
      </c>
      <c r="G91" s="2"/>
      <c r="H91" s="6">
        <v>1270.79</v>
      </c>
      <c r="I91" s="2"/>
      <c r="J91" s="7">
        <f t="shared" si="61"/>
        <v>28.046568086515119</v>
      </c>
      <c r="K91" s="2"/>
      <c r="L91" s="6">
        <f t="shared" si="62"/>
        <v>781.84000000000015</v>
      </c>
      <c r="M91" s="2"/>
      <c r="N91" s="7">
        <f t="shared" si="63"/>
        <v>0.61523933930861918</v>
      </c>
      <c r="O91" s="10"/>
      <c r="P91" s="6">
        <v>26448.84</v>
      </c>
      <c r="Q91" s="2"/>
      <c r="R91" s="7">
        <f t="shared" si="64"/>
        <v>5.7560891593549705E-2</v>
      </c>
      <c r="S91" s="2"/>
      <c r="T91" s="6">
        <v>128358.54</v>
      </c>
      <c r="U91" s="2"/>
      <c r="V91" s="7">
        <f t="shared" si="65"/>
        <v>1.8378618988974197E-2</v>
      </c>
      <c r="W91" s="2"/>
      <c r="X91" s="6">
        <f t="shared" si="66"/>
        <v>-101909.7</v>
      </c>
      <c r="Y91" s="2"/>
      <c r="Z91" s="7">
        <f t="shared" si="67"/>
        <v>-0.79394561514956463</v>
      </c>
    </row>
    <row r="92" spans="1:26" s="26" customFormat="1" outlineLevel="1" collapsed="1" x14ac:dyDescent="0.25">
      <c r="A92" s="25"/>
      <c r="B92" s="12" t="str">
        <f>CONCATENATE("     ","Royalty &amp; Commissions                             ")</f>
        <v xml:space="preserve">     Royalty &amp; Commissions                             </v>
      </c>
      <c r="C92" s="12"/>
      <c r="D92" s="1">
        <f>SUM(OSRRefD22_17x_0)</f>
        <v>0</v>
      </c>
      <c r="E92" s="1"/>
      <c r="F92" s="5">
        <f t="shared" ref="F92:F94" si="68">IF(D$12=0,0,D92/D$12)</f>
        <v>0</v>
      </c>
      <c r="G92" s="1"/>
      <c r="H92" s="1">
        <f>SUM(OSRRefH22_17x_0)</f>
        <v>0</v>
      </c>
      <c r="I92" s="1"/>
      <c r="J92" s="5">
        <f t="shared" ref="J92:J94" si="69">IF(H$12=0,0,H92/H$12)</f>
        <v>0</v>
      </c>
      <c r="K92" s="1"/>
      <c r="L92" s="1">
        <f t="shared" ref="L92:L94" si="70">+D92-H92</f>
        <v>0</v>
      </c>
      <c r="M92" s="1"/>
      <c r="N92" s="5">
        <f t="shared" ref="N92:N94" si="71">IF(H92=0,0,L92/H92)</f>
        <v>0</v>
      </c>
      <c r="O92" s="12"/>
      <c r="P92" s="1">
        <f>SUM(OSRRefP22_17x_0)</f>
        <v>185.7</v>
      </c>
      <c r="Q92" s="1"/>
      <c r="R92" s="5">
        <f t="shared" ref="R92:R94" si="72">IF(P$12=0,0,P92/P$12)</f>
        <v>4.0414088364261642E-4</v>
      </c>
      <c r="S92" s="1"/>
      <c r="T92" s="1">
        <f>SUM(OSRRefT22_17x_0)</f>
        <v>258319.61</v>
      </c>
      <c r="U92" s="1"/>
      <c r="V92" s="5">
        <f t="shared" ref="V92:V94" si="73">IF(T$12=0,0,T92/T$12)</f>
        <v>3.6986691260047118E-2</v>
      </c>
      <c r="W92" s="1"/>
      <c r="X92" s="1">
        <f t="shared" ref="X92:X94" si="74">+P92-T92</f>
        <v>-258133.90999999997</v>
      </c>
      <c r="Y92" s="1"/>
      <c r="Z92" s="5">
        <f t="shared" ref="Z92:Z94" si="75">IF(T92=0,0,X92/T92)</f>
        <v>-0.99928112310172656</v>
      </c>
    </row>
    <row r="93" spans="1:26" s="23" customFormat="1" hidden="1" outlineLevel="2" x14ac:dyDescent="0.25">
      <c r="A93" s="27"/>
      <c r="B93" s="10" t="str">
        <f>CONCATENATE("          ", "6254", " - ", "ROYALTY &amp; COMMISSIONS")</f>
        <v xml:space="preserve">          6254 - ROYALTY &amp; COMMISSIONS</v>
      </c>
      <c r="C93" s="10"/>
      <c r="D93" s="6"/>
      <c r="E93" s="2"/>
      <c r="F93" s="7">
        <f t="shared" si="68"/>
        <v>0</v>
      </c>
      <c r="G93" s="2"/>
      <c r="H93" s="6"/>
      <c r="I93" s="2"/>
      <c r="J93" s="7">
        <f t="shared" si="69"/>
        <v>0</v>
      </c>
      <c r="K93" s="2"/>
      <c r="L93" s="6">
        <f t="shared" si="70"/>
        <v>0</v>
      </c>
      <c r="M93" s="2"/>
      <c r="N93" s="7">
        <f t="shared" si="71"/>
        <v>0</v>
      </c>
      <c r="O93" s="10"/>
      <c r="P93" s="6">
        <v>185.7</v>
      </c>
      <c r="Q93" s="2"/>
      <c r="R93" s="7">
        <f t="shared" si="72"/>
        <v>4.0414088364261642E-4</v>
      </c>
      <c r="S93" s="2"/>
      <c r="T93" s="6">
        <v>153649.65</v>
      </c>
      <c r="U93" s="2"/>
      <c r="V93" s="7">
        <f t="shared" si="73"/>
        <v>2.1999848043918538E-2</v>
      </c>
      <c r="W93" s="2"/>
      <c r="X93" s="6">
        <f t="shared" si="74"/>
        <v>-153463.94999999998</v>
      </c>
      <c r="Y93" s="2"/>
      <c r="Z93" s="7">
        <f t="shared" si="75"/>
        <v>-0.9987914062934734</v>
      </c>
    </row>
    <row r="94" spans="1:26" s="23" customFormat="1" hidden="1" outlineLevel="2" x14ac:dyDescent="0.25">
      <c r="A94" s="27"/>
      <c r="B94" s="10" t="str">
        <f>CONCATENATE("          ", "6259", " - ", "ROYALTY &amp; COMMISSIONS")</f>
        <v xml:space="preserve">          6259 - ROYALTY &amp; COMMISSIONS</v>
      </c>
      <c r="C94" s="10"/>
      <c r="D94" s="6"/>
      <c r="E94" s="2"/>
      <c r="F94" s="7">
        <f t="shared" si="68"/>
        <v>0</v>
      </c>
      <c r="G94" s="2"/>
      <c r="H94" s="6"/>
      <c r="I94" s="2"/>
      <c r="J94" s="7">
        <f t="shared" si="69"/>
        <v>0</v>
      </c>
      <c r="K94" s="2"/>
      <c r="L94" s="6">
        <f t="shared" si="70"/>
        <v>0</v>
      </c>
      <c r="M94" s="2"/>
      <c r="N94" s="7">
        <f t="shared" si="71"/>
        <v>0</v>
      </c>
      <c r="O94" s="10"/>
      <c r="P94" s="6"/>
      <c r="Q94" s="2"/>
      <c r="R94" s="7">
        <f t="shared" si="72"/>
        <v>0</v>
      </c>
      <c r="S94" s="2"/>
      <c r="T94" s="6">
        <v>104669.96</v>
      </c>
      <c r="U94" s="2"/>
      <c r="V94" s="7">
        <f t="shared" si="73"/>
        <v>1.4986843216128587E-2</v>
      </c>
      <c r="W94" s="2"/>
      <c r="X94" s="6">
        <f t="shared" si="74"/>
        <v>-104669.96</v>
      </c>
      <c r="Y94" s="2"/>
      <c r="Z94" s="7">
        <f t="shared" si="75"/>
        <v>-1</v>
      </c>
    </row>
    <row r="95" spans="1:26" s="26" customFormat="1" outlineLevel="1" collapsed="1" x14ac:dyDescent="0.25">
      <c r="A95" s="25"/>
      <c r="B95" s="12" t="str">
        <f>CONCATENATE("     ","Services                                          ")</f>
        <v xml:space="preserve">     Services                                          </v>
      </c>
      <c r="C95" s="12"/>
      <c r="D95" s="1">
        <f>SUM(OSRRefD22_18x_0)</f>
        <v>10905.37</v>
      </c>
      <c r="E95" s="1"/>
      <c r="F95" s="5">
        <f t="shared" ref="F95:F100" si="76">IF(D$12=0,0,D95/D$12)</f>
        <v>0.14910408643450426</v>
      </c>
      <c r="G95" s="1"/>
      <c r="H95" s="1">
        <f>SUM(OSRRefH22_18x_0)</f>
        <v>5991.6600000000008</v>
      </c>
      <c r="I95" s="1"/>
      <c r="J95" s="5">
        <f t="shared" ref="J95:J100" si="77">IF(H$12=0,0,H95/H$12)</f>
        <v>132.2370337673803</v>
      </c>
      <c r="K95" s="1"/>
      <c r="L95" s="1">
        <f t="shared" ref="L95:L100" si="78">+D95-H95</f>
        <v>4913.71</v>
      </c>
      <c r="M95" s="1"/>
      <c r="N95" s="5">
        <f t="shared" ref="N95:N100" si="79">IF(H95=0,0,L95/H95)</f>
        <v>0.82009159398230191</v>
      </c>
      <c r="O95" s="12"/>
      <c r="P95" s="1">
        <f>SUM(OSRRefP22_18x_0)</f>
        <v>57327.439999999995</v>
      </c>
      <c r="Q95" s="1"/>
      <c r="R95" s="5">
        <f t="shared" ref="R95:R100" si="80">IF(P$12=0,0,P95/P$12)</f>
        <v>0.12476231695513772</v>
      </c>
      <c r="S95" s="1"/>
      <c r="T95" s="1">
        <f>SUM(OSRRefT22_18x_0)</f>
        <v>228966.55</v>
      </c>
      <c r="U95" s="1"/>
      <c r="V95" s="5">
        <f t="shared" ref="V95:V100" si="81">IF(T$12=0,0,T95/T$12)</f>
        <v>3.2783864506949909E-2</v>
      </c>
      <c r="W95" s="1"/>
      <c r="X95" s="1">
        <f t="shared" ref="X95:X100" si="82">+P95-T95</f>
        <v>-171639.11</v>
      </c>
      <c r="Y95" s="1"/>
      <c r="Z95" s="5">
        <f t="shared" ref="Z95:Z100" si="83">IF(T95=0,0,X95/T95)</f>
        <v>-0.74962526185593481</v>
      </c>
    </row>
    <row r="96" spans="1:26" s="23" customFormat="1" hidden="1" outlineLevel="2" x14ac:dyDescent="0.25">
      <c r="A96" s="27"/>
      <c r="B96" s="10" t="str">
        <f>CONCATENATE("          ", "6282", " - ", "JANITORIAL/EXTERMINATOR EXPENS")</f>
        <v xml:space="preserve">          6282 - JANITORIAL/EXTERMINATOR EXPENS</v>
      </c>
      <c r="C96" s="10"/>
      <c r="D96" s="6">
        <v>1861.85</v>
      </c>
      <c r="E96" s="2"/>
      <c r="F96" s="7">
        <f t="shared" si="76"/>
        <v>2.5456214995738954E-2</v>
      </c>
      <c r="G96" s="2"/>
      <c r="H96" s="6">
        <v>41</v>
      </c>
      <c r="I96" s="2"/>
      <c r="J96" s="7">
        <f t="shared" si="77"/>
        <v>0.90487751048333709</v>
      </c>
      <c r="K96" s="2"/>
      <c r="L96" s="6">
        <f t="shared" si="78"/>
        <v>1820.85</v>
      </c>
      <c r="M96" s="2"/>
      <c r="N96" s="7">
        <f t="shared" si="79"/>
        <v>44.410975609756093</v>
      </c>
      <c r="O96" s="10"/>
      <c r="P96" s="6">
        <v>12202.24</v>
      </c>
      <c r="Q96" s="2"/>
      <c r="R96" s="7">
        <f t="shared" si="80"/>
        <v>2.6555864598919118E-2</v>
      </c>
      <c r="S96" s="2"/>
      <c r="T96" s="6">
        <v>18724.830000000002</v>
      </c>
      <c r="U96" s="2"/>
      <c r="V96" s="7">
        <f t="shared" si="81"/>
        <v>2.6810566418355472E-3</v>
      </c>
      <c r="W96" s="2"/>
      <c r="X96" s="6">
        <f t="shared" si="82"/>
        <v>-6522.590000000002</v>
      </c>
      <c r="Y96" s="2"/>
      <c r="Z96" s="7">
        <f t="shared" si="83"/>
        <v>-0.34833907704369022</v>
      </c>
    </row>
    <row r="97" spans="1:26" s="23" customFormat="1" hidden="1" outlineLevel="2" x14ac:dyDescent="0.25">
      <c r="A97" s="27"/>
      <c r="B97" s="10" t="str">
        <f>CONCATENATE("          ", "6283", " - ", "PLANT SERVICE")</f>
        <v xml:space="preserve">          6283 - PLANT SERVICE</v>
      </c>
      <c r="C97" s="10"/>
      <c r="D97" s="6"/>
      <c r="E97" s="2"/>
      <c r="F97" s="7">
        <f t="shared" si="76"/>
        <v>0</v>
      </c>
      <c r="G97" s="2"/>
      <c r="H97" s="6">
        <v>399.56</v>
      </c>
      <c r="I97" s="2"/>
      <c r="J97" s="7">
        <f t="shared" si="77"/>
        <v>8.8183623924078578</v>
      </c>
      <c r="K97" s="2"/>
      <c r="L97" s="6">
        <f t="shared" si="78"/>
        <v>-399.56</v>
      </c>
      <c r="M97" s="2"/>
      <c r="N97" s="7">
        <f t="shared" si="79"/>
        <v>-1</v>
      </c>
      <c r="O97" s="10"/>
      <c r="P97" s="6"/>
      <c r="Q97" s="2"/>
      <c r="R97" s="7">
        <f t="shared" si="80"/>
        <v>0</v>
      </c>
      <c r="S97" s="2"/>
      <c r="T97" s="6">
        <v>1798.02</v>
      </c>
      <c r="U97" s="2"/>
      <c r="V97" s="7">
        <f t="shared" si="81"/>
        <v>2.5744391074061286E-4</v>
      </c>
      <c r="W97" s="2"/>
      <c r="X97" s="6">
        <f t="shared" si="82"/>
        <v>-1798.02</v>
      </c>
      <c r="Y97" s="2"/>
      <c r="Z97" s="7">
        <f t="shared" si="83"/>
        <v>-1</v>
      </c>
    </row>
    <row r="98" spans="1:26" s="23" customFormat="1" hidden="1" outlineLevel="2" x14ac:dyDescent="0.25">
      <c r="A98" s="27"/>
      <c r="B98" s="10" t="str">
        <f>CONCATENATE("          ", "6284", " - ", "TRASH REMOVAL EXPENSE")</f>
        <v xml:space="preserve">          6284 - TRASH REMOVAL EXPENSE</v>
      </c>
      <c r="C98" s="10"/>
      <c r="D98" s="6">
        <v>5658</v>
      </c>
      <c r="E98" s="2"/>
      <c r="F98" s="7">
        <f t="shared" si="76"/>
        <v>7.7359220370003492E-2</v>
      </c>
      <c r="G98" s="2"/>
      <c r="H98" s="6">
        <v>5417</v>
      </c>
      <c r="I98" s="2"/>
      <c r="J98" s="7">
        <f t="shared" si="77"/>
        <v>119.5541822997131</v>
      </c>
      <c r="K98" s="2"/>
      <c r="L98" s="6">
        <f t="shared" si="78"/>
        <v>241</v>
      </c>
      <c r="M98" s="2"/>
      <c r="N98" s="7">
        <f t="shared" si="79"/>
        <v>4.4489569872623223E-2</v>
      </c>
      <c r="O98" s="10"/>
      <c r="P98" s="6">
        <v>27176</v>
      </c>
      <c r="Q98" s="2"/>
      <c r="R98" s="7">
        <f t="shared" si="80"/>
        <v>5.9143417629896312E-2</v>
      </c>
      <c r="S98" s="2"/>
      <c r="T98" s="6">
        <v>46300</v>
      </c>
      <c r="U98" s="2"/>
      <c r="V98" s="7">
        <f t="shared" si="81"/>
        <v>6.629321735737298E-3</v>
      </c>
      <c r="W98" s="2"/>
      <c r="X98" s="6">
        <f t="shared" si="82"/>
        <v>-19124</v>
      </c>
      <c r="Y98" s="2"/>
      <c r="Z98" s="7">
        <f t="shared" si="83"/>
        <v>-0.41304535637149026</v>
      </c>
    </row>
    <row r="99" spans="1:26" s="23" customFormat="1" hidden="1" outlineLevel="2" x14ac:dyDescent="0.25">
      <c r="A99" s="27"/>
      <c r="B99" s="10" t="str">
        <f>CONCATENATE("          ", "6285", " - ", "JANITORIAL SERVICES")</f>
        <v xml:space="preserve">          6285 - JANITORIAL SERVICES</v>
      </c>
      <c r="C99" s="10"/>
      <c r="D99" s="6">
        <v>3385.52</v>
      </c>
      <c r="E99" s="2"/>
      <c r="F99" s="7">
        <f t="shared" si="76"/>
        <v>4.6288651068761795E-2</v>
      </c>
      <c r="G99" s="2"/>
      <c r="H99" s="6">
        <v>134.1</v>
      </c>
      <c r="I99" s="2"/>
      <c r="J99" s="7">
        <f t="shared" si="77"/>
        <v>2.959611564775988</v>
      </c>
      <c r="K99" s="2"/>
      <c r="L99" s="6">
        <f t="shared" si="78"/>
        <v>3251.42</v>
      </c>
      <c r="M99" s="2"/>
      <c r="N99" s="7">
        <f t="shared" si="79"/>
        <v>24.246234153616705</v>
      </c>
      <c r="O99" s="10"/>
      <c r="P99" s="6">
        <v>17044.490000000002</v>
      </c>
      <c r="Q99" s="2"/>
      <c r="R99" s="7">
        <f t="shared" si="80"/>
        <v>3.7094104737952292E-2</v>
      </c>
      <c r="S99" s="2"/>
      <c r="T99" s="6">
        <v>129075.45</v>
      </c>
      <c r="U99" s="2"/>
      <c r="V99" s="7">
        <f t="shared" si="81"/>
        <v>1.8481267521275869E-2</v>
      </c>
      <c r="W99" s="2"/>
      <c r="X99" s="6">
        <f t="shared" si="82"/>
        <v>-112030.95999999999</v>
      </c>
      <c r="Y99" s="2"/>
      <c r="Z99" s="7">
        <f t="shared" si="83"/>
        <v>-0.86794940478611537</v>
      </c>
    </row>
    <row r="100" spans="1:26" s="23" customFormat="1" hidden="1" outlineLevel="2" x14ac:dyDescent="0.25">
      <c r="A100" s="27"/>
      <c r="B100" s="10" t="str">
        <f>CONCATENATE("          ", "6286", " - ", "LAUNDRY EXPENSE")</f>
        <v xml:space="preserve">          6286 - LAUNDRY EXPENSE</v>
      </c>
      <c r="C100" s="10"/>
      <c r="D100" s="6"/>
      <c r="E100" s="2"/>
      <c r="F100" s="7">
        <f t="shared" si="76"/>
        <v>0</v>
      </c>
      <c r="G100" s="2"/>
      <c r="H100" s="6"/>
      <c r="I100" s="2"/>
      <c r="J100" s="7">
        <f t="shared" si="77"/>
        <v>0</v>
      </c>
      <c r="K100" s="2"/>
      <c r="L100" s="6">
        <f t="shared" si="78"/>
        <v>0</v>
      </c>
      <c r="M100" s="2"/>
      <c r="N100" s="7">
        <f t="shared" si="79"/>
        <v>0</v>
      </c>
      <c r="O100" s="10"/>
      <c r="P100" s="6">
        <v>904.71</v>
      </c>
      <c r="Q100" s="2"/>
      <c r="R100" s="7">
        <f t="shared" si="80"/>
        <v>1.9689299883700138E-3</v>
      </c>
      <c r="S100" s="2"/>
      <c r="T100" s="6">
        <v>33068.25</v>
      </c>
      <c r="U100" s="2"/>
      <c r="V100" s="7">
        <f t="shared" si="81"/>
        <v>4.7347746973605805E-3</v>
      </c>
      <c r="W100" s="2"/>
      <c r="X100" s="6">
        <f t="shared" si="82"/>
        <v>-32163.54</v>
      </c>
      <c r="Y100" s="2"/>
      <c r="Z100" s="7">
        <f t="shared" si="83"/>
        <v>-0.97264112857499263</v>
      </c>
    </row>
    <row r="101" spans="1:26" s="26" customFormat="1" outlineLevel="1" collapsed="1" x14ac:dyDescent="0.25">
      <c r="A101" s="25"/>
      <c r="B101" s="12" t="str">
        <f>CONCATENATE("     ","Subscriptions &amp; Dues                              ")</f>
        <v xml:space="preserve">     Subscriptions &amp; Dues                              </v>
      </c>
      <c r="C101" s="12"/>
      <c r="D101" s="1">
        <f>SUM(OSRRefD22_19x_0)</f>
        <v>0</v>
      </c>
      <c r="E101" s="1"/>
      <c r="F101" s="5">
        <f t="shared" ref="F101:F103" si="84">IF(D$12=0,0,D101/D$12)</f>
        <v>0</v>
      </c>
      <c r="G101" s="1"/>
      <c r="H101" s="1">
        <f>SUM(OSRRefH22_19x_0)</f>
        <v>4.25</v>
      </c>
      <c r="I101" s="1"/>
      <c r="J101" s="5">
        <f t="shared" ref="J101:J103" si="85">IF(H$12=0,0,H101/H$12)</f>
        <v>9.3798278525711778E-2</v>
      </c>
      <c r="K101" s="1"/>
      <c r="L101" s="1">
        <f t="shared" ref="L101:L103" si="86">+D101-H101</f>
        <v>-4.25</v>
      </c>
      <c r="M101" s="1"/>
      <c r="N101" s="5">
        <f t="shared" ref="N101:N103" si="87">IF(H101=0,0,L101/H101)</f>
        <v>-1</v>
      </c>
      <c r="O101" s="12"/>
      <c r="P101" s="1">
        <f>SUM(OSRRefP22_19x_0)</f>
        <v>916.08</v>
      </c>
      <c r="Q101" s="1"/>
      <c r="R101" s="5">
        <f t="shared" ref="R101:R103" si="88">IF(P$12=0,0,P101/P$12)</f>
        <v>1.9936746402117829E-3</v>
      </c>
      <c r="S101" s="1"/>
      <c r="T101" s="1">
        <f>SUM(OSRRefT22_19x_0)</f>
        <v>8711.75</v>
      </c>
      <c r="U101" s="1"/>
      <c r="V101" s="5">
        <f t="shared" ref="V101:V103" si="89">IF(T$12=0,0,T101/T$12)</f>
        <v>1.2473648732464235E-3</v>
      </c>
      <c r="W101" s="1"/>
      <c r="X101" s="1">
        <f t="shared" ref="X101:X103" si="90">+P101-T101</f>
        <v>-7795.67</v>
      </c>
      <c r="Y101" s="1"/>
      <c r="Z101" s="5">
        <f t="shared" ref="Z101:Z103" si="91">IF(T101=0,0,X101/T101)</f>
        <v>-0.89484546732860792</v>
      </c>
    </row>
    <row r="102" spans="1:26" s="23" customFormat="1" hidden="1" outlineLevel="2" x14ac:dyDescent="0.25">
      <c r="A102" s="27"/>
      <c r="B102" s="10" t="str">
        <f>CONCATENATE("          ", "6258", " - ", "MEMBERSHIP DUES")</f>
        <v xml:space="preserve">          6258 - MEMBERSHIP DUES</v>
      </c>
      <c r="C102" s="10"/>
      <c r="D102" s="6"/>
      <c r="E102" s="2"/>
      <c r="F102" s="7">
        <f t="shared" si="84"/>
        <v>0</v>
      </c>
      <c r="G102" s="2"/>
      <c r="H102" s="6"/>
      <c r="I102" s="2"/>
      <c r="J102" s="7">
        <f t="shared" si="85"/>
        <v>0</v>
      </c>
      <c r="K102" s="2"/>
      <c r="L102" s="6">
        <f t="shared" si="86"/>
        <v>0</v>
      </c>
      <c r="M102" s="2"/>
      <c r="N102" s="7">
        <f t="shared" si="87"/>
        <v>0</v>
      </c>
      <c r="O102" s="10"/>
      <c r="P102" s="6"/>
      <c r="Q102" s="2"/>
      <c r="R102" s="7">
        <f t="shared" si="88"/>
        <v>0</v>
      </c>
      <c r="S102" s="2"/>
      <c r="T102" s="6">
        <v>3730</v>
      </c>
      <c r="U102" s="2"/>
      <c r="V102" s="7">
        <f t="shared" si="89"/>
        <v>5.3406846812743239E-4</v>
      </c>
      <c r="W102" s="2"/>
      <c r="X102" s="6">
        <f t="shared" si="90"/>
        <v>-3730</v>
      </c>
      <c r="Y102" s="2"/>
      <c r="Z102" s="7">
        <f t="shared" si="91"/>
        <v>-1</v>
      </c>
    </row>
    <row r="103" spans="1:26" s="23" customFormat="1" hidden="1" outlineLevel="2" x14ac:dyDescent="0.25">
      <c r="A103" s="27"/>
      <c r="B103" s="10" t="str">
        <f>CONCATENATE("          ", "6275", " - ", "SUBSCRIPTIONS")</f>
        <v xml:space="preserve">          6275 - SUBSCRIPTIONS</v>
      </c>
      <c r="C103" s="10"/>
      <c r="D103" s="6"/>
      <c r="E103" s="2"/>
      <c r="F103" s="7">
        <f t="shared" si="84"/>
        <v>0</v>
      </c>
      <c r="G103" s="2"/>
      <c r="H103" s="6">
        <v>4.25</v>
      </c>
      <c r="I103" s="2"/>
      <c r="J103" s="7">
        <f t="shared" si="85"/>
        <v>9.3798278525711778E-2</v>
      </c>
      <c r="K103" s="2"/>
      <c r="L103" s="6">
        <f t="shared" si="86"/>
        <v>-4.25</v>
      </c>
      <c r="M103" s="2"/>
      <c r="N103" s="7">
        <f t="shared" si="87"/>
        <v>-1</v>
      </c>
      <c r="O103" s="10"/>
      <c r="P103" s="6">
        <v>916.08</v>
      </c>
      <c r="Q103" s="2"/>
      <c r="R103" s="7">
        <f t="shared" si="88"/>
        <v>1.9936746402117829E-3</v>
      </c>
      <c r="S103" s="2"/>
      <c r="T103" s="6">
        <v>4981.75</v>
      </c>
      <c r="U103" s="2"/>
      <c r="V103" s="7">
        <f t="shared" si="89"/>
        <v>7.1329640511899096E-4</v>
      </c>
      <c r="W103" s="2"/>
      <c r="X103" s="6">
        <f t="shared" si="90"/>
        <v>-4065.67</v>
      </c>
      <c r="Y103" s="2"/>
      <c r="Z103" s="7">
        <f t="shared" si="91"/>
        <v>-0.81611281176293471</v>
      </c>
    </row>
    <row r="104" spans="1:26" s="26" customFormat="1" outlineLevel="1" collapsed="1" x14ac:dyDescent="0.25">
      <c r="A104" s="25"/>
      <c r="B104" s="12" t="str">
        <f>CONCATENATE("     ","Supplies                                          ")</f>
        <v xml:space="preserve">     Supplies                                          </v>
      </c>
      <c r="C104" s="12"/>
      <c r="D104" s="1">
        <f>SUM(OSRRefD22_20x_0)</f>
        <v>627.34</v>
      </c>
      <c r="E104" s="1"/>
      <c r="F104" s="5">
        <f t="shared" ref="F104:F114" si="92">IF(D$12=0,0,D104/D$12)</f>
        <v>8.5773300295012359E-3</v>
      </c>
      <c r="G104" s="1"/>
      <c r="H104" s="1">
        <f>SUM(OSRRefH22_20x_0)</f>
        <v>1709.0199999999998</v>
      </c>
      <c r="I104" s="1"/>
      <c r="J104" s="5">
        <f t="shared" ref="J104:J114" si="93">IF(H$12=0,0,H104/H$12)</f>
        <v>37.71838446259104</v>
      </c>
      <c r="K104" s="1"/>
      <c r="L104" s="1">
        <f t="shared" ref="L104:L114" si="94">+D104-H104</f>
        <v>-1081.6799999999998</v>
      </c>
      <c r="M104" s="1"/>
      <c r="N104" s="5">
        <f t="shared" ref="N104:N114" si="95">IF(H104=0,0,L104/H104)</f>
        <v>-0.63292413195866637</v>
      </c>
      <c r="O104" s="12"/>
      <c r="P104" s="1">
        <f>SUM(OSRRefP22_20x_0)</f>
        <v>-19530.510000000002</v>
      </c>
      <c r="Q104" s="1"/>
      <c r="R104" s="5">
        <f t="shared" ref="R104:R114" si="96">IF(P$12=0,0,P104/P$12)</f>
        <v>-4.2504456485680985E-2</v>
      </c>
      <c r="S104" s="1"/>
      <c r="T104" s="1">
        <f>SUM(OSRRefT22_20x_0)</f>
        <v>217438.3</v>
      </c>
      <c r="U104" s="1"/>
      <c r="V104" s="5">
        <f t="shared" ref="V104:V114" si="97">IF(T$12=0,0,T104/T$12)</f>
        <v>3.1133227826604042E-2</v>
      </c>
      <c r="W104" s="1"/>
      <c r="X104" s="1">
        <f t="shared" ref="X104:X114" si="98">+P104-T104</f>
        <v>-236968.81</v>
      </c>
      <c r="Y104" s="1"/>
      <c r="Z104" s="5">
        <f t="shared" ref="Z104:Z114" si="99">IF(T104=0,0,X104/T104)</f>
        <v>-1.0898209285116744</v>
      </c>
    </row>
    <row r="105" spans="1:26" s="23" customFormat="1" hidden="1" outlineLevel="2" x14ac:dyDescent="0.25">
      <c r="A105" s="27"/>
      <c r="B105" s="10" t="str">
        <f>CONCATENATE("          ", "6234", " - ", "EXPENDABLE SUPPLIES &amp; EQUIPMEN")</f>
        <v xml:space="preserve">          6234 - EXPENDABLE SUPPLIES &amp; EQUIPMEN</v>
      </c>
      <c r="C105" s="10"/>
      <c r="D105" s="6">
        <v>26.25</v>
      </c>
      <c r="E105" s="2"/>
      <c r="F105" s="7">
        <f t="shared" si="92"/>
        <v>3.5890412419805441E-4</v>
      </c>
      <c r="G105" s="2"/>
      <c r="H105" s="6">
        <v>142.07</v>
      </c>
      <c r="I105" s="2"/>
      <c r="J105" s="7">
        <f t="shared" si="93"/>
        <v>3.1355109247406756</v>
      </c>
      <c r="K105" s="2"/>
      <c r="L105" s="6">
        <f t="shared" si="94"/>
        <v>-115.82</v>
      </c>
      <c r="M105" s="2"/>
      <c r="N105" s="7">
        <f t="shared" si="95"/>
        <v>-0.81523192792285493</v>
      </c>
      <c r="O105" s="10"/>
      <c r="P105" s="6">
        <v>653.83000000000004</v>
      </c>
      <c r="Q105" s="2"/>
      <c r="R105" s="7">
        <f t="shared" si="96"/>
        <v>1.4229371779862787E-3</v>
      </c>
      <c r="S105" s="2"/>
      <c r="T105" s="6">
        <v>15778.95</v>
      </c>
      <c r="U105" s="2"/>
      <c r="V105" s="7">
        <f t="shared" si="97"/>
        <v>2.2592599611687266E-3</v>
      </c>
      <c r="W105" s="2"/>
      <c r="X105" s="6">
        <f t="shared" si="98"/>
        <v>-15125.12</v>
      </c>
      <c r="Y105" s="2"/>
      <c r="Z105" s="7">
        <f t="shared" si="99"/>
        <v>-0.95856314900547879</v>
      </c>
    </row>
    <row r="106" spans="1:26" s="23" customFormat="1" hidden="1" outlineLevel="2" x14ac:dyDescent="0.25">
      <c r="A106" s="27"/>
      <c r="B106" s="10" t="str">
        <f>CONCATENATE("          ", "6235", " - ", "COVID-19 EXPENSES")</f>
        <v xml:space="preserve">          6235 - COVID-19 EXPENSES</v>
      </c>
      <c r="C106" s="10"/>
      <c r="D106" s="6">
        <v>65.45</v>
      </c>
      <c r="E106" s="2"/>
      <c r="F106" s="7">
        <f t="shared" si="92"/>
        <v>8.9486761633381562E-4</v>
      </c>
      <c r="G106" s="2"/>
      <c r="H106" s="6"/>
      <c r="I106" s="2"/>
      <c r="J106" s="7">
        <f t="shared" si="93"/>
        <v>0</v>
      </c>
      <c r="K106" s="2"/>
      <c r="L106" s="6">
        <f t="shared" si="94"/>
        <v>65.45</v>
      </c>
      <c r="M106" s="2"/>
      <c r="N106" s="7">
        <f t="shared" si="95"/>
        <v>0</v>
      </c>
      <c r="O106" s="10"/>
      <c r="P106" s="6">
        <v>7154.58</v>
      </c>
      <c r="Q106" s="2"/>
      <c r="R106" s="7">
        <f t="shared" si="96"/>
        <v>1.5570588493763009E-2</v>
      </c>
      <c r="S106" s="2"/>
      <c r="T106" s="6"/>
      <c r="U106" s="2"/>
      <c r="V106" s="7">
        <f t="shared" si="97"/>
        <v>0</v>
      </c>
      <c r="W106" s="2"/>
      <c r="X106" s="6">
        <f t="shared" si="98"/>
        <v>7154.58</v>
      </c>
      <c r="Y106" s="2"/>
      <c r="Z106" s="7">
        <f t="shared" si="99"/>
        <v>0</v>
      </c>
    </row>
    <row r="107" spans="1:26" s="23" customFormat="1" hidden="1" outlineLevel="2" x14ac:dyDescent="0.25">
      <c r="A107" s="27"/>
      <c r="B107" s="10" t="str">
        <f>CONCATENATE("          ", "6237", " - ", "JANITORIAL SUPPLIES")</f>
        <v xml:space="preserve">          6237 - JANITORIAL SUPPLIES</v>
      </c>
      <c r="C107" s="10"/>
      <c r="D107" s="6"/>
      <c r="E107" s="2"/>
      <c r="F107" s="7">
        <f t="shared" si="92"/>
        <v>0</v>
      </c>
      <c r="G107" s="2"/>
      <c r="H107" s="6"/>
      <c r="I107" s="2"/>
      <c r="J107" s="7">
        <f t="shared" si="93"/>
        <v>0</v>
      </c>
      <c r="K107" s="2"/>
      <c r="L107" s="6">
        <f t="shared" si="94"/>
        <v>0</v>
      </c>
      <c r="M107" s="2"/>
      <c r="N107" s="7">
        <f t="shared" si="95"/>
        <v>0</v>
      </c>
      <c r="O107" s="10"/>
      <c r="P107" s="6">
        <v>676.48</v>
      </c>
      <c r="Q107" s="2"/>
      <c r="R107" s="7">
        <f t="shared" si="96"/>
        <v>1.4722306137132859E-3</v>
      </c>
      <c r="S107" s="2"/>
      <c r="T107" s="6">
        <v>52852.57</v>
      </c>
      <c r="U107" s="2"/>
      <c r="V107" s="7">
        <f t="shared" si="97"/>
        <v>7.5675311250664587E-3</v>
      </c>
      <c r="W107" s="2"/>
      <c r="X107" s="6">
        <f t="shared" si="98"/>
        <v>-52176.09</v>
      </c>
      <c r="Y107" s="2"/>
      <c r="Z107" s="7">
        <f t="shared" si="99"/>
        <v>-0.98720062241060358</v>
      </c>
    </row>
    <row r="108" spans="1:26" s="23" customFormat="1" hidden="1" outlineLevel="2" x14ac:dyDescent="0.25">
      <c r="A108" s="27"/>
      <c r="B108" s="10" t="str">
        <f>CONCATENATE("          ", "6239", " - ", "KITCHEN SUPPLIES")</f>
        <v xml:space="preserve">          6239 - KITCHEN SUPPLIES</v>
      </c>
      <c r="C108" s="10"/>
      <c r="D108" s="6"/>
      <c r="E108" s="2"/>
      <c r="F108" s="7">
        <f t="shared" si="92"/>
        <v>0</v>
      </c>
      <c r="G108" s="2"/>
      <c r="H108" s="6">
        <v>390.29</v>
      </c>
      <c r="I108" s="2"/>
      <c r="J108" s="7">
        <f t="shared" si="93"/>
        <v>8.6137717943058938</v>
      </c>
      <c r="K108" s="2"/>
      <c r="L108" s="6">
        <f t="shared" si="94"/>
        <v>-390.29</v>
      </c>
      <c r="M108" s="2"/>
      <c r="N108" s="7">
        <f t="shared" si="95"/>
        <v>-1</v>
      </c>
      <c r="O108" s="10"/>
      <c r="P108" s="6">
        <v>19.829999999999998</v>
      </c>
      <c r="Q108" s="2"/>
      <c r="R108" s="7">
        <f t="shared" si="96"/>
        <v>4.315623975569781E-5</v>
      </c>
      <c r="S108" s="2"/>
      <c r="T108" s="6">
        <v>45966.83</v>
      </c>
      <c r="U108" s="2"/>
      <c r="V108" s="7">
        <f t="shared" si="97"/>
        <v>6.5816178238000279E-3</v>
      </c>
      <c r="W108" s="2"/>
      <c r="X108" s="6">
        <f t="shared" si="98"/>
        <v>-45947</v>
      </c>
      <c r="Y108" s="2"/>
      <c r="Z108" s="7">
        <f t="shared" si="99"/>
        <v>-0.99956860196798425</v>
      </c>
    </row>
    <row r="109" spans="1:26" s="23" customFormat="1" hidden="1" outlineLevel="2" x14ac:dyDescent="0.25">
      <c r="A109" s="27"/>
      <c r="B109" s="10" t="str">
        <f>CONCATENATE("          ", "6241", " - ", "OFFICE EXPENSE")</f>
        <v xml:space="preserve">          6241 - OFFICE EXPENSE</v>
      </c>
      <c r="C109" s="10"/>
      <c r="D109" s="6">
        <v>440.72</v>
      </c>
      <c r="E109" s="2"/>
      <c r="F109" s="7">
        <f t="shared" si="92"/>
        <v>6.0257609758692012E-3</v>
      </c>
      <c r="G109" s="2"/>
      <c r="H109" s="6">
        <v>1030.8399999999999</v>
      </c>
      <c r="I109" s="2"/>
      <c r="J109" s="7">
        <f t="shared" si="93"/>
        <v>22.750827631869345</v>
      </c>
      <c r="K109" s="2"/>
      <c r="L109" s="6">
        <f t="shared" si="94"/>
        <v>-590.11999999999989</v>
      </c>
      <c r="M109" s="2"/>
      <c r="N109" s="7">
        <f t="shared" si="95"/>
        <v>-0.57246517403282748</v>
      </c>
      <c r="O109" s="10"/>
      <c r="P109" s="6">
        <v>-28411.84</v>
      </c>
      <c r="Q109" s="2"/>
      <c r="R109" s="7">
        <f t="shared" si="96"/>
        <v>-6.1832989356557011E-2</v>
      </c>
      <c r="S109" s="2"/>
      <c r="T109" s="6">
        <v>20136.28</v>
      </c>
      <c r="U109" s="2"/>
      <c r="V109" s="7">
        <f t="shared" si="97"/>
        <v>2.8831507274490759E-3</v>
      </c>
      <c r="W109" s="2"/>
      <c r="X109" s="6">
        <f t="shared" si="98"/>
        <v>-48548.119999999995</v>
      </c>
      <c r="Y109" s="2"/>
      <c r="Z109" s="7">
        <f t="shared" si="99"/>
        <v>-2.4109775986428477</v>
      </c>
    </row>
    <row r="110" spans="1:26" s="23" customFormat="1" hidden="1" outlineLevel="2" x14ac:dyDescent="0.25">
      <c r="A110" s="27"/>
      <c r="B110" s="10" t="str">
        <f>CONCATENATE("          ", "6243", " - ", "PAPER SUPPLIES")</f>
        <v xml:space="preserve">          6243 - PAPER SUPPLIES</v>
      </c>
      <c r="C110" s="10"/>
      <c r="D110" s="6">
        <v>94.92</v>
      </c>
      <c r="E110" s="2"/>
      <c r="F110" s="7">
        <f t="shared" si="92"/>
        <v>1.2977973131001648E-3</v>
      </c>
      <c r="G110" s="2"/>
      <c r="H110" s="6"/>
      <c r="I110" s="2"/>
      <c r="J110" s="7">
        <f t="shared" si="93"/>
        <v>0</v>
      </c>
      <c r="K110" s="2"/>
      <c r="L110" s="6">
        <f t="shared" si="94"/>
        <v>94.92</v>
      </c>
      <c r="M110" s="2"/>
      <c r="N110" s="7">
        <f t="shared" si="95"/>
        <v>0</v>
      </c>
      <c r="O110" s="10"/>
      <c r="P110" s="6">
        <v>255.33</v>
      </c>
      <c r="Q110" s="2"/>
      <c r="R110" s="7">
        <f t="shared" si="96"/>
        <v>5.5567739267888677E-4</v>
      </c>
      <c r="S110" s="2"/>
      <c r="T110" s="6">
        <v>34117.769999999997</v>
      </c>
      <c r="U110" s="2"/>
      <c r="V110" s="7">
        <f t="shared" si="97"/>
        <v>4.8850469597383562E-3</v>
      </c>
      <c r="W110" s="2"/>
      <c r="X110" s="6">
        <f t="shared" si="98"/>
        <v>-33862.439999999995</v>
      </c>
      <c r="Y110" s="2"/>
      <c r="Z110" s="7">
        <f t="shared" si="99"/>
        <v>-0.9925162166225987</v>
      </c>
    </row>
    <row r="111" spans="1:26" s="23" customFormat="1" hidden="1" outlineLevel="2" x14ac:dyDescent="0.25">
      <c r="A111" s="27"/>
      <c r="B111" s="10" t="str">
        <f>CONCATENATE("          ", "6245", " - ", "PRINTING")</f>
        <v xml:space="preserve">          6245 - PRINTING</v>
      </c>
      <c r="C111" s="10"/>
      <c r="D111" s="6"/>
      <c r="E111" s="2"/>
      <c r="F111" s="7">
        <f t="shared" si="92"/>
        <v>0</v>
      </c>
      <c r="G111" s="2"/>
      <c r="H111" s="6"/>
      <c r="I111" s="2"/>
      <c r="J111" s="7">
        <f t="shared" si="93"/>
        <v>0</v>
      </c>
      <c r="K111" s="2"/>
      <c r="L111" s="6">
        <f t="shared" si="94"/>
        <v>0</v>
      </c>
      <c r="M111" s="2"/>
      <c r="N111" s="7">
        <f t="shared" si="95"/>
        <v>0</v>
      </c>
      <c r="O111" s="10"/>
      <c r="P111" s="6"/>
      <c r="Q111" s="2"/>
      <c r="R111" s="7">
        <f t="shared" si="96"/>
        <v>0</v>
      </c>
      <c r="S111" s="2"/>
      <c r="T111" s="6">
        <v>613.02</v>
      </c>
      <c r="U111" s="2"/>
      <c r="V111" s="7">
        <f t="shared" si="97"/>
        <v>8.7773365236321345E-5</v>
      </c>
      <c r="W111" s="2"/>
      <c r="X111" s="6">
        <f t="shared" si="98"/>
        <v>-613.02</v>
      </c>
      <c r="Y111" s="2"/>
      <c r="Z111" s="7">
        <f t="shared" si="99"/>
        <v>-1</v>
      </c>
    </row>
    <row r="112" spans="1:26" s="23" customFormat="1" hidden="1" outlineLevel="2" x14ac:dyDescent="0.25">
      <c r="A112" s="27"/>
      <c r="B112" s="10" t="str">
        <f>CONCATENATE("          ", "6246", " - ", "REPLACEMENTS")</f>
        <v xml:space="preserve">          6246 - REPLACEMENTS</v>
      </c>
      <c r="C112" s="10"/>
      <c r="D112" s="6"/>
      <c r="E112" s="2"/>
      <c r="F112" s="7">
        <f t="shared" si="92"/>
        <v>0</v>
      </c>
      <c r="G112" s="2"/>
      <c r="H112" s="6"/>
      <c r="I112" s="2"/>
      <c r="J112" s="7">
        <f t="shared" si="93"/>
        <v>0</v>
      </c>
      <c r="K112" s="2"/>
      <c r="L112" s="6">
        <f t="shared" si="94"/>
        <v>0</v>
      </c>
      <c r="M112" s="2"/>
      <c r="N112" s="7">
        <f t="shared" si="95"/>
        <v>0</v>
      </c>
      <c r="O112" s="10"/>
      <c r="P112" s="6"/>
      <c r="Q112" s="2"/>
      <c r="R112" s="7">
        <f t="shared" si="96"/>
        <v>0</v>
      </c>
      <c r="S112" s="2"/>
      <c r="T112" s="6">
        <v>25.87</v>
      </c>
      <c r="U112" s="2"/>
      <c r="V112" s="7">
        <f t="shared" si="97"/>
        <v>3.7041156221063475E-6</v>
      </c>
      <c r="W112" s="2"/>
      <c r="X112" s="6">
        <f t="shared" si="98"/>
        <v>-25.87</v>
      </c>
      <c r="Y112" s="2"/>
      <c r="Z112" s="7">
        <f t="shared" si="99"/>
        <v>-1</v>
      </c>
    </row>
    <row r="113" spans="1:26" s="23" customFormat="1" hidden="1" outlineLevel="2" x14ac:dyDescent="0.25">
      <c r="A113" s="27"/>
      <c r="B113" s="10" t="str">
        <f>CONCATENATE("          ", "6247", " - ", "STORE SUPPLIES")</f>
        <v xml:space="preserve">          6247 - STORE SUPPLIES</v>
      </c>
      <c r="C113" s="10"/>
      <c r="D113" s="6"/>
      <c r="E113" s="2"/>
      <c r="F113" s="7">
        <f t="shared" si="92"/>
        <v>0</v>
      </c>
      <c r="G113" s="2"/>
      <c r="H113" s="6">
        <v>145.82</v>
      </c>
      <c r="I113" s="2"/>
      <c r="J113" s="7">
        <f t="shared" si="93"/>
        <v>3.218274111675127</v>
      </c>
      <c r="K113" s="2"/>
      <c r="L113" s="6">
        <f t="shared" si="94"/>
        <v>-145.82</v>
      </c>
      <c r="M113" s="2"/>
      <c r="N113" s="7">
        <f t="shared" si="95"/>
        <v>-1</v>
      </c>
      <c r="O113" s="10"/>
      <c r="P113" s="6">
        <v>121.28</v>
      </c>
      <c r="Q113" s="2"/>
      <c r="R113" s="7">
        <f t="shared" si="96"/>
        <v>2.6394295297887195E-4</v>
      </c>
      <c r="S113" s="2"/>
      <c r="T113" s="6">
        <v>43070.01</v>
      </c>
      <c r="U113" s="2"/>
      <c r="V113" s="7">
        <f t="shared" si="97"/>
        <v>6.1668456468989804E-3</v>
      </c>
      <c r="W113" s="2"/>
      <c r="X113" s="6">
        <f t="shared" si="98"/>
        <v>-42948.73</v>
      </c>
      <c r="Y113" s="2"/>
      <c r="Z113" s="7">
        <f t="shared" si="99"/>
        <v>-0.9971841195300396</v>
      </c>
    </row>
    <row r="114" spans="1:26" s="23" customFormat="1" hidden="1" outlineLevel="2" x14ac:dyDescent="0.25">
      <c r="A114" s="27"/>
      <c r="B114" s="10" t="str">
        <f>CONCATENATE("          ", "6248", " - ", "UNIFORMS")</f>
        <v xml:space="preserve">          6248 - UNIFORMS</v>
      </c>
      <c r="C114" s="10"/>
      <c r="D114" s="6"/>
      <c r="E114" s="2"/>
      <c r="F114" s="7">
        <f t="shared" si="92"/>
        <v>0</v>
      </c>
      <c r="G114" s="2"/>
      <c r="H114" s="6"/>
      <c r="I114" s="2"/>
      <c r="J114" s="7">
        <f t="shared" si="93"/>
        <v>0</v>
      </c>
      <c r="K114" s="2"/>
      <c r="L114" s="6">
        <f t="shared" si="94"/>
        <v>0</v>
      </c>
      <c r="M114" s="2"/>
      <c r="N114" s="7">
        <f t="shared" si="95"/>
        <v>0</v>
      </c>
      <c r="O114" s="10"/>
      <c r="P114" s="6"/>
      <c r="Q114" s="2"/>
      <c r="R114" s="7">
        <f t="shared" si="96"/>
        <v>0</v>
      </c>
      <c r="S114" s="2"/>
      <c r="T114" s="6">
        <v>4877</v>
      </c>
      <c r="U114" s="2"/>
      <c r="V114" s="7">
        <f t="shared" si="97"/>
        <v>6.9829810162399131E-4</v>
      </c>
      <c r="W114" s="2"/>
      <c r="X114" s="6">
        <f t="shared" si="98"/>
        <v>-4877</v>
      </c>
      <c r="Y114" s="2"/>
      <c r="Z114" s="7">
        <f t="shared" si="99"/>
        <v>-1</v>
      </c>
    </row>
    <row r="115" spans="1:26" s="26" customFormat="1" outlineLevel="1" collapsed="1" x14ac:dyDescent="0.25">
      <c r="A115" s="25"/>
      <c r="B115" s="12" t="str">
        <f>CONCATENATE("     ","Telephone/Data Lines                              ")</f>
        <v xml:space="preserve">     Telephone/Data Lines                              </v>
      </c>
      <c r="C115" s="12"/>
      <c r="D115" s="1">
        <f>SUM(OSRRefD22_21x_0)</f>
        <v>574.1</v>
      </c>
      <c r="E115" s="1"/>
      <c r="F115" s="5">
        <f t="shared" ref="F115:F122" si="100">IF(D$12=0,0,D115/D$12)</f>
        <v>7.8494041029372585E-3</v>
      </c>
      <c r="G115" s="1"/>
      <c r="H115" s="1">
        <f>SUM(OSRRefH22_21x_0)</f>
        <v>2331.64</v>
      </c>
      <c r="I115" s="1"/>
      <c r="J115" s="5">
        <f t="shared" ref="J115:J122" si="101">IF(H$12=0,0,H115/H$12)</f>
        <v>51.459721915691901</v>
      </c>
      <c r="K115" s="1"/>
      <c r="L115" s="1">
        <f t="shared" ref="L115:L122" si="102">+D115-H115</f>
        <v>-1757.54</v>
      </c>
      <c r="M115" s="1"/>
      <c r="N115" s="5">
        <f t="shared" ref="N115:N122" si="103">IF(H115=0,0,L115/H115)</f>
        <v>-0.75377845636547669</v>
      </c>
      <c r="O115" s="12"/>
      <c r="P115" s="1">
        <f>SUM(OSRRefP22_21x_0)</f>
        <v>9364.4</v>
      </c>
      <c r="Q115" s="1"/>
      <c r="R115" s="5">
        <f t="shared" ref="R115:R122" si="104">IF(P$12=0,0,P115/P$12)</f>
        <v>2.0379843246003865E-2</v>
      </c>
      <c r="S115" s="1"/>
      <c r="T115" s="1">
        <f>SUM(OSRRefT22_21x_0)</f>
        <v>22991.19</v>
      </c>
      <c r="U115" s="1"/>
      <c r="V115" s="5">
        <f t="shared" ref="V115:V122" si="105">IF(T$12=0,0,T115/T$12)</f>
        <v>3.2919221511331746E-3</v>
      </c>
      <c r="W115" s="1"/>
      <c r="X115" s="1">
        <f t="shared" ref="X115:X122" si="106">+P115-T115</f>
        <v>-13626.789999999999</v>
      </c>
      <c r="Y115" s="1"/>
      <c r="Z115" s="5">
        <f t="shared" ref="Z115:Z122" si="107">IF(T115=0,0,X115/T115)</f>
        <v>-0.59269615883301385</v>
      </c>
    </row>
    <row r="116" spans="1:26" s="23" customFormat="1" hidden="1" outlineLevel="2" x14ac:dyDescent="0.25">
      <c r="A116" s="27"/>
      <c r="B116" s="10" t="str">
        <f>CONCATENATE("          ", "6309", " - ", "TELEPHONE")</f>
        <v xml:space="preserve">          6309 - TELEPHONE</v>
      </c>
      <c r="C116" s="10"/>
      <c r="D116" s="6">
        <v>574.1</v>
      </c>
      <c r="E116" s="2"/>
      <c r="F116" s="7">
        <f t="shared" si="100"/>
        <v>7.8494041029372585E-3</v>
      </c>
      <c r="G116" s="2"/>
      <c r="H116" s="6">
        <v>2331.64</v>
      </c>
      <c r="I116" s="2"/>
      <c r="J116" s="7">
        <f t="shared" si="101"/>
        <v>51.459721915691901</v>
      </c>
      <c r="K116" s="2"/>
      <c r="L116" s="6">
        <f t="shared" si="102"/>
        <v>-1757.54</v>
      </c>
      <c r="M116" s="2"/>
      <c r="N116" s="7">
        <f t="shared" si="103"/>
        <v>-0.75377845636547669</v>
      </c>
      <c r="O116" s="10"/>
      <c r="P116" s="6">
        <v>9364.4</v>
      </c>
      <c r="Q116" s="2"/>
      <c r="R116" s="7">
        <f t="shared" si="104"/>
        <v>2.0379843246003865E-2</v>
      </c>
      <c r="S116" s="2"/>
      <c r="T116" s="6">
        <v>22991.19</v>
      </c>
      <c r="U116" s="2"/>
      <c r="V116" s="7">
        <f t="shared" si="105"/>
        <v>3.2919221511331746E-3</v>
      </c>
      <c r="W116" s="2"/>
      <c r="X116" s="6">
        <f t="shared" si="106"/>
        <v>-13626.789999999999</v>
      </c>
      <c r="Y116" s="2"/>
      <c r="Z116" s="7">
        <f t="shared" si="107"/>
        <v>-0.59269615883301385</v>
      </c>
    </row>
    <row r="117" spans="1:26" s="26" customFormat="1" outlineLevel="1" collapsed="1" x14ac:dyDescent="0.25">
      <c r="A117" s="25"/>
      <c r="B117" s="12" t="str">
        <f>CONCATENATE("     ","Training                                          ")</f>
        <v xml:space="preserve">     Training                                          </v>
      </c>
      <c r="C117" s="12"/>
      <c r="D117" s="1">
        <f>SUM(OSRRefD22_22x_0)</f>
        <v>0</v>
      </c>
      <c r="E117" s="1"/>
      <c r="F117" s="5">
        <f t="shared" si="100"/>
        <v>0</v>
      </c>
      <c r="G117" s="1"/>
      <c r="H117" s="1">
        <f>SUM(OSRRefH22_22x_0)</f>
        <v>120</v>
      </c>
      <c r="I117" s="1"/>
      <c r="J117" s="5">
        <f t="shared" si="101"/>
        <v>2.6484219819024499</v>
      </c>
      <c r="K117" s="1"/>
      <c r="L117" s="1">
        <f t="shared" si="102"/>
        <v>-120</v>
      </c>
      <c r="M117" s="1"/>
      <c r="N117" s="5">
        <f t="shared" si="103"/>
        <v>-1</v>
      </c>
      <c r="O117" s="12"/>
      <c r="P117" s="1">
        <f>SUM(OSRRefP22_22x_0)</f>
        <v>400</v>
      </c>
      <c r="Q117" s="1"/>
      <c r="R117" s="5">
        <f t="shared" si="104"/>
        <v>8.705242512495778E-4</v>
      </c>
      <c r="S117" s="1"/>
      <c r="T117" s="1">
        <f>SUM(OSRRefT22_22x_0)</f>
        <v>2233.0100000000002</v>
      </c>
      <c r="U117" s="1"/>
      <c r="V117" s="5">
        <f t="shared" si="105"/>
        <v>3.1972660322070721E-4</v>
      </c>
      <c r="W117" s="1"/>
      <c r="X117" s="1">
        <f t="shared" si="106"/>
        <v>-1833.0100000000002</v>
      </c>
      <c r="Y117" s="1"/>
      <c r="Z117" s="5">
        <f t="shared" si="107"/>
        <v>-0.82086958858222758</v>
      </c>
    </row>
    <row r="118" spans="1:26" s="23" customFormat="1" hidden="1" outlineLevel="2" x14ac:dyDescent="0.25">
      <c r="A118" s="27"/>
      <c r="B118" s="10" t="str">
        <f>CONCATENATE("          ", "6376", " - ", "TRAINING")</f>
        <v xml:space="preserve">          6376 - TRAINING</v>
      </c>
      <c r="C118" s="10"/>
      <c r="D118" s="6"/>
      <c r="E118" s="2"/>
      <c r="F118" s="7">
        <f t="shared" si="100"/>
        <v>0</v>
      </c>
      <c r="G118" s="2"/>
      <c r="H118" s="6">
        <v>120</v>
      </c>
      <c r="I118" s="2"/>
      <c r="J118" s="7">
        <f t="shared" si="101"/>
        <v>2.6484219819024499</v>
      </c>
      <c r="K118" s="2"/>
      <c r="L118" s="6">
        <f t="shared" si="102"/>
        <v>-120</v>
      </c>
      <c r="M118" s="2"/>
      <c r="N118" s="7">
        <f t="shared" si="103"/>
        <v>-1</v>
      </c>
      <c r="O118" s="10"/>
      <c r="P118" s="6">
        <v>400</v>
      </c>
      <c r="Q118" s="2"/>
      <c r="R118" s="7">
        <f t="shared" si="104"/>
        <v>8.705242512495778E-4</v>
      </c>
      <c r="S118" s="2"/>
      <c r="T118" s="6">
        <v>2233.0100000000002</v>
      </c>
      <c r="U118" s="2"/>
      <c r="V118" s="7">
        <f t="shared" si="105"/>
        <v>3.1972660322070721E-4</v>
      </c>
      <c r="W118" s="2"/>
      <c r="X118" s="6">
        <f t="shared" si="106"/>
        <v>-1833.0100000000002</v>
      </c>
      <c r="Y118" s="2"/>
      <c r="Z118" s="7">
        <f t="shared" si="107"/>
        <v>-0.82086958858222758</v>
      </c>
    </row>
    <row r="119" spans="1:26" s="26" customFormat="1" outlineLevel="1" collapsed="1" x14ac:dyDescent="0.25">
      <c r="A119" s="25"/>
      <c r="B119" s="12" t="str">
        <f>CONCATENATE("     ","Travel                                            ")</f>
        <v xml:space="preserve">     Travel                                            </v>
      </c>
      <c r="C119" s="12"/>
      <c r="D119" s="1">
        <f>SUM(OSRRefD22_23x_0)</f>
        <v>0</v>
      </c>
      <c r="E119" s="1"/>
      <c r="F119" s="5">
        <f t="shared" si="100"/>
        <v>0</v>
      </c>
      <c r="G119" s="1"/>
      <c r="H119" s="1">
        <f>SUM(OSRRefH22_23x_0)</f>
        <v>1803.4299999999998</v>
      </c>
      <c r="I119" s="1"/>
      <c r="J119" s="5">
        <f t="shared" si="101"/>
        <v>39.802030456852791</v>
      </c>
      <c r="K119" s="1"/>
      <c r="L119" s="1">
        <f t="shared" si="102"/>
        <v>-1803.4299999999998</v>
      </c>
      <c r="M119" s="1"/>
      <c r="N119" s="5">
        <f t="shared" si="103"/>
        <v>-1</v>
      </c>
      <c r="O119" s="12"/>
      <c r="P119" s="1">
        <f>SUM(OSRRefP22_23x_0)</f>
        <v>332.21</v>
      </c>
      <c r="Q119" s="1"/>
      <c r="R119" s="5">
        <f t="shared" si="104"/>
        <v>7.2299215376905553E-4</v>
      </c>
      <c r="S119" s="1"/>
      <c r="T119" s="1">
        <f>SUM(OSRRefT22_23x_0)</f>
        <v>6407.32</v>
      </c>
      <c r="U119" s="1"/>
      <c r="V119" s="5">
        <f t="shared" si="105"/>
        <v>9.1741221908907776E-4</v>
      </c>
      <c r="W119" s="1"/>
      <c r="X119" s="1">
        <f t="shared" si="106"/>
        <v>-6075.11</v>
      </c>
      <c r="Y119" s="1"/>
      <c r="Z119" s="5">
        <f t="shared" si="107"/>
        <v>-0.94815148923418835</v>
      </c>
    </row>
    <row r="120" spans="1:26" s="23" customFormat="1" hidden="1" outlineLevel="2" x14ac:dyDescent="0.25">
      <c r="A120" s="27"/>
      <c r="B120" s="10" t="str">
        <f>CONCATENATE("          ", "6292", " - ", "TRAVEL/CONFERENCE")</f>
        <v xml:space="preserve">          6292 - TRAVEL/CONFERENCE</v>
      </c>
      <c r="C120" s="10"/>
      <c r="D120" s="6"/>
      <c r="E120" s="2"/>
      <c r="F120" s="7">
        <f t="shared" si="100"/>
        <v>0</v>
      </c>
      <c r="G120" s="2"/>
      <c r="H120" s="6">
        <v>1547.08</v>
      </c>
      <c r="I120" s="2"/>
      <c r="J120" s="7">
        <f t="shared" si="101"/>
        <v>34.144338998013687</v>
      </c>
      <c r="K120" s="2"/>
      <c r="L120" s="6">
        <f t="shared" si="102"/>
        <v>-1547.08</v>
      </c>
      <c r="M120" s="2"/>
      <c r="N120" s="7">
        <f t="shared" si="103"/>
        <v>-1</v>
      </c>
      <c r="O120" s="10"/>
      <c r="P120" s="6"/>
      <c r="Q120" s="2"/>
      <c r="R120" s="7">
        <f t="shared" si="104"/>
        <v>0</v>
      </c>
      <c r="S120" s="2"/>
      <c r="T120" s="6">
        <v>4995.68</v>
      </c>
      <c r="U120" s="2"/>
      <c r="V120" s="7">
        <f t="shared" si="105"/>
        <v>7.1529092891550977E-4</v>
      </c>
      <c r="W120" s="2"/>
      <c r="X120" s="6">
        <f t="shared" si="106"/>
        <v>-4995.68</v>
      </c>
      <c r="Y120" s="2"/>
      <c r="Z120" s="7">
        <f t="shared" si="107"/>
        <v>-1</v>
      </c>
    </row>
    <row r="121" spans="1:26" s="23" customFormat="1" hidden="1" outlineLevel="2" x14ac:dyDescent="0.25">
      <c r="A121" s="27"/>
      <c r="B121" s="10" t="str">
        <f>CONCATENATE("          ", "6294", " - ", "TRAVEL OPERATIONAL")</f>
        <v xml:space="preserve">          6294 - TRAVEL OPERATIONAL</v>
      </c>
      <c r="C121" s="10"/>
      <c r="D121" s="6"/>
      <c r="E121" s="2"/>
      <c r="F121" s="7">
        <f t="shared" si="100"/>
        <v>0</v>
      </c>
      <c r="G121" s="2"/>
      <c r="H121" s="6"/>
      <c r="I121" s="2"/>
      <c r="J121" s="7">
        <f t="shared" si="101"/>
        <v>0</v>
      </c>
      <c r="K121" s="2"/>
      <c r="L121" s="6">
        <f t="shared" si="102"/>
        <v>0</v>
      </c>
      <c r="M121" s="2"/>
      <c r="N121" s="7">
        <f t="shared" si="103"/>
        <v>0</v>
      </c>
      <c r="O121" s="10"/>
      <c r="P121" s="6"/>
      <c r="Q121" s="2"/>
      <c r="R121" s="7">
        <f t="shared" si="104"/>
        <v>0</v>
      </c>
      <c r="S121" s="2"/>
      <c r="T121" s="6">
        <v>56.99</v>
      </c>
      <c r="U121" s="2"/>
      <c r="V121" s="7">
        <f t="shared" si="105"/>
        <v>8.1599361926494291E-6</v>
      </c>
      <c r="W121" s="2"/>
      <c r="X121" s="6">
        <f t="shared" si="106"/>
        <v>-56.99</v>
      </c>
      <c r="Y121" s="2"/>
      <c r="Z121" s="7">
        <f t="shared" si="107"/>
        <v>-1</v>
      </c>
    </row>
    <row r="122" spans="1:26" s="23" customFormat="1" hidden="1" outlineLevel="2" x14ac:dyDescent="0.25">
      <c r="A122" s="27"/>
      <c r="B122" s="10" t="str">
        <f>CONCATENATE("          ", "6298", " - ", "VEHICLE MILEAGE")</f>
        <v xml:space="preserve">          6298 - VEHICLE MILEAGE</v>
      </c>
      <c r="C122" s="10"/>
      <c r="D122" s="6"/>
      <c r="E122" s="2"/>
      <c r="F122" s="7">
        <f t="shared" si="100"/>
        <v>0</v>
      </c>
      <c r="G122" s="2"/>
      <c r="H122" s="6">
        <v>256.35000000000002</v>
      </c>
      <c r="I122" s="2"/>
      <c r="J122" s="7">
        <f t="shared" si="101"/>
        <v>5.6576914588391096</v>
      </c>
      <c r="K122" s="2"/>
      <c r="L122" s="6">
        <f t="shared" si="102"/>
        <v>-256.35000000000002</v>
      </c>
      <c r="M122" s="2"/>
      <c r="N122" s="7">
        <f t="shared" si="103"/>
        <v>-1</v>
      </c>
      <c r="O122" s="10"/>
      <c r="P122" s="6">
        <v>332.21</v>
      </c>
      <c r="Q122" s="2"/>
      <c r="R122" s="7">
        <f t="shared" si="104"/>
        <v>7.2299215376905553E-4</v>
      </c>
      <c r="S122" s="2"/>
      <c r="T122" s="6">
        <v>1354.65</v>
      </c>
      <c r="U122" s="2"/>
      <c r="V122" s="7">
        <f t="shared" si="105"/>
        <v>1.9396135398091859E-4</v>
      </c>
      <c r="W122" s="2"/>
      <c r="X122" s="6">
        <f t="shared" si="106"/>
        <v>-1022.44</v>
      </c>
      <c r="Y122" s="2"/>
      <c r="Z122" s="7">
        <f t="shared" si="107"/>
        <v>-0.75476322297272358</v>
      </c>
    </row>
    <row r="123" spans="1:26" s="26" customFormat="1" outlineLevel="1" collapsed="1" x14ac:dyDescent="0.25">
      <c r="A123" s="25"/>
      <c r="B123" s="12" t="str">
        <f>CONCATENATE("     ","Utilities                                         ")</f>
        <v xml:space="preserve">     Utilities                                         </v>
      </c>
      <c r="C123" s="12"/>
      <c r="D123" s="1">
        <f>SUM(OSRRefD22_24x_0)</f>
        <v>4784</v>
      </c>
      <c r="E123" s="1"/>
      <c r="F123" s="5">
        <f t="shared" ref="F123:F124" si="108">IF(D$12=0,0,D123/D$12)</f>
        <v>6.5409422101466372E-2</v>
      </c>
      <c r="G123" s="1"/>
      <c r="H123" s="1">
        <f>SUM(OSRRefH22_24x_0)</f>
        <v>17274.62</v>
      </c>
      <c r="I123" s="1"/>
      <c r="J123" s="5">
        <f t="shared" ref="J123:J124" si="109">IF(H$12=0,0,H123/H$12)</f>
        <v>381.25402780843081</v>
      </c>
      <c r="K123" s="1"/>
      <c r="L123" s="1">
        <f t="shared" ref="L123:L124" si="110">+D123-H123</f>
        <v>-12490.619999999999</v>
      </c>
      <c r="M123" s="1"/>
      <c r="N123" s="5">
        <f t="shared" ref="N123:N124" si="111">IF(H123=0,0,L123/H123)</f>
        <v>-0.72306192553005511</v>
      </c>
      <c r="O123" s="12"/>
      <c r="P123" s="1">
        <f>SUM(OSRRefP22_24x_0)</f>
        <v>7972</v>
      </c>
      <c r="Q123" s="1"/>
      <c r="R123" s="5">
        <f t="shared" ref="R123:R124" si="112">IF(P$12=0,0,P123/P$12)</f>
        <v>1.7349548327404086E-2</v>
      </c>
      <c r="S123" s="1"/>
      <c r="T123" s="1">
        <f>SUM(OSRRefT22_24x_0)</f>
        <v>169713.74</v>
      </c>
      <c r="U123" s="1"/>
      <c r="V123" s="5">
        <f t="shared" ref="V123:V124" si="113">IF(T$12=0,0,T123/T$12)</f>
        <v>2.4299934890610549E-2</v>
      </c>
      <c r="W123" s="1"/>
      <c r="X123" s="1">
        <f t="shared" ref="X123:X124" si="114">+P123-T123</f>
        <v>-161741.74</v>
      </c>
      <c r="Y123" s="1"/>
      <c r="Z123" s="5">
        <f t="shared" ref="Z123:Z124" si="115">IF(T123=0,0,X123/T123)</f>
        <v>-0.95302678498511673</v>
      </c>
    </row>
    <row r="124" spans="1:26" s="23" customFormat="1" hidden="1" outlineLevel="2" x14ac:dyDescent="0.25">
      <c r="A124" s="27"/>
      <c r="B124" s="10" t="str">
        <f>CONCATENATE("          ", "6274", " - ", "UTILITIES")</f>
        <v xml:space="preserve">          6274 - UTILITIES</v>
      </c>
      <c r="C124" s="10"/>
      <c r="D124" s="6">
        <v>4784</v>
      </c>
      <c r="E124" s="2"/>
      <c r="F124" s="7">
        <f t="shared" si="108"/>
        <v>6.5409422101466372E-2</v>
      </c>
      <c r="G124" s="2"/>
      <c r="H124" s="6">
        <v>17274.62</v>
      </c>
      <c r="I124" s="2"/>
      <c r="J124" s="7">
        <f t="shared" si="109"/>
        <v>381.25402780843081</v>
      </c>
      <c r="K124" s="2"/>
      <c r="L124" s="6">
        <f t="shared" si="110"/>
        <v>-12490.619999999999</v>
      </c>
      <c r="M124" s="2"/>
      <c r="N124" s="7">
        <f t="shared" si="111"/>
        <v>-0.72306192553005511</v>
      </c>
      <c r="O124" s="10"/>
      <c r="P124" s="6">
        <v>7972</v>
      </c>
      <c r="Q124" s="2"/>
      <c r="R124" s="7">
        <f t="shared" si="112"/>
        <v>1.7349548327404086E-2</v>
      </c>
      <c r="S124" s="2"/>
      <c r="T124" s="6">
        <v>169713.74</v>
      </c>
      <c r="U124" s="2"/>
      <c r="V124" s="7">
        <f t="shared" si="113"/>
        <v>2.4299934890610549E-2</v>
      </c>
      <c r="W124" s="2"/>
      <c r="X124" s="6">
        <f t="shared" si="114"/>
        <v>-161741.74</v>
      </c>
      <c r="Y124" s="2"/>
      <c r="Z124" s="7">
        <f t="shared" si="115"/>
        <v>-0.95302678498511673</v>
      </c>
    </row>
    <row r="125" spans="1:26" s="62" customFormat="1" x14ac:dyDescent="0.25">
      <c r="A125" s="37"/>
      <c r="B125" s="37"/>
      <c r="C125" s="37"/>
      <c r="D125" s="1"/>
      <c r="E125" s="1"/>
      <c r="F125" s="5"/>
      <c r="G125" s="1"/>
      <c r="H125" s="1"/>
      <c r="I125" s="1"/>
      <c r="J125" s="5"/>
      <c r="K125" s="1"/>
      <c r="L125" s="1"/>
      <c r="M125" s="1"/>
      <c r="N125" s="5"/>
      <c r="O125" s="37"/>
      <c r="P125" s="1"/>
      <c r="Q125" s="1"/>
      <c r="R125" s="5"/>
      <c r="S125" s="1"/>
      <c r="T125" s="1"/>
      <c r="U125" s="1"/>
      <c r="V125" s="5"/>
      <c r="W125" s="1"/>
      <c r="X125" s="1"/>
      <c r="Y125" s="1"/>
      <c r="Z125" s="5"/>
    </row>
    <row r="126" spans="1:26" s="24" customFormat="1" collapsed="1" x14ac:dyDescent="0.25">
      <c r="A126" s="11"/>
      <c r="B126" s="28" t="s">
        <v>292</v>
      </c>
      <c r="C126" s="11"/>
      <c r="D126" s="4">
        <f>SUM(OSRRefD25x_0)</f>
        <v>1579.7400000000002</v>
      </c>
      <c r="E126" s="4"/>
      <c r="F126" s="13">
        <f t="shared" ref="F126:F129" si="116">IF(D$12=0,0,D126/D$12)</f>
        <v>2.1599055282309886E-2</v>
      </c>
      <c r="G126" s="4"/>
      <c r="H126" s="4">
        <f>SUM(OSRRefH25x_0)</f>
        <v>24358.23</v>
      </c>
      <c r="I126" s="4"/>
      <c r="J126" s="13">
        <f t="shared" ref="J126:J129" si="117">IF(H$12=0,0,H126/H$12)</f>
        <v>537.59059810196425</v>
      </c>
      <c r="K126" s="4"/>
      <c r="L126" s="4">
        <f t="shared" ref="L126:L129" si="118">+D126-H126</f>
        <v>-22778.489999999998</v>
      </c>
      <c r="M126" s="4"/>
      <c r="N126" s="13">
        <f t="shared" ref="N126:N129" si="119">IF(H126=0,0,L126/H126)</f>
        <v>-0.93514553397352762</v>
      </c>
      <c r="O126" s="11"/>
      <c r="P126" s="4">
        <f>SUM(OSRRefP25x_0)</f>
        <v>22445.4</v>
      </c>
      <c r="Q126" s="4"/>
      <c r="R126" s="13">
        <f t="shared" ref="R126:R129" si="120">IF(P$12=0,0,P126/P$12)</f>
        <v>4.8848162572493185E-2</v>
      </c>
      <c r="S126" s="4"/>
      <c r="T126" s="4">
        <f>SUM(OSRRefT25x_0)</f>
        <v>680573.99</v>
      </c>
      <c r="U126" s="4"/>
      <c r="V126" s="13">
        <f t="shared" ref="V126:V129" si="121">IF(T$12=0,0,T126/T$12)</f>
        <v>9.7445873535301472E-2</v>
      </c>
      <c r="W126" s="4"/>
      <c r="X126" s="4">
        <f t="shared" ref="X126:X129" si="122">+P126-T126</f>
        <v>-658128.59</v>
      </c>
      <c r="Y126" s="4"/>
      <c r="Z126" s="13">
        <f t="shared" ref="Z126:Z129" si="123">IF(T126=0,0,X126/T126)</f>
        <v>-0.96701989742511318</v>
      </c>
    </row>
    <row r="127" spans="1:26" s="23" customFormat="1" hidden="1" outlineLevel="1" x14ac:dyDescent="0.25">
      <c r="A127" s="44"/>
      <c r="B127" s="10" t="str">
        <f>CONCATENATE("          ", "9150", " - ", "MISC. INCOME")</f>
        <v xml:space="preserve">          9150 - MISC. INCOME</v>
      </c>
      <c r="C127" s="10"/>
      <c r="D127" s="2">
        <f>--496.99</f>
        <v>496.99</v>
      </c>
      <c r="E127" s="2"/>
      <c r="F127" s="19">
        <f t="shared" si="116"/>
        <v>6.7951146927691828E-3</v>
      </c>
      <c r="G127" s="2"/>
      <c r="H127" s="2">
        <f>--20725.38</f>
        <v>20725.38</v>
      </c>
      <c r="I127" s="2"/>
      <c r="J127" s="19">
        <f t="shared" si="117"/>
        <v>457.41293312734501</v>
      </c>
      <c r="K127" s="2"/>
      <c r="L127" s="2">
        <f t="shared" si="118"/>
        <v>-20228.39</v>
      </c>
      <c r="M127" s="2"/>
      <c r="N127" s="19">
        <f t="shared" si="119"/>
        <v>-0.97602022254839227</v>
      </c>
      <c r="O127" s="10"/>
      <c r="P127" s="2">
        <f>--5341.48</f>
        <v>5341.48</v>
      </c>
      <c r="Q127" s="2"/>
      <c r="R127" s="19">
        <f t="shared" si="120"/>
        <v>1.1624719693911486E-2</v>
      </c>
      <c r="S127" s="2"/>
      <c r="T127" s="2">
        <f>--313984.54</f>
        <v>313984.53999999998</v>
      </c>
      <c r="U127" s="2"/>
      <c r="V127" s="19">
        <f t="shared" si="121"/>
        <v>4.4956901419167965E-2</v>
      </c>
      <c r="W127" s="2"/>
      <c r="X127" s="2">
        <f t="shared" si="122"/>
        <v>-308643.06</v>
      </c>
      <c r="Y127" s="2"/>
      <c r="Z127" s="19">
        <f t="shared" si="123"/>
        <v>-0.98298807960417423</v>
      </c>
    </row>
    <row r="128" spans="1:26" s="23" customFormat="1" hidden="1" outlineLevel="1" x14ac:dyDescent="0.25">
      <c r="A128" s="44"/>
      <c r="B128" s="10" t="str">
        <f>CONCATENATE("          ", "9160", " - ", "MISC. INCOME")</f>
        <v xml:space="preserve">          9160 - MISC. INCOME</v>
      </c>
      <c r="C128" s="10"/>
      <c r="D128" s="2">
        <f>--732.1</f>
        <v>732.1</v>
      </c>
      <c r="E128" s="2"/>
      <c r="F128" s="19">
        <f t="shared" si="116"/>
        <v>1.0009665117157928E-2</v>
      </c>
      <c r="G128" s="2"/>
      <c r="H128" s="2">
        <f>0</f>
        <v>0</v>
      </c>
      <c r="I128" s="2"/>
      <c r="J128" s="19">
        <f t="shared" si="117"/>
        <v>0</v>
      </c>
      <c r="K128" s="2"/>
      <c r="L128" s="2">
        <f t="shared" si="118"/>
        <v>732.1</v>
      </c>
      <c r="M128" s="2"/>
      <c r="N128" s="19">
        <f t="shared" si="119"/>
        <v>0</v>
      </c>
      <c r="O128" s="10"/>
      <c r="P128" s="2">
        <f>--13615.06</f>
        <v>13615.06</v>
      </c>
      <c r="Q128" s="2"/>
      <c r="R128" s="19">
        <f t="shared" si="120"/>
        <v>2.9630599780545188E-2</v>
      </c>
      <c r="S128" s="2"/>
      <c r="T128" s="2">
        <f>--130089.32</f>
        <v>130089.32</v>
      </c>
      <c r="U128" s="2"/>
      <c r="V128" s="19">
        <f t="shared" si="121"/>
        <v>1.8626435349099024E-2</v>
      </c>
      <c r="W128" s="2"/>
      <c r="X128" s="2">
        <f t="shared" si="122"/>
        <v>-116474.26000000001</v>
      </c>
      <c r="Y128" s="2"/>
      <c r="Z128" s="19">
        <f t="shared" si="123"/>
        <v>-0.89534067823553853</v>
      </c>
    </row>
    <row r="129" spans="1:26" s="23" customFormat="1" hidden="1" outlineLevel="1" x14ac:dyDescent="0.25">
      <c r="A129" s="44"/>
      <c r="B129" s="10" t="str">
        <f>CONCATENATE("          ", "9165", " - ", "OTHER INCOME")</f>
        <v xml:space="preserve">          9165 - OTHER INCOME</v>
      </c>
      <c r="C129" s="10"/>
      <c r="D129" s="2">
        <f>--350.65</f>
        <v>350.65</v>
      </c>
      <c r="E129" s="2"/>
      <c r="F129" s="19">
        <f t="shared" si="116"/>
        <v>4.7942754723827715E-3</v>
      </c>
      <c r="G129" s="2"/>
      <c r="H129" s="2">
        <f>--3632.85</f>
        <v>3632.85</v>
      </c>
      <c r="I129" s="2"/>
      <c r="J129" s="19">
        <f t="shared" si="117"/>
        <v>80.17766497461929</v>
      </c>
      <c r="K129" s="2"/>
      <c r="L129" s="2">
        <f t="shared" si="118"/>
        <v>-3282.2</v>
      </c>
      <c r="M129" s="2"/>
      <c r="N129" s="19">
        <f t="shared" si="119"/>
        <v>-0.9034779856035895</v>
      </c>
      <c r="O129" s="10"/>
      <c r="P129" s="2">
        <f>--3488.86</f>
        <v>3488.86</v>
      </c>
      <c r="Q129" s="2"/>
      <c r="R129" s="19">
        <f t="shared" si="120"/>
        <v>7.5928430980365044E-3</v>
      </c>
      <c r="S129" s="2"/>
      <c r="T129" s="2">
        <f>--236500.13</f>
        <v>236500.13</v>
      </c>
      <c r="U129" s="2"/>
      <c r="V129" s="19">
        <f t="shared" si="121"/>
        <v>3.3862536767034483E-2</v>
      </c>
      <c r="W129" s="2"/>
      <c r="X129" s="2">
        <f t="shared" si="122"/>
        <v>-233011.27000000002</v>
      </c>
      <c r="Y129" s="2"/>
      <c r="Z129" s="19">
        <f t="shared" si="123"/>
        <v>-0.98524795736898751</v>
      </c>
    </row>
    <row r="130" spans="1:26" x14ac:dyDescent="0.25">
      <c r="A130" s="9"/>
      <c r="B130" s="11"/>
      <c r="C130" s="11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1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4" customFormat="1" x14ac:dyDescent="0.25">
      <c r="A131" s="11"/>
      <c r="B131" s="29" t="s">
        <v>276</v>
      </c>
      <c r="C131" s="29"/>
      <c r="D131" s="20">
        <f>+D34-D36+D126</f>
        <v>-66588.630000000063</v>
      </c>
      <c r="E131" s="14"/>
      <c r="F131" s="22">
        <f>IF(D$12=0,0,D131/D$12)</f>
        <v>-0.91043557835041189</v>
      </c>
      <c r="G131" s="14"/>
      <c r="H131" s="20">
        <f>+H34-H36+H126</f>
        <v>-306341.68000000005</v>
      </c>
      <c r="I131" s="14"/>
      <c r="J131" s="22">
        <f>IF(H$12=0,0,H131/H$12)</f>
        <v>-6761.0169940410524</v>
      </c>
      <c r="K131" s="16"/>
      <c r="L131" s="20">
        <f>+D131-H131</f>
        <v>239753.05</v>
      </c>
      <c r="M131" s="16"/>
      <c r="N131" s="22">
        <f>IF(H131=0,0,L131/H131)</f>
        <v>-0.78263281052712108</v>
      </c>
      <c r="O131" s="28"/>
      <c r="P131" s="20">
        <f>+P34-P36+P126</f>
        <v>-907148.30000000028</v>
      </c>
      <c r="Q131" s="14"/>
      <c r="R131" s="22">
        <f>IF(P$12=0,0,P131/P$12)</f>
        <v>-1.974236486574569</v>
      </c>
      <c r="S131" s="14"/>
      <c r="T131" s="20">
        <f>+T34-T36+T126</f>
        <v>-749913.60000000219</v>
      </c>
      <c r="U131" s="14"/>
      <c r="V131" s="22">
        <f>IF(T$12=0,0,T131/T$12)</f>
        <v>-0.10737405028952526</v>
      </c>
      <c r="W131" s="16"/>
      <c r="X131" s="20">
        <f>+P131-T131</f>
        <v>-157234.69999999809</v>
      </c>
      <c r="Y131" s="16"/>
      <c r="Z131" s="22">
        <f>IF(T131=0,0,X131/T131)</f>
        <v>0.20967042069912806</v>
      </c>
    </row>
    <row r="132" spans="1:26" x14ac:dyDescent="0.25">
      <c r="A132" s="9"/>
      <c r="B132" s="11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4" customFormat="1" x14ac:dyDescent="0.25">
      <c r="A133" s="51"/>
      <c r="B133" s="11" t="s">
        <v>127</v>
      </c>
      <c r="C133" s="11"/>
      <c r="D133" s="4">
        <v>16503.580000000002</v>
      </c>
      <c r="E133" s="4"/>
      <c r="F133" s="13">
        <f>IF(D$12=0,0,D133/D$12)</f>
        <v>0.22564582575362008</v>
      </c>
      <c r="G133" s="4"/>
      <c r="H133" s="4">
        <v>44636.31</v>
      </c>
      <c r="I133" s="4"/>
      <c r="J133" s="13">
        <f>IF(H$12=0,0,H133/H$12)</f>
        <v>985.13153829176792</v>
      </c>
      <c r="K133" s="4"/>
      <c r="L133" s="4">
        <f>+D133-H133</f>
        <v>-28132.729999999996</v>
      </c>
      <c r="M133" s="4"/>
      <c r="N133" s="13">
        <f>IF(H133=0,0,L133/H133)</f>
        <v>-0.63026558422952073</v>
      </c>
      <c r="O133" s="11"/>
      <c r="P133" s="4">
        <v>96127.85</v>
      </c>
      <c r="Q133" s="4"/>
      <c r="R133" s="13">
        <f>IF(P$12=0,0,P133/P$12)</f>
        <v>0.20920406161370431</v>
      </c>
      <c r="S133" s="4"/>
      <c r="T133" s="4">
        <v>792997.2</v>
      </c>
      <c r="U133" s="4"/>
      <c r="V133" s="13">
        <f>IF(T$12=0,0,T133/T$12)</f>
        <v>0.11354284177837617</v>
      </c>
      <c r="W133" s="4"/>
      <c r="X133" s="4">
        <f>+P133-T133</f>
        <v>-696869.35</v>
      </c>
      <c r="Y133" s="4"/>
      <c r="Z133" s="13">
        <f>IF(T133=0,0,X133/T133)</f>
        <v>-0.87877908017834117</v>
      </c>
    </row>
    <row r="134" spans="1:26" x14ac:dyDescent="0.25">
      <c r="A134" s="9"/>
      <c r="B134" s="11"/>
      <c r="C134" s="11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O134" s="11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4" customFormat="1" ht="15.75" thickBot="1" x14ac:dyDescent="0.3">
      <c r="A135" s="11"/>
      <c r="B135" s="29" t="s">
        <v>125</v>
      </c>
      <c r="C135" s="29"/>
      <c r="D135" s="30">
        <f>+D131-D133</f>
        <v>-83092.210000000065</v>
      </c>
      <c r="E135" s="14"/>
      <c r="F135" s="34">
        <f>IF(D$12=0,0,D135/D$12)</f>
        <v>-1.1360814041040319</v>
      </c>
      <c r="G135" s="14"/>
      <c r="H135" s="30">
        <f>+H131-H133</f>
        <v>-350977.99000000005</v>
      </c>
      <c r="I135" s="14"/>
      <c r="J135" s="34">
        <f>IF(H$12=0,0,H135/H$12)</f>
        <v>-7746.1485323328207</v>
      </c>
      <c r="K135" s="16"/>
      <c r="L135" s="30">
        <f>D135-H135</f>
        <v>267885.77999999997</v>
      </c>
      <c r="M135" s="16"/>
      <c r="N135" s="34">
        <f>IF(H135=0,0,L135/H135)</f>
        <v>-0.76325521153050058</v>
      </c>
      <c r="O135" s="28"/>
      <c r="P135" s="30">
        <f>+P131-P133</f>
        <v>-1003276.1500000003</v>
      </c>
      <c r="Q135" s="14"/>
      <c r="R135" s="34">
        <f>IF(P$12=0,0,P135/P$12)</f>
        <v>-2.183440548188273</v>
      </c>
      <c r="S135" s="14"/>
      <c r="T135" s="30">
        <f>+T131-T133</f>
        <v>-1542910.8000000021</v>
      </c>
      <c r="U135" s="14"/>
      <c r="V135" s="34">
        <f>IF(T$12=0,0,T135/T$12)</f>
        <v>-0.22091689206790144</v>
      </c>
      <c r="W135" s="16"/>
      <c r="X135" s="30">
        <f>P135-T135</f>
        <v>539634.65000000189</v>
      </c>
      <c r="Y135" s="16"/>
      <c r="Z135" s="34">
        <f>IF(T135=0,0,X135/T135)</f>
        <v>-0.3497510355102843</v>
      </c>
    </row>
    <row r="136" spans="1:26" ht="15.75" thickTop="1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x14ac:dyDescent="0.25">
      <c r="A137" s="9"/>
      <c r="B137" s="9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4" customFormat="1" ht="15.75" thickBot="1" x14ac:dyDescent="0.3">
      <c r="A138" s="11"/>
      <c r="B138" s="29" t="s">
        <v>293</v>
      </c>
      <c r="C138" s="29"/>
      <c r="D138" s="32">
        <f>SUM(D135:D137)</f>
        <v>-83092.210000000065</v>
      </c>
      <c r="E138" s="14"/>
      <c r="F138" s="35">
        <f>IF(D$12=0,0,D138/D$12)</f>
        <v>-1.1360814041040319</v>
      </c>
      <c r="G138" s="14"/>
      <c r="H138" s="32">
        <f>SUM(H135:H137)</f>
        <v>-350977.99000000005</v>
      </c>
      <c r="I138" s="14"/>
      <c r="J138" s="35">
        <f>IF(H$12=0,0,H138/H$12)</f>
        <v>-7746.1485323328207</v>
      </c>
      <c r="K138" s="16"/>
      <c r="L138" s="32">
        <f>+D138-H138</f>
        <v>267885.77999999997</v>
      </c>
      <c r="M138" s="16"/>
      <c r="N138" s="35">
        <f>IF(H138=0,0,L138/H138)</f>
        <v>-0.76325521153050058</v>
      </c>
      <c r="O138" s="28"/>
      <c r="P138" s="32">
        <f>SUM(P135:P137)</f>
        <v>-1003276.1500000003</v>
      </c>
      <c r="Q138" s="14"/>
      <c r="R138" s="35">
        <f>IF(P$12=0,0,P138/P$12)</f>
        <v>-2.183440548188273</v>
      </c>
      <c r="S138" s="14"/>
      <c r="T138" s="32">
        <f>SUM(T135:T137)</f>
        <v>-1542910.8000000021</v>
      </c>
      <c r="U138" s="14"/>
      <c r="V138" s="35">
        <f>IF(T$12=0,0,T138/T$12)</f>
        <v>-0.22091689206790144</v>
      </c>
      <c r="W138" s="16"/>
      <c r="X138" s="32">
        <f>+P138-T138</f>
        <v>539634.65000000189</v>
      </c>
      <c r="Y138" s="16"/>
      <c r="Z138" s="35">
        <f>IF(T138=0,0,X138/T138)</f>
        <v>-0.3497510355102843</v>
      </c>
    </row>
    <row r="139" spans="1:26" ht="15.75" thickTop="1" x14ac:dyDescent="0.25">
      <c r="A139" s="9"/>
      <c r="C139" s="9"/>
      <c r="D139" s="17"/>
      <c r="E139" s="17"/>
      <c r="G139" s="17"/>
      <c r="H139" s="17"/>
      <c r="I139" s="17"/>
      <c r="J139" s="42"/>
      <c r="K139" s="17"/>
      <c r="L139" s="17"/>
      <c r="M139" s="17"/>
      <c r="P139" s="17"/>
      <c r="Q139" s="17"/>
      <c r="R139" s="42"/>
      <c r="S139" s="17"/>
      <c r="T139" s="17"/>
      <c r="U139" s="17"/>
      <c r="V139" s="42"/>
      <c r="W139" s="17"/>
      <c r="X139" s="17"/>
    </row>
    <row r="140" spans="1:26" x14ac:dyDescent="0.25">
      <c r="A140" s="9"/>
      <c r="B140" s="59">
        <v>44330.008779247684</v>
      </c>
      <c r="D140" s="17"/>
      <c r="E140" s="17"/>
      <c r="G140" s="17"/>
      <c r="H140" s="17"/>
      <c r="I140" s="17"/>
      <c r="J140" s="42"/>
      <c r="K140" s="17"/>
      <c r="L140" s="17"/>
      <c r="M140" s="17"/>
      <c r="P140" s="17"/>
      <c r="Q140" s="17"/>
      <c r="R140" s="42"/>
      <c r="S140" s="17"/>
      <c r="T140" s="17"/>
      <c r="U140" s="17"/>
      <c r="V140" s="42"/>
      <c r="W140" s="17"/>
      <c r="X140" s="17"/>
    </row>
    <row r="141" spans="1:26" x14ac:dyDescent="0.25">
      <c r="A141" s="9"/>
      <c r="B141" s="52" t="s">
        <v>56</v>
      </c>
      <c r="D141" s="17"/>
      <c r="E141" s="17"/>
      <c r="G141" s="17"/>
      <c r="H141" s="17"/>
      <c r="I141" s="17"/>
      <c r="J141" s="42"/>
      <c r="K141" s="17"/>
      <c r="L141" s="17"/>
      <c r="M141" s="17"/>
      <c r="P141" s="17"/>
      <c r="Q141" s="17"/>
      <c r="R141" s="42"/>
      <c r="S141" s="17"/>
      <c r="T141" s="17"/>
      <c r="U141" s="17"/>
      <c r="V141" s="42"/>
      <c r="W141" s="17"/>
      <c r="X141" s="17"/>
    </row>
    <row r="142" spans="1:26" x14ac:dyDescent="0.25">
      <c r="A142" s="9"/>
      <c r="B142" s="55"/>
      <c r="D142" s="17"/>
      <c r="E142" s="17"/>
      <c r="G142" s="17"/>
      <c r="H142" s="17"/>
      <c r="I142" s="17"/>
      <c r="J142" s="42"/>
      <c r="K142" s="17"/>
      <c r="L142" s="17"/>
      <c r="M142" s="17"/>
      <c r="P142" s="17"/>
      <c r="Q142" s="17"/>
      <c r="R142" s="42"/>
      <c r="S142" s="17"/>
      <c r="T142" s="17"/>
      <c r="U142" s="17"/>
      <c r="V142" s="42"/>
      <c r="W142" s="17"/>
      <c r="X142" s="17"/>
    </row>
    <row r="143" spans="1:26" x14ac:dyDescent="0.25">
      <c r="D143" s="17"/>
      <c r="E143" s="17"/>
      <c r="G143" s="17"/>
      <c r="H143" s="17"/>
      <c r="I143" s="17"/>
      <c r="J143" s="42"/>
      <c r="K143" s="17"/>
      <c r="L143" s="17"/>
      <c r="M143" s="17"/>
      <c r="P143" s="17"/>
      <c r="Q143" s="17"/>
      <c r="R143" s="42"/>
      <c r="S143" s="17"/>
      <c r="T143" s="17"/>
      <c r="U143" s="17"/>
      <c r="V143" s="42"/>
      <c r="W143" s="17"/>
      <c r="X143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105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73087.41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22" si="0">+D12-H12</f>
        <v>73087.41</v>
      </c>
      <c r="M12" s="4"/>
      <c r="N12" s="13">
        <f t="shared" ref="N12:N22" si="1">IF(H12=0,0,L12/H12)</f>
        <v>0</v>
      </c>
      <c r="O12" s="11"/>
      <c r="P12" s="4">
        <f>SUM(OSRRefP13x_0)</f>
        <v>456620.31</v>
      </c>
      <c r="Q12" s="4"/>
      <c r="R12" s="13"/>
      <c r="S12" s="4"/>
      <c r="T12" s="4">
        <f>SUM(OSRRefT13x_0)</f>
        <v>4619542.3499999996</v>
      </c>
      <c r="U12" s="4"/>
      <c r="V12" s="13"/>
      <c r="W12" s="4"/>
      <c r="X12" s="4">
        <f t="shared" ref="X12:X22" si="2">+P12-T12</f>
        <v>-4162922.0399999996</v>
      </c>
      <c r="Y12" s="4"/>
      <c r="Z12" s="13">
        <f t="shared" ref="Z12:Z22" si="3">IF(T12=0,0,X12/T12)</f>
        <v>-0.90115464359797459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>--6552.2</f>
        <v>6552.2</v>
      </c>
      <c r="E13" s="2"/>
      <c r="F13" s="19"/>
      <c r="G13" s="2"/>
      <c r="H13" s="2">
        <f t="shared" ref="H13:H22" si="4">0</f>
        <v>0</v>
      </c>
      <c r="I13" s="2"/>
      <c r="J13" s="19"/>
      <c r="K13" s="2"/>
      <c r="L13" s="2">
        <f t="shared" si="0"/>
        <v>6552.2</v>
      </c>
      <c r="M13" s="2"/>
      <c r="N13" s="19">
        <f t="shared" si="1"/>
        <v>0</v>
      </c>
      <c r="O13" s="10"/>
      <c r="P13" s="2">
        <f>--32121.26</f>
        <v>32121.26</v>
      </c>
      <c r="Q13" s="2"/>
      <c r="R13" s="19"/>
      <c r="S13" s="2"/>
      <c r="T13" s="2">
        <f>--454738.68</f>
        <v>454738.68</v>
      </c>
      <c r="U13" s="2"/>
      <c r="V13" s="19"/>
      <c r="W13" s="2"/>
      <c r="X13" s="2">
        <f t="shared" si="2"/>
        <v>-422617.42</v>
      </c>
      <c r="Y13" s="2"/>
      <c r="Z13" s="19">
        <f t="shared" si="3"/>
        <v>-0.92936325539758347</v>
      </c>
    </row>
    <row r="14" spans="1:26" s="23" customFormat="1" hidden="1" outlineLevel="1" x14ac:dyDescent="0.25">
      <c r="A14" s="44"/>
      <c r="B14" s="10" t="str">
        <f>CONCATENATE("          ", "4052", " - ", "TAXABLE SALES-FOOD")</f>
        <v xml:space="preserve">          4052 - TAXABLE SALES-FOOD</v>
      </c>
      <c r="C14" s="10"/>
      <c r="D14" s="2">
        <f>--48734.68</f>
        <v>48734.68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48734.68</v>
      </c>
      <c r="M14" s="2"/>
      <c r="N14" s="19">
        <f t="shared" si="1"/>
        <v>0</v>
      </c>
      <c r="O14" s="10"/>
      <c r="P14" s="2">
        <f>--380674.79</f>
        <v>380674.79</v>
      </c>
      <c r="Q14" s="2"/>
      <c r="R14" s="19"/>
      <c r="S14" s="2"/>
      <c r="T14" s="2">
        <f>--836487.29</f>
        <v>836487.29</v>
      </c>
      <c r="U14" s="2"/>
      <c r="V14" s="19"/>
      <c r="W14" s="2"/>
      <c r="X14" s="2">
        <f t="shared" si="2"/>
        <v>-455812.50000000006</v>
      </c>
      <c r="Y14" s="2"/>
      <c r="Z14" s="19">
        <f t="shared" si="3"/>
        <v>-0.54491264296436592</v>
      </c>
    </row>
    <row r="15" spans="1:26" s="23" customFormat="1" hidden="1" outlineLevel="1" x14ac:dyDescent="0.25">
      <c r="A15" s="44"/>
      <c r="B15" s="10" t="str">
        <f>CONCATENATE("          ", "4053", " - ", "TAXABLE SALES-FOOD")</f>
        <v xml:space="preserve">          4053 - TAXABLE SALES-FOOD</v>
      </c>
      <c r="C15" s="10"/>
      <c r="D15" s="2">
        <f t="shared" ref="D15:D17" si="5">0</f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ref="P15:P16" si="6">0</f>
        <v>0</v>
      </c>
      <c r="Q15" s="2"/>
      <c r="R15" s="19"/>
      <c r="S15" s="2"/>
      <c r="T15" s="2">
        <f>--253270.4</f>
        <v>253270.39999999999</v>
      </c>
      <c r="U15" s="2"/>
      <c r="V15" s="19"/>
      <c r="W15" s="2"/>
      <c r="X15" s="2">
        <f t="shared" si="2"/>
        <v>-253270.39999999999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"4055", " - ", "TAXABLE SALES-FOOD")</f>
        <v xml:space="preserve">          4055 - TAXABLE SALES-FOOD</v>
      </c>
      <c r="C16" s="10"/>
      <c r="D16" s="2">
        <f t="shared" si="5"/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 t="shared" si="6"/>
        <v>0</v>
      </c>
      <c r="Q16" s="2"/>
      <c r="R16" s="19"/>
      <c r="S16" s="2"/>
      <c r="T16" s="2">
        <f>--381406.04</f>
        <v>381406.04</v>
      </c>
      <c r="U16" s="2"/>
      <c r="V16" s="19"/>
      <c r="W16" s="2"/>
      <c r="X16" s="2">
        <f t="shared" si="2"/>
        <v>-381406.04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"4058", " - ", "TAXABLE SALES-FOOD")</f>
        <v xml:space="preserve">          4058 - TAXABLE SALES-FOOD</v>
      </c>
      <c r="C17" s="10"/>
      <c r="D17" s="2">
        <f t="shared" si="5"/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--974.91</f>
        <v>974.91</v>
      </c>
      <c r="Q17" s="2"/>
      <c r="R17" s="19"/>
      <c r="S17" s="2"/>
      <c r="T17" s="2">
        <f>--117077.57</f>
        <v>117077.57</v>
      </c>
      <c r="U17" s="2"/>
      <c r="V17" s="19"/>
      <c r="W17" s="2"/>
      <c r="X17" s="2">
        <f t="shared" si="2"/>
        <v>-116102.66</v>
      </c>
      <c r="Y17" s="2"/>
      <c r="Z17" s="19">
        <f t="shared" si="3"/>
        <v>-0.99167295665600164</v>
      </c>
    </row>
    <row r="18" spans="1:26" s="23" customFormat="1" hidden="1" outlineLevel="1" x14ac:dyDescent="0.25">
      <c r="A18" s="44"/>
      <c r="B18" s="10" t="str">
        <f>CONCATENATE("          ", "4151", " - ", "NON-TAXABLE SALES-FOOD")</f>
        <v xml:space="preserve">          4151 - NON-TAXABLE SALES-FOOD</v>
      </c>
      <c r="C18" s="10"/>
      <c r="D18" s="2">
        <f>--6219.58</f>
        <v>6219.58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6219.58</v>
      </c>
      <c r="M18" s="2"/>
      <c r="N18" s="19">
        <f t="shared" si="1"/>
        <v>0</v>
      </c>
      <c r="O18" s="10"/>
      <c r="P18" s="2">
        <f>--31268.4</f>
        <v>31268.400000000001</v>
      </c>
      <c r="Q18" s="2"/>
      <c r="R18" s="19"/>
      <c r="S18" s="2"/>
      <c r="T18" s="2">
        <f>--1363402.11</f>
        <v>1363402.11</v>
      </c>
      <c r="U18" s="2"/>
      <c r="V18" s="19"/>
      <c r="W18" s="2"/>
      <c r="X18" s="2">
        <f t="shared" si="2"/>
        <v>-1332133.7100000002</v>
      </c>
      <c r="Y18" s="2"/>
      <c r="Z18" s="19">
        <f t="shared" si="3"/>
        <v>-0.9770659002427392</v>
      </c>
    </row>
    <row r="19" spans="1:26" s="23" customFormat="1" hidden="1" outlineLevel="1" x14ac:dyDescent="0.25">
      <c r="A19" s="44"/>
      <c r="B19" s="10" t="str">
        <f>CONCATENATE("          ", "4152", " - ", "NON-TAXABLE SALES-FOOD")</f>
        <v xml:space="preserve">          4152 - NON-TAXABLE SALES-FOOD</v>
      </c>
      <c r="C19" s="10"/>
      <c r="D19" s="2">
        <f>--11580.95</f>
        <v>11580.95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11580.95</v>
      </c>
      <c r="M19" s="2"/>
      <c r="N19" s="19">
        <f t="shared" si="1"/>
        <v>0</v>
      </c>
      <c r="O19" s="10"/>
      <c r="P19" s="2">
        <f>--11580.95</f>
        <v>11580.95</v>
      </c>
      <c r="Q19" s="2"/>
      <c r="R19" s="19"/>
      <c r="S19" s="2"/>
      <c r="T19" s="2">
        <f>--51415.27</f>
        <v>51415.27</v>
      </c>
      <c r="U19" s="2"/>
      <c r="V19" s="19"/>
      <c r="W19" s="2"/>
      <c r="X19" s="2">
        <f t="shared" si="2"/>
        <v>-39834.319999999992</v>
      </c>
      <c r="Y19" s="2"/>
      <c r="Z19" s="19">
        <f t="shared" si="3"/>
        <v>-0.77475660440954597</v>
      </c>
    </row>
    <row r="20" spans="1:26" s="23" customFormat="1" hidden="1" outlineLevel="1" x14ac:dyDescent="0.25">
      <c r="A20" s="44"/>
      <c r="B20" s="10" t="str">
        <f>CONCATENATE("          ", "4153", " - ", "NON-TAXABLE SALES-FOOD")</f>
        <v xml:space="preserve">          4153 - NON-TAXABLE SALES-FOOD</v>
      </c>
      <c r="C20" s="10"/>
      <c r="D20" s="2">
        <f t="shared" ref="D20:D22" si="7">0</f>
        <v>0</v>
      </c>
      <c r="E20" s="2"/>
      <c r="F20" s="19"/>
      <c r="G20" s="2"/>
      <c r="H20" s="2">
        <f t="shared" si="4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0"/>
      <c r="P20" s="2">
        <f t="shared" ref="P20:P22" si="8">0</f>
        <v>0</v>
      </c>
      <c r="Q20" s="2"/>
      <c r="R20" s="19"/>
      <c r="S20" s="2"/>
      <c r="T20" s="2">
        <f>-498.41</f>
        <v>-498.41</v>
      </c>
      <c r="U20" s="2"/>
      <c r="V20" s="19"/>
      <c r="W20" s="2"/>
      <c r="X20" s="2">
        <f t="shared" si="2"/>
        <v>498.41</v>
      </c>
      <c r="Y20" s="2"/>
      <c r="Z20" s="19">
        <f t="shared" si="3"/>
        <v>-1</v>
      </c>
    </row>
    <row r="21" spans="1:26" s="23" customFormat="1" hidden="1" outlineLevel="1" x14ac:dyDescent="0.25">
      <c r="A21" s="44"/>
      <c r="B21" s="10" t="str">
        <f>CONCATENATE("          ", "4155", " - ", "NON-TAXABLE SALES-FOOD")</f>
        <v xml:space="preserve">          4155 - NON-TAXABLE SALES-FOOD</v>
      </c>
      <c r="C21" s="10"/>
      <c r="D21" s="2">
        <f t="shared" si="7"/>
        <v>0</v>
      </c>
      <c r="E21" s="2"/>
      <c r="F21" s="19"/>
      <c r="G21" s="2"/>
      <c r="H21" s="2">
        <f t="shared" si="4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0"/>
      <c r="P21" s="2">
        <f t="shared" si="8"/>
        <v>0</v>
      </c>
      <c r="Q21" s="2"/>
      <c r="R21" s="19"/>
      <c r="S21" s="2"/>
      <c r="T21" s="2">
        <f>--687389.73</f>
        <v>687389.73</v>
      </c>
      <c r="U21" s="2"/>
      <c r="V21" s="19"/>
      <c r="W21" s="2"/>
      <c r="X21" s="2">
        <f t="shared" si="2"/>
        <v>-687389.73</v>
      </c>
      <c r="Y21" s="2"/>
      <c r="Z21" s="19">
        <f t="shared" si="3"/>
        <v>-1</v>
      </c>
    </row>
    <row r="22" spans="1:26" s="23" customFormat="1" hidden="1" outlineLevel="1" x14ac:dyDescent="0.25">
      <c r="A22" s="44"/>
      <c r="B22" s="10" t="str">
        <f>CONCATENATE("          ", "4158", " - ", "NON-TAXABLE SALES-FOOD")</f>
        <v xml:space="preserve">          4158 - NON-TAXABLE SALES-FOOD</v>
      </c>
      <c r="C22" s="10"/>
      <c r="D22" s="2">
        <f t="shared" si="7"/>
        <v>0</v>
      </c>
      <c r="E22" s="2"/>
      <c r="F22" s="19"/>
      <c r="G22" s="2"/>
      <c r="H22" s="2">
        <f t="shared" si="4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0"/>
      <c r="P22" s="2">
        <f t="shared" si="8"/>
        <v>0</v>
      </c>
      <c r="Q22" s="2"/>
      <c r="R22" s="19"/>
      <c r="S22" s="2"/>
      <c r="T22" s="2">
        <f>--474853.67</f>
        <v>474853.67</v>
      </c>
      <c r="U22" s="2"/>
      <c r="V22" s="19"/>
      <c r="W22" s="2"/>
      <c r="X22" s="2">
        <f t="shared" si="2"/>
        <v>-474853.67</v>
      </c>
      <c r="Y22" s="2"/>
      <c r="Z22" s="19">
        <f t="shared" si="3"/>
        <v>-1</v>
      </c>
    </row>
    <row r="23" spans="1:26" x14ac:dyDescent="0.25">
      <c r="A23" s="9"/>
      <c r="B23" s="11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4" customFormat="1" collapsed="1" x14ac:dyDescent="0.25">
      <c r="A24" s="11"/>
      <c r="B24" s="28" t="s">
        <v>256</v>
      </c>
      <c r="C24" s="11"/>
      <c r="D24" s="4">
        <f>SUM(OSRRefD16x_0)</f>
        <v>3876.35</v>
      </c>
      <c r="E24" s="4"/>
      <c r="F24" s="13">
        <f t="shared" ref="F24:F26" si="9">IF(D$12=0,0,D24/D$12)</f>
        <v>5.3037178359446581E-2</v>
      </c>
      <c r="G24" s="4"/>
      <c r="H24" s="4">
        <f>SUM(OSRRefH16x_0)</f>
        <v>97933.2</v>
      </c>
      <c r="I24" s="4"/>
      <c r="J24" s="13">
        <f t="shared" ref="J24:J26" si="10">IF(H$12=0,0,H24/H$12)</f>
        <v>0</v>
      </c>
      <c r="K24" s="4"/>
      <c r="L24" s="4">
        <f t="shared" ref="L24:L26" si="11">+D24-H24</f>
        <v>-94056.849999999991</v>
      </c>
      <c r="M24" s="4"/>
      <c r="N24" s="13">
        <f t="shared" ref="N24:N26" si="12">IF(H24=0,0,L24/H24)</f>
        <v>-0.96041842807137923</v>
      </c>
      <c r="O24" s="11"/>
      <c r="P24" s="4">
        <f>SUM(OSRRefP16x_0)</f>
        <v>13520.3</v>
      </c>
      <c r="Q24" s="4"/>
      <c r="R24" s="13">
        <f t="shared" ref="R24:R26" si="13">IF(P$12=0,0,P24/P$12)</f>
        <v>2.9609502039013549E-2</v>
      </c>
      <c r="S24" s="4"/>
      <c r="T24" s="4">
        <f>SUM(OSRRefT16x_0)</f>
        <v>1627445.67</v>
      </c>
      <c r="U24" s="4"/>
      <c r="V24" s="13">
        <f t="shared" ref="V24:V26" si="14">IF(T$12=0,0,T24/T$12)</f>
        <v>0.35229586541186275</v>
      </c>
      <c r="W24" s="4"/>
      <c r="X24" s="4">
        <f t="shared" ref="X24:X26" si="15">+P24-T24</f>
        <v>-1613925.3699999999</v>
      </c>
      <c r="Y24" s="4"/>
      <c r="Z24" s="13">
        <f t="shared" ref="Z24:Z26" si="16">IF(T24=0,0,X24/T24)</f>
        <v>-0.99169231867506824</v>
      </c>
    </row>
    <row r="25" spans="1:26" s="23" customFormat="1" hidden="1" outlineLevel="1" x14ac:dyDescent="0.25">
      <c r="A25" s="44"/>
      <c r="B25" s="10" t="str">
        <f>CONCATENATE("          ", "5053", " - ", "PURCHASES @ COST-FOOD")</f>
        <v xml:space="preserve">          5053 - PURCHASES @ COST-FOOD</v>
      </c>
      <c r="C25" s="10"/>
      <c r="D25" s="2">
        <v>3742.42</v>
      </c>
      <c r="E25" s="2"/>
      <c r="F25" s="19">
        <f t="shared" si="9"/>
        <v>5.1204715011792044E-2</v>
      </c>
      <c r="G25" s="2"/>
      <c r="H25" s="2">
        <v>13014.2</v>
      </c>
      <c r="I25" s="2"/>
      <c r="J25" s="19">
        <f t="shared" si="10"/>
        <v>0</v>
      </c>
      <c r="K25" s="2"/>
      <c r="L25" s="2">
        <f t="shared" si="11"/>
        <v>-9271.7800000000007</v>
      </c>
      <c r="M25" s="2"/>
      <c r="N25" s="19">
        <f t="shared" si="12"/>
        <v>-0.71243564721611774</v>
      </c>
      <c r="O25" s="10"/>
      <c r="P25" s="2">
        <v>8136.29</v>
      </c>
      <c r="Q25" s="2"/>
      <c r="R25" s="19">
        <f t="shared" si="13"/>
        <v>1.7818502203723701E-2</v>
      </c>
      <c r="S25" s="2"/>
      <c r="T25" s="2">
        <v>1596745.68</v>
      </c>
      <c r="U25" s="2"/>
      <c r="V25" s="19">
        <f t="shared" si="14"/>
        <v>0.3456501876208582</v>
      </c>
      <c r="W25" s="2"/>
      <c r="X25" s="2">
        <f t="shared" si="15"/>
        <v>-1588609.39</v>
      </c>
      <c r="Y25" s="2"/>
      <c r="Z25" s="19">
        <f t="shared" si="16"/>
        <v>-0.99490445466556698</v>
      </c>
    </row>
    <row r="26" spans="1:26" s="23" customFormat="1" hidden="1" outlineLevel="1" x14ac:dyDescent="0.25">
      <c r="A26" s="44"/>
      <c r="B26" s="10" t="str">
        <f>CONCATENATE("          ", "5059", " - ", "PURCHASES @ COST-FOOD")</f>
        <v xml:space="preserve">          5059 - PURCHASES @ COST-FOOD</v>
      </c>
      <c r="C26" s="10"/>
      <c r="D26" s="2">
        <v>133.93</v>
      </c>
      <c r="E26" s="2"/>
      <c r="F26" s="19">
        <f t="shared" si="9"/>
        <v>1.8324633476545413E-3</v>
      </c>
      <c r="G26" s="2"/>
      <c r="H26" s="2">
        <v>84919</v>
      </c>
      <c r="I26" s="2"/>
      <c r="J26" s="19">
        <f t="shared" si="10"/>
        <v>0</v>
      </c>
      <c r="K26" s="2"/>
      <c r="L26" s="2">
        <f t="shared" si="11"/>
        <v>-84785.07</v>
      </c>
      <c r="M26" s="2"/>
      <c r="N26" s="19">
        <f t="shared" si="12"/>
        <v>-0.99842285001000963</v>
      </c>
      <c r="O26" s="10"/>
      <c r="P26" s="2">
        <v>5384.01</v>
      </c>
      <c r="Q26" s="2"/>
      <c r="R26" s="19">
        <f t="shared" si="13"/>
        <v>1.1790999835289849E-2</v>
      </c>
      <c r="S26" s="2"/>
      <c r="T26" s="2">
        <v>30699.99</v>
      </c>
      <c r="U26" s="2"/>
      <c r="V26" s="19">
        <f t="shared" si="14"/>
        <v>6.6456777910045579E-3</v>
      </c>
      <c r="W26" s="2"/>
      <c r="X26" s="2">
        <f t="shared" si="15"/>
        <v>-25315.980000000003</v>
      </c>
      <c r="Y26" s="2"/>
      <c r="Z26" s="19">
        <f t="shared" si="16"/>
        <v>-0.82462502430782558</v>
      </c>
    </row>
    <row r="27" spans="1:26" x14ac:dyDescent="0.25">
      <c r="A27" s="9"/>
      <c r="B27" s="11"/>
      <c r="C27" s="11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1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4" customFormat="1" x14ac:dyDescent="0.25">
      <c r="A28" s="11"/>
      <c r="B28" s="29" t="s">
        <v>107</v>
      </c>
      <c r="C28" s="29"/>
      <c r="D28" s="20">
        <f>D12-D24</f>
        <v>69211.06</v>
      </c>
      <c r="E28" s="14"/>
      <c r="F28" s="22">
        <f>IF(D$12=0,0,D28/D$12)</f>
        <v>0.94696282164055334</v>
      </c>
      <c r="G28" s="14"/>
      <c r="H28" s="20">
        <f>H12-H24</f>
        <v>-97933.2</v>
      </c>
      <c r="I28" s="14"/>
      <c r="J28" s="22">
        <f>IF(H$12=0,0,H28/H$12)</f>
        <v>0</v>
      </c>
      <c r="K28" s="16"/>
      <c r="L28" s="20">
        <f>+D28-H28</f>
        <v>167144.26</v>
      </c>
      <c r="M28" s="16"/>
      <c r="N28" s="22">
        <f>IF(H28=0,0,L28/H28)</f>
        <v>-1.7067170275248844</v>
      </c>
      <c r="O28" s="28"/>
      <c r="P28" s="20">
        <f>P12-P24</f>
        <v>443100.01</v>
      </c>
      <c r="Q28" s="14"/>
      <c r="R28" s="22">
        <f>IF(P$12=0,0,P28/P$12)</f>
        <v>0.97039049796098642</v>
      </c>
      <c r="S28" s="14"/>
      <c r="T28" s="20">
        <f>T12-T24</f>
        <v>2992096.6799999997</v>
      </c>
      <c r="U28" s="14"/>
      <c r="V28" s="22">
        <f>IF(T$12=0,0,T28/T$12)</f>
        <v>0.64770413458813725</v>
      </c>
      <c r="W28" s="16"/>
      <c r="X28" s="20">
        <f>+P28-T28</f>
        <v>-2548996.67</v>
      </c>
      <c r="Y28" s="16"/>
      <c r="Z28" s="22">
        <f>IF(T28=0,0,X28/T28)</f>
        <v>-0.85190986208373465</v>
      </c>
    </row>
    <row r="29" spans="1:26" x14ac:dyDescent="0.25">
      <c r="A29" s="9"/>
      <c r="B29" s="11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4" customFormat="1" x14ac:dyDescent="0.25">
      <c r="A30" s="11"/>
      <c r="B30" s="28" t="s">
        <v>294</v>
      </c>
      <c r="C30" s="11"/>
      <c r="D30" s="21">
        <f>SUM(OSRRefD22x_0)</f>
        <v>121656.65000000002</v>
      </c>
      <c r="E30" s="21"/>
      <c r="F30" s="31">
        <f t="shared" ref="F30:F40" si="17">IF(D$12=0,0,D30/D$12)</f>
        <v>1.6645363408006935</v>
      </c>
      <c r="G30" s="21"/>
      <c r="H30" s="21">
        <f>SUM(OSRRefH22x_0)</f>
        <v>94425.29</v>
      </c>
      <c r="I30" s="21"/>
      <c r="J30" s="31">
        <f t="shared" ref="J30:J40" si="18">IF(H$12=0,0,H30/H$12)</f>
        <v>0</v>
      </c>
      <c r="K30" s="4"/>
      <c r="L30" s="21">
        <f t="shared" ref="L30:L40" si="19">+D30-H30</f>
        <v>27231.36000000003</v>
      </c>
      <c r="M30" s="4"/>
      <c r="N30" s="31">
        <f t="shared" ref="N30:N40" si="20">IF(H30=0,0,L30/H30)</f>
        <v>0.28839053605236514</v>
      </c>
      <c r="O30" s="11"/>
      <c r="P30" s="21">
        <f>SUM(OSRRefP22x_0)</f>
        <v>1114041.6900000004</v>
      </c>
      <c r="Q30" s="21"/>
      <c r="R30" s="31">
        <f t="shared" ref="R30:R40" si="21">IF(P$12=0,0,P30/P$12)</f>
        <v>2.43975501221135</v>
      </c>
      <c r="S30" s="21"/>
      <c r="T30" s="21">
        <f>SUM(OSRRefT22x_0)</f>
        <v>4556869.12</v>
      </c>
      <c r="U30" s="21"/>
      <c r="V30" s="31">
        <f t="shared" ref="V30:V40" si="22">IF(T$12=0,0,T30/T$12)</f>
        <v>0.98643302187715642</v>
      </c>
      <c r="W30" s="4"/>
      <c r="X30" s="21">
        <f t="shared" ref="X30:X40" si="23">+P30-T30</f>
        <v>-3442827.4299999997</v>
      </c>
      <c r="Y30" s="4"/>
      <c r="Z30" s="31">
        <f t="shared" ref="Z30:Z40" si="24">IF(T30=0,0,X30/T30)</f>
        <v>-0.75552475599738089</v>
      </c>
    </row>
    <row r="31" spans="1:26" s="26" customFormat="1" outlineLevel="1" collapsed="1" x14ac:dyDescent="0.25">
      <c r="A31" s="25"/>
      <c r="B31" s="12" t="str">
        <f>CONCATENATE("     ","*Benefits                                         ")</f>
        <v xml:space="preserve">     *Benefits                                         </v>
      </c>
      <c r="C31" s="12"/>
      <c r="D31" s="1">
        <f>SUM(OSRRefD22_0x_0)</f>
        <v>22024.969999999998</v>
      </c>
      <c r="E31" s="1"/>
      <c r="F31" s="5">
        <f t="shared" si="17"/>
        <v>0.30135108084962919</v>
      </c>
      <c r="G31" s="1"/>
      <c r="H31" s="1">
        <f>SUM(OSRRefH22_0x_0)</f>
        <v>-27619.180000000004</v>
      </c>
      <c r="I31" s="1"/>
      <c r="J31" s="5">
        <f t="shared" si="18"/>
        <v>0</v>
      </c>
      <c r="K31" s="1"/>
      <c r="L31" s="1">
        <f t="shared" si="19"/>
        <v>49644.15</v>
      </c>
      <c r="M31" s="1"/>
      <c r="N31" s="5">
        <f t="shared" si="20"/>
        <v>-1.7974519880749535</v>
      </c>
      <c r="O31" s="12"/>
      <c r="P31" s="1">
        <f>SUM(OSRRefP22_0x_0)</f>
        <v>208840.94</v>
      </c>
      <c r="Q31" s="1"/>
      <c r="R31" s="5">
        <f t="shared" si="21"/>
        <v>0.45736235429387712</v>
      </c>
      <c r="S31" s="1"/>
      <c r="T31" s="1">
        <f>SUM(OSRRefT22_0x_0)</f>
        <v>592509.13000000012</v>
      </c>
      <c r="U31" s="1"/>
      <c r="V31" s="5">
        <f t="shared" si="22"/>
        <v>0.12826143481507429</v>
      </c>
      <c r="W31" s="1"/>
      <c r="X31" s="1">
        <f t="shared" si="23"/>
        <v>-383668.19000000012</v>
      </c>
      <c r="Y31" s="1"/>
      <c r="Z31" s="5">
        <f t="shared" si="24"/>
        <v>-0.64753127095273633</v>
      </c>
    </row>
    <row r="32" spans="1:26" s="23" customFormat="1" hidden="1" outlineLevel="2" x14ac:dyDescent="0.25">
      <c r="A32" s="27"/>
      <c r="B32" s="10" t="str">
        <f>CONCATENATE("          ", "6111", " - ", "F.I.C.A.")</f>
        <v xml:space="preserve">          6111 - F.I.C.A.</v>
      </c>
      <c r="C32" s="10"/>
      <c r="D32" s="6">
        <v>3515.25</v>
      </c>
      <c r="E32" s="2"/>
      <c r="F32" s="7">
        <f t="shared" si="17"/>
        <v>4.8096518949022816E-2</v>
      </c>
      <c r="G32" s="2"/>
      <c r="H32" s="6">
        <v>4659.51</v>
      </c>
      <c r="I32" s="2"/>
      <c r="J32" s="7">
        <f t="shared" si="18"/>
        <v>0</v>
      </c>
      <c r="K32" s="2"/>
      <c r="L32" s="6">
        <f t="shared" si="19"/>
        <v>-1144.2600000000002</v>
      </c>
      <c r="M32" s="2"/>
      <c r="N32" s="7">
        <f t="shared" si="20"/>
        <v>-0.24557517850589444</v>
      </c>
      <c r="O32" s="10"/>
      <c r="P32" s="6">
        <v>25585.29</v>
      </c>
      <c r="Q32" s="2"/>
      <c r="R32" s="7">
        <f t="shared" si="21"/>
        <v>5.6031870330077962E-2</v>
      </c>
      <c r="S32" s="2"/>
      <c r="T32" s="6">
        <v>131554.29999999999</v>
      </c>
      <c r="U32" s="2"/>
      <c r="V32" s="7">
        <f t="shared" si="22"/>
        <v>2.8477777674232166E-2</v>
      </c>
      <c r="W32" s="2"/>
      <c r="X32" s="6">
        <f t="shared" si="23"/>
        <v>-105969.00999999998</v>
      </c>
      <c r="Y32" s="2"/>
      <c r="Z32" s="7">
        <f t="shared" si="24"/>
        <v>-0.80551536513819766</v>
      </c>
    </row>
    <row r="33" spans="1:26" s="23" customFormat="1" hidden="1" outlineLevel="2" x14ac:dyDescent="0.25">
      <c r="A33" s="27"/>
      <c r="B33" s="10" t="str">
        <f>CONCATENATE("          ", "6112", " - ", "COMPENSATION INSURANCE")</f>
        <v xml:space="preserve">          6112 - COMPENSATION INSURANCE</v>
      </c>
      <c r="C33" s="10"/>
      <c r="D33" s="6">
        <v>611.07000000000005</v>
      </c>
      <c r="E33" s="2"/>
      <c r="F33" s="7">
        <f t="shared" si="17"/>
        <v>8.3608107059752156E-3</v>
      </c>
      <c r="G33" s="2"/>
      <c r="H33" s="6">
        <v>1079.5999999999999</v>
      </c>
      <c r="I33" s="2"/>
      <c r="J33" s="7">
        <f t="shared" si="18"/>
        <v>0</v>
      </c>
      <c r="K33" s="2"/>
      <c r="L33" s="6">
        <f t="shared" si="19"/>
        <v>-468.52999999999986</v>
      </c>
      <c r="M33" s="2"/>
      <c r="N33" s="7">
        <f t="shared" si="20"/>
        <v>-0.43398480918858828</v>
      </c>
      <c r="O33" s="10"/>
      <c r="P33" s="6">
        <v>7014.54</v>
      </c>
      <c r="Q33" s="2"/>
      <c r="R33" s="7">
        <f t="shared" si="21"/>
        <v>1.5361865966934323E-2</v>
      </c>
      <c r="S33" s="2"/>
      <c r="T33" s="6">
        <v>69936.58</v>
      </c>
      <c r="U33" s="2"/>
      <c r="V33" s="7">
        <f t="shared" si="22"/>
        <v>1.5139287553019187E-2</v>
      </c>
      <c r="W33" s="2"/>
      <c r="X33" s="6">
        <f t="shared" si="23"/>
        <v>-62922.04</v>
      </c>
      <c r="Y33" s="2"/>
      <c r="Z33" s="7">
        <f t="shared" si="24"/>
        <v>-0.89970141519645375</v>
      </c>
    </row>
    <row r="34" spans="1:26" s="23" customFormat="1" hidden="1" outlineLevel="2" x14ac:dyDescent="0.25">
      <c r="A34" s="27"/>
      <c r="B34" s="10" t="str">
        <f>CONCATENATE("          ", "6113", " - ", "GROUP INSURANCE")</f>
        <v xml:space="preserve">          6113 - GROUP INSURANCE</v>
      </c>
      <c r="C34" s="10"/>
      <c r="D34" s="6">
        <v>8554.93</v>
      </c>
      <c r="E34" s="2"/>
      <c r="F34" s="7">
        <f t="shared" si="17"/>
        <v>0.11705066577130042</v>
      </c>
      <c r="G34" s="2"/>
      <c r="H34" s="6">
        <v>13618.52</v>
      </c>
      <c r="I34" s="2"/>
      <c r="J34" s="7">
        <f t="shared" si="18"/>
        <v>0</v>
      </c>
      <c r="K34" s="2"/>
      <c r="L34" s="6">
        <f t="shared" si="19"/>
        <v>-5063.59</v>
      </c>
      <c r="M34" s="2"/>
      <c r="N34" s="7">
        <f t="shared" si="20"/>
        <v>-0.3718164675750375</v>
      </c>
      <c r="O34" s="10"/>
      <c r="P34" s="6">
        <v>95151.57</v>
      </c>
      <c r="Q34" s="2"/>
      <c r="R34" s="7">
        <f t="shared" si="21"/>
        <v>0.20838225527024851</v>
      </c>
      <c r="S34" s="2"/>
      <c r="T34" s="6">
        <v>222094.82</v>
      </c>
      <c r="U34" s="2"/>
      <c r="V34" s="7">
        <f t="shared" si="22"/>
        <v>4.8077234317377787E-2</v>
      </c>
      <c r="W34" s="2"/>
      <c r="X34" s="6">
        <f t="shared" si="23"/>
        <v>-126943.25</v>
      </c>
      <c r="Y34" s="2"/>
      <c r="Z34" s="7">
        <f t="shared" si="24"/>
        <v>-0.57157231312283641</v>
      </c>
    </row>
    <row r="35" spans="1:26" s="23" customFormat="1" hidden="1" outlineLevel="2" x14ac:dyDescent="0.25">
      <c r="A35" s="27"/>
      <c r="B35" s="10" t="str">
        <f>CONCATENATE("          ", "6114", " - ", "STATE UNEMPLOYMENT INSURANCE")</f>
        <v xml:space="preserve">          6114 - STATE UNEMPLOYMENT INSURANCE</v>
      </c>
      <c r="C35" s="10"/>
      <c r="D35" s="6">
        <v>78.72</v>
      </c>
      <c r="E35" s="2"/>
      <c r="F35" s="7">
        <f t="shared" si="17"/>
        <v>1.0770664879217911E-3</v>
      </c>
      <c r="G35" s="2"/>
      <c r="H35" s="6">
        <v>113.19</v>
      </c>
      <c r="I35" s="2"/>
      <c r="J35" s="7">
        <f t="shared" si="18"/>
        <v>0</v>
      </c>
      <c r="K35" s="2"/>
      <c r="L35" s="6">
        <f t="shared" si="19"/>
        <v>-34.47</v>
      </c>
      <c r="M35" s="2"/>
      <c r="N35" s="7">
        <f t="shared" si="20"/>
        <v>-0.30453220249138618</v>
      </c>
      <c r="O35" s="10"/>
      <c r="P35" s="6">
        <v>911.97</v>
      </c>
      <c r="Q35" s="2"/>
      <c r="R35" s="7">
        <f t="shared" si="21"/>
        <v>1.997217337967293E-3</v>
      </c>
      <c r="S35" s="2"/>
      <c r="T35" s="6">
        <v>6005.79</v>
      </c>
      <c r="U35" s="2"/>
      <c r="V35" s="7">
        <f t="shared" si="22"/>
        <v>1.3000833296830802E-3</v>
      </c>
      <c r="W35" s="2"/>
      <c r="X35" s="6">
        <f t="shared" si="23"/>
        <v>-5093.82</v>
      </c>
      <c r="Y35" s="2"/>
      <c r="Z35" s="7">
        <f t="shared" si="24"/>
        <v>-0.84815153376991204</v>
      </c>
    </row>
    <row r="36" spans="1:26" s="23" customFormat="1" hidden="1" outlineLevel="2" x14ac:dyDescent="0.25">
      <c r="A36" s="27"/>
      <c r="B36" s="10" t="str">
        <f>CONCATENATE("          ", "6115", " - ", "P.E.R.S.")</f>
        <v xml:space="preserve">          6115 - P.E.R.S.</v>
      </c>
      <c r="C36" s="10"/>
      <c r="D36" s="6">
        <v>2720.89</v>
      </c>
      <c r="E36" s="2"/>
      <c r="F36" s="7">
        <f t="shared" si="17"/>
        <v>3.7227889180913645E-2</v>
      </c>
      <c r="G36" s="2"/>
      <c r="H36" s="6">
        <v>5258.02</v>
      </c>
      <c r="I36" s="2"/>
      <c r="J36" s="7">
        <f t="shared" si="18"/>
        <v>0</v>
      </c>
      <c r="K36" s="2"/>
      <c r="L36" s="6">
        <f t="shared" si="19"/>
        <v>-2537.1300000000006</v>
      </c>
      <c r="M36" s="2"/>
      <c r="N36" s="7">
        <f t="shared" si="20"/>
        <v>-0.48252574162897827</v>
      </c>
      <c r="O36" s="10"/>
      <c r="P36" s="6">
        <v>32430.99</v>
      </c>
      <c r="Q36" s="2"/>
      <c r="R36" s="7">
        <f t="shared" si="21"/>
        <v>7.1023976134570108E-2</v>
      </c>
      <c r="S36" s="2"/>
      <c r="T36" s="6">
        <v>72868.53</v>
      </c>
      <c r="U36" s="2"/>
      <c r="V36" s="7">
        <f t="shared" si="22"/>
        <v>1.5773971635956535E-2</v>
      </c>
      <c r="W36" s="2"/>
      <c r="X36" s="6">
        <f t="shared" si="23"/>
        <v>-40437.539999999994</v>
      </c>
      <c r="Y36" s="2"/>
      <c r="Z36" s="7">
        <f t="shared" si="24"/>
        <v>-0.55493832522763931</v>
      </c>
    </row>
    <row r="37" spans="1:26" s="23" customFormat="1" hidden="1" outlineLevel="2" x14ac:dyDescent="0.25">
      <c r="A37" s="27"/>
      <c r="B37" s="10" t="str">
        <f>CONCATENATE("          ", "6117", " - ", "RETIREMENT STAFF HOURLY")</f>
        <v xml:space="preserve">          6117 - RETIREMENT STAFF HOURLY</v>
      </c>
      <c r="C37" s="10"/>
      <c r="D37" s="6"/>
      <c r="E37" s="2"/>
      <c r="F37" s="7">
        <f t="shared" si="17"/>
        <v>0</v>
      </c>
      <c r="G37" s="2"/>
      <c r="H37" s="6">
        <v>505.87</v>
      </c>
      <c r="I37" s="2"/>
      <c r="J37" s="7">
        <f t="shared" si="18"/>
        <v>0</v>
      </c>
      <c r="K37" s="2"/>
      <c r="L37" s="6">
        <f t="shared" si="19"/>
        <v>-505.87</v>
      </c>
      <c r="M37" s="2"/>
      <c r="N37" s="7">
        <f t="shared" si="20"/>
        <v>-1</v>
      </c>
      <c r="O37" s="10"/>
      <c r="P37" s="6"/>
      <c r="Q37" s="2"/>
      <c r="R37" s="7">
        <f t="shared" si="21"/>
        <v>0</v>
      </c>
      <c r="S37" s="2"/>
      <c r="T37" s="6">
        <v>1352.45</v>
      </c>
      <c r="U37" s="2"/>
      <c r="V37" s="7">
        <f t="shared" si="22"/>
        <v>2.9276709629039339E-4</v>
      </c>
      <c r="W37" s="2"/>
      <c r="X37" s="6">
        <f t="shared" si="23"/>
        <v>-1352.45</v>
      </c>
      <c r="Y37" s="2"/>
      <c r="Z37" s="7">
        <f t="shared" si="24"/>
        <v>-1</v>
      </c>
    </row>
    <row r="38" spans="1:26" s="23" customFormat="1" hidden="1" outlineLevel="2" x14ac:dyDescent="0.25">
      <c r="A38" s="27"/>
      <c r="B38" s="10" t="str">
        <f>CONCATENATE("          ", "6118", " - ", "VACATION")</f>
        <v xml:space="preserve">          6118 - VACATION</v>
      </c>
      <c r="C38" s="10"/>
      <c r="D38" s="6">
        <v>3694.38</v>
      </c>
      <c r="E38" s="2"/>
      <c r="F38" s="7">
        <f t="shared" si="17"/>
        <v>5.0547419863421074E-2</v>
      </c>
      <c r="G38" s="2"/>
      <c r="H38" s="6">
        <v>4237.8</v>
      </c>
      <c r="I38" s="2"/>
      <c r="J38" s="7">
        <f t="shared" si="18"/>
        <v>0</v>
      </c>
      <c r="K38" s="2"/>
      <c r="L38" s="6">
        <f t="shared" si="19"/>
        <v>-543.42000000000007</v>
      </c>
      <c r="M38" s="2"/>
      <c r="N38" s="7">
        <f t="shared" si="20"/>
        <v>-0.12823162961914203</v>
      </c>
      <c r="O38" s="10"/>
      <c r="P38" s="6">
        <v>27129.3</v>
      </c>
      <c r="Q38" s="2"/>
      <c r="R38" s="7">
        <f t="shared" si="21"/>
        <v>5.9413257373505793E-2</v>
      </c>
      <c r="S38" s="2"/>
      <c r="T38" s="6">
        <v>72889.119999999995</v>
      </c>
      <c r="U38" s="2"/>
      <c r="V38" s="7">
        <f t="shared" si="22"/>
        <v>1.5778428787431725E-2</v>
      </c>
      <c r="W38" s="2"/>
      <c r="X38" s="6">
        <f t="shared" si="23"/>
        <v>-45759.819999999992</v>
      </c>
      <c r="Y38" s="2"/>
      <c r="Z38" s="7">
        <f t="shared" si="24"/>
        <v>-0.62780041794989427</v>
      </c>
    </row>
    <row r="39" spans="1:26" s="23" customFormat="1" hidden="1" outlineLevel="2" x14ac:dyDescent="0.25">
      <c r="A39" s="27"/>
      <c r="B39" s="10" t="str">
        <f>CONCATENATE("          ", "6119", " - ", "SICK LEAVE")</f>
        <v xml:space="preserve">          6119 - SICK LEAVE</v>
      </c>
      <c r="C39" s="10"/>
      <c r="D39" s="6">
        <v>2074.29</v>
      </c>
      <c r="E39" s="2"/>
      <c r="F39" s="7">
        <f t="shared" si="17"/>
        <v>2.8380948237186128E-2</v>
      </c>
      <c r="G39" s="2"/>
      <c r="H39" s="6">
        <v>-57611.69</v>
      </c>
      <c r="I39" s="2"/>
      <c r="J39" s="7">
        <f t="shared" si="18"/>
        <v>0</v>
      </c>
      <c r="K39" s="2"/>
      <c r="L39" s="6">
        <f t="shared" si="19"/>
        <v>59685.98</v>
      </c>
      <c r="M39" s="2"/>
      <c r="N39" s="7">
        <f t="shared" si="20"/>
        <v>-1.0360046719684841</v>
      </c>
      <c r="O39" s="10"/>
      <c r="P39" s="6">
        <v>15582.43</v>
      </c>
      <c r="Q39" s="2"/>
      <c r="R39" s="7">
        <f t="shared" si="21"/>
        <v>3.4125573608410016E-2</v>
      </c>
      <c r="S39" s="2"/>
      <c r="T39" s="6">
        <v>-9596.99</v>
      </c>
      <c r="U39" s="2"/>
      <c r="V39" s="7">
        <f t="shared" si="22"/>
        <v>-2.0774763543405985E-3</v>
      </c>
      <c r="W39" s="2"/>
      <c r="X39" s="6">
        <f t="shared" si="23"/>
        <v>25179.42</v>
      </c>
      <c r="Y39" s="2"/>
      <c r="Z39" s="7">
        <f t="shared" si="24"/>
        <v>-2.623678882649664</v>
      </c>
    </row>
    <row r="40" spans="1:26" s="23" customFormat="1" hidden="1" outlineLevel="2" x14ac:dyDescent="0.25">
      <c r="A40" s="27"/>
      <c r="B40" s="10" t="str">
        <f>CONCATENATE("          ", "6156", " - ", "EMPLOYEE MEALS")</f>
        <v xml:space="preserve">          6156 - EMPLOYEE MEALS</v>
      </c>
      <c r="C40" s="10"/>
      <c r="D40" s="6">
        <v>775.44</v>
      </c>
      <c r="E40" s="2"/>
      <c r="F40" s="7">
        <f t="shared" si="17"/>
        <v>1.0609761653888132E-2</v>
      </c>
      <c r="G40" s="2"/>
      <c r="H40" s="6">
        <v>520</v>
      </c>
      <c r="I40" s="2"/>
      <c r="J40" s="7">
        <f t="shared" si="18"/>
        <v>0</v>
      </c>
      <c r="K40" s="2"/>
      <c r="L40" s="6">
        <f t="shared" si="19"/>
        <v>255.44000000000005</v>
      </c>
      <c r="M40" s="2"/>
      <c r="N40" s="7">
        <f t="shared" si="20"/>
        <v>0.49123076923076936</v>
      </c>
      <c r="O40" s="10"/>
      <c r="P40" s="6">
        <v>5034.8500000000004</v>
      </c>
      <c r="Q40" s="2"/>
      <c r="R40" s="7">
        <f t="shared" si="21"/>
        <v>1.1026338272163146E-2</v>
      </c>
      <c r="S40" s="2"/>
      <c r="T40" s="6">
        <v>25404.53</v>
      </c>
      <c r="U40" s="2"/>
      <c r="V40" s="7">
        <f t="shared" si="22"/>
        <v>5.4993607754239985E-3</v>
      </c>
      <c r="W40" s="2"/>
      <c r="X40" s="6">
        <f t="shared" si="23"/>
        <v>-20369.68</v>
      </c>
      <c r="Y40" s="2"/>
      <c r="Z40" s="7">
        <f t="shared" si="24"/>
        <v>-0.80181290502126989</v>
      </c>
    </row>
    <row r="41" spans="1:26" s="26" customFormat="1" outlineLevel="1" collapsed="1" x14ac:dyDescent="0.25">
      <c r="A41" s="25"/>
      <c r="B41" s="12" t="str">
        <f>CONCATENATE("     ","*Payroll                                          ")</f>
        <v xml:space="preserve">     *Payroll                                          </v>
      </c>
      <c r="C41" s="12"/>
      <c r="D41" s="1">
        <f>SUM(OSRRefD22_1x_0)</f>
        <v>32003.24</v>
      </c>
      <c r="E41" s="1"/>
      <c r="F41" s="5">
        <f t="shared" ref="F41:F48" si="25">IF(D$12=0,0,D41/D$12)</f>
        <v>0.43787623613971272</v>
      </c>
      <c r="G41" s="1"/>
      <c r="H41" s="1">
        <f>SUM(OSRRefH22_1x_0)</f>
        <v>24762.12</v>
      </c>
      <c r="I41" s="1"/>
      <c r="J41" s="5">
        <f t="shared" ref="J41:J48" si="26">IF(H$12=0,0,H41/H$12)</f>
        <v>0</v>
      </c>
      <c r="K41" s="1"/>
      <c r="L41" s="1">
        <f t="shared" ref="L41:L48" si="27">+D41-H41</f>
        <v>7241.1200000000026</v>
      </c>
      <c r="M41" s="1"/>
      <c r="N41" s="5">
        <f t="shared" ref="N41:N48" si="28">IF(H41=0,0,L41/H41)</f>
        <v>0.29242730428573976</v>
      </c>
      <c r="O41" s="12"/>
      <c r="P41" s="1">
        <f>SUM(OSRRefP22_1x_0)</f>
        <v>292927.56</v>
      </c>
      <c r="Q41" s="1"/>
      <c r="R41" s="5">
        <f t="shared" ref="R41:R48" si="29">IF(P$12=0,0,P41/P$12)</f>
        <v>0.64151233220440851</v>
      </c>
      <c r="S41" s="1"/>
      <c r="T41" s="1">
        <f>SUM(OSRRefT22_1x_0)</f>
        <v>2104542.6799999997</v>
      </c>
      <c r="U41" s="1"/>
      <c r="V41" s="5">
        <f t="shared" ref="V41:V48" si="30">IF(T$12=0,0,T41/T$12)</f>
        <v>0.45557384705002213</v>
      </c>
      <c r="W41" s="1"/>
      <c r="X41" s="1">
        <f t="shared" ref="X41:X48" si="31">+P41-T41</f>
        <v>-1811615.1199999996</v>
      </c>
      <c r="Y41" s="1"/>
      <c r="Z41" s="5">
        <f t="shared" ref="Z41:Z48" si="32">IF(T41=0,0,X41/T41)</f>
        <v>-0.86081177503133355</v>
      </c>
    </row>
    <row r="42" spans="1:26" s="23" customFormat="1" hidden="1" outlineLevel="2" x14ac:dyDescent="0.25">
      <c r="A42" s="27"/>
      <c r="B42" s="10" t="str">
        <f>CONCATENATE("          ", "6001", " - ", "ADMINISTRATIVE SALARIES")</f>
        <v xml:space="preserve">          6001 - ADMINISTRATIVE SALARIES</v>
      </c>
      <c r="C42" s="10"/>
      <c r="D42" s="6">
        <v>13836.92</v>
      </c>
      <c r="E42" s="2"/>
      <c r="F42" s="7">
        <f t="shared" si="25"/>
        <v>0.18932015787671228</v>
      </c>
      <c r="G42" s="2"/>
      <c r="H42" s="6">
        <v>16603.919999999998</v>
      </c>
      <c r="I42" s="2"/>
      <c r="J42" s="7">
        <f t="shared" si="26"/>
        <v>0</v>
      </c>
      <c r="K42" s="2"/>
      <c r="L42" s="6">
        <f t="shared" si="27"/>
        <v>-2766.9999999999982</v>
      </c>
      <c r="M42" s="2"/>
      <c r="N42" s="7">
        <f t="shared" si="28"/>
        <v>-0.16664739410934276</v>
      </c>
      <c r="O42" s="10"/>
      <c r="P42" s="6">
        <v>111056.17</v>
      </c>
      <c r="Q42" s="2"/>
      <c r="R42" s="7">
        <f t="shared" si="29"/>
        <v>0.24321338225187575</v>
      </c>
      <c r="S42" s="2"/>
      <c r="T42" s="6">
        <v>169475.39</v>
      </c>
      <c r="U42" s="2"/>
      <c r="V42" s="7">
        <f t="shared" si="30"/>
        <v>3.6686618967785849E-2</v>
      </c>
      <c r="W42" s="2"/>
      <c r="X42" s="6">
        <f t="shared" si="31"/>
        <v>-58419.220000000016</v>
      </c>
      <c r="Y42" s="2"/>
      <c r="Z42" s="7">
        <f t="shared" si="32"/>
        <v>-0.34470621368683685</v>
      </c>
    </row>
    <row r="43" spans="1:26" s="23" customFormat="1" hidden="1" outlineLevel="2" x14ac:dyDescent="0.25">
      <c r="A43" s="27"/>
      <c r="B43" s="10" t="str">
        <f>CONCATENATE("          ", "6002", " - ", "STAFF SALARIES")</f>
        <v xml:space="preserve">          6002 - STAFF SALARIES</v>
      </c>
      <c r="C43" s="10"/>
      <c r="D43" s="6">
        <v>14540.3</v>
      </c>
      <c r="E43" s="2"/>
      <c r="F43" s="7">
        <f t="shared" si="25"/>
        <v>0.19894397680804393</v>
      </c>
      <c r="G43" s="2"/>
      <c r="H43" s="6">
        <v>5272.91</v>
      </c>
      <c r="I43" s="2"/>
      <c r="J43" s="7">
        <f t="shared" si="26"/>
        <v>0</v>
      </c>
      <c r="K43" s="2"/>
      <c r="L43" s="6">
        <f t="shared" si="27"/>
        <v>9267.39</v>
      </c>
      <c r="M43" s="2"/>
      <c r="N43" s="7">
        <f t="shared" si="28"/>
        <v>1.7575475401628322</v>
      </c>
      <c r="O43" s="10"/>
      <c r="P43" s="6">
        <v>149853.29</v>
      </c>
      <c r="Q43" s="2"/>
      <c r="R43" s="7">
        <f t="shared" si="29"/>
        <v>0.32817920429338765</v>
      </c>
      <c r="S43" s="2"/>
      <c r="T43" s="6">
        <v>584908.98</v>
      </c>
      <c r="U43" s="2"/>
      <c r="V43" s="7">
        <f t="shared" si="30"/>
        <v>0.12661621772987969</v>
      </c>
      <c r="W43" s="2"/>
      <c r="X43" s="6">
        <f t="shared" si="31"/>
        <v>-435055.68999999994</v>
      </c>
      <c r="Y43" s="2"/>
      <c r="Z43" s="7">
        <f t="shared" si="32"/>
        <v>-0.74380066792614463</v>
      </c>
    </row>
    <row r="44" spans="1:26" s="23" customFormat="1" hidden="1" outlineLevel="2" x14ac:dyDescent="0.25">
      <c r="A44" s="27"/>
      <c r="B44" s="10" t="str">
        <f>CONCATENATE("          ", "6004", " - ", "STAFF HOURLY")</f>
        <v xml:space="preserve">          6004 - STAFF HOURLY</v>
      </c>
      <c r="C44" s="10"/>
      <c r="D44" s="6">
        <v>4020.03</v>
      </c>
      <c r="E44" s="2"/>
      <c r="F44" s="7">
        <f t="shared" si="25"/>
        <v>5.5003043615856687E-2</v>
      </c>
      <c r="G44" s="2"/>
      <c r="H44" s="6">
        <v>6319.45</v>
      </c>
      <c r="I44" s="2"/>
      <c r="J44" s="7">
        <f t="shared" si="26"/>
        <v>0</v>
      </c>
      <c r="K44" s="2"/>
      <c r="L44" s="6">
        <f t="shared" si="27"/>
        <v>-2299.4199999999996</v>
      </c>
      <c r="M44" s="2"/>
      <c r="N44" s="7">
        <f t="shared" si="28"/>
        <v>-0.36386394385587351</v>
      </c>
      <c r="O44" s="10"/>
      <c r="P44" s="6">
        <v>28579.360000000001</v>
      </c>
      <c r="Q44" s="2"/>
      <c r="R44" s="7">
        <f t="shared" si="29"/>
        <v>6.2588893603966064E-2</v>
      </c>
      <c r="S44" s="2"/>
      <c r="T44" s="6">
        <v>220904.82</v>
      </c>
      <c r="U44" s="2"/>
      <c r="V44" s="7">
        <f t="shared" si="30"/>
        <v>4.7819633042221171E-2</v>
      </c>
      <c r="W44" s="2"/>
      <c r="X44" s="6">
        <f t="shared" si="31"/>
        <v>-192325.46000000002</v>
      </c>
      <c r="Y44" s="2"/>
      <c r="Z44" s="7">
        <f t="shared" si="32"/>
        <v>-0.87062591029023273</v>
      </c>
    </row>
    <row r="45" spans="1:26" s="23" customFormat="1" hidden="1" outlineLevel="2" x14ac:dyDescent="0.25">
      <c r="A45" s="27"/>
      <c r="B45" s="10" t="str">
        <f>CONCATENATE("          ", "6005", " - ", "TEMPORARY WAGES-HOURLY")</f>
        <v xml:space="preserve">          6005 - TEMPORARY WAGES-HOURLY</v>
      </c>
      <c r="C45" s="10"/>
      <c r="D45" s="6">
        <v>382.01</v>
      </c>
      <c r="E45" s="2"/>
      <c r="F45" s="7">
        <f t="shared" si="25"/>
        <v>5.2267551962779909E-3</v>
      </c>
      <c r="G45" s="2"/>
      <c r="H45" s="6">
        <v>104.84</v>
      </c>
      <c r="I45" s="2"/>
      <c r="J45" s="7">
        <f t="shared" si="26"/>
        <v>0</v>
      </c>
      <c r="K45" s="2"/>
      <c r="L45" s="6">
        <f t="shared" si="27"/>
        <v>277.16999999999996</v>
      </c>
      <c r="M45" s="2"/>
      <c r="N45" s="7">
        <f t="shared" si="28"/>
        <v>2.6437428462418922</v>
      </c>
      <c r="O45" s="10"/>
      <c r="P45" s="6">
        <v>3291.05</v>
      </c>
      <c r="Q45" s="2"/>
      <c r="R45" s="7">
        <f t="shared" si="29"/>
        <v>7.2074104631920559E-3</v>
      </c>
      <c r="S45" s="2"/>
      <c r="T45" s="6">
        <v>437740.4</v>
      </c>
      <c r="U45" s="2"/>
      <c r="V45" s="7">
        <f t="shared" si="30"/>
        <v>9.4758390947536186E-2</v>
      </c>
      <c r="W45" s="2"/>
      <c r="X45" s="6">
        <f t="shared" si="31"/>
        <v>-434449.35000000003</v>
      </c>
      <c r="Y45" s="2"/>
      <c r="Z45" s="7">
        <f t="shared" si="32"/>
        <v>-0.99248173118131211</v>
      </c>
    </row>
    <row r="46" spans="1:26" s="23" customFormat="1" hidden="1" outlineLevel="2" x14ac:dyDescent="0.25">
      <c r="A46" s="27"/>
      <c r="B46" s="10" t="str">
        <f>CONCATENATE("          ", "6006", " - ", "TEMPORARY PART TIME")</f>
        <v xml:space="preserve">          6006 - TEMPORARY PART TIME</v>
      </c>
      <c r="C46" s="10"/>
      <c r="D46" s="6"/>
      <c r="E46" s="2"/>
      <c r="F46" s="7">
        <f t="shared" si="25"/>
        <v>0</v>
      </c>
      <c r="G46" s="2"/>
      <c r="H46" s="6"/>
      <c r="I46" s="2"/>
      <c r="J46" s="7">
        <f t="shared" si="26"/>
        <v>0</v>
      </c>
      <c r="K46" s="2"/>
      <c r="L46" s="6">
        <f t="shared" si="27"/>
        <v>0</v>
      </c>
      <c r="M46" s="2"/>
      <c r="N46" s="7">
        <f t="shared" si="28"/>
        <v>0</v>
      </c>
      <c r="O46" s="10"/>
      <c r="P46" s="6"/>
      <c r="Q46" s="2"/>
      <c r="R46" s="7">
        <f t="shared" si="29"/>
        <v>0</v>
      </c>
      <c r="S46" s="2"/>
      <c r="T46" s="6">
        <v>11826.56</v>
      </c>
      <c r="U46" s="2"/>
      <c r="V46" s="7">
        <f t="shared" si="30"/>
        <v>2.5601150728708009E-3</v>
      </c>
      <c r="W46" s="2"/>
      <c r="X46" s="6">
        <f t="shared" si="31"/>
        <v>-11826.56</v>
      </c>
      <c r="Y46" s="2"/>
      <c r="Z46" s="7">
        <f t="shared" si="32"/>
        <v>-1</v>
      </c>
    </row>
    <row r="47" spans="1:26" s="23" customFormat="1" hidden="1" outlineLevel="2" x14ac:dyDescent="0.25">
      <c r="A47" s="27"/>
      <c r="B47" s="10" t="str">
        <f>CONCATENATE("          ", "6007", " - ", "STUDENT HOURLY")</f>
        <v xml:space="preserve">          6007 - STUDENT HOURLY</v>
      </c>
      <c r="C47" s="10"/>
      <c r="D47" s="6">
        <v>-776.02</v>
      </c>
      <c r="E47" s="2"/>
      <c r="F47" s="7">
        <f t="shared" si="25"/>
        <v>-1.0617697357178206E-2</v>
      </c>
      <c r="G47" s="2"/>
      <c r="H47" s="6">
        <v>-3539</v>
      </c>
      <c r="I47" s="2"/>
      <c r="J47" s="7">
        <f t="shared" si="26"/>
        <v>0</v>
      </c>
      <c r="K47" s="2"/>
      <c r="L47" s="6">
        <f t="shared" si="27"/>
        <v>2762.98</v>
      </c>
      <c r="M47" s="2"/>
      <c r="N47" s="7">
        <f t="shared" si="28"/>
        <v>-0.78072336818310262</v>
      </c>
      <c r="O47" s="10"/>
      <c r="P47" s="6">
        <v>147.69</v>
      </c>
      <c r="Q47" s="2"/>
      <c r="R47" s="7">
        <f t="shared" si="29"/>
        <v>3.2344159198700558E-4</v>
      </c>
      <c r="S47" s="2"/>
      <c r="T47" s="6">
        <v>643229.24</v>
      </c>
      <c r="U47" s="2"/>
      <c r="V47" s="7">
        <f t="shared" si="30"/>
        <v>0.13924090121178348</v>
      </c>
      <c r="W47" s="2"/>
      <c r="X47" s="6">
        <f t="shared" si="31"/>
        <v>-643081.55000000005</v>
      </c>
      <c r="Y47" s="2"/>
      <c r="Z47" s="7">
        <f t="shared" si="32"/>
        <v>-0.99977039290067105</v>
      </c>
    </row>
    <row r="48" spans="1:26" s="23" customFormat="1" hidden="1" outlineLevel="2" x14ac:dyDescent="0.25">
      <c r="A48" s="27"/>
      <c r="B48" s="10" t="str">
        <f>CONCATENATE("          ", "6008", " - ", "STUDENT HOURLY-FICA EXEMPT")</f>
        <v xml:space="preserve">          6008 - STUDENT HOURLY-FICA EXEMPT</v>
      </c>
      <c r="C48" s="10"/>
      <c r="D48" s="6"/>
      <c r="E48" s="2"/>
      <c r="F48" s="7">
        <f t="shared" si="25"/>
        <v>0</v>
      </c>
      <c r="G48" s="2"/>
      <c r="H48" s="6"/>
      <c r="I48" s="2"/>
      <c r="J48" s="7">
        <f t="shared" si="26"/>
        <v>0</v>
      </c>
      <c r="K48" s="2"/>
      <c r="L48" s="6">
        <f t="shared" si="27"/>
        <v>0</v>
      </c>
      <c r="M48" s="2"/>
      <c r="N48" s="7">
        <f t="shared" si="28"/>
        <v>0</v>
      </c>
      <c r="O48" s="10"/>
      <c r="P48" s="6"/>
      <c r="Q48" s="2"/>
      <c r="R48" s="7">
        <f t="shared" si="29"/>
        <v>0</v>
      </c>
      <c r="S48" s="2"/>
      <c r="T48" s="6">
        <v>36457.29</v>
      </c>
      <c r="U48" s="2"/>
      <c r="V48" s="7">
        <f t="shared" si="30"/>
        <v>7.89197007794506E-3</v>
      </c>
      <c r="W48" s="2"/>
      <c r="X48" s="6">
        <f t="shared" si="31"/>
        <v>-36457.29</v>
      </c>
      <c r="Y48" s="2"/>
      <c r="Z48" s="7">
        <f t="shared" si="32"/>
        <v>-1</v>
      </c>
    </row>
    <row r="49" spans="1:26" s="26" customFormat="1" outlineLevel="1" collapsed="1" x14ac:dyDescent="0.25">
      <c r="A49" s="25"/>
      <c r="B49" s="12" t="str">
        <f>CONCATENATE("     ","Advertising/Promo                                 ")</f>
        <v xml:space="preserve">     Advertising/Promo                                 </v>
      </c>
      <c r="C49" s="12"/>
      <c r="D49" s="1">
        <f>SUM(OSRRefD22_2x_0)</f>
        <v>68.13</v>
      </c>
      <c r="E49" s="1"/>
      <c r="F49" s="5">
        <f t="shared" ref="F49:F58" si="33">IF(D$12=0,0,D49/D$12)</f>
        <v>9.3217149164267815E-4</v>
      </c>
      <c r="G49" s="1"/>
      <c r="H49" s="1">
        <f>SUM(OSRRefH22_2x_0)</f>
        <v>256.07</v>
      </c>
      <c r="I49" s="1"/>
      <c r="J49" s="5">
        <f t="shared" ref="J49:J58" si="34">IF(H$12=0,0,H49/H$12)</f>
        <v>0</v>
      </c>
      <c r="K49" s="1"/>
      <c r="L49" s="1">
        <f t="shared" ref="L49:L58" si="35">+D49-H49</f>
        <v>-187.94</v>
      </c>
      <c r="M49" s="1"/>
      <c r="N49" s="5">
        <f t="shared" ref="N49:N58" si="36">IF(H49=0,0,L49/H49)</f>
        <v>-0.73393993829812165</v>
      </c>
      <c r="O49" s="12"/>
      <c r="P49" s="1">
        <f>SUM(OSRRefP22_2x_0)</f>
        <v>441.15</v>
      </c>
      <c r="Q49" s="1"/>
      <c r="R49" s="5">
        <f t="shared" ref="R49:R58" si="37">IF(P$12=0,0,P49/P$12)</f>
        <v>9.6611996956508565E-4</v>
      </c>
      <c r="S49" s="1"/>
      <c r="T49" s="1">
        <f>SUM(OSRRefT22_2x_0)</f>
        <v>28393.97</v>
      </c>
      <c r="U49" s="1"/>
      <c r="V49" s="5">
        <f t="shared" ref="V49:V58" si="38">IF(T$12=0,0,T49/T$12)</f>
        <v>6.1464898140829909E-3</v>
      </c>
      <c r="W49" s="1"/>
      <c r="X49" s="1">
        <f t="shared" ref="X49:X58" si="39">+P49-T49</f>
        <v>-27952.82</v>
      </c>
      <c r="Y49" s="1"/>
      <c r="Z49" s="5">
        <f t="shared" ref="Z49:Z58" si="40">IF(T49=0,0,X49/T49)</f>
        <v>-0.98446325047184313</v>
      </c>
    </row>
    <row r="50" spans="1:26" s="23" customFormat="1" hidden="1" outlineLevel="2" x14ac:dyDescent="0.25">
      <c r="A50" s="27"/>
      <c r="B50" s="10" t="str">
        <f>CONCATENATE("          ", "6362", " - ", "ADVERTISING EXPENSE")</f>
        <v xml:space="preserve">          6362 - ADVERTISING EXPENSE</v>
      </c>
      <c r="C50" s="10"/>
      <c r="D50" s="6">
        <v>68.13</v>
      </c>
      <c r="E50" s="2"/>
      <c r="F50" s="7">
        <f t="shared" si="33"/>
        <v>9.3217149164267815E-4</v>
      </c>
      <c r="G50" s="2"/>
      <c r="H50" s="6">
        <v>256.07</v>
      </c>
      <c r="I50" s="2"/>
      <c r="J50" s="7">
        <f t="shared" si="34"/>
        <v>0</v>
      </c>
      <c r="K50" s="2"/>
      <c r="L50" s="6">
        <f t="shared" si="35"/>
        <v>-187.94</v>
      </c>
      <c r="M50" s="2"/>
      <c r="N50" s="7">
        <f t="shared" si="36"/>
        <v>-0.73393993829812165</v>
      </c>
      <c r="O50" s="10"/>
      <c r="P50" s="6">
        <v>441.15</v>
      </c>
      <c r="Q50" s="2"/>
      <c r="R50" s="7">
        <f t="shared" si="37"/>
        <v>9.6611996956508565E-4</v>
      </c>
      <c r="S50" s="2"/>
      <c r="T50" s="6">
        <v>28393.97</v>
      </c>
      <c r="U50" s="2"/>
      <c r="V50" s="7">
        <f t="shared" si="38"/>
        <v>6.1464898140829909E-3</v>
      </c>
      <c r="W50" s="2"/>
      <c r="X50" s="6">
        <f t="shared" si="39"/>
        <v>-27952.82</v>
      </c>
      <c r="Y50" s="2"/>
      <c r="Z50" s="7">
        <f t="shared" si="40"/>
        <v>-0.98446325047184313</v>
      </c>
    </row>
    <row r="51" spans="1:26" s="26" customFormat="1" outlineLevel="1" collapsed="1" x14ac:dyDescent="0.25">
      <c r="A51" s="25"/>
      <c r="B51" s="12" t="str">
        <f>CONCATENATE("     ","Bad Debts/Over/Short                              ")</f>
        <v xml:space="preserve">     Bad Debts/Over/Short                              </v>
      </c>
      <c r="C51" s="12"/>
      <c r="D51" s="1">
        <f>SUM(OSRRefD22_3x_0)</f>
        <v>0.57999999999999996</v>
      </c>
      <c r="E51" s="1"/>
      <c r="F51" s="5">
        <f t="shared" si="33"/>
        <v>7.9357032900741721E-6</v>
      </c>
      <c r="G51" s="1"/>
      <c r="H51" s="1">
        <f>SUM(OSRRefH22_3x_0)</f>
        <v>0</v>
      </c>
      <c r="I51" s="1"/>
      <c r="J51" s="5">
        <f t="shared" si="34"/>
        <v>0</v>
      </c>
      <c r="K51" s="1"/>
      <c r="L51" s="1">
        <f t="shared" si="35"/>
        <v>0.57999999999999996</v>
      </c>
      <c r="M51" s="1"/>
      <c r="N51" s="5">
        <f t="shared" si="36"/>
        <v>0</v>
      </c>
      <c r="O51" s="12"/>
      <c r="P51" s="1">
        <f>SUM(OSRRefP22_3x_0)</f>
        <v>8.98</v>
      </c>
      <c r="Q51" s="1"/>
      <c r="R51" s="5">
        <f t="shared" si="37"/>
        <v>1.9666229914302323E-5</v>
      </c>
      <c r="S51" s="1"/>
      <c r="T51" s="1">
        <f>SUM(OSRRefT22_3x_0)</f>
        <v>-260.64999999999998</v>
      </c>
      <c r="U51" s="1"/>
      <c r="V51" s="5">
        <f t="shared" si="38"/>
        <v>-5.6423338125691175E-5</v>
      </c>
      <c r="W51" s="1"/>
      <c r="X51" s="1">
        <f t="shared" si="39"/>
        <v>269.63</v>
      </c>
      <c r="Y51" s="1"/>
      <c r="Z51" s="5">
        <f t="shared" si="40"/>
        <v>-1.0344523307116824</v>
      </c>
    </row>
    <row r="52" spans="1:26" s="23" customFormat="1" hidden="1" outlineLevel="2" x14ac:dyDescent="0.25">
      <c r="A52" s="27"/>
      <c r="B52" s="10" t="str">
        <f>CONCATENATE("          ", "6272", " - ", "CASH (OVER/SHORT)")</f>
        <v xml:space="preserve">          6272 - CASH (OVER/SHORT)</v>
      </c>
      <c r="C52" s="10"/>
      <c r="D52" s="6">
        <v>0.57999999999999996</v>
      </c>
      <c r="E52" s="2"/>
      <c r="F52" s="7">
        <f t="shared" si="33"/>
        <v>7.9357032900741721E-6</v>
      </c>
      <c r="G52" s="2"/>
      <c r="H52" s="6"/>
      <c r="I52" s="2"/>
      <c r="J52" s="7">
        <f t="shared" si="34"/>
        <v>0</v>
      </c>
      <c r="K52" s="2"/>
      <c r="L52" s="6">
        <f t="shared" si="35"/>
        <v>0.57999999999999996</v>
      </c>
      <c r="M52" s="2"/>
      <c r="N52" s="7">
        <f t="shared" si="36"/>
        <v>0</v>
      </c>
      <c r="O52" s="10"/>
      <c r="P52" s="6">
        <v>8.98</v>
      </c>
      <c r="Q52" s="2"/>
      <c r="R52" s="7">
        <f t="shared" si="37"/>
        <v>1.9666229914302323E-5</v>
      </c>
      <c r="S52" s="2"/>
      <c r="T52" s="6">
        <v>-260.64999999999998</v>
      </c>
      <c r="U52" s="2"/>
      <c r="V52" s="7">
        <f t="shared" si="38"/>
        <v>-5.6423338125691175E-5</v>
      </c>
      <c r="W52" s="2"/>
      <c r="X52" s="6">
        <f t="shared" si="39"/>
        <v>269.63</v>
      </c>
      <c r="Y52" s="2"/>
      <c r="Z52" s="7">
        <f t="shared" si="40"/>
        <v>-1.0344523307116824</v>
      </c>
    </row>
    <row r="53" spans="1:26" s="26" customFormat="1" outlineLevel="1" collapsed="1" x14ac:dyDescent="0.25">
      <c r="A53" s="25"/>
      <c r="B53" s="12" t="str">
        <f>CONCATENATE("     ","Bank/card Fees                                    ")</f>
        <v xml:space="preserve">     Bank/card Fees                                    </v>
      </c>
      <c r="C53" s="12"/>
      <c r="D53" s="1">
        <f>SUM(OSRRefD22_4x_0)</f>
        <v>965.2</v>
      </c>
      <c r="E53" s="1"/>
      <c r="F53" s="5">
        <f t="shared" si="33"/>
        <v>1.3206104854447571E-2</v>
      </c>
      <c r="G53" s="1"/>
      <c r="H53" s="1">
        <f>SUM(OSRRefH22_4x_0)</f>
        <v>2778.44</v>
      </c>
      <c r="I53" s="1"/>
      <c r="J53" s="5">
        <f t="shared" si="34"/>
        <v>0</v>
      </c>
      <c r="K53" s="1"/>
      <c r="L53" s="1">
        <f t="shared" si="35"/>
        <v>-1813.24</v>
      </c>
      <c r="M53" s="1"/>
      <c r="N53" s="5">
        <f t="shared" si="36"/>
        <v>-0.65261081758108863</v>
      </c>
      <c r="O53" s="12"/>
      <c r="P53" s="1">
        <f>SUM(OSRRefP22_4x_0)</f>
        <v>6323.05</v>
      </c>
      <c r="Q53" s="1"/>
      <c r="R53" s="5">
        <f t="shared" si="37"/>
        <v>1.3847500563433108E-2</v>
      </c>
      <c r="S53" s="1"/>
      <c r="T53" s="1">
        <f>SUM(OSRRefT22_4x_0)</f>
        <v>149092.03</v>
      </c>
      <c r="U53" s="1"/>
      <c r="V53" s="5">
        <f t="shared" si="38"/>
        <v>3.2274199196377105E-2</v>
      </c>
      <c r="W53" s="1"/>
      <c r="X53" s="1">
        <f t="shared" si="39"/>
        <v>-142768.98000000001</v>
      </c>
      <c r="Y53" s="1"/>
      <c r="Z53" s="5">
        <f t="shared" si="40"/>
        <v>-0.95758961763415529</v>
      </c>
    </row>
    <row r="54" spans="1:26" s="23" customFormat="1" hidden="1" outlineLevel="2" x14ac:dyDescent="0.25">
      <c r="A54" s="27"/>
      <c r="B54" s="10" t="str">
        <f>CONCATENATE("          ", "6381", " - ", "BANK/CREDIT CARD FEES")</f>
        <v xml:space="preserve">          6381 - BANK/CREDIT CARD FEES</v>
      </c>
      <c r="C54" s="10"/>
      <c r="D54" s="6">
        <v>965.2</v>
      </c>
      <c r="E54" s="2"/>
      <c r="F54" s="7">
        <f t="shared" si="33"/>
        <v>1.3206104854447571E-2</v>
      </c>
      <c r="G54" s="2"/>
      <c r="H54" s="6">
        <v>2778.44</v>
      </c>
      <c r="I54" s="2"/>
      <c r="J54" s="7">
        <f t="shared" si="34"/>
        <v>0</v>
      </c>
      <c r="K54" s="2"/>
      <c r="L54" s="6">
        <f t="shared" si="35"/>
        <v>-1813.24</v>
      </c>
      <c r="M54" s="2"/>
      <c r="N54" s="7">
        <f t="shared" si="36"/>
        <v>-0.65261081758108863</v>
      </c>
      <c r="O54" s="10"/>
      <c r="P54" s="6">
        <v>6323.05</v>
      </c>
      <c r="Q54" s="2"/>
      <c r="R54" s="7">
        <f t="shared" si="37"/>
        <v>1.3847500563433108E-2</v>
      </c>
      <c r="S54" s="2"/>
      <c r="T54" s="6">
        <v>149092.03</v>
      </c>
      <c r="U54" s="2"/>
      <c r="V54" s="7">
        <f t="shared" si="38"/>
        <v>3.2274199196377105E-2</v>
      </c>
      <c r="W54" s="2"/>
      <c r="X54" s="6">
        <f t="shared" si="39"/>
        <v>-142768.98000000001</v>
      </c>
      <c r="Y54" s="2"/>
      <c r="Z54" s="7">
        <f t="shared" si="40"/>
        <v>-0.95758961763415529</v>
      </c>
    </row>
    <row r="55" spans="1:26" s="26" customFormat="1" outlineLevel="1" collapsed="1" x14ac:dyDescent="0.25">
      <c r="A55" s="25"/>
      <c r="B55" s="12" t="str">
        <f>CONCATENATE("     ","Depreciation                                      ")</f>
        <v xml:space="preserve">     Depreciation                                      </v>
      </c>
      <c r="C55" s="12"/>
      <c r="D55" s="1">
        <f>SUM(OSRRefD22_5x_0)</f>
        <v>36720.76</v>
      </c>
      <c r="E55" s="1"/>
      <c r="F55" s="5">
        <f t="shared" si="33"/>
        <v>0.50242251025176565</v>
      </c>
      <c r="G55" s="1"/>
      <c r="H55" s="1">
        <f>SUM(OSRRefH22_5x_0)</f>
        <v>38141.49</v>
      </c>
      <c r="I55" s="1"/>
      <c r="J55" s="5">
        <f t="shared" si="34"/>
        <v>0</v>
      </c>
      <c r="K55" s="1"/>
      <c r="L55" s="1">
        <f t="shared" si="35"/>
        <v>-1420.7299999999959</v>
      </c>
      <c r="M55" s="1"/>
      <c r="N55" s="5">
        <f t="shared" si="36"/>
        <v>-3.724893809864261E-2</v>
      </c>
      <c r="O55" s="12"/>
      <c r="P55" s="1">
        <f>SUM(OSRRefP22_5x_0)</f>
        <v>370031.12</v>
      </c>
      <c r="Q55" s="1"/>
      <c r="R55" s="5">
        <f t="shared" si="37"/>
        <v>0.81036938545287218</v>
      </c>
      <c r="S55" s="1"/>
      <c r="T55" s="1">
        <f>SUM(OSRRefT22_5x_0)</f>
        <v>401893.11</v>
      </c>
      <c r="U55" s="1"/>
      <c r="V55" s="5">
        <f t="shared" si="38"/>
        <v>8.6998468582066363E-2</v>
      </c>
      <c r="W55" s="1"/>
      <c r="X55" s="1">
        <f t="shared" si="39"/>
        <v>-31861.989999999991</v>
      </c>
      <c r="Y55" s="1"/>
      <c r="Z55" s="5">
        <f t="shared" si="40"/>
        <v>-7.927976172569863E-2</v>
      </c>
    </row>
    <row r="56" spans="1:26" s="23" customFormat="1" hidden="1" outlineLevel="2" x14ac:dyDescent="0.25">
      <c r="A56" s="27"/>
      <c r="B56" s="10" t="str">
        <f>CONCATENATE("          ", "6321", " - ", "BUILDING DEPRECIATION")</f>
        <v xml:space="preserve">          6321 - BUILDING DEPRECIATION</v>
      </c>
      <c r="C56" s="10"/>
      <c r="D56" s="6">
        <v>23583.49</v>
      </c>
      <c r="E56" s="2"/>
      <c r="F56" s="7">
        <f t="shared" si="33"/>
        <v>0.32267513652488167</v>
      </c>
      <c r="G56" s="2"/>
      <c r="H56" s="6">
        <v>24042.959999999999</v>
      </c>
      <c r="I56" s="2"/>
      <c r="J56" s="7">
        <f t="shared" si="34"/>
        <v>0</v>
      </c>
      <c r="K56" s="2"/>
      <c r="L56" s="6">
        <f t="shared" si="35"/>
        <v>-459.46999999999753</v>
      </c>
      <c r="M56" s="2"/>
      <c r="N56" s="7">
        <f t="shared" si="36"/>
        <v>-1.911037576072154E-2</v>
      </c>
      <c r="O56" s="10"/>
      <c r="P56" s="6">
        <v>236619.09</v>
      </c>
      <c r="Q56" s="2"/>
      <c r="R56" s="7">
        <f t="shared" si="37"/>
        <v>0.5181965953288411</v>
      </c>
      <c r="S56" s="2"/>
      <c r="T56" s="6">
        <v>240429.6</v>
      </c>
      <c r="U56" s="2"/>
      <c r="V56" s="7">
        <f t="shared" si="38"/>
        <v>5.2046194575962712E-2</v>
      </c>
      <c r="W56" s="2"/>
      <c r="X56" s="6">
        <f t="shared" si="39"/>
        <v>-3810.5100000000093</v>
      </c>
      <c r="Y56" s="2"/>
      <c r="Z56" s="7">
        <f t="shared" si="40"/>
        <v>-1.5848755727248264E-2</v>
      </c>
    </row>
    <row r="57" spans="1:26" s="23" customFormat="1" hidden="1" outlineLevel="2" x14ac:dyDescent="0.25">
      <c r="A57" s="27"/>
      <c r="B57" s="10" t="str">
        <f>CONCATENATE("          ", "6322", " - ", "EQUIPMENT DEPRECIATION EXPENSE")</f>
        <v xml:space="preserve">          6322 - EQUIPMENT DEPRECIATION EXPENSE</v>
      </c>
      <c r="C57" s="10"/>
      <c r="D57" s="6">
        <v>13137.27</v>
      </c>
      <c r="E57" s="2"/>
      <c r="F57" s="7">
        <f t="shared" si="33"/>
        <v>0.17974737372688401</v>
      </c>
      <c r="G57" s="2"/>
      <c r="H57" s="6">
        <v>13674.3</v>
      </c>
      <c r="I57" s="2"/>
      <c r="J57" s="7">
        <f t="shared" si="34"/>
        <v>0</v>
      </c>
      <c r="K57" s="2"/>
      <c r="L57" s="6">
        <f t="shared" si="35"/>
        <v>-537.02999999999884</v>
      </c>
      <c r="M57" s="2"/>
      <c r="N57" s="7">
        <f t="shared" si="36"/>
        <v>-3.9272942673482289E-2</v>
      </c>
      <c r="O57" s="10"/>
      <c r="P57" s="6">
        <v>133412.03</v>
      </c>
      <c r="Q57" s="2"/>
      <c r="R57" s="7">
        <f t="shared" si="37"/>
        <v>0.29217279012403108</v>
      </c>
      <c r="S57" s="2"/>
      <c r="T57" s="6">
        <v>157221.03</v>
      </c>
      <c r="U57" s="2"/>
      <c r="V57" s="7">
        <f t="shared" si="38"/>
        <v>3.403389731885454E-2</v>
      </c>
      <c r="W57" s="2"/>
      <c r="X57" s="6">
        <f t="shared" si="39"/>
        <v>-23809</v>
      </c>
      <c r="Y57" s="2"/>
      <c r="Z57" s="7">
        <f t="shared" si="40"/>
        <v>-0.15143648403779061</v>
      </c>
    </row>
    <row r="58" spans="1:26" s="23" customFormat="1" hidden="1" outlineLevel="2" x14ac:dyDescent="0.25">
      <c r="A58" s="27"/>
      <c r="B58" s="10" t="str">
        <f>CONCATENATE("          ", "6326", " - ", "VEHICLES DEPRECIATION EXPENSE")</f>
        <v xml:space="preserve">          6326 - VEHICLES DEPRECIATION EXPENSE</v>
      </c>
      <c r="C58" s="10"/>
      <c r="D58" s="6"/>
      <c r="E58" s="2"/>
      <c r="F58" s="7">
        <f t="shared" si="33"/>
        <v>0</v>
      </c>
      <c r="G58" s="2"/>
      <c r="H58" s="6">
        <v>424.23</v>
      </c>
      <c r="I58" s="2"/>
      <c r="J58" s="7">
        <f t="shared" si="34"/>
        <v>0</v>
      </c>
      <c r="K58" s="2"/>
      <c r="L58" s="6">
        <f t="shared" si="35"/>
        <v>-424.23</v>
      </c>
      <c r="M58" s="2"/>
      <c r="N58" s="7">
        <f t="shared" si="36"/>
        <v>-1</v>
      </c>
      <c r="O58" s="10"/>
      <c r="P58" s="6"/>
      <c r="Q58" s="2"/>
      <c r="R58" s="7">
        <f t="shared" si="37"/>
        <v>0</v>
      </c>
      <c r="S58" s="2"/>
      <c r="T58" s="6">
        <v>4242.4799999999996</v>
      </c>
      <c r="U58" s="2"/>
      <c r="V58" s="7">
        <f t="shared" si="38"/>
        <v>9.1837668724911682E-4</v>
      </c>
      <c r="W58" s="2"/>
      <c r="X58" s="6">
        <f t="shared" si="39"/>
        <v>-4242.4799999999996</v>
      </c>
      <c r="Y58" s="2"/>
      <c r="Z58" s="7">
        <f t="shared" si="40"/>
        <v>-1</v>
      </c>
    </row>
    <row r="59" spans="1:26" s="26" customFormat="1" outlineLevel="1" collapsed="1" x14ac:dyDescent="0.25">
      <c r="A59" s="25"/>
      <c r="B59" s="12" t="str">
        <f>CONCATENATE("     ","Discounts and Markdowns                           ")</f>
        <v xml:space="preserve">     Discounts and Markdowns                           </v>
      </c>
      <c r="C59" s="12"/>
      <c r="D59" s="1">
        <f>SUM(OSRRefD22_6x_0)</f>
        <v>0</v>
      </c>
      <c r="E59" s="1"/>
      <c r="F59" s="5">
        <f t="shared" ref="F59:F71" si="41">IF(D$12=0,0,D59/D$12)</f>
        <v>0</v>
      </c>
      <c r="G59" s="1"/>
      <c r="H59" s="1">
        <f>SUM(OSRRefH22_6x_0)</f>
        <v>0</v>
      </c>
      <c r="I59" s="1"/>
      <c r="J59" s="5">
        <f t="shared" ref="J59:J71" si="42">IF(H$12=0,0,H59/H$12)</f>
        <v>0</v>
      </c>
      <c r="K59" s="1"/>
      <c r="L59" s="1">
        <f t="shared" ref="L59:L71" si="43">+D59-H59</f>
        <v>0</v>
      </c>
      <c r="M59" s="1"/>
      <c r="N59" s="5">
        <f t="shared" ref="N59:N71" si="44">IF(H59=0,0,L59/H59)</f>
        <v>0</v>
      </c>
      <c r="O59" s="12"/>
      <c r="P59" s="1">
        <f>SUM(OSRRefP22_6x_0)</f>
        <v>0</v>
      </c>
      <c r="Q59" s="1"/>
      <c r="R59" s="5">
        <f t="shared" ref="R59:R71" si="45">IF(P$12=0,0,P59/P$12)</f>
        <v>0</v>
      </c>
      <c r="S59" s="1"/>
      <c r="T59" s="1">
        <f>SUM(OSRRefT22_6x_0)</f>
        <v>0.09</v>
      </c>
      <c r="U59" s="1"/>
      <c r="V59" s="5">
        <f t="shared" ref="V59:V71" si="46">IF(T$12=0,0,T59/T$12)</f>
        <v>1.9482449381592965E-8</v>
      </c>
      <c r="W59" s="1"/>
      <c r="X59" s="1">
        <f t="shared" ref="X59:X71" si="47">+P59-T59</f>
        <v>-0.09</v>
      </c>
      <c r="Y59" s="1"/>
      <c r="Z59" s="5">
        <f t="shared" ref="Z59:Z71" si="48">IF(T59=0,0,X59/T59)</f>
        <v>-1</v>
      </c>
    </row>
    <row r="60" spans="1:26" s="23" customFormat="1" hidden="1" outlineLevel="2" x14ac:dyDescent="0.25">
      <c r="A60" s="27"/>
      <c r="B60" s="10" t="str">
        <f>CONCATENATE("          ", "6382", " - ", "DISCOUNTS/MARK DOWNS")</f>
        <v xml:space="preserve">          6382 - DISCOUNTS/MARK DOWNS</v>
      </c>
      <c r="C60" s="10"/>
      <c r="D60" s="6"/>
      <c r="E60" s="2"/>
      <c r="F60" s="7">
        <f t="shared" si="41"/>
        <v>0</v>
      </c>
      <c r="G60" s="2"/>
      <c r="H60" s="6"/>
      <c r="I60" s="2"/>
      <c r="J60" s="7">
        <f t="shared" si="42"/>
        <v>0</v>
      </c>
      <c r="K60" s="2"/>
      <c r="L60" s="6">
        <f t="shared" si="43"/>
        <v>0</v>
      </c>
      <c r="M60" s="2"/>
      <c r="N60" s="7">
        <f t="shared" si="44"/>
        <v>0</v>
      </c>
      <c r="O60" s="10"/>
      <c r="P60" s="6"/>
      <c r="Q60" s="2"/>
      <c r="R60" s="7">
        <f t="shared" si="45"/>
        <v>0</v>
      </c>
      <c r="S60" s="2"/>
      <c r="T60" s="6">
        <v>0.09</v>
      </c>
      <c r="U60" s="2"/>
      <c r="V60" s="7">
        <f t="shared" si="46"/>
        <v>1.9482449381592965E-8</v>
      </c>
      <c r="W60" s="2"/>
      <c r="X60" s="6">
        <f t="shared" si="47"/>
        <v>-0.09</v>
      </c>
      <c r="Y60" s="2"/>
      <c r="Z60" s="7">
        <f t="shared" si="48"/>
        <v>-1</v>
      </c>
    </row>
    <row r="61" spans="1:26" s="26" customFormat="1" outlineLevel="1" collapsed="1" x14ac:dyDescent="0.25">
      <c r="A61" s="25"/>
      <c r="B61" s="12" t="str">
        <f>CONCATENATE("     ","Donations                                         ")</f>
        <v xml:space="preserve">     Donations                                         </v>
      </c>
      <c r="C61" s="12"/>
      <c r="D61" s="1">
        <f>SUM(OSRRefD22_7x_0)</f>
        <v>0</v>
      </c>
      <c r="E61" s="1"/>
      <c r="F61" s="5">
        <f t="shared" si="41"/>
        <v>0</v>
      </c>
      <c r="G61" s="1"/>
      <c r="H61" s="1">
        <f>SUM(OSRRefH22_7x_0)</f>
        <v>0</v>
      </c>
      <c r="I61" s="1"/>
      <c r="J61" s="5">
        <f t="shared" si="42"/>
        <v>0</v>
      </c>
      <c r="K61" s="1"/>
      <c r="L61" s="1">
        <f t="shared" si="43"/>
        <v>0</v>
      </c>
      <c r="M61" s="1"/>
      <c r="N61" s="5">
        <f t="shared" si="44"/>
        <v>0</v>
      </c>
      <c r="O61" s="12"/>
      <c r="P61" s="1">
        <f>SUM(OSRRefP22_7x_0)</f>
        <v>0</v>
      </c>
      <c r="Q61" s="1"/>
      <c r="R61" s="5">
        <f t="shared" si="45"/>
        <v>0</v>
      </c>
      <c r="S61" s="1"/>
      <c r="T61" s="1">
        <f>SUM(OSRRefT22_7x_0)</f>
        <v>236.68</v>
      </c>
      <c r="U61" s="1"/>
      <c r="V61" s="5">
        <f t="shared" si="46"/>
        <v>5.123451244039359E-5</v>
      </c>
      <c r="W61" s="1"/>
      <c r="X61" s="1">
        <f t="shared" si="47"/>
        <v>-236.68</v>
      </c>
      <c r="Y61" s="1"/>
      <c r="Z61" s="5">
        <f t="shared" si="48"/>
        <v>-1</v>
      </c>
    </row>
    <row r="62" spans="1:26" s="23" customFormat="1" hidden="1" outlineLevel="2" x14ac:dyDescent="0.25">
      <c r="A62" s="27"/>
      <c r="B62" s="10" t="str">
        <f>CONCATENATE("          ", "6399", " - ", "DONATION-ON CAMPUS")</f>
        <v xml:space="preserve">          6399 - DONATION-ON CAMPUS</v>
      </c>
      <c r="C62" s="10"/>
      <c r="D62" s="6"/>
      <c r="E62" s="2"/>
      <c r="F62" s="7">
        <f t="shared" si="41"/>
        <v>0</v>
      </c>
      <c r="G62" s="2"/>
      <c r="H62" s="6"/>
      <c r="I62" s="2"/>
      <c r="J62" s="7">
        <f t="shared" si="42"/>
        <v>0</v>
      </c>
      <c r="K62" s="2"/>
      <c r="L62" s="6">
        <f t="shared" si="43"/>
        <v>0</v>
      </c>
      <c r="M62" s="2"/>
      <c r="N62" s="7">
        <f t="shared" si="44"/>
        <v>0</v>
      </c>
      <c r="O62" s="10"/>
      <c r="P62" s="6"/>
      <c r="Q62" s="2"/>
      <c r="R62" s="7">
        <f t="shared" si="45"/>
        <v>0</v>
      </c>
      <c r="S62" s="2"/>
      <c r="T62" s="6">
        <v>236.68</v>
      </c>
      <c r="U62" s="2"/>
      <c r="V62" s="7">
        <f t="shared" si="46"/>
        <v>5.123451244039359E-5</v>
      </c>
      <c r="W62" s="2"/>
      <c r="X62" s="6">
        <f t="shared" si="47"/>
        <v>-236.68</v>
      </c>
      <c r="Y62" s="2"/>
      <c r="Z62" s="7">
        <f t="shared" si="48"/>
        <v>-1</v>
      </c>
    </row>
    <row r="63" spans="1:26" s="26" customFormat="1" outlineLevel="1" collapsed="1" x14ac:dyDescent="0.25">
      <c r="A63" s="25"/>
      <c r="B63" s="12" t="str">
        <f>CONCATENATE("     ","Employees' Appreciation                           ")</f>
        <v xml:space="preserve">     Employees' Appreciation                           </v>
      </c>
      <c r="C63" s="12"/>
      <c r="D63" s="1">
        <f>SUM(OSRRefD22_8x_0)</f>
        <v>0</v>
      </c>
      <c r="E63" s="1"/>
      <c r="F63" s="5">
        <f t="shared" si="41"/>
        <v>0</v>
      </c>
      <c r="G63" s="1"/>
      <c r="H63" s="1">
        <f>SUM(OSRRefH22_8x_0)</f>
        <v>0</v>
      </c>
      <c r="I63" s="1"/>
      <c r="J63" s="5">
        <f t="shared" si="42"/>
        <v>0</v>
      </c>
      <c r="K63" s="1"/>
      <c r="L63" s="1">
        <f t="shared" si="43"/>
        <v>0</v>
      </c>
      <c r="M63" s="1"/>
      <c r="N63" s="5">
        <f t="shared" si="44"/>
        <v>0</v>
      </c>
      <c r="O63" s="12"/>
      <c r="P63" s="1">
        <f>SUM(OSRRefP22_8x_0)</f>
        <v>10</v>
      </c>
      <c r="Q63" s="1"/>
      <c r="R63" s="5">
        <f t="shared" si="45"/>
        <v>2.1900033312140671E-5</v>
      </c>
      <c r="S63" s="1"/>
      <c r="T63" s="1">
        <f>SUM(OSRRefT22_8x_0)</f>
        <v>1672.81</v>
      </c>
      <c r="U63" s="1"/>
      <c r="V63" s="5">
        <f t="shared" si="46"/>
        <v>3.6211595722247249E-4</v>
      </c>
      <c r="W63" s="1"/>
      <c r="X63" s="1">
        <f t="shared" si="47"/>
        <v>-1662.81</v>
      </c>
      <c r="Y63" s="1"/>
      <c r="Z63" s="5">
        <f t="shared" si="48"/>
        <v>-0.99402203477980167</v>
      </c>
    </row>
    <row r="64" spans="1:26" s="23" customFormat="1" hidden="1" outlineLevel="2" x14ac:dyDescent="0.25">
      <c r="A64" s="27"/>
      <c r="B64" s="10" t="str">
        <f>CONCATENATE("          ", "6277", " - ", "EMPLOYEE APPRECIATION")</f>
        <v xml:space="preserve">          6277 - EMPLOYEE APPRECIATION</v>
      </c>
      <c r="C64" s="10"/>
      <c r="D64" s="6"/>
      <c r="E64" s="2"/>
      <c r="F64" s="7">
        <f t="shared" si="41"/>
        <v>0</v>
      </c>
      <c r="G64" s="2"/>
      <c r="H64" s="6"/>
      <c r="I64" s="2"/>
      <c r="J64" s="7">
        <f t="shared" si="42"/>
        <v>0</v>
      </c>
      <c r="K64" s="2"/>
      <c r="L64" s="6">
        <f t="shared" si="43"/>
        <v>0</v>
      </c>
      <c r="M64" s="2"/>
      <c r="N64" s="7">
        <f t="shared" si="44"/>
        <v>0</v>
      </c>
      <c r="O64" s="10"/>
      <c r="P64" s="6">
        <v>10</v>
      </c>
      <c r="Q64" s="2"/>
      <c r="R64" s="7">
        <f t="shared" si="45"/>
        <v>2.1900033312140671E-5</v>
      </c>
      <c r="S64" s="2"/>
      <c r="T64" s="6">
        <v>1672.81</v>
      </c>
      <c r="U64" s="2"/>
      <c r="V64" s="7">
        <f t="shared" si="46"/>
        <v>3.6211595722247249E-4</v>
      </c>
      <c r="W64" s="2"/>
      <c r="X64" s="6">
        <f t="shared" si="47"/>
        <v>-1662.81</v>
      </c>
      <c r="Y64" s="2"/>
      <c r="Z64" s="7">
        <f t="shared" si="48"/>
        <v>-0.99402203477980167</v>
      </c>
    </row>
    <row r="65" spans="1:26" s="26" customFormat="1" outlineLevel="1" collapsed="1" x14ac:dyDescent="0.25">
      <c r="A65" s="25"/>
      <c r="B65" s="12" t="str">
        <f>CONCATENATE("     ","Equipment Rental                                  ")</f>
        <v xml:space="preserve">     Equipment Rental                                  </v>
      </c>
      <c r="C65" s="12"/>
      <c r="D65" s="1">
        <f>SUM(OSRRefD22_9x_0)</f>
        <v>567.59</v>
      </c>
      <c r="E65" s="1"/>
      <c r="F65" s="5">
        <f t="shared" si="41"/>
        <v>7.7659066041606897E-3</v>
      </c>
      <c r="G65" s="1"/>
      <c r="H65" s="1">
        <f>SUM(OSRRefH22_9x_0)</f>
        <v>1256.53</v>
      </c>
      <c r="I65" s="1"/>
      <c r="J65" s="5">
        <f t="shared" si="42"/>
        <v>0</v>
      </c>
      <c r="K65" s="1"/>
      <c r="L65" s="1">
        <f t="shared" si="43"/>
        <v>-688.93999999999994</v>
      </c>
      <c r="M65" s="1"/>
      <c r="N65" s="5">
        <f t="shared" si="44"/>
        <v>-0.5482877448210548</v>
      </c>
      <c r="O65" s="12"/>
      <c r="P65" s="1">
        <f>SUM(OSRRefP22_9x_0)</f>
        <v>5451.82</v>
      </c>
      <c r="Q65" s="1"/>
      <c r="R65" s="5">
        <f t="shared" si="45"/>
        <v>1.1939503961179475E-2</v>
      </c>
      <c r="S65" s="1"/>
      <c r="T65" s="1">
        <f>SUM(OSRRefT22_9x_0)</f>
        <v>25095.72</v>
      </c>
      <c r="U65" s="1"/>
      <c r="V65" s="5">
        <f t="shared" si="46"/>
        <v>5.4325121621625581E-3</v>
      </c>
      <c r="W65" s="1"/>
      <c r="X65" s="1">
        <f t="shared" si="47"/>
        <v>-19643.900000000001</v>
      </c>
      <c r="Y65" s="1"/>
      <c r="Z65" s="5">
        <f t="shared" si="48"/>
        <v>-0.78275897244629766</v>
      </c>
    </row>
    <row r="66" spans="1:26" s="23" customFormat="1" hidden="1" outlineLevel="2" x14ac:dyDescent="0.25">
      <c r="A66" s="27"/>
      <c r="B66" s="10" t="str">
        <f>CONCATENATE("          ", "6351", " - ", "EQUIPMENT RENTAL")</f>
        <v xml:space="preserve">          6351 - EQUIPMENT RENTAL</v>
      </c>
      <c r="C66" s="10"/>
      <c r="D66" s="6">
        <v>567.59</v>
      </c>
      <c r="E66" s="2"/>
      <c r="F66" s="7">
        <f t="shared" si="41"/>
        <v>7.7659066041606897E-3</v>
      </c>
      <c r="G66" s="2"/>
      <c r="H66" s="6">
        <v>1256.53</v>
      </c>
      <c r="I66" s="2"/>
      <c r="J66" s="7">
        <f t="shared" si="42"/>
        <v>0</v>
      </c>
      <c r="K66" s="2"/>
      <c r="L66" s="6">
        <f t="shared" si="43"/>
        <v>-688.93999999999994</v>
      </c>
      <c r="M66" s="2"/>
      <c r="N66" s="7">
        <f t="shared" si="44"/>
        <v>-0.5482877448210548</v>
      </c>
      <c r="O66" s="10"/>
      <c r="P66" s="6">
        <v>5451.82</v>
      </c>
      <c r="Q66" s="2"/>
      <c r="R66" s="7">
        <f t="shared" si="45"/>
        <v>1.1939503961179475E-2</v>
      </c>
      <c r="S66" s="2"/>
      <c r="T66" s="6">
        <v>25095.72</v>
      </c>
      <c r="U66" s="2"/>
      <c r="V66" s="7">
        <f t="shared" si="46"/>
        <v>5.4325121621625581E-3</v>
      </c>
      <c r="W66" s="2"/>
      <c r="X66" s="6">
        <f t="shared" si="47"/>
        <v>-19643.900000000001</v>
      </c>
      <c r="Y66" s="2"/>
      <c r="Z66" s="7">
        <f t="shared" si="48"/>
        <v>-0.78275897244629766</v>
      </c>
    </row>
    <row r="67" spans="1:26" s="26" customFormat="1" outlineLevel="1" collapsed="1" x14ac:dyDescent="0.25">
      <c r="A67" s="25"/>
      <c r="B67" s="12" t="str">
        <f>CONCATENATE("     ","Freight out/Postage                               ")</f>
        <v xml:space="preserve">     Freight out/Postage                               </v>
      </c>
      <c r="C67" s="12"/>
      <c r="D67" s="1">
        <f>SUM(OSRRefD22_10x_0)</f>
        <v>2.96</v>
      </c>
      <c r="E67" s="1"/>
      <c r="F67" s="5">
        <f t="shared" si="41"/>
        <v>4.0499451273481982E-5</v>
      </c>
      <c r="G67" s="1"/>
      <c r="H67" s="1">
        <f>SUM(OSRRefH22_10x_0)</f>
        <v>0</v>
      </c>
      <c r="I67" s="1"/>
      <c r="J67" s="5">
        <f t="shared" si="42"/>
        <v>0</v>
      </c>
      <c r="K67" s="1"/>
      <c r="L67" s="1">
        <f t="shared" si="43"/>
        <v>2.96</v>
      </c>
      <c r="M67" s="1"/>
      <c r="N67" s="5">
        <f t="shared" si="44"/>
        <v>0</v>
      </c>
      <c r="O67" s="12"/>
      <c r="P67" s="1">
        <f>SUM(OSRRefP22_10x_0)</f>
        <v>-2.4500000000000002</v>
      </c>
      <c r="Q67" s="1"/>
      <c r="R67" s="5">
        <f t="shared" si="45"/>
        <v>-5.3655081614744646E-6</v>
      </c>
      <c r="S67" s="1"/>
      <c r="T67" s="1">
        <f>SUM(OSRRefT22_10x_0)</f>
        <v>0</v>
      </c>
      <c r="U67" s="1"/>
      <c r="V67" s="5">
        <f t="shared" si="46"/>
        <v>0</v>
      </c>
      <c r="W67" s="1"/>
      <c r="X67" s="1">
        <f t="shared" si="47"/>
        <v>-2.4500000000000002</v>
      </c>
      <c r="Y67" s="1"/>
      <c r="Z67" s="5">
        <f t="shared" si="48"/>
        <v>0</v>
      </c>
    </row>
    <row r="68" spans="1:26" s="23" customFormat="1" hidden="1" outlineLevel="2" x14ac:dyDescent="0.25">
      <c r="A68" s="27"/>
      <c r="B68" s="10" t="str">
        <f>CONCATENATE("          ", "6307", " - ", "POSTAGE")</f>
        <v xml:space="preserve">          6307 - POSTAGE</v>
      </c>
      <c r="C68" s="10"/>
      <c r="D68" s="6">
        <v>2.96</v>
      </c>
      <c r="E68" s="2"/>
      <c r="F68" s="7">
        <f t="shared" si="41"/>
        <v>4.0499451273481982E-5</v>
      </c>
      <c r="G68" s="2"/>
      <c r="H68" s="6"/>
      <c r="I68" s="2"/>
      <c r="J68" s="7">
        <f t="shared" si="42"/>
        <v>0</v>
      </c>
      <c r="K68" s="2"/>
      <c r="L68" s="6">
        <f t="shared" si="43"/>
        <v>2.96</v>
      </c>
      <c r="M68" s="2"/>
      <c r="N68" s="7">
        <f t="shared" si="44"/>
        <v>0</v>
      </c>
      <c r="O68" s="10"/>
      <c r="P68" s="6">
        <v>-2.4500000000000002</v>
      </c>
      <c r="Q68" s="2"/>
      <c r="R68" s="7">
        <f t="shared" si="45"/>
        <v>-5.3655081614744646E-6</v>
      </c>
      <c r="S68" s="2"/>
      <c r="T68" s="6"/>
      <c r="U68" s="2"/>
      <c r="V68" s="7">
        <f t="shared" si="46"/>
        <v>0</v>
      </c>
      <c r="W68" s="2"/>
      <c r="X68" s="6">
        <f t="shared" si="47"/>
        <v>-2.4500000000000002</v>
      </c>
      <c r="Y68" s="2"/>
      <c r="Z68" s="7">
        <f t="shared" si="48"/>
        <v>0</v>
      </c>
    </row>
    <row r="69" spans="1:26" s="26" customFormat="1" outlineLevel="1" collapsed="1" x14ac:dyDescent="0.25">
      <c r="A69" s="25"/>
      <c r="B69" s="12" t="str">
        <f>CONCATENATE("     ","General                                           ")</f>
        <v xml:space="preserve">     General                                           </v>
      </c>
      <c r="C69" s="12"/>
      <c r="D69" s="1">
        <f>SUM(OSRRefD22_11x_0)</f>
        <v>205</v>
      </c>
      <c r="E69" s="1"/>
      <c r="F69" s="5">
        <f t="shared" si="41"/>
        <v>2.8048606456296645E-3</v>
      </c>
      <c r="G69" s="1"/>
      <c r="H69" s="1">
        <f>SUM(OSRRefH22_11x_0)</f>
        <v>519.42999999999995</v>
      </c>
      <c r="I69" s="1"/>
      <c r="J69" s="5">
        <f t="shared" si="42"/>
        <v>0</v>
      </c>
      <c r="K69" s="1"/>
      <c r="L69" s="1">
        <f t="shared" si="43"/>
        <v>-314.42999999999995</v>
      </c>
      <c r="M69" s="1"/>
      <c r="N69" s="5">
        <f t="shared" si="44"/>
        <v>-0.6053366189861964</v>
      </c>
      <c r="O69" s="12"/>
      <c r="P69" s="1">
        <f>SUM(OSRRefP22_11x_0)</f>
        <v>7630.48</v>
      </c>
      <c r="Q69" s="1"/>
      <c r="R69" s="5">
        <f t="shared" si="45"/>
        <v>1.6710776618762312E-2</v>
      </c>
      <c r="S69" s="1"/>
      <c r="T69" s="1">
        <f>SUM(OSRRefT22_11x_0)</f>
        <v>84787.35</v>
      </c>
      <c r="U69" s="1"/>
      <c r="V69" s="5">
        <f t="shared" si="46"/>
        <v>1.8354058384160071E-2</v>
      </c>
      <c r="W69" s="1"/>
      <c r="X69" s="1">
        <f t="shared" si="47"/>
        <v>-77156.87000000001</v>
      </c>
      <c r="Y69" s="1"/>
      <c r="Z69" s="5">
        <f t="shared" si="48"/>
        <v>-0.91000449949196438</v>
      </c>
    </row>
    <row r="70" spans="1:26" s="23" customFormat="1" hidden="1" outlineLevel="2" x14ac:dyDescent="0.25">
      <c r="A70" s="27"/>
      <c r="B70" s="10" t="str">
        <f>CONCATENATE("          ", "6269", " - ", "ENTERTAINMENT")</f>
        <v xml:space="preserve">          6269 - ENTERTAINMENT</v>
      </c>
      <c r="C70" s="10"/>
      <c r="D70" s="6"/>
      <c r="E70" s="2"/>
      <c r="F70" s="7">
        <f t="shared" si="41"/>
        <v>0</v>
      </c>
      <c r="G70" s="2"/>
      <c r="H70" s="6"/>
      <c r="I70" s="2"/>
      <c r="J70" s="7">
        <f t="shared" si="42"/>
        <v>0</v>
      </c>
      <c r="K70" s="2"/>
      <c r="L70" s="6">
        <f t="shared" si="43"/>
        <v>0</v>
      </c>
      <c r="M70" s="2"/>
      <c r="N70" s="7">
        <f t="shared" si="44"/>
        <v>0</v>
      </c>
      <c r="O70" s="10"/>
      <c r="P70" s="6"/>
      <c r="Q70" s="2"/>
      <c r="R70" s="7">
        <f t="shared" si="45"/>
        <v>0</v>
      </c>
      <c r="S70" s="2"/>
      <c r="T70" s="6">
        <v>10050</v>
      </c>
      <c r="U70" s="2"/>
      <c r="V70" s="7">
        <f t="shared" si="46"/>
        <v>2.1755401809445477E-3</v>
      </c>
      <c r="W70" s="2"/>
      <c r="X70" s="6">
        <f t="shared" si="47"/>
        <v>-10050</v>
      </c>
      <c r="Y70" s="2"/>
      <c r="Z70" s="7">
        <f t="shared" si="48"/>
        <v>-1</v>
      </c>
    </row>
    <row r="71" spans="1:26" s="23" customFormat="1" hidden="1" outlineLevel="2" x14ac:dyDescent="0.25">
      <c r="A71" s="27"/>
      <c r="B71" s="10" t="str">
        <f>CONCATENATE("          ", "6279", " - ", "GENERAL EXPENSE")</f>
        <v xml:space="preserve">          6279 - GENERAL EXPENSE</v>
      </c>
      <c r="C71" s="10"/>
      <c r="D71" s="6">
        <v>205</v>
      </c>
      <c r="E71" s="2"/>
      <c r="F71" s="7">
        <f t="shared" si="41"/>
        <v>2.8048606456296645E-3</v>
      </c>
      <c r="G71" s="2"/>
      <c r="H71" s="6">
        <v>519.42999999999995</v>
      </c>
      <c r="I71" s="2"/>
      <c r="J71" s="7">
        <f t="shared" si="42"/>
        <v>0</v>
      </c>
      <c r="K71" s="2"/>
      <c r="L71" s="6">
        <f t="shared" si="43"/>
        <v>-314.42999999999995</v>
      </c>
      <c r="M71" s="2"/>
      <c r="N71" s="7">
        <f t="shared" si="44"/>
        <v>-0.6053366189861964</v>
      </c>
      <c r="O71" s="10"/>
      <c r="P71" s="6">
        <v>7630.48</v>
      </c>
      <c r="Q71" s="2"/>
      <c r="R71" s="7">
        <f t="shared" si="45"/>
        <v>1.6710776618762312E-2</v>
      </c>
      <c r="S71" s="2"/>
      <c r="T71" s="6">
        <v>74737.350000000006</v>
      </c>
      <c r="U71" s="2"/>
      <c r="V71" s="7">
        <f t="shared" si="46"/>
        <v>1.6178518203215524E-2</v>
      </c>
      <c r="W71" s="2"/>
      <c r="X71" s="6">
        <f t="shared" si="47"/>
        <v>-67106.87000000001</v>
      </c>
      <c r="Y71" s="2"/>
      <c r="Z71" s="7">
        <f t="shared" si="48"/>
        <v>-0.89790272199910759</v>
      </c>
    </row>
    <row r="72" spans="1:26" s="26" customFormat="1" outlineLevel="1" collapsed="1" x14ac:dyDescent="0.25">
      <c r="A72" s="25"/>
      <c r="B72" s="12" t="str">
        <f>CONCATENATE("     ","Insurance                                         ")</f>
        <v xml:space="preserve">     Insurance                                         </v>
      </c>
      <c r="C72" s="12"/>
      <c r="D72" s="1">
        <f>SUM(OSRRefD22_12x_0)</f>
        <v>4240.13</v>
      </c>
      <c r="E72" s="1"/>
      <c r="F72" s="5">
        <f t="shared" ref="F72:F84" si="49">IF(D$12=0,0,D72/D$12)</f>
        <v>5.8014506191969316E-2</v>
      </c>
      <c r="G72" s="1"/>
      <c r="H72" s="1">
        <f>SUM(OSRRefH22_12x_0)</f>
        <v>4240.13</v>
      </c>
      <c r="I72" s="1"/>
      <c r="J72" s="5">
        <f t="shared" ref="J72:J84" si="50">IF(H$12=0,0,H72/H$12)</f>
        <v>0</v>
      </c>
      <c r="K72" s="1"/>
      <c r="L72" s="1">
        <f t="shared" ref="L72:L84" si="51">+D72-H72</f>
        <v>0</v>
      </c>
      <c r="M72" s="1"/>
      <c r="N72" s="5">
        <f t="shared" ref="N72:N84" si="52">IF(H72=0,0,L72/H72)</f>
        <v>0</v>
      </c>
      <c r="O72" s="12"/>
      <c r="P72" s="1">
        <f>SUM(OSRRefP22_12x_0)</f>
        <v>48513.3</v>
      </c>
      <c r="Q72" s="1"/>
      <c r="R72" s="5">
        <f t="shared" ref="R72:R84" si="53">IF(P$12=0,0,P72/P$12)</f>
        <v>0.10624428860818741</v>
      </c>
      <c r="S72" s="1"/>
      <c r="T72" s="1">
        <f>SUM(OSRRefT22_12x_0)</f>
        <v>48162.3</v>
      </c>
      <c r="U72" s="1"/>
      <c r="V72" s="5">
        <f t="shared" ref="V72:V84" si="54">IF(T$12=0,0,T72/T$12)</f>
        <v>1.042577302056772E-2</v>
      </c>
      <c r="W72" s="1"/>
      <c r="X72" s="1">
        <f t="shared" ref="X72:X84" si="55">+P72-T72</f>
        <v>351</v>
      </c>
      <c r="Y72" s="1"/>
      <c r="Z72" s="5">
        <f t="shared" ref="Z72:Z84" si="56">IF(T72=0,0,X72/T72)</f>
        <v>7.2878579303729263E-3</v>
      </c>
    </row>
    <row r="73" spans="1:26" s="23" customFormat="1" hidden="1" outlineLevel="2" x14ac:dyDescent="0.25">
      <c r="A73" s="27"/>
      <c r="B73" s="10" t="str">
        <f>CONCATENATE("          ", "6314", " - ", "LIABILITY INSURANCE")</f>
        <v xml:space="preserve">          6314 - LIABILITY INSURANCE</v>
      </c>
      <c r="C73" s="10"/>
      <c r="D73" s="6">
        <v>4240.13</v>
      </c>
      <c r="E73" s="2"/>
      <c r="F73" s="7">
        <f t="shared" si="49"/>
        <v>5.8014506191969316E-2</v>
      </c>
      <c r="G73" s="2"/>
      <c r="H73" s="6">
        <v>4240.13</v>
      </c>
      <c r="I73" s="2"/>
      <c r="J73" s="7">
        <f t="shared" si="50"/>
        <v>0</v>
      </c>
      <c r="K73" s="2"/>
      <c r="L73" s="6">
        <f t="shared" si="51"/>
        <v>0</v>
      </c>
      <c r="M73" s="2"/>
      <c r="N73" s="7">
        <f t="shared" si="52"/>
        <v>0</v>
      </c>
      <c r="O73" s="10"/>
      <c r="P73" s="6">
        <v>48513.3</v>
      </c>
      <c r="Q73" s="2"/>
      <c r="R73" s="7">
        <f t="shared" si="53"/>
        <v>0.10624428860818741</v>
      </c>
      <c r="S73" s="2"/>
      <c r="T73" s="6">
        <v>48162.3</v>
      </c>
      <c r="U73" s="2"/>
      <c r="V73" s="7">
        <f t="shared" si="54"/>
        <v>1.042577302056772E-2</v>
      </c>
      <c r="W73" s="2"/>
      <c r="X73" s="6">
        <f t="shared" si="55"/>
        <v>351</v>
      </c>
      <c r="Y73" s="2"/>
      <c r="Z73" s="7">
        <f t="shared" si="56"/>
        <v>7.2878579303729263E-3</v>
      </c>
    </row>
    <row r="74" spans="1:26" s="26" customFormat="1" outlineLevel="1" collapsed="1" x14ac:dyDescent="0.25">
      <c r="A74" s="25"/>
      <c r="B74" s="12" t="str">
        <f>CONCATENATE("     ","Interest                                          ")</f>
        <v xml:space="preserve">     Interest                                          </v>
      </c>
      <c r="C74" s="12"/>
      <c r="D74" s="1">
        <f>SUM(OSRRefD22_13x_0)</f>
        <v>5967</v>
      </c>
      <c r="E74" s="1"/>
      <c r="F74" s="5">
        <f t="shared" si="49"/>
        <v>8.164196815840101E-2</v>
      </c>
      <c r="G74" s="1"/>
      <c r="H74" s="1">
        <f>SUM(OSRRefH22_13x_0)</f>
        <v>5803.23</v>
      </c>
      <c r="I74" s="1"/>
      <c r="J74" s="5">
        <f t="shared" si="50"/>
        <v>0</v>
      </c>
      <c r="K74" s="1"/>
      <c r="L74" s="1">
        <f t="shared" si="51"/>
        <v>163.77000000000044</v>
      </c>
      <c r="M74" s="1"/>
      <c r="N74" s="5">
        <f t="shared" si="52"/>
        <v>2.8220491002424589E-2</v>
      </c>
      <c r="O74" s="12"/>
      <c r="P74" s="1">
        <f>SUM(OSRRefP22_13x_0)</f>
        <v>73070.149999999994</v>
      </c>
      <c r="Q74" s="1"/>
      <c r="R74" s="5">
        <f t="shared" si="53"/>
        <v>0.16002387191231154</v>
      </c>
      <c r="S74" s="1"/>
      <c r="T74" s="1">
        <f>SUM(OSRRefT22_13x_0)</f>
        <v>75196.28</v>
      </c>
      <c r="U74" s="1"/>
      <c r="V74" s="5">
        <f t="shared" si="54"/>
        <v>1.6277863542045461E-2</v>
      </c>
      <c r="W74" s="1"/>
      <c r="X74" s="1">
        <f t="shared" si="55"/>
        <v>-2126.1300000000047</v>
      </c>
      <c r="Y74" s="1"/>
      <c r="Z74" s="5">
        <f t="shared" si="56"/>
        <v>-2.827440399977239E-2</v>
      </c>
    </row>
    <row r="75" spans="1:26" s="23" customFormat="1" hidden="1" outlineLevel="2" x14ac:dyDescent="0.25">
      <c r="A75" s="27"/>
      <c r="B75" s="10" t="str">
        <f>CONCATENATE("          ", "6401", " - ", "INTEREST EXPENSE")</f>
        <v xml:space="preserve">          6401 - INTEREST EXPENSE</v>
      </c>
      <c r="C75" s="10"/>
      <c r="D75" s="6">
        <v>5967</v>
      </c>
      <c r="E75" s="2"/>
      <c r="F75" s="7">
        <f t="shared" si="49"/>
        <v>8.164196815840101E-2</v>
      </c>
      <c r="G75" s="2"/>
      <c r="H75" s="6">
        <v>5803.23</v>
      </c>
      <c r="I75" s="2"/>
      <c r="J75" s="7">
        <f t="shared" si="50"/>
        <v>0</v>
      </c>
      <c r="K75" s="2"/>
      <c r="L75" s="6">
        <f t="shared" si="51"/>
        <v>163.77000000000044</v>
      </c>
      <c r="M75" s="2"/>
      <c r="N75" s="7">
        <f t="shared" si="52"/>
        <v>2.8220491002424589E-2</v>
      </c>
      <c r="O75" s="10"/>
      <c r="P75" s="6">
        <v>73070.149999999994</v>
      </c>
      <c r="Q75" s="2"/>
      <c r="R75" s="7">
        <f t="shared" si="53"/>
        <v>0.16002387191231154</v>
      </c>
      <c r="S75" s="2"/>
      <c r="T75" s="6">
        <v>75196.28</v>
      </c>
      <c r="U75" s="2"/>
      <c r="V75" s="7">
        <f t="shared" si="54"/>
        <v>1.6277863542045461E-2</v>
      </c>
      <c r="W75" s="2"/>
      <c r="X75" s="6">
        <f t="shared" si="55"/>
        <v>-2126.1300000000047</v>
      </c>
      <c r="Y75" s="2"/>
      <c r="Z75" s="7">
        <f t="shared" si="56"/>
        <v>-2.827440399977239E-2</v>
      </c>
    </row>
    <row r="76" spans="1:26" s="26" customFormat="1" outlineLevel="1" collapsed="1" x14ac:dyDescent="0.25">
      <c r="A76" s="25"/>
      <c r="B76" s="12" t="str">
        <f>CONCATENATE("     ","Professional Services                             ")</f>
        <v xml:space="preserve">     Professional Services                             </v>
      </c>
      <c r="C76" s="12"/>
      <c r="D76" s="1">
        <f>SUM(OSRRefD22_14x_0)</f>
        <v>0</v>
      </c>
      <c r="E76" s="1"/>
      <c r="F76" s="5">
        <f t="shared" si="49"/>
        <v>0</v>
      </c>
      <c r="G76" s="1"/>
      <c r="H76" s="1">
        <f>SUM(OSRRefH22_14x_0)</f>
        <v>0</v>
      </c>
      <c r="I76" s="1"/>
      <c r="J76" s="5">
        <f t="shared" si="50"/>
        <v>0</v>
      </c>
      <c r="K76" s="1"/>
      <c r="L76" s="1">
        <f t="shared" si="51"/>
        <v>0</v>
      </c>
      <c r="M76" s="1"/>
      <c r="N76" s="5">
        <f t="shared" si="52"/>
        <v>0</v>
      </c>
      <c r="O76" s="12"/>
      <c r="P76" s="1">
        <f>SUM(OSRRefP22_14x_0)</f>
        <v>0</v>
      </c>
      <c r="Q76" s="1"/>
      <c r="R76" s="5">
        <f t="shared" si="53"/>
        <v>0</v>
      </c>
      <c r="S76" s="1"/>
      <c r="T76" s="1">
        <f>SUM(OSRRefT22_14x_0)</f>
        <v>125</v>
      </c>
      <c r="U76" s="1"/>
      <c r="V76" s="5">
        <f t="shared" si="54"/>
        <v>2.7058957474434672E-5</v>
      </c>
      <c r="W76" s="1"/>
      <c r="X76" s="1">
        <f t="shared" si="55"/>
        <v>-125</v>
      </c>
      <c r="Y76" s="1"/>
      <c r="Z76" s="5">
        <f t="shared" si="56"/>
        <v>-1</v>
      </c>
    </row>
    <row r="77" spans="1:26" s="23" customFormat="1" hidden="1" outlineLevel="2" x14ac:dyDescent="0.25">
      <c r="A77" s="27"/>
      <c r="B77" s="10" t="str">
        <f>CONCATENATE("          ", "6336", " - ", "PROFESSIONAL SERVICES")</f>
        <v xml:space="preserve">          6336 - PROFESSIONAL SERVICES</v>
      </c>
      <c r="C77" s="10"/>
      <c r="D77" s="6"/>
      <c r="E77" s="2"/>
      <c r="F77" s="7">
        <f t="shared" si="49"/>
        <v>0</v>
      </c>
      <c r="G77" s="2"/>
      <c r="H77" s="6"/>
      <c r="I77" s="2"/>
      <c r="J77" s="7">
        <f t="shared" si="50"/>
        <v>0</v>
      </c>
      <c r="K77" s="2"/>
      <c r="L77" s="6">
        <f t="shared" si="51"/>
        <v>0</v>
      </c>
      <c r="M77" s="2"/>
      <c r="N77" s="7">
        <f t="shared" si="52"/>
        <v>0</v>
      </c>
      <c r="O77" s="10"/>
      <c r="P77" s="6"/>
      <c r="Q77" s="2"/>
      <c r="R77" s="7">
        <f t="shared" si="53"/>
        <v>0</v>
      </c>
      <c r="S77" s="2"/>
      <c r="T77" s="6">
        <v>125</v>
      </c>
      <c r="U77" s="2"/>
      <c r="V77" s="7">
        <f t="shared" si="54"/>
        <v>2.7058957474434672E-5</v>
      </c>
      <c r="W77" s="2"/>
      <c r="X77" s="6">
        <f t="shared" si="55"/>
        <v>-125</v>
      </c>
      <c r="Y77" s="2"/>
      <c r="Z77" s="7">
        <f t="shared" si="56"/>
        <v>-1</v>
      </c>
    </row>
    <row r="78" spans="1:26" s="26" customFormat="1" outlineLevel="1" collapsed="1" x14ac:dyDescent="0.25">
      <c r="A78" s="25"/>
      <c r="B78" s="12" t="str">
        <f>CONCATENATE("     ","Rent                                              ")</f>
        <v xml:space="preserve">     Rent                                              </v>
      </c>
      <c r="C78" s="12"/>
      <c r="D78" s="1">
        <f>SUM(OSRRefD22_15x_0)</f>
        <v>1850</v>
      </c>
      <c r="E78" s="1"/>
      <c r="F78" s="5">
        <f t="shared" si="49"/>
        <v>2.531215704592624E-2</v>
      </c>
      <c r="G78" s="1"/>
      <c r="H78" s="1">
        <f>SUM(OSRRefH22_15x_0)</f>
        <v>1850</v>
      </c>
      <c r="I78" s="1"/>
      <c r="J78" s="5">
        <f t="shared" si="50"/>
        <v>0</v>
      </c>
      <c r="K78" s="1"/>
      <c r="L78" s="1">
        <f t="shared" si="51"/>
        <v>0</v>
      </c>
      <c r="M78" s="1"/>
      <c r="N78" s="5">
        <f t="shared" si="52"/>
        <v>0</v>
      </c>
      <c r="O78" s="12"/>
      <c r="P78" s="1">
        <f>SUM(OSRRefP22_15x_0)</f>
        <v>12950</v>
      </c>
      <c r="Q78" s="1"/>
      <c r="R78" s="5">
        <f t="shared" si="53"/>
        <v>2.836054313922217E-2</v>
      </c>
      <c r="S78" s="1"/>
      <c r="T78" s="1">
        <f>SUM(OSRRefT22_15x_0)</f>
        <v>18500</v>
      </c>
      <c r="U78" s="1"/>
      <c r="V78" s="5">
        <f t="shared" si="54"/>
        <v>4.0047257062163317E-3</v>
      </c>
      <c r="W78" s="1"/>
      <c r="X78" s="1">
        <f t="shared" si="55"/>
        <v>-5550</v>
      </c>
      <c r="Y78" s="1"/>
      <c r="Z78" s="5">
        <f t="shared" si="56"/>
        <v>-0.3</v>
      </c>
    </row>
    <row r="79" spans="1:26" s="23" customFormat="1" hidden="1" outlineLevel="2" x14ac:dyDescent="0.25">
      <c r="A79" s="27"/>
      <c r="B79" s="10" t="str">
        <f>CONCATENATE("          ", "6273", " - ", "RENT")</f>
        <v xml:space="preserve">          6273 - RENT</v>
      </c>
      <c r="C79" s="10"/>
      <c r="D79" s="6">
        <v>1850</v>
      </c>
      <c r="E79" s="2"/>
      <c r="F79" s="7">
        <f t="shared" si="49"/>
        <v>2.531215704592624E-2</v>
      </c>
      <c r="G79" s="2"/>
      <c r="H79" s="6">
        <v>1850</v>
      </c>
      <c r="I79" s="2"/>
      <c r="J79" s="7">
        <f t="shared" si="50"/>
        <v>0</v>
      </c>
      <c r="K79" s="2"/>
      <c r="L79" s="6">
        <f t="shared" si="51"/>
        <v>0</v>
      </c>
      <c r="M79" s="2"/>
      <c r="N79" s="7">
        <f t="shared" si="52"/>
        <v>0</v>
      </c>
      <c r="O79" s="10"/>
      <c r="P79" s="6">
        <v>12950</v>
      </c>
      <c r="Q79" s="2"/>
      <c r="R79" s="7">
        <f t="shared" si="53"/>
        <v>2.836054313922217E-2</v>
      </c>
      <c r="S79" s="2"/>
      <c r="T79" s="6">
        <v>18500</v>
      </c>
      <c r="U79" s="2"/>
      <c r="V79" s="7">
        <f t="shared" si="54"/>
        <v>4.0047257062163317E-3</v>
      </c>
      <c r="W79" s="2"/>
      <c r="X79" s="6">
        <f t="shared" si="55"/>
        <v>-5550</v>
      </c>
      <c r="Y79" s="2"/>
      <c r="Z79" s="7">
        <f t="shared" si="56"/>
        <v>-0.3</v>
      </c>
    </row>
    <row r="80" spans="1:26" s="26" customFormat="1" outlineLevel="1" collapsed="1" x14ac:dyDescent="0.25">
      <c r="A80" s="25"/>
      <c r="B80" s="12" t="str">
        <f>CONCATENATE("     ","Repair and Maintenance                            ")</f>
        <v xml:space="preserve">     Repair and Maintenance                            </v>
      </c>
      <c r="C80" s="12"/>
      <c r="D80" s="1">
        <f>SUM(OSRRefD22_16x_0)</f>
        <v>2052.63</v>
      </c>
      <c r="E80" s="1"/>
      <c r="F80" s="5">
        <f t="shared" si="49"/>
        <v>2.8084590766043017E-2</v>
      </c>
      <c r="G80" s="1"/>
      <c r="H80" s="1">
        <f>SUM(OSRRefH22_16x_0)</f>
        <v>16033.880000000001</v>
      </c>
      <c r="I80" s="1"/>
      <c r="J80" s="5">
        <f t="shared" si="50"/>
        <v>0</v>
      </c>
      <c r="K80" s="1"/>
      <c r="L80" s="1">
        <f t="shared" si="51"/>
        <v>-13981.25</v>
      </c>
      <c r="M80" s="1"/>
      <c r="N80" s="5">
        <f t="shared" si="52"/>
        <v>-0.87198170374232553</v>
      </c>
      <c r="O80" s="12"/>
      <c r="P80" s="1">
        <f>SUM(OSRRefP22_16x_0)</f>
        <v>43906.66</v>
      </c>
      <c r="Q80" s="1"/>
      <c r="R80" s="5">
        <f t="shared" si="53"/>
        <v>9.6155731662483437E-2</v>
      </c>
      <c r="S80" s="1"/>
      <c r="T80" s="1">
        <f>SUM(OSRRefT22_16x_0)</f>
        <v>218573.11</v>
      </c>
      <c r="U80" s="1"/>
      <c r="V80" s="5">
        <f t="shared" si="54"/>
        <v>4.7314883908359452E-2</v>
      </c>
      <c r="W80" s="1"/>
      <c r="X80" s="1">
        <f t="shared" si="55"/>
        <v>-174666.44999999998</v>
      </c>
      <c r="Y80" s="1"/>
      <c r="Z80" s="5">
        <f t="shared" si="56"/>
        <v>-0.79912140153013334</v>
      </c>
    </row>
    <row r="81" spans="1:26" s="23" customFormat="1" hidden="1" outlineLevel="2" x14ac:dyDescent="0.25">
      <c r="A81" s="27"/>
      <c r="B81" s="10" t="str">
        <f>CONCATENATE("          ", "6371", " - ", "COMPUTER SOFTWARE MAINTENANCE")</f>
        <v xml:space="preserve">          6371 - COMPUTER SOFTWARE MAINTENANCE</v>
      </c>
      <c r="C81" s="10"/>
      <c r="D81" s="6"/>
      <c r="E81" s="2"/>
      <c r="F81" s="7">
        <f t="shared" si="49"/>
        <v>0</v>
      </c>
      <c r="G81" s="2"/>
      <c r="H81" s="6"/>
      <c r="I81" s="2"/>
      <c r="J81" s="7">
        <f t="shared" si="50"/>
        <v>0</v>
      </c>
      <c r="K81" s="2"/>
      <c r="L81" s="6">
        <f t="shared" si="51"/>
        <v>0</v>
      </c>
      <c r="M81" s="2"/>
      <c r="N81" s="7">
        <f t="shared" si="52"/>
        <v>0</v>
      </c>
      <c r="O81" s="10"/>
      <c r="P81" s="6">
        <v>702.27</v>
      </c>
      <c r="Q81" s="2"/>
      <c r="R81" s="7">
        <f t="shared" si="53"/>
        <v>1.5379736394117028E-3</v>
      </c>
      <c r="S81" s="2"/>
      <c r="T81" s="6">
        <v>10932.69</v>
      </c>
      <c r="U81" s="2"/>
      <c r="V81" s="7">
        <f t="shared" si="54"/>
        <v>2.3666175503294176E-3</v>
      </c>
      <c r="W81" s="2"/>
      <c r="X81" s="6">
        <f t="shared" si="55"/>
        <v>-10230.42</v>
      </c>
      <c r="Y81" s="2"/>
      <c r="Z81" s="7">
        <f t="shared" si="56"/>
        <v>-0.93576420807687766</v>
      </c>
    </row>
    <row r="82" spans="1:26" s="23" customFormat="1" hidden="1" outlineLevel="2" x14ac:dyDescent="0.25">
      <c r="A82" s="27"/>
      <c r="B82" s="10" t="str">
        <f>CONCATENATE("          ", "6372", " - ", "COMPUTER HARDWARE MAINTENANCE")</f>
        <v xml:space="preserve">          6372 - COMPUTER HARDWARE MAINTENANCE</v>
      </c>
      <c r="C82" s="10"/>
      <c r="D82" s="6"/>
      <c r="E82" s="2"/>
      <c r="F82" s="7">
        <f t="shared" si="49"/>
        <v>0</v>
      </c>
      <c r="G82" s="2"/>
      <c r="H82" s="6">
        <v>8142.88</v>
      </c>
      <c r="I82" s="2"/>
      <c r="J82" s="7">
        <f t="shared" si="50"/>
        <v>0</v>
      </c>
      <c r="K82" s="2"/>
      <c r="L82" s="6">
        <f t="shared" si="51"/>
        <v>-8142.88</v>
      </c>
      <c r="M82" s="2"/>
      <c r="N82" s="7">
        <f t="shared" si="52"/>
        <v>-1</v>
      </c>
      <c r="O82" s="10"/>
      <c r="P82" s="6">
        <v>100</v>
      </c>
      <c r="Q82" s="2"/>
      <c r="R82" s="7">
        <f t="shared" si="53"/>
        <v>2.1900033312140672E-4</v>
      </c>
      <c r="S82" s="2"/>
      <c r="T82" s="6">
        <v>8142.87</v>
      </c>
      <c r="U82" s="2"/>
      <c r="V82" s="7">
        <f t="shared" si="54"/>
        <v>1.7627005843987987E-3</v>
      </c>
      <c r="W82" s="2"/>
      <c r="X82" s="6">
        <f t="shared" si="55"/>
        <v>-8042.87</v>
      </c>
      <c r="Y82" s="2"/>
      <c r="Z82" s="7">
        <f t="shared" si="56"/>
        <v>-0.98771931763616516</v>
      </c>
    </row>
    <row r="83" spans="1:26" s="23" customFormat="1" hidden="1" outlineLevel="2" x14ac:dyDescent="0.25">
      <c r="A83" s="27"/>
      <c r="B83" s="10" t="str">
        <f>CONCATENATE("          ", "6373", " - ", "MAINTENANCE CONTRACTS")</f>
        <v xml:space="preserve">          6373 - MAINTENANCE CONTRACTS</v>
      </c>
      <c r="C83" s="10"/>
      <c r="D83" s="6"/>
      <c r="E83" s="2"/>
      <c r="F83" s="7">
        <f t="shared" si="49"/>
        <v>0</v>
      </c>
      <c r="G83" s="2"/>
      <c r="H83" s="6">
        <v>6800.21</v>
      </c>
      <c r="I83" s="2"/>
      <c r="J83" s="7">
        <f t="shared" si="50"/>
        <v>0</v>
      </c>
      <c r="K83" s="2"/>
      <c r="L83" s="6">
        <f t="shared" si="51"/>
        <v>-6800.21</v>
      </c>
      <c r="M83" s="2"/>
      <c r="N83" s="7">
        <f t="shared" si="52"/>
        <v>-1</v>
      </c>
      <c r="O83" s="10"/>
      <c r="P83" s="6">
        <v>18223.8</v>
      </c>
      <c r="Q83" s="2"/>
      <c r="R83" s="7">
        <f t="shared" si="53"/>
        <v>3.9910182707378915E-2</v>
      </c>
      <c r="S83" s="2"/>
      <c r="T83" s="6">
        <v>86455.92</v>
      </c>
      <c r="U83" s="2"/>
      <c r="V83" s="7">
        <f t="shared" si="54"/>
        <v>1.8715256501545006E-2</v>
      </c>
      <c r="W83" s="2"/>
      <c r="X83" s="6">
        <f t="shared" si="55"/>
        <v>-68232.12</v>
      </c>
      <c r="Y83" s="2"/>
      <c r="Z83" s="7">
        <f t="shared" si="56"/>
        <v>-0.78921281503915519</v>
      </c>
    </row>
    <row r="84" spans="1:26" s="23" customFormat="1" hidden="1" outlineLevel="2" x14ac:dyDescent="0.25">
      <c r="A84" s="27"/>
      <c r="B84" s="10" t="str">
        <f>CONCATENATE("          ", "6375", " - ", "OUTSIDE REPAIRS &amp; MAINTENANCE")</f>
        <v xml:space="preserve">          6375 - OUTSIDE REPAIRS &amp; MAINTENANCE</v>
      </c>
      <c r="C84" s="10"/>
      <c r="D84" s="6">
        <v>2052.63</v>
      </c>
      <c r="E84" s="2"/>
      <c r="F84" s="7">
        <f t="shared" si="49"/>
        <v>2.8084590766043017E-2</v>
      </c>
      <c r="G84" s="2"/>
      <c r="H84" s="6">
        <v>1090.79</v>
      </c>
      <c r="I84" s="2"/>
      <c r="J84" s="7">
        <f t="shared" si="50"/>
        <v>0</v>
      </c>
      <c r="K84" s="2"/>
      <c r="L84" s="6">
        <f t="shared" si="51"/>
        <v>961.84000000000015</v>
      </c>
      <c r="M84" s="2"/>
      <c r="N84" s="7">
        <f t="shared" si="52"/>
        <v>0.88178292796963686</v>
      </c>
      <c r="O84" s="10"/>
      <c r="P84" s="6">
        <v>24880.59</v>
      </c>
      <c r="Q84" s="2"/>
      <c r="R84" s="7">
        <f t="shared" si="53"/>
        <v>5.4488574982571404E-2</v>
      </c>
      <c r="S84" s="2"/>
      <c r="T84" s="6">
        <v>113041.63</v>
      </c>
      <c r="U84" s="2"/>
      <c r="V84" s="7">
        <f t="shared" si="54"/>
        <v>2.4470309272086231E-2</v>
      </c>
      <c r="W84" s="2"/>
      <c r="X84" s="6">
        <f t="shared" si="55"/>
        <v>-88161.040000000008</v>
      </c>
      <c r="Y84" s="2"/>
      <c r="Z84" s="7">
        <f t="shared" si="56"/>
        <v>-0.77989887442351991</v>
      </c>
    </row>
    <row r="85" spans="1:26" s="26" customFormat="1" outlineLevel="1" collapsed="1" x14ac:dyDescent="0.25">
      <c r="A85" s="25"/>
      <c r="B85" s="12" t="str">
        <f>CONCATENATE("     ","Royalty &amp; Commissions                             ")</f>
        <v xml:space="preserve">     Royalty &amp; Commissions                             </v>
      </c>
      <c r="C85" s="12"/>
      <c r="D85" s="1">
        <f>SUM(OSRRefD22_17x_0)</f>
        <v>0</v>
      </c>
      <c r="E85" s="1"/>
      <c r="F85" s="5">
        <f t="shared" ref="F85:F87" si="57">IF(D$12=0,0,D85/D$12)</f>
        <v>0</v>
      </c>
      <c r="G85" s="1"/>
      <c r="H85" s="1">
        <f>SUM(OSRRefH22_17x_0)</f>
        <v>0</v>
      </c>
      <c r="I85" s="1"/>
      <c r="J85" s="5">
        <f t="shared" ref="J85:J87" si="58">IF(H$12=0,0,H85/H$12)</f>
        <v>0</v>
      </c>
      <c r="K85" s="1"/>
      <c r="L85" s="1">
        <f t="shared" ref="L85:L87" si="59">+D85-H85</f>
        <v>0</v>
      </c>
      <c r="M85" s="1"/>
      <c r="N85" s="5">
        <f t="shared" ref="N85:N87" si="60">IF(H85=0,0,L85/H85)</f>
        <v>0</v>
      </c>
      <c r="O85" s="12"/>
      <c r="P85" s="1">
        <f>SUM(OSRRefP22_17x_0)</f>
        <v>0</v>
      </c>
      <c r="Q85" s="1"/>
      <c r="R85" s="5">
        <f t="shared" ref="R85:R87" si="61">IF(P$12=0,0,P85/P$12)</f>
        <v>0</v>
      </c>
      <c r="S85" s="1"/>
      <c r="T85" s="1">
        <f>SUM(OSRRefT22_17x_0)</f>
        <v>233763.47</v>
      </c>
      <c r="U85" s="1"/>
      <c r="V85" s="5">
        <f t="shared" ref="V85:V87" si="62">IF(T$12=0,0,T85/T$12)</f>
        <v>5.0603166350450285E-2</v>
      </c>
      <c r="W85" s="1"/>
      <c r="X85" s="1">
        <f t="shared" ref="X85:X87" si="63">+P85-T85</f>
        <v>-233763.47</v>
      </c>
      <c r="Y85" s="1"/>
      <c r="Z85" s="5">
        <f t="shared" ref="Z85:Z87" si="64">IF(T85=0,0,X85/T85)</f>
        <v>-1</v>
      </c>
    </row>
    <row r="86" spans="1:26" s="23" customFormat="1" hidden="1" outlineLevel="2" x14ac:dyDescent="0.25">
      <c r="A86" s="27"/>
      <c r="B86" s="10" t="str">
        <f>CONCATENATE("          ", "6254", " - ", "ROYALTY &amp; COMMISSIONS")</f>
        <v xml:space="preserve">          6254 - ROYALTY &amp; COMMISSIONS</v>
      </c>
      <c r="C86" s="10"/>
      <c r="D86" s="6"/>
      <c r="E86" s="2"/>
      <c r="F86" s="7">
        <f t="shared" si="57"/>
        <v>0</v>
      </c>
      <c r="G86" s="2"/>
      <c r="H86" s="6"/>
      <c r="I86" s="2"/>
      <c r="J86" s="7">
        <f t="shared" si="58"/>
        <v>0</v>
      </c>
      <c r="K86" s="2"/>
      <c r="L86" s="6">
        <f t="shared" si="59"/>
        <v>0</v>
      </c>
      <c r="M86" s="2"/>
      <c r="N86" s="7">
        <f t="shared" si="60"/>
        <v>0</v>
      </c>
      <c r="O86" s="10"/>
      <c r="P86" s="6"/>
      <c r="Q86" s="2"/>
      <c r="R86" s="7">
        <f t="shared" si="61"/>
        <v>0</v>
      </c>
      <c r="S86" s="2"/>
      <c r="T86" s="6">
        <v>129093.51</v>
      </c>
      <c r="U86" s="2"/>
      <c r="V86" s="7">
        <f t="shared" si="62"/>
        <v>2.7945086378524057E-2</v>
      </c>
      <c r="W86" s="2"/>
      <c r="X86" s="6">
        <f t="shared" si="63"/>
        <v>-129093.51</v>
      </c>
      <c r="Y86" s="2"/>
      <c r="Z86" s="7">
        <f t="shared" si="64"/>
        <v>-1</v>
      </c>
    </row>
    <row r="87" spans="1:26" s="23" customFormat="1" hidden="1" outlineLevel="2" x14ac:dyDescent="0.25">
      <c r="A87" s="27"/>
      <c r="B87" s="10" t="str">
        <f>CONCATENATE("          ", "6259", " - ", "ROYALTY &amp; COMMISSIONS")</f>
        <v xml:space="preserve">          6259 - ROYALTY &amp; COMMISSIONS</v>
      </c>
      <c r="C87" s="10"/>
      <c r="D87" s="6"/>
      <c r="E87" s="2"/>
      <c r="F87" s="7">
        <f t="shared" si="57"/>
        <v>0</v>
      </c>
      <c r="G87" s="2"/>
      <c r="H87" s="6"/>
      <c r="I87" s="2"/>
      <c r="J87" s="7">
        <f t="shared" si="58"/>
        <v>0</v>
      </c>
      <c r="K87" s="2"/>
      <c r="L87" s="6">
        <f t="shared" si="59"/>
        <v>0</v>
      </c>
      <c r="M87" s="2"/>
      <c r="N87" s="7">
        <f t="shared" si="60"/>
        <v>0</v>
      </c>
      <c r="O87" s="10"/>
      <c r="P87" s="6"/>
      <c r="Q87" s="2"/>
      <c r="R87" s="7">
        <f t="shared" si="61"/>
        <v>0</v>
      </c>
      <c r="S87" s="2"/>
      <c r="T87" s="6">
        <v>104669.96</v>
      </c>
      <c r="U87" s="2"/>
      <c r="V87" s="7">
        <f t="shared" si="62"/>
        <v>2.2658079971926228E-2</v>
      </c>
      <c r="W87" s="2"/>
      <c r="X87" s="6">
        <f t="shared" si="63"/>
        <v>-104669.96</v>
      </c>
      <c r="Y87" s="2"/>
      <c r="Z87" s="7">
        <f t="shared" si="64"/>
        <v>-1</v>
      </c>
    </row>
    <row r="88" spans="1:26" s="26" customFormat="1" outlineLevel="1" collapsed="1" x14ac:dyDescent="0.25">
      <c r="A88" s="25"/>
      <c r="B88" s="12" t="str">
        <f>CONCATENATE("     ","Services                                          ")</f>
        <v xml:space="preserve">     Services                                          </v>
      </c>
      <c r="C88" s="12"/>
      <c r="D88" s="1">
        <f>SUM(OSRRefD22_18x_0)</f>
        <v>10464.52</v>
      </c>
      <c r="E88" s="1"/>
      <c r="F88" s="5">
        <f t="shared" ref="F88:F93" si="65">IF(D$12=0,0,D88/D$12)</f>
        <v>0.14317814791904651</v>
      </c>
      <c r="G88" s="1"/>
      <c r="H88" s="1">
        <f>SUM(OSRRefH22_18x_0)</f>
        <v>5527.56</v>
      </c>
      <c r="I88" s="1"/>
      <c r="J88" s="5">
        <f t="shared" ref="J88:J93" si="66">IF(H$12=0,0,H88/H$12)</f>
        <v>0</v>
      </c>
      <c r="K88" s="1"/>
      <c r="L88" s="1">
        <f t="shared" ref="L88:L93" si="67">+D88-H88</f>
        <v>4936.96</v>
      </c>
      <c r="M88" s="1"/>
      <c r="N88" s="5">
        <f t="shared" ref="N88:N93" si="68">IF(H88=0,0,L88/H88)</f>
        <v>0.89315357951790653</v>
      </c>
      <c r="O88" s="12"/>
      <c r="P88" s="1">
        <f>SUM(OSRRefP22_18x_0)</f>
        <v>54881.23</v>
      </c>
      <c r="Q88" s="1"/>
      <c r="R88" s="5">
        <f t="shared" ref="R88:R93" si="69">IF(P$12=0,0,P88/P$12)</f>
        <v>0.1201900765211254</v>
      </c>
      <c r="S88" s="1"/>
      <c r="T88" s="1">
        <f>SUM(OSRRefT22_18x_0)</f>
        <v>212786.03999999998</v>
      </c>
      <c r="U88" s="1"/>
      <c r="V88" s="5">
        <f t="shared" ref="V88:V93" si="70">IF(T$12=0,0,T88/T$12)</f>
        <v>4.6062147260106837E-2</v>
      </c>
      <c r="W88" s="1"/>
      <c r="X88" s="1">
        <f t="shared" ref="X88:X93" si="71">+P88-T88</f>
        <v>-157904.80999999997</v>
      </c>
      <c r="Y88" s="1"/>
      <c r="Z88" s="5">
        <f t="shared" ref="Z88:Z93" si="72">IF(T88=0,0,X88/T88)</f>
        <v>-0.74208256331101408</v>
      </c>
    </row>
    <row r="89" spans="1:26" s="23" customFormat="1" hidden="1" outlineLevel="2" x14ac:dyDescent="0.25">
      <c r="A89" s="27"/>
      <c r="B89" s="10" t="str">
        <f>CONCATENATE("          ", "6282", " - ", "JANITORIAL/EXTERMINATOR EXPENS")</f>
        <v xml:space="preserve">          6282 - JANITORIAL/EXTERMINATOR EXPENS</v>
      </c>
      <c r="C89" s="10"/>
      <c r="D89" s="6">
        <v>1710</v>
      </c>
      <c r="E89" s="2"/>
      <c r="F89" s="7">
        <f t="shared" si="65"/>
        <v>2.3396642458666957E-2</v>
      </c>
      <c r="G89" s="2"/>
      <c r="H89" s="6"/>
      <c r="I89" s="2"/>
      <c r="J89" s="7">
        <f t="shared" si="66"/>
        <v>0</v>
      </c>
      <c r="K89" s="2"/>
      <c r="L89" s="6">
        <f t="shared" si="67"/>
        <v>1710</v>
      </c>
      <c r="M89" s="2"/>
      <c r="N89" s="7">
        <f t="shared" si="68"/>
        <v>0</v>
      </c>
      <c r="O89" s="10"/>
      <c r="P89" s="6">
        <v>10115.43</v>
      </c>
      <c r="Q89" s="2"/>
      <c r="R89" s="7">
        <f t="shared" si="69"/>
        <v>2.2152825396662711E-2</v>
      </c>
      <c r="S89" s="2"/>
      <c r="T89" s="6">
        <v>12678.74</v>
      </c>
      <c r="U89" s="2"/>
      <c r="V89" s="7">
        <f t="shared" si="70"/>
        <v>2.7445878919153109E-3</v>
      </c>
      <c r="W89" s="2"/>
      <c r="X89" s="6">
        <f t="shared" si="71"/>
        <v>-2563.3099999999995</v>
      </c>
      <c r="Y89" s="2"/>
      <c r="Z89" s="7">
        <f t="shared" si="72"/>
        <v>-0.20217387532199568</v>
      </c>
    </row>
    <row r="90" spans="1:26" s="23" customFormat="1" hidden="1" outlineLevel="2" x14ac:dyDescent="0.25">
      <c r="A90" s="27"/>
      <c r="B90" s="10" t="str">
        <f>CONCATENATE("          ", "6283", " - ", "PLANT SERVICE")</f>
        <v xml:space="preserve">          6283 - PLANT SERVICE</v>
      </c>
      <c r="C90" s="10"/>
      <c r="D90" s="6"/>
      <c r="E90" s="2"/>
      <c r="F90" s="7">
        <f t="shared" si="65"/>
        <v>0</v>
      </c>
      <c r="G90" s="2"/>
      <c r="H90" s="6">
        <v>399.56</v>
      </c>
      <c r="I90" s="2"/>
      <c r="J90" s="7">
        <f t="shared" si="66"/>
        <v>0</v>
      </c>
      <c r="K90" s="2"/>
      <c r="L90" s="6">
        <f t="shared" si="67"/>
        <v>-399.56</v>
      </c>
      <c r="M90" s="2"/>
      <c r="N90" s="7">
        <f t="shared" si="68"/>
        <v>-1</v>
      </c>
      <c r="O90" s="10"/>
      <c r="P90" s="6"/>
      <c r="Q90" s="2"/>
      <c r="R90" s="7">
        <f t="shared" si="69"/>
        <v>0</v>
      </c>
      <c r="S90" s="2"/>
      <c r="T90" s="6">
        <v>1798.02</v>
      </c>
      <c r="U90" s="2"/>
      <c r="V90" s="7">
        <f t="shared" si="70"/>
        <v>3.8922037374546423E-4</v>
      </c>
      <c r="W90" s="2"/>
      <c r="X90" s="6">
        <f t="shared" si="71"/>
        <v>-1798.02</v>
      </c>
      <c r="Y90" s="2"/>
      <c r="Z90" s="7">
        <f t="shared" si="72"/>
        <v>-1</v>
      </c>
    </row>
    <row r="91" spans="1:26" s="23" customFormat="1" hidden="1" outlineLevel="2" x14ac:dyDescent="0.25">
      <c r="A91" s="27"/>
      <c r="B91" s="10" t="str">
        <f>CONCATENATE("          ", "6284", " - ", "TRASH REMOVAL EXPENSE")</f>
        <v xml:space="preserve">          6284 - TRASH REMOVAL EXPENSE</v>
      </c>
      <c r="C91" s="10"/>
      <c r="D91" s="6">
        <v>5369</v>
      </c>
      <c r="E91" s="2"/>
      <c r="F91" s="7">
        <f t="shared" si="65"/>
        <v>7.3459984421393509E-2</v>
      </c>
      <c r="G91" s="2"/>
      <c r="H91" s="6">
        <v>5128</v>
      </c>
      <c r="I91" s="2"/>
      <c r="J91" s="7">
        <f t="shared" si="66"/>
        <v>0</v>
      </c>
      <c r="K91" s="2"/>
      <c r="L91" s="6">
        <f t="shared" si="67"/>
        <v>241</v>
      </c>
      <c r="M91" s="2"/>
      <c r="N91" s="7">
        <f t="shared" si="68"/>
        <v>4.6996879875195005E-2</v>
      </c>
      <c r="O91" s="10"/>
      <c r="P91" s="6">
        <v>26012</v>
      </c>
      <c r="Q91" s="2"/>
      <c r="R91" s="7">
        <f t="shared" si="69"/>
        <v>5.6966366651540312E-2</v>
      </c>
      <c r="S91" s="2"/>
      <c r="T91" s="6">
        <v>43411</v>
      </c>
      <c r="U91" s="2"/>
      <c r="V91" s="7">
        <f t="shared" si="70"/>
        <v>9.3972512233814684E-3</v>
      </c>
      <c r="W91" s="2"/>
      <c r="X91" s="6">
        <f t="shared" si="71"/>
        <v>-17399</v>
      </c>
      <c r="Y91" s="2"/>
      <c r="Z91" s="7">
        <f t="shared" si="72"/>
        <v>-0.40079703301006658</v>
      </c>
    </row>
    <row r="92" spans="1:26" s="23" customFormat="1" hidden="1" outlineLevel="2" x14ac:dyDescent="0.25">
      <c r="A92" s="27"/>
      <c r="B92" s="10" t="str">
        <f>CONCATENATE("          ", "6285", " - ", "JANITORIAL SERVICES")</f>
        <v xml:space="preserve">          6285 - JANITORIAL SERVICES</v>
      </c>
      <c r="C92" s="10"/>
      <c r="D92" s="6">
        <v>3385.52</v>
      </c>
      <c r="E92" s="2"/>
      <c r="F92" s="7">
        <f t="shared" si="65"/>
        <v>4.6321521038986055E-2</v>
      </c>
      <c r="G92" s="2"/>
      <c r="H92" s="6"/>
      <c r="I92" s="2"/>
      <c r="J92" s="7">
        <f t="shared" si="66"/>
        <v>0</v>
      </c>
      <c r="K92" s="2"/>
      <c r="L92" s="6">
        <f t="shared" si="67"/>
        <v>3385.52</v>
      </c>
      <c r="M92" s="2"/>
      <c r="N92" s="7">
        <f t="shared" si="68"/>
        <v>0</v>
      </c>
      <c r="O92" s="10"/>
      <c r="P92" s="6">
        <v>17849.09</v>
      </c>
      <c r="Q92" s="2"/>
      <c r="R92" s="7">
        <f t="shared" si="69"/>
        <v>3.9089566559139692E-2</v>
      </c>
      <c r="S92" s="2"/>
      <c r="T92" s="6">
        <v>127887.67</v>
      </c>
      <c r="U92" s="2"/>
      <c r="V92" s="7">
        <f t="shared" si="70"/>
        <v>2.7684056192276277E-2</v>
      </c>
      <c r="W92" s="2"/>
      <c r="X92" s="6">
        <f t="shared" si="71"/>
        <v>-110038.58</v>
      </c>
      <c r="Y92" s="2"/>
      <c r="Z92" s="7">
        <f t="shared" si="72"/>
        <v>-0.8604315021143164</v>
      </c>
    </row>
    <row r="93" spans="1:26" s="23" customFormat="1" hidden="1" outlineLevel="2" x14ac:dyDescent="0.25">
      <c r="A93" s="27"/>
      <c r="B93" s="10" t="str">
        <f>CONCATENATE("          ", "6286", " - ", "LAUNDRY EXPENSE")</f>
        <v xml:space="preserve">          6286 - LAUNDRY EXPENSE</v>
      </c>
      <c r="C93" s="10"/>
      <c r="D93" s="6"/>
      <c r="E93" s="2"/>
      <c r="F93" s="7">
        <f t="shared" si="65"/>
        <v>0</v>
      </c>
      <c r="G93" s="2"/>
      <c r="H93" s="6"/>
      <c r="I93" s="2"/>
      <c r="J93" s="7">
        <f t="shared" si="66"/>
        <v>0</v>
      </c>
      <c r="K93" s="2"/>
      <c r="L93" s="6">
        <f t="shared" si="67"/>
        <v>0</v>
      </c>
      <c r="M93" s="2"/>
      <c r="N93" s="7">
        <f t="shared" si="68"/>
        <v>0</v>
      </c>
      <c r="O93" s="10"/>
      <c r="P93" s="6">
        <v>904.71</v>
      </c>
      <c r="Q93" s="2"/>
      <c r="R93" s="7">
        <f t="shared" si="69"/>
        <v>1.9813179137826787E-3</v>
      </c>
      <c r="S93" s="2"/>
      <c r="T93" s="6">
        <v>27010.61</v>
      </c>
      <c r="U93" s="2"/>
      <c r="V93" s="7">
        <f t="shared" si="70"/>
        <v>5.8470315787883193E-3</v>
      </c>
      <c r="W93" s="2"/>
      <c r="X93" s="6">
        <f t="shared" si="71"/>
        <v>-26105.9</v>
      </c>
      <c r="Y93" s="2"/>
      <c r="Z93" s="7">
        <f t="shared" si="72"/>
        <v>-0.96650538436562528</v>
      </c>
    </row>
    <row r="94" spans="1:26" s="26" customFormat="1" outlineLevel="1" collapsed="1" x14ac:dyDescent="0.25">
      <c r="A94" s="25"/>
      <c r="B94" s="12" t="str">
        <f>CONCATENATE("     ","Subscriptions &amp; Dues                              ")</f>
        <v xml:space="preserve">     Subscriptions &amp; Dues                              </v>
      </c>
      <c r="C94" s="12"/>
      <c r="D94" s="1">
        <f>SUM(OSRRefD22_19x_0)</f>
        <v>0</v>
      </c>
      <c r="E94" s="1"/>
      <c r="F94" s="5">
        <f t="shared" ref="F94:F96" si="73">IF(D$12=0,0,D94/D$12)</f>
        <v>0</v>
      </c>
      <c r="G94" s="1"/>
      <c r="H94" s="1">
        <f>SUM(OSRRefH22_19x_0)</f>
        <v>4.25</v>
      </c>
      <c r="I94" s="1"/>
      <c r="J94" s="5">
        <f t="shared" ref="J94:J96" si="74">IF(H$12=0,0,H94/H$12)</f>
        <v>0</v>
      </c>
      <c r="K94" s="1"/>
      <c r="L94" s="1">
        <f t="shared" ref="L94:L96" si="75">+D94-H94</f>
        <v>-4.25</v>
      </c>
      <c r="M94" s="1"/>
      <c r="N94" s="5">
        <f t="shared" ref="N94:N96" si="76">IF(H94=0,0,L94/H94)</f>
        <v>-1</v>
      </c>
      <c r="O94" s="12"/>
      <c r="P94" s="1">
        <f>SUM(OSRRefP22_19x_0)</f>
        <v>916.08</v>
      </c>
      <c r="Q94" s="1"/>
      <c r="R94" s="5">
        <f t="shared" ref="R94:R96" si="77">IF(P$12=0,0,P94/P$12)</f>
        <v>2.0062182516585826E-3</v>
      </c>
      <c r="S94" s="1"/>
      <c r="T94" s="1">
        <f>SUM(OSRRefT22_19x_0)</f>
        <v>7300.55</v>
      </c>
      <c r="U94" s="1"/>
      <c r="V94" s="5">
        <f t="shared" ref="V94:V96" si="78">IF(T$12=0,0,T94/T$12)</f>
        <v>1.5803621759198725E-3</v>
      </c>
      <c r="W94" s="1"/>
      <c r="X94" s="1">
        <f t="shared" ref="X94:X96" si="79">+P94-T94</f>
        <v>-6384.47</v>
      </c>
      <c r="Y94" s="1"/>
      <c r="Z94" s="5">
        <f t="shared" ref="Z94:Z96" si="80">IF(T94=0,0,X94/T94)</f>
        <v>-0.87451904308579487</v>
      </c>
    </row>
    <row r="95" spans="1:26" s="23" customFormat="1" hidden="1" outlineLevel="2" x14ac:dyDescent="0.25">
      <c r="A95" s="27"/>
      <c r="B95" s="10" t="str">
        <f>CONCATENATE("          ", "6258", " - ", "MEMBERSHIP DUES")</f>
        <v xml:space="preserve">          6258 - MEMBERSHIP DUES</v>
      </c>
      <c r="C95" s="10"/>
      <c r="D95" s="6"/>
      <c r="E95" s="2"/>
      <c r="F95" s="7">
        <f t="shared" si="73"/>
        <v>0</v>
      </c>
      <c r="G95" s="2"/>
      <c r="H95" s="6"/>
      <c r="I95" s="2"/>
      <c r="J95" s="7">
        <f t="shared" si="74"/>
        <v>0</v>
      </c>
      <c r="K95" s="2"/>
      <c r="L95" s="6">
        <f t="shared" si="75"/>
        <v>0</v>
      </c>
      <c r="M95" s="2"/>
      <c r="N95" s="7">
        <f t="shared" si="76"/>
        <v>0</v>
      </c>
      <c r="O95" s="10"/>
      <c r="P95" s="6"/>
      <c r="Q95" s="2"/>
      <c r="R95" s="7">
        <f t="shared" si="77"/>
        <v>0</v>
      </c>
      <c r="S95" s="2"/>
      <c r="T95" s="6">
        <v>3730</v>
      </c>
      <c r="U95" s="2"/>
      <c r="V95" s="7">
        <f t="shared" si="78"/>
        <v>8.0743929103713067E-4</v>
      </c>
      <c r="W95" s="2"/>
      <c r="X95" s="6">
        <f t="shared" si="79"/>
        <v>-3730</v>
      </c>
      <c r="Y95" s="2"/>
      <c r="Z95" s="7">
        <f t="shared" si="80"/>
        <v>-1</v>
      </c>
    </row>
    <row r="96" spans="1:26" s="23" customFormat="1" hidden="1" outlineLevel="2" x14ac:dyDescent="0.25">
      <c r="A96" s="27"/>
      <c r="B96" s="10" t="str">
        <f>CONCATENATE("          ", "6275", " - ", "SUBSCRIPTIONS")</f>
        <v xml:space="preserve">          6275 - SUBSCRIPTIONS</v>
      </c>
      <c r="C96" s="10"/>
      <c r="D96" s="6"/>
      <c r="E96" s="2"/>
      <c r="F96" s="7">
        <f t="shared" si="73"/>
        <v>0</v>
      </c>
      <c r="G96" s="2"/>
      <c r="H96" s="6">
        <v>4.25</v>
      </c>
      <c r="I96" s="2"/>
      <c r="J96" s="7">
        <f t="shared" si="74"/>
        <v>0</v>
      </c>
      <c r="K96" s="2"/>
      <c r="L96" s="6">
        <f t="shared" si="75"/>
        <v>-4.25</v>
      </c>
      <c r="M96" s="2"/>
      <c r="N96" s="7">
        <f t="shared" si="76"/>
        <v>-1</v>
      </c>
      <c r="O96" s="10"/>
      <c r="P96" s="6">
        <v>916.08</v>
      </c>
      <c r="Q96" s="2"/>
      <c r="R96" s="7">
        <f t="shared" si="77"/>
        <v>2.0062182516585826E-3</v>
      </c>
      <c r="S96" s="2"/>
      <c r="T96" s="6">
        <v>3570.55</v>
      </c>
      <c r="U96" s="2"/>
      <c r="V96" s="7">
        <f t="shared" si="78"/>
        <v>7.7292288488274184E-4</v>
      </c>
      <c r="W96" s="2"/>
      <c r="X96" s="6">
        <f t="shared" si="79"/>
        <v>-2654.4700000000003</v>
      </c>
      <c r="Y96" s="2"/>
      <c r="Z96" s="7">
        <f t="shared" si="80"/>
        <v>-0.74343448488328134</v>
      </c>
    </row>
    <row r="97" spans="1:26" s="26" customFormat="1" outlineLevel="1" collapsed="1" x14ac:dyDescent="0.25">
      <c r="A97" s="25"/>
      <c r="B97" s="12" t="str">
        <f>CONCATENATE("     ","Supplies                                          ")</f>
        <v xml:space="preserve">     Supplies                                          </v>
      </c>
      <c r="C97" s="12"/>
      <c r="D97" s="1">
        <f>SUM(OSRRefD22_20x_0)</f>
        <v>627.34</v>
      </c>
      <c r="E97" s="1"/>
      <c r="F97" s="5">
        <f t="shared" ref="F97:F107" si="81">IF(D$12=0,0,D97/D$12)</f>
        <v>8.5834208655088482E-3</v>
      </c>
      <c r="G97" s="1"/>
      <c r="H97" s="1">
        <f>SUM(OSRRefH22_20x_0)</f>
        <v>1578.84</v>
      </c>
      <c r="I97" s="1"/>
      <c r="J97" s="5">
        <f t="shared" ref="J97:J107" si="82">IF(H$12=0,0,H97/H$12)</f>
        <v>0</v>
      </c>
      <c r="K97" s="1"/>
      <c r="L97" s="1">
        <f t="shared" ref="L97:L107" si="83">+D97-H97</f>
        <v>-951.49999999999989</v>
      </c>
      <c r="M97" s="1"/>
      <c r="N97" s="5">
        <f t="shared" ref="N97:N107" si="84">IF(H97=0,0,L97/H97)</f>
        <v>-0.60265764738668892</v>
      </c>
      <c r="O97" s="12"/>
      <c r="P97" s="1">
        <f>SUM(OSRRefP22_20x_0)</f>
        <v>-20624.599999999999</v>
      </c>
      <c r="Q97" s="1"/>
      <c r="R97" s="5">
        <f t="shared" ref="R97:R107" si="85">IF(P$12=0,0,P97/P$12)</f>
        <v>-4.5167942704957643E-2</v>
      </c>
      <c r="S97" s="1"/>
      <c r="T97" s="1">
        <f>SUM(OSRRefT22_20x_0)</f>
        <v>167800.80000000002</v>
      </c>
      <c r="U97" s="1"/>
      <c r="V97" s="5">
        <f t="shared" ref="V97:V107" si="86">IF(T$12=0,0,T97/T$12)</f>
        <v>3.6324117691008941E-2</v>
      </c>
      <c r="W97" s="1"/>
      <c r="X97" s="1">
        <f t="shared" ref="X97:X107" si="87">+P97-T97</f>
        <v>-188425.40000000002</v>
      </c>
      <c r="Y97" s="1"/>
      <c r="Z97" s="5">
        <f t="shared" ref="Z97:Z107" si="88">IF(T97=0,0,X97/T97)</f>
        <v>-1.1229112137725208</v>
      </c>
    </row>
    <row r="98" spans="1:26" s="23" customFormat="1" hidden="1" outlineLevel="2" x14ac:dyDescent="0.25">
      <c r="A98" s="27"/>
      <c r="B98" s="10" t="str">
        <f>CONCATENATE("          ", "6234", " - ", "EXPENDABLE SUPPLIES &amp; EQUIPMEN")</f>
        <v xml:space="preserve">          6234 - EXPENDABLE SUPPLIES &amp; EQUIPMEN</v>
      </c>
      <c r="C98" s="10"/>
      <c r="D98" s="6">
        <v>26.25</v>
      </c>
      <c r="E98" s="2"/>
      <c r="F98" s="7">
        <f t="shared" si="81"/>
        <v>3.5915898511111556E-4</v>
      </c>
      <c r="G98" s="2"/>
      <c r="H98" s="6">
        <v>142.07</v>
      </c>
      <c r="I98" s="2"/>
      <c r="J98" s="7">
        <f t="shared" si="82"/>
        <v>0</v>
      </c>
      <c r="K98" s="2"/>
      <c r="L98" s="6">
        <f t="shared" si="83"/>
        <v>-115.82</v>
      </c>
      <c r="M98" s="2"/>
      <c r="N98" s="7">
        <f t="shared" si="84"/>
        <v>-0.81523192792285493</v>
      </c>
      <c r="O98" s="10"/>
      <c r="P98" s="6">
        <v>337.16</v>
      </c>
      <c r="Q98" s="2"/>
      <c r="R98" s="7">
        <f t="shared" si="85"/>
        <v>7.3838152315213498E-4</v>
      </c>
      <c r="S98" s="2"/>
      <c r="T98" s="6">
        <v>14686.49</v>
      </c>
      <c r="U98" s="2"/>
      <c r="V98" s="7">
        <f t="shared" si="86"/>
        <v>3.1792088668696804E-3</v>
      </c>
      <c r="W98" s="2"/>
      <c r="X98" s="6">
        <f t="shared" si="87"/>
        <v>-14349.33</v>
      </c>
      <c r="Y98" s="2"/>
      <c r="Z98" s="7">
        <f t="shared" si="88"/>
        <v>-0.97704284686129905</v>
      </c>
    </row>
    <row r="99" spans="1:26" s="23" customFormat="1" hidden="1" outlineLevel="2" x14ac:dyDescent="0.25">
      <c r="A99" s="27"/>
      <c r="B99" s="10" t="str">
        <f>CONCATENATE("          ", "6235", " - ", "COVID-19 EXPENSES")</f>
        <v xml:space="preserve">          6235 - COVID-19 EXPENSES</v>
      </c>
      <c r="C99" s="10"/>
      <c r="D99" s="6">
        <v>65.45</v>
      </c>
      <c r="E99" s="2"/>
      <c r="F99" s="7">
        <f t="shared" si="81"/>
        <v>8.9550306954371483E-4</v>
      </c>
      <c r="G99" s="2"/>
      <c r="H99" s="6"/>
      <c r="I99" s="2"/>
      <c r="J99" s="7">
        <f t="shared" si="82"/>
        <v>0</v>
      </c>
      <c r="K99" s="2"/>
      <c r="L99" s="6">
        <f t="shared" si="83"/>
        <v>65.45</v>
      </c>
      <c r="M99" s="2"/>
      <c r="N99" s="7">
        <f t="shared" si="84"/>
        <v>0</v>
      </c>
      <c r="O99" s="10"/>
      <c r="P99" s="6">
        <v>6947.31</v>
      </c>
      <c r="Q99" s="2"/>
      <c r="R99" s="7">
        <f t="shared" si="85"/>
        <v>1.5214632042976801E-2</v>
      </c>
      <c r="S99" s="2"/>
      <c r="T99" s="6"/>
      <c r="U99" s="2"/>
      <c r="V99" s="7">
        <f t="shared" si="86"/>
        <v>0</v>
      </c>
      <c r="W99" s="2"/>
      <c r="X99" s="6">
        <f t="shared" si="87"/>
        <v>6947.31</v>
      </c>
      <c r="Y99" s="2"/>
      <c r="Z99" s="7">
        <f t="shared" si="88"/>
        <v>0</v>
      </c>
    </row>
    <row r="100" spans="1:26" s="23" customFormat="1" hidden="1" outlineLevel="2" x14ac:dyDescent="0.25">
      <c r="A100" s="27"/>
      <c r="B100" s="10" t="str">
        <f>CONCATENATE("          ", "6237", " - ", "JANITORIAL SUPPLIES")</f>
        <v xml:space="preserve">          6237 - JANITORIAL SUPPLIES</v>
      </c>
      <c r="C100" s="10"/>
      <c r="D100" s="6"/>
      <c r="E100" s="2"/>
      <c r="F100" s="7">
        <f t="shared" si="81"/>
        <v>0</v>
      </c>
      <c r="G100" s="2"/>
      <c r="H100" s="6"/>
      <c r="I100" s="2"/>
      <c r="J100" s="7">
        <f t="shared" si="82"/>
        <v>0</v>
      </c>
      <c r="K100" s="2"/>
      <c r="L100" s="6">
        <f t="shared" si="83"/>
        <v>0</v>
      </c>
      <c r="M100" s="2"/>
      <c r="N100" s="7">
        <f t="shared" si="84"/>
        <v>0</v>
      </c>
      <c r="O100" s="10"/>
      <c r="P100" s="6">
        <v>358.91</v>
      </c>
      <c r="Q100" s="2"/>
      <c r="R100" s="7">
        <f t="shared" si="85"/>
        <v>7.8601409560604091E-4</v>
      </c>
      <c r="S100" s="2"/>
      <c r="T100" s="6">
        <v>48433.599999999999</v>
      </c>
      <c r="U100" s="2"/>
      <c r="V100" s="7">
        <f t="shared" si="86"/>
        <v>1.0484501781870232E-2</v>
      </c>
      <c r="W100" s="2"/>
      <c r="X100" s="6">
        <f t="shared" si="87"/>
        <v>-48074.689999999995</v>
      </c>
      <c r="Y100" s="2"/>
      <c r="Z100" s="7">
        <f t="shared" si="88"/>
        <v>-0.99258964850847342</v>
      </c>
    </row>
    <row r="101" spans="1:26" s="23" customFormat="1" hidden="1" outlineLevel="2" x14ac:dyDescent="0.25">
      <c r="A101" s="27"/>
      <c r="B101" s="10" t="str">
        <f>CONCATENATE("          ", "6239", " - ", "KITCHEN SUPPLIES")</f>
        <v xml:space="preserve">          6239 - KITCHEN SUPPLIES</v>
      </c>
      <c r="C101" s="10"/>
      <c r="D101" s="6"/>
      <c r="E101" s="2"/>
      <c r="F101" s="7">
        <f t="shared" si="81"/>
        <v>0</v>
      </c>
      <c r="G101" s="2"/>
      <c r="H101" s="6">
        <v>390.29</v>
      </c>
      <c r="I101" s="2"/>
      <c r="J101" s="7">
        <f t="shared" si="82"/>
        <v>0</v>
      </c>
      <c r="K101" s="2"/>
      <c r="L101" s="6">
        <f t="shared" si="83"/>
        <v>-390.29</v>
      </c>
      <c r="M101" s="2"/>
      <c r="N101" s="7">
        <f t="shared" si="84"/>
        <v>-1</v>
      </c>
      <c r="O101" s="10"/>
      <c r="P101" s="6">
        <v>19.829999999999998</v>
      </c>
      <c r="Q101" s="2"/>
      <c r="R101" s="7">
        <f t="shared" si="85"/>
        <v>4.3427766057974945E-5</v>
      </c>
      <c r="S101" s="2"/>
      <c r="T101" s="6">
        <v>45525.63</v>
      </c>
      <c r="U101" s="2"/>
      <c r="V101" s="7">
        <f t="shared" si="86"/>
        <v>9.8550086893347787E-3</v>
      </c>
      <c r="W101" s="2"/>
      <c r="X101" s="6">
        <f t="shared" si="87"/>
        <v>-45505.799999999996</v>
      </c>
      <c r="Y101" s="2"/>
      <c r="Z101" s="7">
        <f t="shared" si="88"/>
        <v>-0.99956442118428668</v>
      </c>
    </row>
    <row r="102" spans="1:26" s="23" customFormat="1" hidden="1" outlineLevel="2" x14ac:dyDescent="0.25">
      <c r="A102" s="27"/>
      <c r="B102" s="10" t="str">
        <f>CONCATENATE("          ", "6241", " - ", "OFFICE EXPENSE")</f>
        <v xml:space="preserve">          6241 - OFFICE EXPENSE</v>
      </c>
      <c r="C102" s="10"/>
      <c r="D102" s="6">
        <v>440.72</v>
      </c>
      <c r="E102" s="2"/>
      <c r="F102" s="7">
        <f t="shared" si="81"/>
        <v>6.030039920692223E-3</v>
      </c>
      <c r="G102" s="2"/>
      <c r="H102" s="6">
        <v>1030.8399999999999</v>
      </c>
      <c r="I102" s="2"/>
      <c r="J102" s="7">
        <f t="shared" si="82"/>
        <v>0</v>
      </c>
      <c r="K102" s="2"/>
      <c r="L102" s="6">
        <f t="shared" si="83"/>
        <v>-590.11999999999989</v>
      </c>
      <c r="M102" s="2"/>
      <c r="N102" s="7">
        <f t="shared" si="84"/>
        <v>-0.57246517403282748</v>
      </c>
      <c r="O102" s="10"/>
      <c r="P102" s="6">
        <v>-28543.14</v>
      </c>
      <c r="Q102" s="2"/>
      <c r="R102" s="7">
        <f t="shared" si="85"/>
        <v>-6.2509571683309492E-2</v>
      </c>
      <c r="S102" s="2"/>
      <c r="T102" s="6">
        <v>17759.07</v>
      </c>
      <c r="U102" s="2"/>
      <c r="V102" s="7">
        <f t="shared" si="86"/>
        <v>3.8443353593240683E-3</v>
      </c>
      <c r="W102" s="2"/>
      <c r="X102" s="6">
        <f t="shared" si="87"/>
        <v>-46302.21</v>
      </c>
      <c r="Y102" s="2"/>
      <c r="Z102" s="7">
        <f t="shared" si="88"/>
        <v>-2.6072429468435003</v>
      </c>
    </row>
    <row r="103" spans="1:26" s="23" customFormat="1" hidden="1" outlineLevel="2" x14ac:dyDescent="0.25">
      <c r="A103" s="27"/>
      <c r="B103" s="10" t="str">
        <f>CONCATENATE("          ", "6243", " - ", "PAPER SUPPLIES")</f>
        <v xml:space="preserve">          6243 - PAPER SUPPLIES</v>
      </c>
      <c r="C103" s="10"/>
      <c r="D103" s="6">
        <v>94.92</v>
      </c>
      <c r="E103" s="2"/>
      <c r="F103" s="7">
        <f t="shared" si="81"/>
        <v>1.2987188901617938E-3</v>
      </c>
      <c r="G103" s="2"/>
      <c r="H103" s="6"/>
      <c r="I103" s="2"/>
      <c r="J103" s="7">
        <f t="shared" si="82"/>
        <v>0</v>
      </c>
      <c r="K103" s="2"/>
      <c r="L103" s="6">
        <f t="shared" si="83"/>
        <v>94.92</v>
      </c>
      <c r="M103" s="2"/>
      <c r="N103" s="7">
        <f t="shared" si="84"/>
        <v>0</v>
      </c>
      <c r="O103" s="10"/>
      <c r="P103" s="6">
        <v>255.33</v>
      </c>
      <c r="Q103" s="2"/>
      <c r="R103" s="7">
        <f t="shared" si="85"/>
        <v>5.5917355055888781E-4</v>
      </c>
      <c r="S103" s="2"/>
      <c r="T103" s="6">
        <v>29152.85</v>
      </c>
      <c r="U103" s="2"/>
      <c r="V103" s="7">
        <f t="shared" si="86"/>
        <v>6.3107658272685821E-3</v>
      </c>
      <c r="W103" s="2"/>
      <c r="X103" s="6">
        <f t="shared" si="87"/>
        <v>-28897.519999999997</v>
      </c>
      <c r="Y103" s="2"/>
      <c r="Z103" s="7">
        <f t="shared" si="88"/>
        <v>-0.99124167962995036</v>
      </c>
    </row>
    <row r="104" spans="1:26" s="23" customFormat="1" hidden="1" outlineLevel="2" x14ac:dyDescent="0.25">
      <c r="A104" s="27"/>
      <c r="B104" s="10" t="str">
        <f>CONCATENATE("          ", "6245", " - ", "PRINTING")</f>
        <v xml:space="preserve">          6245 - PRINTING</v>
      </c>
      <c r="C104" s="10"/>
      <c r="D104" s="6"/>
      <c r="E104" s="2"/>
      <c r="F104" s="7">
        <f t="shared" si="81"/>
        <v>0</v>
      </c>
      <c r="G104" s="2"/>
      <c r="H104" s="6"/>
      <c r="I104" s="2"/>
      <c r="J104" s="7">
        <f t="shared" si="82"/>
        <v>0</v>
      </c>
      <c r="K104" s="2"/>
      <c r="L104" s="6">
        <f t="shared" si="83"/>
        <v>0</v>
      </c>
      <c r="M104" s="2"/>
      <c r="N104" s="7">
        <f t="shared" si="84"/>
        <v>0</v>
      </c>
      <c r="O104" s="10"/>
      <c r="P104" s="6"/>
      <c r="Q104" s="2"/>
      <c r="R104" s="7">
        <f t="shared" si="85"/>
        <v>0</v>
      </c>
      <c r="S104" s="2"/>
      <c r="T104" s="6">
        <v>531.28</v>
      </c>
      <c r="U104" s="2"/>
      <c r="V104" s="7">
        <f t="shared" si="86"/>
        <v>1.1500706341614121E-4</v>
      </c>
      <c r="W104" s="2"/>
      <c r="X104" s="6">
        <f t="shared" si="87"/>
        <v>-531.28</v>
      </c>
      <c r="Y104" s="2"/>
      <c r="Z104" s="7">
        <f t="shared" si="88"/>
        <v>-1</v>
      </c>
    </row>
    <row r="105" spans="1:26" s="23" customFormat="1" hidden="1" outlineLevel="2" x14ac:dyDescent="0.25">
      <c r="A105" s="27"/>
      <c r="B105" s="10" t="str">
        <f>CONCATENATE("          ", "6246", " - ", "REPLACEMENTS")</f>
        <v xml:space="preserve">          6246 - REPLACEMENTS</v>
      </c>
      <c r="C105" s="10"/>
      <c r="D105" s="6"/>
      <c r="E105" s="2"/>
      <c r="F105" s="7">
        <f t="shared" si="81"/>
        <v>0</v>
      </c>
      <c r="G105" s="2"/>
      <c r="H105" s="6"/>
      <c r="I105" s="2"/>
      <c r="J105" s="7">
        <f t="shared" si="82"/>
        <v>0</v>
      </c>
      <c r="K105" s="2"/>
      <c r="L105" s="6">
        <f t="shared" si="83"/>
        <v>0</v>
      </c>
      <c r="M105" s="2"/>
      <c r="N105" s="7">
        <f t="shared" si="84"/>
        <v>0</v>
      </c>
      <c r="O105" s="10"/>
      <c r="P105" s="6"/>
      <c r="Q105" s="2"/>
      <c r="R105" s="7">
        <f t="shared" si="85"/>
        <v>0</v>
      </c>
      <c r="S105" s="2"/>
      <c r="T105" s="6">
        <v>25.87</v>
      </c>
      <c r="U105" s="2"/>
      <c r="V105" s="7">
        <f t="shared" si="86"/>
        <v>5.600121838909E-6</v>
      </c>
      <c r="W105" s="2"/>
      <c r="X105" s="6">
        <f t="shared" si="87"/>
        <v>-25.87</v>
      </c>
      <c r="Y105" s="2"/>
      <c r="Z105" s="7">
        <f t="shared" si="88"/>
        <v>-1</v>
      </c>
    </row>
    <row r="106" spans="1:26" s="23" customFormat="1" hidden="1" outlineLevel="2" x14ac:dyDescent="0.25">
      <c r="A106" s="27"/>
      <c r="B106" s="10" t="str">
        <f>CONCATENATE("          ", "6247", " - ", "STORE SUPPLIES")</f>
        <v xml:space="preserve">          6247 - STORE SUPPLIES</v>
      </c>
      <c r="C106" s="10"/>
      <c r="D106" s="6"/>
      <c r="E106" s="2"/>
      <c r="F106" s="7">
        <f t="shared" si="81"/>
        <v>0</v>
      </c>
      <c r="G106" s="2"/>
      <c r="H106" s="6">
        <v>15.64</v>
      </c>
      <c r="I106" s="2"/>
      <c r="J106" s="7">
        <f t="shared" si="82"/>
        <v>0</v>
      </c>
      <c r="K106" s="2"/>
      <c r="L106" s="6">
        <f t="shared" si="83"/>
        <v>-15.64</v>
      </c>
      <c r="M106" s="2"/>
      <c r="N106" s="7">
        <f t="shared" si="84"/>
        <v>-1</v>
      </c>
      <c r="O106" s="10"/>
      <c r="P106" s="6"/>
      <c r="Q106" s="2"/>
      <c r="R106" s="7">
        <f t="shared" si="85"/>
        <v>0</v>
      </c>
      <c r="S106" s="2"/>
      <c r="T106" s="6">
        <v>6962.12</v>
      </c>
      <c r="U106" s="2"/>
      <c r="V106" s="7">
        <f t="shared" si="86"/>
        <v>1.507101672095289E-3</v>
      </c>
      <c r="W106" s="2"/>
      <c r="X106" s="6">
        <f t="shared" si="87"/>
        <v>-6962.12</v>
      </c>
      <c r="Y106" s="2"/>
      <c r="Z106" s="7">
        <f t="shared" si="88"/>
        <v>-1</v>
      </c>
    </row>
    <row r="107" spans="1:26" s="23" customFormat="1" hidden="1" outlineLevel="2" x14ac:dyDescent="0.25">
      <c r="A107" s="27"/>
      <c r="B107" s="10" t="str">
        <f>CONCATENATE("          ", "6248", " - ", "UNIFORMS")</f>
        <v xml:space="preserve">          6248 - UNIFORMS</v>
      </c>
      <c r="C107" s="10"/>
      <c r="D107" s="6"/>
      <c r="E107" s="2"/>
      <c r="F107" s="7">
        <f t="shared" si="81"/>
        <v>0</v>
      </c>
      <c r="G107" s="2"/>
      <c r="H107" s="6"/>
      <c r="I107" s="2"/>
      <c r="J107" s="7">
        <f t="shared" si="82"/>
        <v>0</v>
      </c>
      <c r="K107" s="2"/>
      <c r="L107" s="6">
        <f t="shared" si="83"/>
        <v>0</v>
      </c>
      <c r="M107" s="2"/>
      <c r="N107" s="7">
        <f t="shared" si="84"/>
        <v>0</v>
      </c>
      <c r="O107" s="10"/>
      <c r="P107" s="6"/>
      <c r="Q107" s="2"/>
      <c r="R107" s="7">
        <f t="shared" si="85"/>
        <v>0</v>
      </c>
      <c r="S107" s="2"/>
      <c r="T107" s="6">
        <v>4723.8900000000003</v>
      </c>
      <c r="U107" s="2"/>
      <c r="V107" s="7">
        <f t="shared" si="86"/>
        <v>1.0225883089912578E-3</v>
      </c>
      <c r="W107" s="2"/>
      <c r="X107" s="6">
        <f t="shared" si="87"/>
        <v>-4723.8900000000003</v>
      </c>
      <c r="Y107" s="2"/>
      <c r="Z107" s="7">
        <f t="shared" si="88"/>
        <v>-1</v>
      </c>
    </row>
    <row r="108" spans="1:26" s="26" customFormat="1" outlineLevel="1" collapsed="1" x14ac:dyDescent="0.25">
      <c r="A108" s="25"/>
      <c r="B108" s="12" t="str">
        <f>CONCATENATE("     ","Telephone/Data Lines                              ")</f>
        <v xml:space="preserve">     Telephone/Data Lines                              </v>
      </c>
      <c r="C108" s="12"/>
      <c r="D108" s="1">
        <f>SUM(OSRRefD22_21x_0)</f>
        <v>248.6</v>
      </c>
      <c r="E108" s="1"/>
      <c r="F108" s="5">
        <f t="shared" ref="F108:F115" si="89">IF(D$12=0,0,D108/D$12)</f>
        <v>3.4014066170904127E-3</v>
      </c>
      <c r="G108" s="1"/>
      <c r="H108" s="1">
        <f>SUM(OSRRefH22_21x_0)</f>
        <v>1852.07</v>
      </c>
      <c r="I108" s="1"/>
      <c r="J108" s="5">
        <f t="shared" ref="J108:J115" si="90">IF(H$12=0,0,H108/H$12)</f>
        <v>0</v>
      </c>
      <c r="K108" s="1"/>
      <c r="L108" s="1">
        <f t="shared" ref="L108:L115" si="91">+D108-H108</f>
        <v>-1603.47</v>
      </c>
      <c r="M108" s="1"/>
      <c r="N108" s="5">
        <f t="shared" ref="N108:N115" si="92">IF(H108=0,0,L108/H108)</f>
        <v>-0.865771812080537</v>
      </c>
      <c r="O108" s="12"/>
      <c r="P108" s="1">
        <f>SUM(OSRRefP22_21x_0)</f>
        <v>5846.01</v>
      </c>
      <c r="Q108" s="1"/>
      <c r="R108" s="5">
        <f t="shared" ref="R108:R115" si="93">IF(P$12=0,0,P108/P$12)</f>
        <v>1.2802781374310748E-2</v>
      </c>
      <c r="S108" s="1"/>
      <c r="T108" s="1">
        <f>SUM(OSRRefT22_21x_0)</f>
        <v>19015.32</v>
      </c>
      <c r="U108" s="1"/>
      <c r="V108" s="5">
        <f t="shared" ref="V108:V115" si="94">IF(T$12=0,0,T108/T$12)</f>
        <v>4.1162778819421372E-3</v>
      </c>
      <c r="W108" s="1"/>
      <c r="X108" s="1">
        <f t="shared" ref="X108:X115" si="95">+P108-T108</f>
        <v>-13169.31</v>
      </c>
      <c r="Y108" s="1"/>
      <c r="Z108" s="5">
        <f t="shared" ref="Z108:Z115" si="96">IF(T108=0,0,X108/T108)</f>
        <v>-0.69256315434081572</v>
      </c>
    </row>
    <row r="109" spans="1:26" s="23" customFormat="1" hidden="1" outlineLevel="2" x14ac:dyDescent="0.25">
      <c r="A109" s="27"/>
      <c r="B109" s="10" t="str">
        <f>CONCATENATE("          ", "6309", " - ", "TELEPHONE")</f>
        <v xml:space="preserve">          6309 - TELEPHONE</v>
      </c>
      <c r="C109" s="10"/>
      <c r="D109" s="6">
        <v>248.6</v>
      </c>
      <c r="E109" s="2"/>
      <c r="F109" s="7">
        <f t="shared" si="89"/>
        <v>3.4014066170904127E-3</v>
      </c>
      <c r="G109" s="2"/>
      <c r="H109" s="6">
        <v>1852.07</v>
      </c>
      <c r="I109" s="2"/>
      <c r="J109" s="7">
        <f t="shared" si="90"/>
        <v>0</v>
      </c>
      <c r="K109" s="2"/>
      <c r="L109" s="6">
        <f t="shared" si="91"/>
        <v>-1603.47</v>
      </c>
      <c r="M109" s="2"/>
      <c r="N109" s="7">
        <f t="shared" si="92"/>
        <v>-0.865771812080537</v>
      </c>
      <c r="O109" s="10"/>
      <c r="P109" s="6">
        <v>5846.01</v>
      </c>
      <c r="Q109" s="2"/>
      <c r="R109" s="7">
        <f t="shared" si="93"/>
        <v>1.2802781374310748E-2</v>
      </c>
      <c r="S109" s="2"/>
      <c r="T109" s="6">
        <v>19015.32</v>
      </c>
      <c r="U109" s="2"/>
      <c r="V109" s="7">
        <f t="shared" si="94"/>
        <v>4.1162778819421372E-3</v>
      </c>
      <c r="W109" s="2"/>
      <c r="X109" s="6">
        <f t="shared" si="95"/>
        <v>-13169.31</v>
      </c>
      <c r="Y109" s="2"/>
      <c r="Z109" s="7">
        <f t="shared" si="96"/>
        <v>-0.69256315434081572</v>
      </c>
    </row>
    <row r="110" spans="1:26" s="26" customFormat="1" outlineLevel="1" collapsed="1" x14ac:dyDescent="0.25">
      <c r="A110" s="25"/>
      <c r="B110" s="12" t="str">
        <f>CONCATENATE("     ","Training                                          ")</f>
        <v xml:space="preserve">     Training                                          </v>
      </c>
      <c r="C110" s="12"/>
      <c r="D110" s="1">
        <f>SUM(OSRRefD22_22x_0)</f>
        <v>0</v>
      </c>
      <c r="E110" s="1"/>
      <c r="F110" s="5">
        <f t="shared" si="89"/>
        <v>0</v>
      </c>
      <c r="G110" s="1"/>
      <c r="H110" s="1">
        <f>SUM(OSRRefH22_22x_0)</f>
        <v>120</v>
      </c>
      <c r="I110" s="1"/>
      <c r="J110" s="5">
        <f t="shared" si="90"/>
        <v>0</v>
      </c>
      <c r="K110" s="1"/>
      <c r="L110" s="1">
        <f t="shared" si="91"/>
        <v>-120</v>
      </c>
      <c r="M110" s="1"/>
      <c r="N110" s="5">
        <f t="shared" si="92"/>
        <v>-1</v>
      </c>
      <c r="O110" s="12"/>
      <c r="P110" s="1">
        <f>SUM(OSRRefP22_22x_0)</f>
        <v>400</v>
      </c>
      <c r="Q110" s="1"/>
      <c r="R110" s="5">
        <f t="shared" si="93"/>
        <v>8.7600133248562687E-4</v>
      </c>
      <c r="S110" s="1"/>
      <c r="T110" s="1">
        <f>SUM(OSRRefT22_22x_0)</f>
        <v>2123.0100000000002</v>
      </c>
      <c r="U110" s="1"/>
      <c r="V110" s="5">
        <f t="shared" si="94"/>
        <v>4.5957149846239645E-4</v>
      </c>
      <c r="W110" s="1"/>
      <c r="X110" s="1">
        <f t="shared" si="95"/>
        <v>-1723.0100000000002</v>
      </c>
      <c r="Y110" s="1"/>
      <c r="Z110" s="5">
        <f t="shared" si="96"/>
        <v>-0.81158826383295413</v>
      </c>
    </row>
    <row r="111" spans="1:26" s="23" customFormat="1" hidden="1" outlineLevel="2" x14ac:dyDescent="0.25">
      <c r="A111" s="27"/>
      <c r="B111" s="10" t="str">
        <f>CONCATENATE("          ", "6376", " - ", "TRAINING")</f>
        <v xml:space="preserve">          6376 - TRAINING</v>
      </c>
      <c r="C111" s="10"/>
      <c r="D111" s="6"/>
      <c r="E111" s="2"/>
      <c r="F111" s="7">
        <f t="shared" si="89"/>
        <v>0</v>
      </c>
      <c r="G111" s="2"/>
      <c r="H111" s="6">
        <v>120</v>
      </c>
      <c r="I111" s="2"/>
      <c r="J111" s="7">
        <f t="shared" si="90"/>
        <v>0</v>
      </c>
      <c r="K111" s="2"/>
      <c r="L111" s="6">
        <f t="shared" si="91"/>
        <v>-120</v>
      </c>
      <c r="M111" s="2"/>
      <c r="N111" s="7">
        <f t="shared" si="92"/>
        <v>-1</v>
      </c>
      <c r="O111" s="10"/>
      <c r="P111" s="6">
        <v>400</v>
      </c>
      <c r="Q111" s="2"/>
      <c r="R111" s="7">
        <f t="shared" si="93"/>
        <v>8.7600133248562687E-4</v>
      </c>
      <c r="S111" s="2"/>
      <c r="T111" s="6">
        <v>2123.0100000000002</v>
      </c>
      <c r="U111" s="2"/>
      <c r="V111" s="7">
        <f t="shared" si="94"/>
        <v>4.5957149846239645E-4</v>
      </c>
      <c r="W111" s="2"/>
      <c r="X111" s="6">
        <f t="shared" si="95"/>
        <v>-1723.0100000000002</v>
      </c>
      <c r="Y111" s="2"/>
      <c r="Z111" s="7">
        <f t="shared" si="96"/>
        <v>-0.81158826383295413</v>
      </c>
    </row>
    <row r="112" spans="1:26" s="26" customFormat="1" outlineLevel="1" collapsed="1" x14ac:dyDescent="0.25">
      <c r="A112" s="25"/>
      <c r="B112" s="12" t="str">
        <f>CONCATENATE("     ","Travel                                            ")</f>
        <v xml:space="preserve">     Travel                                            </v>
      </c>
      <c r="C112" s="12"/>
      <c r="D112" s="1">
        <f>SUM(OSRRefD22_23x_0)</f>
        <v>0</v>
      </c>
      <c r="E112" s="1"/>
      <c r="F112" s="5">
        <f t="shared" si="89"/>
        <v>0</v>
      </c>
      <c r="G112" s="1"/>
      <c r="H112" s="1">
        <f>SUM(OSRRefH22_23x_0)</f>
        <v>1737.4299999999998</v>
      </c>
      <c r="I112" s="1"/>
      <c r="J112" s="5">
        <f t="shared" si="90"/>
        <v>0</v>
      </c>
      <c r="K112" s="1"/>
      <c r="L112" s="1">
        <f t="shared" si="91"/>
        <v>-1737.4299999999998</v>
      </c>
      <c r="M112" s="1"/>
      <c r="N112" s="5">
        <f t="shared" si="92"/>
        <v>-1</v>
      </c>
      <c r="O112" s="12"/>
      <c r="P112" s="1">
        <f>SUM(OSRRefP22_23x_0)</f>
        <v>332.21</v>
      </c>
      <c r="Q112" s="1"/>
      <c r="R112" s="5">
        <f t="shared" si="93"/>
        <v>7.2754100666262516E-4</v>
      </c>
      <c r="S112" s="1"/>
      <c r="T112" s="1">
        <f>SUM(OSRRefT22_23x_0)</f>
        <v>6341.32</v>
      </c>
      <c r="U112" s="1"/>
      <c r="V112" s="5">
        <f t="shared" si="94"/>
        <v>1.3727160656942566E-3</v>
      </c>
      <c r="W112" s="1"/>
      <c r="X112" s="1">
        <f t="shared" si="95"/>
        <v>-6009.11</v>
      </c>
      <c r="Y112" s="1"/>
      <c r="Z112" s="5">
        <f t="shared" si="96"/>
        <v>-0.94761185368346024</v>
      </c>
    </row>
    <row r="113" spans="1:26" s="23" customFormat="1" hidden="1" outlineLevel="2" x14ac:dyDescent="0.25">
      <c r="A113" s="27"/>
      <c r="B113" s="10" t="str">
        <f>CONCATENATE("          ", "6292", " - ", "TRAVEL/CONFERENCE")</f>
        <v xml:space="preserve">          6292 - TRAVEL/CONFERENCE</v>
      </c>
      <c r="C113" s="10"/>
      <c r="D113" s="6"/>
      <c r="E113" s="2"/>
      <c r="F113" s="7">
        <f t="shared" si="89"/>
        <v>0</v>
      </c>
      <c r="G113" s="2"/>
      <c r="H113" s="6">
        <v>1547.08</v>
      </c>
      <c r="I113" s="2"/>
      <c r="J113" s="7">
        <f t="shared" si="90"/>
        <v>0</v>
      </c>
      <c r="K113" s="2"/>
      <c r="L113" s="6">
        <f t="shared" si="91"/>
        <v>-1547.08</v>
      </c>
      <c r="M113" s="2"/>
      <c r="N113" s="7">
        <f t="shared" si="92"/>
        <v>-1</v>
      </c>
      <c r="O113" s="10"/>
      <c r="P113" s="6"/>
      <c r="Q113" s="2"/>
      <c r="R113" s="7">
        <f t="shared" si="93"/>
        <v>0</v>
      </c>
      <c r="S113" s="2"/>
      <c r="T113" s="6">
        <v>4995.68</v>
      </c>
      <c r="U113" s="2"/>
      <c r="V113" s="7">
        <f t="shared" si="94"/>
        <v>1.0814231414070705E-3</v>
      </c>
      <c r="W113" s="2"/>
      <c r="X113" s="6">
        <f t="shared" si="95"/>
        <v>-4995.68</v>
      </c>
      <c r="Y113" s="2"/>
      <c r="Z113" s="7">
        <f t="shared" si="96"/>
        <v>-1</v>
      </c>
    </row>
    <row r="114" spans="1:26" s="23" customFormat="1" hidden="1" outlineLevel="2" x14ac:dyDescent="0.25">
      <c r="A114" s="27"/>
      <c r="B114" s="10" t="str">
        <f>CONCATENATE("          ", "6294", " - ", "TRAVEL OPERATIONAL")</f>
        <v xml:space="preserve">          6294 - TRAVEL OPERATIONAL</v>
      </c>
      <c r="C114" s="10"/>
      <c r="D114" s="6"/>
      <c r="E114" s="2"/>
      <c r="F114" s="7">
        <f t="shared" si="89"/>
        <v>0</v>
      </c>
      <c r="G114" s="2"/>
      <c r="H114" s="6"/>
      <c r="I114" s="2"/>
      <c r="J114" s="7">
        <f t="shared" si="90"/>
        <v>0</v>
      </c>
      <c r="K114" s="2"/>
      <c r="L114" s="6">
        <f t="shared" si="91"/>
        <v>0</v>
      </c>
      <c r="M114" s="2"/>
      <c r="N114" s="7">
        <f t="shared" si="92"/>
        <v>0</v>
      </c>
      <c r="O114" s="10"/>
      <c r="P114" s="6"/>
      <c r="Q114" s="2"/>
      <c r="R114" s="7">
        <f t="shared" si="93"/>
        <v>0</v>
      </c>
      <c r="S114" s="2"/>
      <c r="T114" s="6">
        <v>56.99</v>
      </c>
      <c r="U114" s="2"/>
      <c r="V114" s="7">
        <f t="shared" si="94"/>
        <v>1.2336719891744256E-5</v>
      </c>
      <c r="W114" s="2"/>
      <c r="X114" s="6">
        <f t="shared" si="95"/>
        <v>-56.99</v>
      </c>
      <c r="Y114" s="2"/>
      <c r="Z114" s="7">
        <f t="shared" si="96"/>
        <v>-1</v>
      </c>
    </row>
    <row r="115" spans="1:26" s="23" customFormat="1" hidden="1" outlineLevel="2" x14ac:dyDescent="0.25">
      <c r="A115" s="27"/>
      <c r="B115" s="10" t="str">
        <f>CONCATENATE("          ", "6298", " - ", "VEHICLE MILEAGE")</f>
        <v xml:space="preserve">          6298 - VEHICLE MILEAGE</v>
      </c>
      <c r="C115" s="10"/>
      <c r="D115" s="6"/>
      <c r="E115" s="2"/>
      <c r="F115" s="7">
        <f t="shared" si="89"/>
        <v>0</v>
      </c>
      <c r="G115" s="2"/>
      <c r="H115" s="6">
        <v>190.35</v>
      </c>
      <c r="I115" s="2"/>
      <c r="J115" s="7">
        <f t="shared" si="90"/>
        <v>0</v>
      </c>
      <c r="K115" s="2"/>
      <c r="L115" s="6">
        <f t="shared" si="91"/>
        <v>-190.35</v>
      </c>
      <c r="M115" s="2"/>
      <c r="N115" s="7">
        <f t="shared" si="92"/>
        <v>-1</v>
      </c>
      <c r="O115" s="10"/>
      <c r="P115" s="6">
        <v>332.21</v>
      </c>
      <c r="Q115" s="2"/>
      <c r="R115" s="7">
        <f t="shared" si="93"/>
        <v>7.2754100666262516E-4</v>
      </c>
      <c r="S115" s="2"/>
      <c r="T115" s="6">
        <v>1288.6500000000001</v>
      </c>
      <c r="U115" s="2"/>
      <c r="V115" s="7">
        <f t="shared" si="94"/>
        <v>2.7895620439544194E-4</v>
      </c>
      <c r="W115" s="2"/>
      <c r="X115" s="6">
        <f t="shared" si="95"/>
        <v>-956.44</v>
      </c>
      <c r="Y115" s="2"/>
      <c r="Z115" s="7">
        <f t="shared" si="96"/>
        <v>-0.74220308074341368</v>
      </c>
    </row>
    <row r="116" spans="1:26" s="26" customFormat="1" outlineLevel="1" collapsed="1" x14ac:dyDescent="0.25">
      <c r="A116" s="25"/>
      <c r="B116" s="12" t="str">
        <f>CONCATENATE("     ","Utilities                                         ")</f>
        <v xml:space="preserve">     Utilities                                         </v>
      </c>
      <c r="C116" s="12"/>
      <c r="D116" s="1">
        <f>SUM(OSRRefD22_24x_0)</f>
        <v>3648</v>
      </c>
      <c r="E116" s="1"/>
      <c r="F116" s="5">
        <f t="shared" ref="F116:F117" si="97">IF(D$12=0,0,D116/D$12)</f>
        <v>4.9912837245156175E-2</v>
      </c>
      <c r="G116" s="1"/>
      <c r="H116" s="1">
        <f>SUM(OSRRefH22_24x_0)</f>
        <v>15583</v>
      </c>
      <c r="I116" s="1"/>
      <c r="J116" s="5">
        <f t="shared" ref="J116:J117" si="98">IF(H$12=0,0,H116/H$12)</f>
        <v>0</v>
      </c>
      <c r="K116" s="1"/>
      <c r="L116" s="1">
        <f t="shared" ref="L116:L117" si="99">+D116-H116</f>
        <v>-11935</v>
      </c>
      <c r="M116" s="1"/>
      <c r="N116" s="5">
        <f t="shared" ref="N116:N117" si="100">IF(H116=0,0,L116/H116)</f>
        <v>-0.76589873580183532</v>
      </c>
      <c r="O116" s="12"/>
      <c r="P116" s="1">
        <f>SUM(OSRRefP22_24x_0)</f>
        <v>2188</v>
      </c>
      <c r="Q116" s="1"/>
      <c r="R116" s="5">
        <f t="shared" ref="R116:R117" si="101">IF(P$12=0,0,P116/P$12)</f>
        <v>4.7917272886963793E-3</v>
      </c>
      <c r="S116" s="1"/>
      <c r="T116" s="1">
        <f>SUM(OSRRefT22_24x_0)</f>
        <v>159219</v>
      </c>
      <c r="U116" s="1"/>
      <c r="V116" s="5">
        <f t="shared" ref="V116:V117" si="102">IF(T$12=0,0,T116/T$12)</f>
        <v>3.4466401200976111E-2</v>
      </c>
      <c r="W116" s="1"/>
      <c r="X116" s="1">
        <f t="shared" ref="X116:X117" si="103">+P116-T116</f>
        <v>-157031</v>
      </c>
      <c r="Y116" s="1"/>
      <c r="Z116" s="5">
        <f t="shared" ref="Z116:Z117" si="104">IF(T116=0,0,X116/T116)</f>
        <v>-0.98625792147922042</v>
      </c>
    </row>
    <row r="117" spans="1:26" s="23" customFormat="1" hidden="1" outlineLevel="2" x14ac:dyDescent="0.25">
      <c r="A117" s="27"/>
      <c r="B117" s="10" t="str">
        <f>CONCATENATE("          ", "6274", " - ", "UTILITIES")</f>
        <v xml:space="preserve">          6274 - UTILITIES</v>
      </c>
      <c r="C117" s="10"/>
      <c r="D117" s="6">
        <v>3648</v>
      </c>
      <c r="E117" s="2"/>
      <c r="F117" s="7">
        <f t="shared" si="97"/>
        <v>4.9912837245156175E-2</v>
      </c>
      <c r="G117" s="2"/>
      <c r="H117" s="6">
        <v>15583</v>
      </c>
      <c r="I117" s="2"/>
      <c r="J117" s="7">
        <f t="shared" si="98"/>
        <v>0</v>
      </c>
      <c r="K117" s="2"/>
      <c r="L117" s="6">
        <f t="shared" si="99"/>
        <v>-11935</v>
      </c>
      <c r="M117" s="2"/>
      <c r="N117" s="7">
        <f t="shared" si="100"/>
        <v>-0.76589873580183532</v>
      </c>
      <c r="O117" s="10"/>
      <c r="P117" s="6">
        <v>2188</v>
      </c>
      <c r="Q117" s="2"/>
      <c r="R117" s="7">
        <f t="shared" si="101"/>
        <v>4.7917272886963793E-3</v>
      </c>
      <c r="S117" s="2"/>
      <c r="T117" s="6">
        <v>159219</v>
      </c>
      <c r="U117" s="2"/>
      <c r="V117" s="7">
        <f t="shared" si="102"/>
        <v>3.4466401200976111E-2</v>
      </c>
      <c r="W117" s="2"/>
      <c r="X117" s="6">
        <f t="shared" si="103"/>
        <v>-157031</v>
      </c>
      <c r="Y117" s="2"/>
      <c r="Z117" s="7">
        <f t="shared" si="104"/>
        <v>-0.98625792147922042</v>
      </c>
    </row>
    <row r="118" spans="1:26" s="62" customFormat="1" x14ac:dyDescent="0.25">
      <c r="A118" s="37"/>
      <c r="B118" s="37"/>
      <c r="C118" s="37"/>
      <c r="D118" s="1"/>
      <c r="E118" s="1"/>
      <c r="F118" s="5"/>
      <c r="G118" s="1"/>
      <c r="H118" s="1"/>
      <c r="I118" s="1"/>
      <c r="J118" s="5"/>
      <c r="K118" s="1"/>
      <c r="L118" s="1"/>
      <c r="M118" s="1"/>
      <c r="N118" s="5"/>
      <c r="O118" s="37"/>
      <c r="P118" s="1"/>
      <c r="Q118" s="1"/>
      <c r="R118" s="5"/>
      <c r="S118" s="1"/>
      <c r="T118" s="1"/>
      <c r="U118" s="1"/>
      <c r="V118" s="5"/>
      <c r="W118" s="1"/>
      <c r="X118" s="1"/>
      <c r="Y118" s="1"/>
      <c r="Z118" s="5"/>
    </row>
    <row r="119" spans="1:26" s="24" customFormat="1" collapsed="1" x14ac:dyDescent="0.25">
      <c r="A119" s="11"/>
      <c r="B119" s="28" t="s">
        <v>292</v>
      </c>
      <c r="C119" s="11"/>
      <c r="D119" s="4">
        <f>SUM(OSRRefD25x_0)</f>
        <v>1579.7400000000002</v>
      </c>
      <c r="E119" s="4"/>
      <c r="F119" s="13">
        <f t="shared" ref="F119:F122" si="105">IF(D$12=0,0,D119/D$12)</f>
        <v>2.1614392957692716E-2</v>
      </c>
      <c r="G119" s="4"/>
      <c r="H119" s="4">
        <f>SUM(OSRRefH25x_0)</f>
        <v>24358.23</v>
      </c>
      <c r="I119" s="4"/>
      <c r="J119" s="13">
        <f t="shared" ref="J119:J122" si="106">IF(H$12=0,0,H119/H$12)</f>
        <v>0</v>
      </c>
      <c r="K119" s="4"/>
      <c r="L119" s="4">
        <f t="shared" ref="L119:L122" si="107">+D119-H119</f>
        <v>-22778.489999999998</v>
      </c>
      <c r="M119" s="4"/>
      <c r="N119" s="13">
        <f t="shared" ref="N119:N122" si="108">IF(H119=0,0,L119/H119)</f>
        <v>-0.93514553397352762</v>
      </c>
      <c r="O119" s="11"/>
      <c r="P119" s="4">
        <f>SUM(OSRRefP25x_0)</f>
        <v>22445.4</v>
      </c>
      <c r="Q119" s="4"/>
      <c r="R119" s="13">
        <f t="shared" ref="R119:R122" si="109">IF(P$12=0,0,P119/P$12)</f>
        <v>4.9155500770432223E-2</v>
      </c>
      <c r="S119" s="4"/>
      <c r="T119" s="4">
        <f>SUM(OSRRefT25x_0)</f>
        <v>680573.99</v>
      </c>
      <c r="U119" s="4"/>
      <c r="V119" s="13">
        <f t="shared" ref="V119:V122" si="110">IF(T$12=0,0,T119/T$12)</f>
        <v>0.14732498122893062</v>
      </c>
      <c r="W119" s="4"/>
      <c r="X119" s="4">
        <f t="shared" ref="X119:X122" si="111">+P119-T119</f>
        <v>-658128.59</v>
      </c>
      <c r="Y119" s="4"/>
      <c r="Z119" s="13">
        <f t="shared" ref="Z119:Z122" si="112">IF(T119=0,0,X119/T119)</f>
        <v>-0.96701989742511318</v>
      </c>
    </row>
    <row r="120" spans="1:26" s="23" customFormat="1" hidden="1" outlineLevel="1" x14ac:dyDescent="0.25">
      <c r="A120" s="44"/>
      <c r="B120" s="10" t="str">
        <f>CONCATENATE("          ", "9150", " - ", "MISC. INCOME")</f>
        <v xml:space="preserve">          9150 - MISC. INCOME</v>
      </c>
      <c r="C120" s="10"/>
      <c r="D120" s="2">
        <f>--496.99</f>
        <v>496.99</v>
      </c>
      <c r="E120" s="2"/>
      <c r="F120" s="19">
        <f t="shared" si="105"/>
        <v>6.7999399622999364E-3</v>
      </c>
      <c r="G120" s="2"/>
      <c r="H120" s="2">
        <f>--20725.38</f>
        <v>20725.38</v>
      </c>
      <c r="I120" s="2"/>
      <c r="J120" s="19">
        <f t="shared" si="106"/>
        <v>0</v>
      </c>
      <c r="K120" s="2"/>
      <c r="L120" s="2">
        <f t="shared" si="107"/>
        <v>-20228.39</v>
      </c>
      <c r="M120" s="2"/>
      <c r="N120" s="19">
        <f t="shared" si="108"/>
        <v>-0.97602022254839227</v>
      </c>
      <c r="O120" s="10"/>
      <c r="P120" s="2">
        <f>--5341.48</f>
        <v>5341.48</v>
      </c>
      <c r="Q120" s="2"/>
      <c r="R120" s="19">
        <f t="shared" si="109"/>
        <v>1.1697858993613315E-2</v>
      </c>
      <c r="S120" s="2"/>
      <c r="T120" s="2">
        <f>--313984.54</f>
        <v>313984.53999999998</v>
      </c>
      <c r="U120" s="2"/>
      <c r="V120" s="19">
        <f t="shared" si="110"/>
        <v>6.7968754523919456E-2</v>
      </c>
      <c r="W120" s="2"/>
      <c r="X120" s="2">
        <f t="shared" si="111"/>
        <v>-308643.06</v>
      </c>
      <c r="Y120" s="2"/>
      <c r="Z120" s="19">
        <f t="shared" si="112"/>
        <v>-0.98298807960417423</v>
      </c>
    </row>
    <row r="121" spans="1:26" s="23" customFormat="1" hidden="1" outlineLevel="1" x14ac:dyDescent="0.25">
      <c r="A121" s="44"/>
      <c r="B121" s="10" t="str">
        <f>CONCATENATE("          ", "9160", " - ", "MISC. INCOME")</f>
        <v xml:space="preserve">          9160 - MISC. INCOME</v>
      </c>
      <c r="C121" s="10"/>
      <c r="D121" s="2">
        <f>--732.1</f>
        <v>732.1</v>
      </c>
      <c r="E121" s="2"/>
      <c r="F121" s="19">
        <f t="shared" si="105"/>
        <v>1.0016773066660866E-2</v>
      </c>
      <c r="G121" s="2"/>
      <c r="H121" s="2">
        <f>0</f>
        <v>0</v>
      </c>
      <c r="I121" s="2"/>
      <c r="J121" s="19">
        <f t="shared" si="106"/>
        <v>0</v>
      </c>
      <c r="K121" s="2"/>
      <c r="L121" s="2">
        <f t="shared" si="107"/>
        <v>732.1</v>
      </c>
      <c r="M121" s="2"/>
      <c r="N121" s="19">
        <f t="shared" si="108"/>
        <v>0</v>
      </c>
      <c r="O121" s="10"/>
      <c r="P121" s="2">
        <f>--13615.06</f>
        <v>13615.06</v>
      </c>
      <c r="Q121" s="2"/>
      <c r="R121" s="19">
        <f t="shared" si="109"/>
        <v>2.9817026754679395E-2</v>
      </c>
      <c r="S121" s="2"/>
      <c r="T121" s="2">
        <f>--130089.32</f>
        <v>130089.32</v>
      </c>
      <c r="U121" s="2"/>
      <c r="V121" s="19">
        <f t="shared" si="110"/>
        <v>2.8160651022064994E-2</v>
      </c>
      <c r="W121" s="2"/>
      <c r="X121" s="2">
        <f t="shared" si="111"/>
        <v>-116474.26000000001</v>
      </c>
      <c r="Y121" s="2"/>
      <c r="Z121" s="19">
        <f t="shared" si="112"/>
        <v>-0.89534067823553853</v>
      </c>
    </row>
    <row r="122" spans="1:26" s="23" customFormat="1" hidden="1" outlineLevel="1" x14ac:dyDescent="0.25">
      <c r="A122" s="44"/>
      <c r="B122" s="10" t="str">
        <f>CONCATENATE("          ", "9165", " - ", "OTHER INCOME")</f>
        <v xml:space="preserve">          9165 - OTHER INCOME</v>
      </c>
      <c r="C122" s="10"/>
      <c r="D122" s="2">
        <f>--350.65</f>
        <v>350.65</v>
      </c>
      <c r="E122" s="2"/>
      <c r="F122" s="19">
        <f t="shared" si="105"/>
        <v>4.7976799287319108E-3</v>
      </c>
      <c r="G122" s="2"/>
      <c r="H122" s="2">
        <f>--3632.85</f>
        <v>3632.85</v>
      </c>
      <c r="I122" s="2"/>
      <c r="J122" s="19">
        <f t="shared" si="106"/>
        <v>0</v>
      </c>
      <c r="K122" s="2"/>
      <c r="L122" s="2">
        <f t="shared" si="107"/>
        <v>-3282.2</v>
      </c>
      <c r="M122" s="2"/>
      <c r="N122" s="19">
        <f t="shared" si="108"/>
        <v>-0.9034779856035895</v>
      </c>
      <c r="O122" s="10"/>
      <c r="P122" s="2">
        <f>--3488.86</f>
        <v>3488.86</v>
      </c>
      <c r="Q122" s="2"/>
      <c r="R122" s="19">
        <f t="shared" si="109"/>
        <v>7.6406150221395106E-3</v>
      </c>
      <c r="S122" s="2"/>
      <c r="T122" s="2">
        <f>--236500.13</f>
        <v>236500.13</v>
      </c>
      <c r="U122" s="2"/>
      <c r="V122" s="19">
        <f t="shared" si="110"/>
        <v>5.1195575682946172E-2</v>
      </c>
      <c r="W122" s="2"/>
      <c r="X122" s="2">
        <f t="shared" si="111"/>
        <v>-233011.27000000002</v>
      </c>
      <c r="Y122" s="2"/>
      <c r="Z122" s="19">
        <f t="shared" si="112"/>
        <v>-0.98524795736898751</v>
      </c>
    </row>
    <row r="123" spans="1:26" x14ac:dyDescent="0.25">
      <c r="A123" s="9"/>
      <c r="B123" s="11"/>
      <c r="C123" s="11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1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4" customFormat="1" x14ac:dyDescent="0.25">
      <c r="A124" s="11"/>
      <c r="B124" s="29" t="s">
        <v>276</v>
      </c>
      <c r="C124" s="29"/>
      <c r="D124" s="20">
        <f>+D28-D30+D119</f>
        <v>-50865.850000000028</v>
      </c>
      <c r="E124" s="14"/>
      <c r="F124" s="22">
        <f>IF(D$12=0,0,D124/D$12)</f>
        <v>-0.69595912620244749</v>
      </c>
      <c r="G124" s="14"/>
      <c r="H124" s="20">
        <f>+H28-H30+H119</f>
        <v>-168000.25999999998</v>
      </c>
      <c r="I124" s="14"/>
      <c r="J124" s="22">
        <f>IF(H$12=0,0,H124/H$12)</f>
        <v>0</v>
      </c>
      <c r="K124" s="16"/>
      <c r="L124" s="20">
        <f>+D124-H124</f>
        <v>117134.40999999995</v>
      </c>
      <c r="M124" s="16"/>
      <c r="N124" s="22">
        <f>IF(H124=0,0,L124/H124)</f>
        <v>-0.69722755190974084</v>
      </c>
      <c r="O124" s="28"/>
      <c r="P124" s="20">
        <f>+P28-P30+P119</f>
        <v>-648496.28000000038</v>
      </c>
      <c r="Q124" s="14"/>
      <c r="R124" s="22">
        <f>IF(P$12=0,0,P124/P$12)</f>
        <v>-1.4202090134799312</v>
      </c>
      <c r="S124" s="14"/>
      <c r="T124" s="20">
        <f>+T28-T30+T119</f>
        <v>-884198.45000000042</v>
      </c>
      <c r="U124" s="14"/>
      <c r="V124" s="22">
        <f>IF(T$12=0,0,T124/T$12)</f>
        <v>-0.1914039060600885</v>
      </c>
      <c r="W124" s="16"/>
      <c r="X124" s="20">
        <f>+P124-T124</f>
        <v>235702.17000000004</v>
      </c>
      <c r="Y124" s="16"/>
      <c r="Z124" s="22">
        <f>IF(T124=0,0,X124/T124)</f>
        <v>-0.26657157112184482</v>
      </c>
    </row>
    <row r="125" spans="1:26" x14ac:dyDescent="0.25">
      <c r="A125" s="9"/>
      <c r="B125" s="11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4" customFormat="1" x14ac:dyDescent="0.25">
      <c r="A126" s="51"/>
      <c r="B126" s="11" t="s">
        <v>127</v>
      </c>
      <c r="C126" s="11"/>
      <c r="D126" s="4">
        <v>16483.939999999999</v>
      </c>
      <c r="E126" s="4"/>
      <c r="F126" s="13">
        <f>IF(D$12=0,0,D126/D$12)</f>
        <v>0.22553733946790561</v>
      </c>
      <c r="G126" s="4"/>
      <c r="H126" s="4">
        <v>29520.799999999999</v>
      </c>
      <c r="I126" s="4"/>
      <c r="J126" s="13">
        <f>IF(H$12=0,0,H126/H$12)</f>
        <v>0</v>
      </c>
      <c r="K126" s="4"/>
      <c r="L126" s="4">
        <f>+D126-H126</f>
        <v>-13036.86</v>
      </c>
      <c r="M126" s="4"/>
      <c r="N126" s="13">
        <f>IF(H126=0,0,L126/H126)</f>
        <v>-0.44161608086501725</v>
      </c>
      <c r="O126" s="11"/>
      <c r="P126" s="4">
        <v>95526.82</v>
      </c>
      <c r="Q126" s="4"/>
      <c r="R126" s="13">
        <f>IF(P$12=0,0,P126/P$12)</f>
        <v>0.20920405402028658</v>
      </c>
      <c r="S126" s="4"/>
      <c r="T126" s="4">
        <v>524515.97</v>
      </c>
      <c r="U126" s="4"/>
      <c r="V126" s="13">
        <f>IF(T$12=0,0,T126/T$12)</f>
        <v>0.11354284261513481</v>
      </c>
      <c r="W126" s="4"/>
      <c r="X126" s="4">
        <f>+P126-T126</f>
        <v>-428989.14999999997</v>
      </c>
      <c r="Y126" s="4"/>
      <c r="Z126" s="13">
        <f>IF(T126=0,0,X126/T126)</f>
        <v>-0.81787624121339908</v>
      </c>
    </row>
    <row r="127" spans="1:26" x14ac:dyDescent="0.25">
      <c r="A127" s="9"/>
      <c r="B127" s="11"/>
      <c r="C127" s="11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1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4" customFormat="1" ht="15.75" thickBot="1" x14ac:dyDescent="0.3">
      <c r="A128" s="11"/>
      <c r="B128" s="29" t="s">
        <v>125</v>
      </c>
      <c r="C128" s="29"/>
      <c r="D128" s="30">
        <f>+D124-D126</f>
        <v>-67349.790000000023</v>
      </c>
      <c r="E128" s="14"/>
      <c r="F128" s="34">
        <f>IF(D$12=0,0,D128/D$12)</f>
        <v>-0.92149646567035304</v>
      </c>
      <c r="G128" s="14"/>
      <c r="H128" s="30">
        <f>+H124-H126</f>
        <v>-197521.05999999997</v>
      </c>
      <c r="I128" s="14"/>
      <c r="J128" s="34">
        <f>IF(H$12=0,0,H128/H$12)</f>
        <v>0</v>
      </c>
      <c r="K128" s="16"/>
      <c r="L128" s="30">
        <f>D128-H128</f>
        <v>130171.26999999995</v>
      </c>
      <c r="M128" s="16"/>
      <c r="N128" s="34">
        <f>IF(H128=0,0,L128/H128)</f>
        <v>-0.65902476424539225</v>
      </c>
      <c r="O128" s="28"/>
      <c r="P128" s="30">
        <f>+P124-P126</f>
        <v>-744023.10000000033</v>
      </c>
      <c r="Q128" s="14"/>
      <c r="R128" s="34">
        <f>IF(P$12=0,0,P128/P$12)</f>
        <v>-1.6294130675002176</v>
      </c>
      <c r="S128" s="14"/>
      <c r="T128" s="30">
        <f>+T124-T126</f>
        <v>-1408714.4200000004</v>
      </c>
      <c r="U128" s="14"/>
      <c r="V128" s="34">
        <f>IF(T$12=0,0,T128/T$12)</f>
        <v>-0.30494674867522331</v>
      </c>
      <c r="W128" s="16"/>
      <c r="X128" s="30">
        <f>P128-T128</f>
        <v>664691.32000000007</v>
      </c>
      <c r="Y128" s="16"/>
      <c r="Z128" s="34">
        <f>IF(T128=0,0,X128/T128)</f>
        <v>-0.47184249026143987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4" customFormat="1" ht="15.75" thickBot="1" x14ac:dyDescent="0.3">
      <c r="A131" s="11"/>
      <c r="B131" s="29" t="s">
        <v>293</v>
      </c>
      <c r="C131" s="29"/>
      <c r="D131" s="32">
        <f>SUM(D128:D130)</f>
        <v>-67349.790000000023</v>
      </c>
      <c r="E131" s="14"/>
      <c r="F131" s="35">
        <f>IF(D$12=0,0,D131/D$12)</f>
        <v>-0.92149646567035304</v>
      </c>
      <c r="G131" s="14"/>
      <c r="H131" s="32">
        <f>SUM(H128:H130)</f>
        <v>-197521.05999999997</v>
      </c>
      <c r="I131" s="14"/>
      <c r="J131" s="35">
        <f>IF(H$12=0,0,H131/H$12)</f>
        <v>0</v>
      </c>
      <c r="K131" s="16"/>
      <c r="L131" s="32">
        <f>+D131-H131</f>
        <v>130171.26999999995</v>
      </c>
      <c r="M131" s="16"/>
      <c r="N131" s="35">
        <f>IF(H131=0,0,L131/H131)</f>
        <v>-0.65902476424539225</v>
      </c>
      <c r="O131" s="28"/>
      <c r="P131" s="32">
        <f>SUM(P128:P130)</f>
        <v>-744023.10000000033</v>
      </c>
      <c r="Q131" s="14"/>
      <c r="R131" s="35">
        <f>IF(P$12=0,0,P131/P$12)</f>
        <v>-1.6294130675002176</v>
      </c>
      <c r="S131" s="14"/>
      <c r="T131" s="32">
        <f>SUM(T128:T130)</f>
        <v>-1408714.4200000004</v>
      </c>
      <c r="U131" s="14"/>
      <c r="V131" s="35">
        <f>IF(T$12=0,0,T131/T$12)</f>
        <v>-0.30494674867522331</v>
      </c>
      <c r="W131" s="16"/>
      <c r="X131" s="32">
        <f>+P131-T131</f>
        <v>664691.32000000007</v>
      </c>
      <c r="Y131" s="16"/>
      <c r="Z131" s="35">
        <f>IF(T131=0,0,X131/T131)</f>
        <v>-0.47184249026143987</v>
      </c>
    </row>
    <row r="132" spans="1:26" ht="15.75" thickTop="1" x14ac:dyDescent="0.25">
      <c r="A132" s="9"/>
      <c r="C132" s="9"/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6" x14ac:dyDescent="0.25">
      <c r="A133" s="9"/>
      <c r="B133" s="59">
        <v>44330.008831828702</v>
      </c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  <row r="134" spans="1:26" x14ac:dyDescent="0.25">
      <c r="A134" s="9"/>
      <c r="B134" s="52" t="s">
        <v>56</v>
      </c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A135" s="9"/>
      <c r="B135" s="55"/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  <row r="136" spans="1:26" x14ac:dyDescent="0.25"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","405", " - ", "Library Starbucks")</f>
        <v>Department 405 - Library Starbucks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721341.64</v>
      </c>
      <c r="U12" s="4"/>
      <c r="V12" s="13"/>
      <c r="W12" s="4"/>
      <c r="X12" s="4">
        <f t="shared" ref="X12:X14" si="2">+P12-T12</f>
        <v>-721341.64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--149614.63</f>
        <v>149614.63</v>
      </c>
      <c r="U13" s="2"/>
      <c r="V13" s="19"/>
      <c r="W13" s="2"/>
      <c r="X13" s="2">
        <f t="shared" si="2"/>
        <v>-149614.63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--571727.01</f>
        <v>571727.01</v>
      </c>
      <c r="U14" s="2"/>
      <c r="V14" s="19"/>
      <c r="W14" s="2"/>
      <c r="X14" s="2">
        <f t="shared" si="2"/>
        <v>-571727.01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8742.23</v>
      </c>
      <c r="I16" s="4"/>
      <c r="J16" s="13">
        <f t="shared" ref="J16:J18" si="8">IF(H$12=0,0,H16/H$12)</f>
        <v>0</v>
      </c>
      <c r="K16" s="4"/>
      <c r="L16" s="4">
        <f t="shared" ref="L16:L18" si="9">+D16-H16</f>
        <v>-8742.23</v>
      </c>
      <c r="M16" s="4"/>
      <c r="N16" s="13">
        <f t="shared" ref="N16:N18" si="10">IF(H16=0,0,L16/H16)</f>
        <v>-1</v>
      </c>
      <c r="O16" s="11"/>
      <c r="P16" s="4">
        <f>SUM(OSRRefP16x_0)</f>
        <v>-2369.5500000000002</v>
      </c>
      <c r="Q16" s="4"/>
      <c r="R16" s="13">
        <f t="shared" ref="R16:R18" si="11">IF(P$12=0,0,P16/P$12)</f>
        <v>0</v>
      </c>
      <c r="S16" s="4"/>
      <c r="T16" s="4">
        <f>SUM(OSRRefT16x_0)</f>
        <v>287790.14</v>
      </c>
      <c r="U16" s="4"/>
      <c r="V16" s="13">
        <f t="shared" ref="V16:V18" si="12">IF(T$12=0,0,T16/T$12)</f>
        <v>0.39896510064218671</v>
      </c>
      <c r="W16" s="4"/>
      <c r="X16" s="4">
        <f t="shared" ref="X16:X18" si="13">+P16-T16</f>
        <v>-290159.69</v>
      </c>
      <c r="Y16" s="4"/>
      <c r="Z16" s="13">
        <f t="shared" ref="Z16:Z18" si="14">IF(T16=0,0,X16/T16)</f>
        <v>-1.0082336038336823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>
        <v>258.23</v>
      </c>
      <c r="I17" s="2"/>
      <c r="J17" s="19">
        <f t="shared" si="8"/>
        <v>0</v>
      </c>
      <c r="K17" s="2"/>
      <c r="L17" s="2">
        <f t="shared" si="9"/>
        <v>-258.23</v>
      </c>
      <c r="M17" s="2"/>
      <c r="N17" s="19">
        <f t="shared" si="10"/>
        <v>-1</v>
      </c>
      <c r="O17" s="10"/>
      <c r="P17" s="2">
        <v>-2369.5500000000002</v>
      </c>
      <c r="Q17" s="2"/>
      <c r="R17" s="19">
        <f t="shared" si="11"/>
        <v>0</v>
      </c>
      <c r="S17" s="2"/>
      <c r="T17" s="2">
        <v>288904.14</v>
      </c>
      <c r="U17" s="2"/>
      <c r="V17" s="19">
        <f t="shared" si="12"/>
        <v>0.40050944515001241</v>
      </c>
      <c r="W17" s="2"/>
      <c r="X17" s="2">
        <f t="shared" si="13"/>
        <v>-291273.69</v>
      </c>
      <c r="Y17" s="2"/>
      <c r="Z17" s="19">
        <f t="shared" si="14"/>
        <v>-1.008201855466661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>
        <v>8484</v>
      </c>
      <c r="I18" s="2"/>
      <c r="J18" s="19">
        <f t="shared" si="8"/>
        <v>0</v>
      </c>
      <c r="K18" s="2"/>
      <c r="L18" s="2">
        <f t="shared" si="9"/>
        <v>-8484</v>
      </c>
      <c r="M18" s="2"/>
      <c r="N18" s="19">
        <f t="shared" si="10"/>
        <v>-1</v>
      </c>
      <c r="O18" s="10"/>
      <c r="P18" s="2"/>
      <c r="Q18" s="2"/>
      <c r="R18" s="19">
        <f t="shared" si="11"/>
        <v>0</v>
      </c>
      <c r="S18" s="2"/>
      <c r="T18" s="2">
        <v>-1114</v>
      </c>
      <c r="U18" s="2"/>
      <c r="V18" s="19">
        <f t="shared" si="12"/>
        <v>-1.5443445078257231E-3</v>
      </c>
      <c r="W18" s="2"/>
      <c r="X18" s="2">
        <f t="shared" si="13"/>
        <v>1114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-8742.23</v>
      </c>
      <c r="I20" s="14"/>
      <c r="J20" s="22">
        <f>IF(H$12=0,0,H20/H$12)</f>
        <v>0</v>
      </c>
      <c r="K20" s="16"/>
      <c r="L20" s="20">
        <f>+D20-H20</f>
        <v>8742.23</v>
      </c>
      <c r="M20" s="16"/>
      <c r="N20" s="22">
        <f>IF(H20=0,0,L20/H20)</f>
        <v>-1</v>
      </c>
      <c r="O20" s="28"/>
      <c r="P20" s="20">
        <f>P12-P16</f>
        <v>2369.5500000000002</v>
      </c>
      <c r="Q20" s="14"/>
      <c r="R20" s="22">
        <f>IF(P$12=0,0,P20/P$12)</f>
        <v>0</v>
      </c>
      <c r="S20" s="14"/>
      <c r="T20" s="20">
        <f>T12-T16</f>
        <v>433551.5</v>
      </c>
      <c r="U20" s="14"/>
      <c r="V20" s="22">
        <f>IF(T$12=0,0,T20/T$12)</f>
        <v>0.60103489935781329</v>
      </c>
      <c r="W20" s="16"/>
      <c r="X20" s="20">
        <f>+P20-T20</f>
        <v>-431181.95</v>
      </c>
      <c r="Y20" s="16"/>
      <c r="Z20" s="22">
        <f>IF(T20=0,0,X20/T20)</f>
        <v>-0.99453455933147505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7546.01</v>
      </c>
      <c r="E22" s="21"/>
      <c r="F22" s="31">
        <f t="shared" ref="F22:F31" si="15">IF(D$12=0,0,D22/D$12)</f>
        <v>0</v>
      </c>
      <c r="G22" s="21"/>
      <c r="H22" s="21">
        <f>SUM(OSRRefH22x_0)</f>
        <v>6825.5499999999993</v>
      </c>
      <c r="I22" s="21"/>
      <c r="J22" s="31">
        <f t="shared" ref="J22:J31" si="16">IF(H$12=0,0,H22/H$12)</f>
        <v>0</v>
      </c>
      <c r="K22" s="4"/>
      <c r="L22" s="21">
        <f t="shared" ref="L22:L31" si="17">+D22-H22</f>
        <v>720.46000000000095</v>
      </c>
      <c r="M22" s="4"/>
      <c r="N22" s="31">
        <f t="shared" ref="N22:N31" si="18">IF(H22=0,0,L22/H22)</f>
        <v>0.10555339862721701</v>
      </c>
      <c r="O22" s="11"/>
      <c r="P22" s="21">
        <f>SUM(OSRRefP22x_0)</f>
        <v>74384.429999999993</v>
      </c>
      <c r="Q22" s="21"/>
      <c r="R22" s="31">
        <f t="shared" ref="R22:R31" si="19">IF(P$12=0,0,P22/P$12)</f>
        <v>0</v>
      </c>
      <c r="S22" s="21"/>
      <c r="T22" s="21">
        <f>SUM(OSRRefT22x_0)</f>
        <v>516048.8</v>
      </c>
      <c r="U22" s="21"/>
      <c r="V22" s="31">
        <f t="shared" ref="V22:V31" si="20">IF(T$12=0,0,T22/T$12)</f>
        <v>0.71540137347401711</v>
      </c>
      <c r="W22" s="4"/>
      <c r="X22" s="21">
        <f t="shared" ref="X22:X31" si="21">+P22-T22</f>
        <v>-441664.37</v>
      </c>
      <c r="Y22" s="4"/>
      <c r="Z22" s="31">
        <f t="shared" ref="Z22:Z31" si="22">IF(T22=0,0,X22/T22)</f>
        <v>-0.85585775996378644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-3658.46</v>
      </c>
      <c r="I23" s="1"/>
      <c r="J23" s="5">
        <f t="shared" si="16"/>
        <v>0</v>
      </c>
      <c r="K23" s="1"/>
      <c r="L23" s="1">
        <f t="shared" si="17"/>
        <v>3658.46</v>
      </c>
      <c r="M23" s="1"/>
      <c r="N23" s="5">
        <f t="shared" si="18"/>
        <v>-1</v>
      </c>
      <c r="O23" s="12"/>
      <c r="P23" s="1">
        <f>SUM(OSRRefP22_0x_0)</f>
        <v>0.83</v>
      </c>
      <c r="Q23" s="1"/>
      <c r="R23" s="5">
        <f t="shared" si="19"/>
        <v>0</v>
      </c>
      <c r="S23" s="1"/>
      <c r="T23" s="1">
        <f>SUM(OSRRefT22_0x_0)</f>
        <v>44026.969999999994</v>
      </c>
      <c r="U23" s="1"/>
      <c r="V23" s="5">
        <f t="shared" si="20"/>
        <v>6.1034837805841895E-2</v>
      </c>
      <c r="W23" s="1"/>
      <c r="X23" s="1">
        <f t="shared" si="21"/>
        <v>-44026.139999999992</v>
      </c>
      <c r="Y23" s="1"/>
      <c r="Z23" s="5">
        <f t="shared" si="22"/>
        <v>-0.99998114791910497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/>
      <c r="I24" s="2"/>
      <c r="J24" s="7">
        <f t="shared" si="16"/>
        <v>0</v>
      </c>
      <c r="K24" s="2"/>
      <c r="L24" s="6">
        <f t="shared" si="17"/>
        <v>0</v>
      </c>
      <c r="M24" s="2"/>
      <c r="N24" s="7">
        <f t="shared" si="18"/>
        <v>0</v>
      </c>
      <c r="O24" s="10"/>
      <c r="P24" s="6">
        <v>0.83</v>
      </c>
      <c r="Q24" s="2"/>
      <c r="R24" s="7">
        <f t="shared" si="19"/>
        <v>0</v>
      </c>
      <c r="S24" s="2"/>
      <c r="T24" s="6">
        <v>9200.35</v>
      </c>
      <c r="U24" s="2"/>
      <c r="V24" s="7">
        <f t="shared" si="20"/>
        <v>1.2754497300336079E-2</v>
      </c>
      <c r="W24" s="2"/>
      <c r="X24" s="6">
        <f t="shared" si="21"/>
        <v>-9199.52</v>
      </c>
      <c r="Y24" s="2"/>
      <c r="Z24" s="7">
        <f t="shared" si="22"/>
        <v>-0.99990978604074843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8884.57</v>
      </c>
      <c r="U25" s="2"/>
      <c r="V25" s="7">
        <f t="shared" si="20"/>
        <v>1.2316729698288316E-2</v>
      </c>
      <c r="W25" s="2"/>
      <c r="X25" s="6">
        <f t="shared" si="21"/>
        <v>-8884.57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>
        <v>0</v>
      </c>
      <c r="I26" s="2"/>
      <c r="J26" s="7">
        <f t="shared" si="16"/>
        <v>0</v>
      </c>
      <c r="K26" s="2"/>
      <c r="L26" s="6">
        <f t="shared" si="17"/>
        <v>0</v>
      </c>
      <c r="M26" s="2"/>
      <c r="N26" s="7">
        <f t="shared" si="18"/>
        <v>0</v>
      </c>
      <c r="O26" s="10"/>
      <c r="P26" s="6"/>
      <c r="Q26" s="2"/>
      <c r="R26" s="7">
        <f t="shared" si="19"/>
        <v>0</v>
      </c>
      <c r="S26" s="2"/>
      <c r="T26" s="6">
        <v>12146.21</v>
      </c>
      <c r="U26" s="2"/>
      <c r="V26" s="7">
        <f t="shared" si="20"/>
        <v>1.6838359698741361E-2</v>
      </c>
      <c r="W26" s="2"/>
      <c r="X26" s="6">
        <f t="shared" si="21"/>
        <v>-12146.21</v>
      </c>
      <c r="Y26" s="2"/>
      <c r="Z26" s="7">
        <f t="shared" si="22"/>
        <v>-1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/>
      <c r="I27" s="2"/>
      <c r="J27" s="7">
        <f t="shared" si="16"/>
        <v>0</v>
      </c>
      <c r="K27" s="2"/>
      <c r="L27" s="6">
        <f t="shared" si="17"/>
        <v>0</v>
      </c>
      <c r="M27" s="2"/>
      <c r="N27" s="7">
        <f t="shared" si="18"/>
        <v>0</v>
      </c>
      <c r="O27" s="10"/>
      <c r="P27" s="6"/>
      <c r="Q27" s="2"/>
      <c r="R27" s="7">
        <f t="shared" si="19"/>
        <v>0</v>
      </c>
      <c r="S27" s="2"/>
      <c r="T27" s="6">
        <v>699.48</v>
      </c>
      <c r="U27" s="2"/>
      <c r="V27" s="7">
        <f t="shared" si="20"/>
        <v>9.6969308468037425E-4</v>
      </c>
      <c r="W27" s="2"/>
      <c r="X27" s="6">
        <f t="shared" si="21"/>
        <v>-699.48</v>
      </c>
      <c r="Y27" s="2"/>
      <c r="Z27" s="7">
        <f t="shared" si="22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>
        <v>260.85000000000002</v>
      </c>
      <c r="I28" s="2"/>
      <c r="J28" s="7">
        <f t="shared" si="16"/>
        <v>0</v>
      </c>
      <c r="K28" s="2"/>
      <c r="L28" s="6">
        <f t="shared" si="17"/>
        <v>-260.85000000000002</v>
      </c>
      <c r="M28" s="2"/>
      <c r="N28" s="7">
        <f t="shared" si="18"/>
        <v>-1</v>
      </c>
      <c r="O28" s="10"/>
      <c r="P28" s="6"/>
      <c r="Q28" s="2"/>
      <c r="R28" s="7">
        <f t="shared" si="19"/>
        <v>0</v>
      </c>
      <c r="S28" s="2"/>
      <c r="T28" s="6">
        <v>6335.08</v>
      </c>
      <c r="U28" s="2"/>
      <c r="V28" s="7">
        <f t="shared" si="20"/>
        <v>8.7823572752572555E-3</v>
      </c>
      <c r="W28" s="2"/>
      <c r="X28" s="6">
        <f t="shared" si="21"/>
        <v>-6335.08</v>
      </c>
      <c r="Y28" s="2"/>
      <c r="Z28" s="7">
        <f t="shared" si="22"/>
        <v>-1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0</v>
      </c>
      <c r="M29" s="2"/>
      <c r="N29" s="7">
        <f t="shared" si="18"/>
        <v>0</v>
      </c>
      <c r="O29" s="10"/>
      <c r="P29" s="6"/>
      <c r="Q29" s="2"/>
      <c r="R29" s="7">
        <f t="shared" si="19"/>
        <v>0</v>
      </c>
      <c r="S29" s="2"/>
      <c r="T29" s="6">
        <v>3696.18</v>
      </c>
      <c r="U29" s="2"/>
      <c r="V29" s="7">
        <f t="shared" si="20"/>
        <v>5.1240352629580623E-3</v>
      </c>
      <c r="W29" s="2"/>
      <c r="X29" s="6">
        <f t="shared" si="21"/>
        <v>-3696.18</v>
      </c>
      <c r="Y29" s="2"/>
      <c r="Z29" s="7">
        <f t="shared" si="22"/>
        <v>-1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>
        <v>-3919.31</v>
      </c>
      <c r="I30" s="2"/>
      <c r="J30" s="7">
        <f t="shared" si="16"/>
        <v>0</v>
      </c>
      <c r="K30" s="2"/>
      <c r="L30" s="6">
        <f t="shared" si="17"/>
        <v>3919.31</v>
      </c>
      <c r="M30" s="2"/>
      <c r="N30" s="7">
        <f t="shared" si="18"/>
        <v>-1</v>
      </c>
      <c r="O30" s="10"/>
      <c r="P30" s="6"/>
      <c r="Q30" s="2"/>
      <c r="R30" s="7">
        <f t="shared" si="19"/>
        <v>0</v>
      </c>
      <c r="S30" s="2"/>
      <c r="T30" s="6">
        <v>508.77</v>
      </c>
      <c r="U30" s="2"/>
      <c r="V30" s="7">
        <f t="shared" si="20"/>
        <v>7.0531073181911411E-4</v>
      </c>
      <c r="W30" s="2"/>
      <c r="X30" s="6">
        <f t="shared" si="21"/>
        <v>-508.77</v>
      </c>
      <c r="Y30" s="2"/>
      <c r="Z30" s="7">
        <f t="shared" si="22"/>
        <v>-1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0"/>
      <c r="P31" s="6"/>
      <c r="Q31" s="2"/>
      <c r="R31" s="7">
        <f t="shared" si="19"/>
        <v>0</v>
      </c>
      <c r="S31" s="2"/>
      <c r="T31" s="6">
        <v>2556.33</v>
      </c>
      <c r="U31" s="2"/>
      <c r="V31" s="7">
        <f t="shared" si="20"/>
        <v>3.5438547537613384E-3</v>
      </c>
      <c r="W31" s="2"/>
      <c r="X31" s="6">
        <f t="shared" si="21"/>
        <v>-2556.33</v>
      </c>
      <c r="Y31" s="2"/>
      <c r="Z31" s="7">
        <f t="shared" si="22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6" si="23">IF(D$12=0,0,D32/D$12)</f>
        <v>0</v>
      </c>
      <c r="G32" s="1"/>
      <c r="H32" s="1">
        <f>SUM(OSRRefH22_1x_0)</f>
        <v>0</v>
      </c>
      <c r="I32" s="1"/>
      <c r="J32" s="5">
        <f t="shared" ref="J32:J36" si="24">IF(H$12=0,0,H32/H$12)</f>
        <v>0</v>
      </c>
      <c r="K32" s="1"/>
      <c r="L32" s="1">
        <f t="shared" ref="L32:L36" si="25">+D32-H32</f>
        <v>0</v>
      </c>
      <c r="M32" s="1"/>
      <c r="N32" s="5">
        <f t="shared" ref="N32:N36" si="26">IF(H32=0,0,L32/H32)</f>
        <v>0</v>
      </c>
      <c r="O32" s="12"/>
      <c r="P32" s="1">
        <f>SUM(OSRRefP22_1x_0)</f>
        <v>0</v>
      </c>
      <c r="Q32" s="1"/>
      <c r="R32" s="5">
        <f t="shared" ref="R32:R36" si="27">IF(P$12=0,0,P32/P$12)</f>
        <v>0</v>
      </c>
      <c r="S32" s="1"/>
      <c r="T32" s="1">
        <f>SUM(OSRRefT22_1x_0)</f>
        <v>247791.51</v>
      </c>
      <c r="U32" s="1"/>
      <c r="V32" s="5">
        <f t="shared" ref="V32:V36" si="28">IF(T$12=0,0,T32/T$12)</f>
        <v>0.34351477338809944</v>
      </c>
      <c r="W32" s="1"/>
      <c r="X32" s="1">
        <f t="shared" ref="X32:X36" si="29">+P32-T32</f>
        <v>-247791.51</v>
      </c>
      <c r="Y32" s="1"/>
      <c r="Z32" s="5">
        <f t="shared" ref="Z32:Z36" si="30">IF(T32=0,0,X32/T32)</f>
        <v>-1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/>
      <c r="I33" s="2"/>
      <c r="J33" s="7">
        <f t="shared" si="24"/>
        <v>0</v>
      </c>
      <c r="K33" s="2"/>
      <c r="L33" s="6">
        <f t="shared" si="25"/>
        <v>0</v>
      </c>
      <c r="M33" s="2"/>
      <c r="N33" s="7">
        <f t="shared" si="26"/>
        <v>0</v>
      </c>
      <c r="O33" s="10"/>
      <c r="P33" s="6"/>
      <c r="Q33" s="2"/>
      <c r="R33" s="7">
        <f t="shared" si="27"/>
        <v>0</v>
      </c>
      <c r="S33" s="2"/>
      <c r="T33" s="6">
        <v>97485.84</v>
      </c>
      <c r="U33" s="2"/>
      <c r="V33" s="7">
        <f t="shared" si="28"/>
        <v>0.13514517198813034</v>
      </c>
      <c r="W33" s="2"/>
      <c r="X33" s="6">
        <f t="shared" si="29"/>
        <v>-97485.84</v>
      </c>
      <c r="Y33" s="2"/>
      <c r="Z33" s="7">
        <f t="shared" si="30"/>
        <v>-1</v>
      </c>
    </row>
    <row r="34" spans="1:26" s="23" customFormat="1" hidden="1" outlineLevel="2" x14ac:dyDescent="0.25">
      <c r="A34" s="27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45.5</v>
      </c>
      <c r="U34" s="2"/>
      <c r="V34" s="7">
        <f t="shared" si="28"/>
        <v>6.3076907635610771E-5</v>
      </c>
      <c r="W34" s="2"/>
      <c r="X34" s="6">
        <f t="shared" si="29"/>
        <v>-45.5</v>
      </c>
      <c r="Y34" s="2"/>
      <c r="Z34" s="7">
        <f t="shared" si="30"/>
        <v>-1</v>
      </c>
    </row>
    <row r="35" spans="1:26" s="23" customFormat="1" hidden="1" outlineLevel="2" x14ac:dyDescent="0.25">
      <c r="A35" s="27"/>
      <c r="B35" s="10" t="str">
        <f>CONCATENATE("          ", "6007", " - ", "STUDENT HOURLY")</f>
        <v xml:space="preserve">          6007 - STUDENT HOURLY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142995.32</v>
      </c>
      <c r="U35" s="2"/>
      <c r="V35" s="7">
        <f t="shared" si="28"/>
        <v>0.19823522180141992</v>
      </c>
      <c r="W35" s="2"/>
      <c r="X35" s="6">
        <f t="shared" si="29"/>
        <v>-142995.32</v>
      </c>
      <c r="Y35" s="2"/>
      <c r="Z35" s="7">
        <f t="shared" si="30"/>
        <v>-1</v>
      </c>
    </row>
    <row r="36" spans="1:26" s="23" customFormat="1" hidden="1" outlineLevel="2" x14ac:dyDescent="0.25">
      <c r="A36" s="27"/>
      <c r="B36" s="10" t="str">
        <f>CONCATENATE("          ", "6008", " - ", "STUDENT HOURLY-FICA EXEMPT")</f>
        <v xml:space="preserve">          6008 - STUDENT HOURLY-FICA EXEMPT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7264.85</v>
      </c>
      <c r="U36" s="2"/>
      <c r="V36" s="7">
        <f t="shared" si="28"/>
        <v>1.007130269091356E-2</v>
      </c>
      <c r="W36" s="2"/>
      <c r="X36" s="6">
        <f t="shared" si="29"/>
        <v>-7264.85</v>
      </c>
      <c r="Y36" s="2"/>
      <c r="Z36" s="7">
        <f t="shared" si="30"/>
        <v>-1</v>
      </c>
    </row>
    <row r="37" spans="1:26" s="26" customFormat="1" outlineLevel="1" collapsed="1" x14ac:dyDescent="0.25">
      <c r="A37" s="25"/>
      <c r="B37" s="12" t="str">
        <f>CONCATENATE("     ","Advertising/Promo                                 ")</f>
        <v xml:space="preserve">     Advertising/Promo                                 </v>
      </c>
      <c r="C37" s="12"/>
      <c r="D37" s="1">
        <f>SUM(OSRRefD22_2x_0)</f>
        <v>0</v>
      </c>
      <c r="E37" s="1"/>
      <c r="F37" s="5">
        <f t="shared" ref="F37:F45" si="31">IF(D$12=0,0,D37/D$12)</f>
        <v>0</v>
      </c>
      <c r="G37" s="1"/>
      <c r="H37" s="1">
        <f>SUM(OSRRefH22_2x_0)</f>
        <v>30.68</v>
      </c>
      <c r="I37" s="1"/>
      <c r="J37" s="5">
        <f t="shared" ref="J37:J45" si="32">IF(H$12=0,0,H37/H$12)</f>
        <v>0</v>
      </c>
      <c r="K37" s="1"/>
      <c r="L37" s="1">
        <f t="shared" ref="L37:L45" si="33">+D37-H37</f>
        <v>-30.68</v>
      </c>
      <c r="M37" s="1"/>
      <c r="N37" s="5">
        <f t="shared" ref="N37:N45" si="34">IF(H37=0,0,L37/H37)</f>
        <v>-1</v>
      </c>
      <c r="O37" s="12"/>
      <c r="P37" s="1">
        <f>SUM(OSRRefP22_2x_0)</f>
        <v>0</v>
      </c>
      <c r="Q37" s="1"/>
      <c r="R37" s="5">
        <f t="shared" ref="R37:R45" si="35">IF(P$12=0,0,P37/P$12)</f>
        <v>0</v>
      </c>
      <c r="S37" s="1"/>
      <c r="T37" s="1">
        <f>SUM(OSRRefT22_2x_0)</f>
        <v>1396.3</v>
      </c>
      <c r="U37" s="1"/>
      <c r="V37" s="5">
        <f t="shared" ref="V37:V45" si="36">IF(T$12=0,0,T37/T$12)</f>
        <v>1.9356985962989742E-3</v>
      </c>
      <c r="W37" s="1"/>
      <c r="X37" s="1">
        <f t="shared" ref="X37:X45" si="37">+P37-T37</f>
        <v>-1396.3</v>
      </c>
      <c r="Y37" s="1"/>
      <c r="Z37" s="5">
        <f t="shared" ref="Z37:Z45" si="38">IF(T37=0,0,X37/T37)</f>
        <v>-1</v>
      </c>
    </row>
    <row r="38" spans="1:26" s="23" customFormat="1" hidden="1" outlineLevel="2" x14ac:dyDescent="0.25">
      <c r="A38" s="27"/>
      <c r="B38" s="10" t="str">
        <f>CONCATENATE("          ", "6362", " - ", "ADVERTISING EXPENSE")</f>
        <v xml:space="preserve">          6362 - ADVERTISING EXPENSE</v>
      </c>
      <c r="C38" s="10"/>
      <c r="D38" s="6"/>
      <c r="E38" s="2"/>
      <c r="F38" s="7">
        <f t="shared" si="31"/>
        <v>0</v>
      </c>
      <c r="G38" s="2"/>
      <c r="H38" s="6">
        <v>30.68</v>
      </c>
      <c r="I38" s="2"/>
      <c r="J38" s="7">
        <f t="shared" si="32"/>
        <v>0</v>
      </c>
      <c r="K38" s="2"/>
      <c r="L38" s="6">
        <f t="shared" si="33"/>
        <v>-30.68</v>
      </c>
      <c r="M38" s="2"/>
      <c r="N38" s="7">
        <f t="shared" si="34"/>
        <v>-1</v>
      </c>
      <c r="O38" s="10"/>
      <c r="P38" s="6"/>
      <c r="Q38" s="2"/>
      <c r="R38" s="7">
        <f t="shared" si="35"/>
        <v>0</v>
      </c>
      <c r="S38" s="2"/>
      <c r="T38" s="6">
        <v>1396.3</v>
      </c>
      <c r="U38" s="2"/>
      <c r="V38" s="7">
        <f t="shared" si="36"/>
        <v>1.9356985962989742E-3</v>
      </c>
      <c r="W38" s="2"/>
      <c r="X38" s="6">
        <f t="shared" si="37"/>
        <v>-1396.3</v>
      </c>
      <c r="Y38" s="2"/>
      <c r="Z38" s="7">
        <f t="shared" si="38"/>
        <v>-1</v>
      </c>
    </row>
    <row r="39" spans="1:26" s="26" customFormat="1" outlineLevel="1" collapsed="1" x14ac:dyDescent="0.25">
      <c r="A39" s="25"/>
      <c r="B39" s="12" t="str">
        <f>CONCATENATE("     ","Bad Debts/Over/Short                              ")</f>
        <v xml:space="preserve">     Bad Debts/Over/Short                              </v>
      </c>
      <c r="C39" s="12"/>
      <c r="D39" s="1">
        <f>SUM(OSRRefD22_3x_0)</f>
        <v>0</v>
      </c>
      <c r="E39" s="1"/>
      <c r="F39" s="5">
        <f t="shared" si="31"/>
        <v>0</v>
      </c>
      <c r="G39" s="1"/>
      <c r="H39" s="1">
        <f>SUM(OSRRefH22_3x_0)</f>
        <v>0</v>
      </c>
      <c r="I39" s="1"/>
      <c r="J39" s="5">
        <f t="shared" si="32"/>
        <v>0</v>
      </c>
      <c r="K39" s="1"/>
      <c r="L39" s="1">
        <f t="shared" si="33"/>
        <v>0</v>
      </c>
      <c r="M39" s="1"/>
      <c r="N39" s="5">
        <f t="shared" si="34"/>
        <v>0</v>
      </c>
      <c r="O39" s="12"/>
      <c r="P39" s="1">
        <f>SUM(OSRRefP22_3x_0)</f>
        <v>0</v>
      </c>
      <c r="Q39" s="1"/>
      <c r="R39" s="5">
        <f t="shared" si="35"/>
        <v>0</v>
      </c>
      <c r="S39" s="1"/>
      <c r="T39" s="1">
        <f>SUM(OSRRefT22_3x_0)</f>
        <v>195.92</v>
      </c>
      <c r="U39" s="1"/>
      <c r="V39" s="5">
        <f t="shared" si="36"/>
        <v>2.7160500536195303E-4</v>
      </c>
      <c r="W39" s="1"/>
      <c r="X39" s="1">
        <f t="shared" si="37"/>
        <v>-195.92</v>
      </c>
      <c r="Y39" s="1"/>
      <c r="Z39" s="5">
        <f t="shared" si="38"/>
        <v>-1</v>
      </c>
    </row>
    <row r="40" spans="1:26" s="23" customFormat="1" hidden="1" outlineLevel="2" x14ac:dyDescent="0.25">
      <c r="A40" s="27"/>
      <c r="B40" s="10" t="str">
        <f>CONCATENATE("          ", "6272", " - ", "CASH (OVER/SHORT)")</f>
        <v xml:space="preserve">          6272 - CASH (OVER/SHORT)</v>
      </c>
      <c r="C40" s="10"/>
      <c r="D40" s="6"/>
      <c r="E40" s="2"/>
      <c r="F40" s="7">
        <f t="shared" si="31"/>
        <v>0</v>
      </c>
      <c r="G40" s="2"/>
      <c r="H40" s="6"/>
      <c r="I40" s="2"/>
      <c r="J40" s="7">
        <f t="shared" si="32"/>
        <v>0</v>
      </c>
      <c r="K40" s="2"/>
      <c r="L40" s="6">
        <f t="shared" si="33"/>
        <v>0</v>
      </c>
      <c r="M40" s="2"/>
      <c r="N40" s="7">
        <f t="shared" si="34"/>
        <v>0</v>
      </c>
      <c r="O40" s="10"/>
      <c r="P40" s="6"/>
      <c r="Q40" s="2"/>
      <c r="R40" s="7">
        <f t="shared" si="35"/>
        <v>0</v>
      </c>
      <c r="S40" s="2"/>
      <c r="T40" s="6">
        <v>195.92</v>
      </c>
      <c r="U40" s="2"/>
      <c r="V40" s="7">
        <f t="shared" si="36"/>
        <v>2.7160500536195303E-4</v>
      </c>
      <c r="W40" s="2"/>
      <c r="X40" s="6">
        <f t="shared" si="37"/>
        <v>-195.92</v>
      </c>
      <c r="Y40" s="2"/>
      <c r="Z40" s="7">
        <f t="shared" si="38"/>
        <v>-1</v>
      </c>
    </row>
    <row r="41" spans="1:26" s="26" customFormat="1" outlineLevel="1" collapsed="1" x14ac:dyDescent="0.25">
      <c r="A41" s="25"/>
      <c r="B41" s="12" t="str">
        <f>CONCATENATE("     ","Bank/card Fees                                    ")</f>
        <v xml:space="preserve">     Bank/card Fees                                    </v>
      </c>
      <c r="C41" s="12"/>
      <c r="D41" s="1">
        <f>SUM(OSRRefD22_4x_0)</f>
        <v>0</v>
      </c>
      <c r="E41" s="1"/>
      <c r="F41" s="5">
        <f t="shared" si="31"/>
        <v>0</v>
      </c>
      <c r="G41" s="1"/>
      <c r="H41" s="1">
        <f>SUM(OSRRefH22_4x_0)</f>
        <v>587.94000000000005</v>
      </c>
      <c r="I41" s="1"/>
      <c r="J41" s="5">
        <f t="shared" si="32"/>
        <v>0</v>
      </c>
      <c r="K41" s="1"/>
      <c r="L41" s="1">
        <f t="shared" si="33"/>
        <v>-587.94000000000005</v>
      </c>
      <c r="M41" s="1"/>
      <c r="N41" s="5">
        <f t="shared" si="34"/>
        <v>-1</v>
      </c>
      <c r="O41" s="12"/>
      <c r="P41" s="1">
        <f>SUM(OSRRefP22_4x_0)</f>
        <v>0</v>
      </c>
      <c r="Q41" s="1"/>
      <c r="R41" s="5">
        <f t="shared" si="35"/>
        <v>0</v>
      </c>
      <c r="S41" s="1"/>
      <c r="T41" s="1">
        <f>SUM(OSRRefT22_4x_0)</f>
        <v>25022.13</v>
      </c>
      <c r="U41" s="1"/>
      <c r="V41" s="5">
        <f t="shared" si="36"/>
        <v>3.4688320502335064E-2</v>
      </c>
      <c r="W41" s="1"/>
      <c r="X41" s="1">
        <f t="shared" si="37"/>
        <v>-25022.13</v>
      </c>
      <c r="Y41" s="1"/>
      <c r="Z41" s="5">
        <f t="shared" si="38"/>
        <v>-1</v>
      </c>
    </row>
    <row r="42" spans="1:26" s="23" customFormat="1" hidden="1" outlineLevel="2" x14ac:dyDescent="0.25">
      <c r="A42" s="27"/>
      <c r="B42" s="10" t="str">
        <f>CONCATENATE("          ", "6381", " - ", "BANK/CREDIT CARD FEES")</f>
        <v xml:space="preserve">          6381 - BANK/CREDIT CARD FEES</v>
      </c>
      <c r="C42" s="10"/>
      <c r="D42" s="6"/>
      <c r="E42" s="2"/>
      <c r="F42" s="7">
        <f t="shared" si="31"/>
        <v>0</v>
      </c>
      <c r="G42" s="2"/>
      <c r="H42" s="6">
        <v>587.94000000000005</v>
      </c>
      <c r="I42" s="2"/>
      <c r="J42" s="7">
        <f t="shared" si="32"/>
        <v>0</v>
      </c>
      <c r="K42" s="2"/>
      <c r="L42" s="6">
        <f t="shared" si="33"/>
        <v>-587.94000000000005</v>
      </c>
      <c r="M42" s="2"/>
      <c r="N42" s="7">
        <f t="shared" si="34"/>
        <v>-1</v>
      </c>
      <c r="O42" s="10"/>
      <c r="P42" s="6"/>
      <c r="Q42" s="2"/>
      <c r="R42" s="7">
        <f t="shared" si="35"/>
        <v>0</v>
      </c>
      <c r="S42" s="2"/>
      <c r="T42" s="6">
        <v>25022.13</v>
      </c>
      <c r="U42" s="2"/>
      <c r="V42" s="7">
        <f t="shared" si="36"/>
        <v>3.4688320502335064E-2</v>
      </c>
      <c r="W42" s="2"/>
      <c r="X42" s="6">
        <f t="shared" si="37"/>
        <v>-25022.13</v>
      </c>
      <c r="Y42" s="2"/>
      <c r="Z42" s="7">
        <f t="shared" si="38"/>
        <v>-1</v>
      </c>
    </row>
    <row r="43" spans="1:26" s="26" customFormat="1" outlineLevel="1" collapsed="1" x14ac:dyDescent="0.25">
      <c r="A43" s="25"/>
      <c r="B43" s="12" t="str">
        <f>CONCATENATE("     ","Depreciation                                      ")</f>
        <v xml:space="preserve">     Depreciation                                      </v>
      </c>
      <c r="C43" s="12"/>
      <c r="D43" s="1">
        <f>SUM(OSRRefD22_5x_0)</f>
        <v>5233.01</v>
      </c>
      <c r="E43" s="1"/>
      <c r="F43" s="5">
        <f t="shared" si="31"/>
        <v>0</v>
      </c>
      <c r="G43" s="1"/>
      <c r="H43" s="1">
        <f>SUM(OSRRefH22_5x_0)</f>
        <v>5330.0599999999995</v>
      </c>
      <c r="I43" s="1"/>
      <c r="J43" s="5">
        <f t="shared" si="32"/>
        <v>0</v>
      </c>
      <c r="K43" s="1"/>
      <c r="L43" s="1">
        <f t="shared" si="33"/>
        <v>-97.049999999999272</v>
      </c>
      <c r="M43" s="1"/>
      <c r="N43" s="5">
        <f t="shared" si="34"/>
        <v>-1.8208050190804473E-2</v>
      </c>
      <c r="O43" s="12"/>
      <c r="P43" s="1">
        <f>SUM(OSRRefP22_5x_0)</f>
        <v>52621.22</v>
      </c>
      <c r="Q43" s="1"/>
      <c r="R43" s="5">
        <f t="shared" si="35"/>
        <v>0</v>
      </c>
      <c r="S43" s="1"/>
      <c r="T43" s="1">
        <f>SUM(OSRRefT22_5x_0)</f>
        <v>55949.7</v>
      </c>
      <c r="U43" s="1"/>
      <c r="V43" s="5">
        <f t="shared" si="36"/>
        <v>7.7563385915167732E-2</v>
      </c>
      <c r="W43" s="1"/>
      <c r="X43" s="1">
        <f t="shared" si="37"/>
        <v>-3328.4799999999959</v>
      </c>
      <c r="Y43" s="1"/>
      <c r="Z43" s="5">
        <f t="shared" si="38"/>
        <v>-5.9490578144297396E-2</v>
      </c>
    </row>
    <row r="44" spans="1:26" s="23" customFormat="1" hidden="1" outlineLevel="2" x14ac:dyDescent="0.25">
      <c r="A44" s="27"/>
      <c r="B44" s="10" t="str">
        <f>CONCATENATE("          ", "6321", " - ", "BUILDING DEPRECIATION")</f>
        <v xml:space="preserve">          6321 - BUILDING DEPRECIATION</v>
      </c>
      <c r="C44" s="10"/>
      <c r="D44" s="6">
        <v>4626.5</v>
      </c>
      <c r="E44" s="2"/>
      <c r="F44" s="7">
        <f t="shared" si="31"/>
        <v>0</v>
      </c>
      <c r="G44" s="2"/>
      <c r="H44" s="6">
        <v>4626.5</v>
      </c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>
        <v>46265</v>
      </c>
      <c r="Q44" s="2"/>
      <c r="R44" s="7">
        <f t="shared" si="35"/>
        <v>0</v>
      </c>
      <c r="S44" s="2"/>
      <c r="T44" s="6">
        <v>46265</v>
      </c>
      <c r="U44" s="2"/>
      <c r="V44" s="7">
        <f t="shared" si="36"/>
        <v>6.4137431467286427E-2</v>
      </c>
      <c r="W44" s="2"/>
      <c r="X44" s="6">
        <f t="shared" si="37"/>
        <v>0</v>
      </c>
      <c r="Y44" s="2"/>
      <c r="Z44" s="7">
        <f t="shared" si="38"/>
        <v>0</v>
      </c>
    </row>
    <row r="45" spans="1:26" s="23" customFormat="1" hidden="1" outlineLevel="2" x14ac:dyDescent="0.25">
      <c r="A45" s="27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606.51</v>
      </c>
      <c r="E45" s="2"/>
      <c r="F45" s="7">
        <f t="shared" si="31"/>
        <v>0</v>
      </c>
      <c r="G45" s="2"/>
      <c r="H45" s="6">
        <v>703.56</v>
      </c>
      <c r="I45" s="2"/>
      <c r="J45" s="7">
        <f t="shared" si="32"/>
        <v>0</v>
      </c>
      <c r="K45" s="2"/>
      <c r="L45" s="6">
        <f t="shared" si="33"/>
        <v>-97.049999999999955</v>
      </c>
      <c r="M45" s="2"/>
      <c r="N45" s="7">
        <f t="shared" si="34"/>
        <v>-0.13794132696571715</v>
      </c>
      <c r="O45" s="10"/>
      <c r="P45" s="6">
        <v>6356.22</v>
      </c>
      <c r="Q45" s="2"/>
      <c r="R45" s="7">
        <f t="shared" si="35"/>
        <v>0</v>
      </c>
      <c r="S45" s="2"/>
      <c r="T45" s="6">
        <v>9684.7000000000007</v>
      </c>
      <c r="U45" s="2"/>
      <c r="V45" s="7">
        <f t="shared" si="36"/>
        <v>1.3425954447881312E-2</v>
      </c>
      <c r="W45" s="2"/>
      <c r="X45" s="6">
        <f t="shared" si="37"/>
        <v>-3328.4800000000005</v>
      </c>
      <c r="Y45" s="2"/>
      <c r="Z45" s="7">
        <f t="shared" si="38"/>
        <v>-0.34368436812704578</v>
      </c>
    </row>
    <row r="46" spans="1:26" s="26" customFormat="1" outlineLevel="1" collapsed="1" x14ac:dyDescent="0.25">
      <c r="A46" s="25"/>
      <c r="B46" s="12" t="str">
        <f>CONCATENATE("     ","Employees' Appreciation                           ")</f>
        <v xml:space="preserve">     Employees' Appreciation                           </v>
      </c>
      <c r="C46" s="12"/>
      <c r="D46" s="1">
        <f>SUM(OSRRefD22_6x_0)</f>
        <v>0</v>
      </c>
      <c r="E46" s="1"/>
      <c r="F46" s="5">
        <f t="shared" ref="F46:F56" si="39">IF(D$12=0,0,D46/D$12)</f>
        <v>0</v>
      </c>
      <c r="G46" s="1"/>
      <c r="H46" s="1">
        <f>SUM(OSRRefH22_6x_0)</f>
        <v>0</v>
      </c>
      <c r="I46" s="1"/>
      <c r="J46" s="5">
        <f t="shared" ref="J46:J56" si="40">IF(H$12=0,0,H46/H$12)</f>
        <v>0</v>
      </c>
      <c r="K46" s="1"/>
      <c r="L46" s="1">
        <f t="shared" ref="L46:L56" si="41">+D46-H46</f>
        <v>0</v>
      </c>
      <c r="M46" s="1"/>
      <c r="N46" s="5">
        <f t="shared" ref="N46:N56" si="42">IF(H46=0,0,L46/H46)</f>
        <v>0</v>
      </c>
      <c r="O46" s="12"/>
      <c r="P46" s="1">
        <f>SUM(OSRRefP22_6x_0)</f>
        <v>0</v>
      </c>
      <c r="Q46" s="1"/>
      <c r="R46" s="5">
        <f t="shared" ref="R46:R56" si="43">IF(P$12=0,0,P46/P$12)</f>
        <v>0</v>
      </c>
      <c r="S46" s="1"/>
      <c r="T46" s="1">
        <f>SUM(OSRRefT22_6x_0)</f>
        <v>186.48</v>
      </c>
      <c r="U46" s="1"/>
      <c r="V46" s="5">
        <f t="shared" ref="V46:V56" si="44">IF(T$12=0,0,T46/T$12)</f>
        <v>2.585182799096417E-4</v>
      </c>
      <c r="W46" s="1"/>
      <c r="X46" s="1">
        <f t="shared" ref="X46:X56" si="45">+P46-T46</f>
        <v>-186.48</v>
      </c>
      <c r="Y46" s="1"/>
      <c r="Z46" s="5">
        <f t="shared" ref="Z46:Z56" si="46">IF(T46=0,0,X46/T46)</f>
        <v>-1</v>
      </c>
    </row>
    <row r="47" spans="1:26" s="23" customFormat="1" hidden="1" outlineLevel="2" x14ac:dyDescent="0.25">
      <c r="A47" s="27"/>
      <c r="B47" s="10" t="str">
        <f>CONCATENATE("          ", "6277", " - ", "EMPLOYEE APPRECIATION")</f>
        <v xml:space="preserve">          6277 - EMPLOYEE APPRECIATION</v>
      </c>
      <c r="C47" s="10"/>
      <c r="D47" s="6"/>
      <c r="E47" s="2"/>
      <c r="F47" s="7">
        <f t="shared" si="39"/>
        <v>0</v>
      </c>
      <c r="G47" s="2"/>
      <c r="H47" s="6"/>
      <c r="I47" s="2"/>
      <c r="J47" s="7">
        <f t="shared" si="40"/>
        <v>0</v>
      </c>
      <c r="K47" s="2"/>
      <c r="L47" s="6">
        <f t="shared" si="41"/>
        <v>0</v>
      </c>
      <c r="M47" s="2"/>
      <c r="N47" s="7">
        <f t="shared" si="42"/>
        <v>0</v>
      </c>
      <c r="O47" s="10"/>
      <c r="P47" s="6"/>
      <c r="Q47" s="2"/>
      <c r="R47" s="7">
        <f t="shared" si="43"/>
        <v>0</v>
      </c>
      <c r="S47" s="2"/>
      <c r="T47" s="6">
        <v>186.48</v>
      </c>
      <c r="U47" s="2"/>
      <c r="V47" s="7">
        <f t="shared" si="44"/>
        <v>2.585182799096417E-4</v>
      </c>
      <c r="W47" s="2"/>
      <c r="X47" s="6">
        <f t="shared" si="45"/>
        <v>-186.48</v>
      </c>
      <c r="Y47" s="2"/>
      <c r="Z47" s="7">
        <f t="shared" si="46"/>
        <v>-1</v>
      </c>
    </row>
    <row r="48" spans="1:26" s="26" customFormat="1" outlineLevel="1" collapsed="1" x14ac:dyDescent="0.25">
      <c r="A48" s="25"/>
      <c r="B48" s="12" t="str">
        <f>CONCATENATE("     ","Equipment Rental                                  ")</f>
        <v xml:space="preserve">     Equipment Rental                                  </v>
      </c>
      <c r="C48" s="12"/>
      <c r="D48" s="1">
        <f>SUM(OSRRefD22_7x_0)</f>
        <v>0</v>
      </c>
      <c r="E48" s="1"/>
      <c r="F48" s="5">
        <f t="shared" si="39"/>
        <v>0</v>
      </c>
      <c r="G48" s="1"/>
      <c r="H48" s="1">
        <f>SUM(OSRRefH22_7x_0)</f>
        <v>0</v>
      </c>
      <c r="I48" s="1"/>
      <c r="J48" s="5">
        <f t="shared" si="40"/>
        <v>0</v>
      </c>
      <c r="K48" s="1"/>
      <c r="L48" s="1">
        <f t="shared" si="41"/>
        <v>0</v>
      </c>
      <c r="M48" s="1"/>
      <c r="N48" s="5">
        <f t="shared" si="42"/>
        <v>0</v>
      </c>
      <c r="O48" s="12"/>
      <c r="P48" s="1">
        <f>SUM(OSRRefP22_7x_0)</f>
        <v>96.3</v>
      </c>
      <c r="Q48" s="1"/>
      <c r="R48" s="5">
        <f t="shared" si="43"/>
        <v>0</v>
      </c>
      <c r="S48" s="1"/>
      <c r="T48" s="1">
        <f>SUM(OSRRefT22_7x_0)</f>
        <v>3281</v>
      </c>
      <c r="U48" s="1"/>
      <c r="V48" s="5">
        <f t="shared" si="44"/>
        <v>4.5484688780755818E-3</v>
      </c>
      <c r="W48" s="1"/>
      <c r="X48" s="1">
        <f t="shared" si="45"/>
        <v>-3184.7</v>
      </c>
      <c r="Y48" s="1"/>
      <c r="Z48" s="5">
        <f t="shared" si="46"/>
        <v>-0.97064919231941471</v>
      </c>
    </row>
    <row r="49" spans="1:26" s="23" customFormat="1" hidden="1" outlineLevel="2" x14ac:dyDescent="0.25">
      <c r="A49" s="27"/>
      <c r="B49" s="10" t="str">
        <f>CONCATENATE("          ", "6351", " - ", "EQUIPMENT RENTAL")</f>
        <v xml:space="preserve">          6351 - EQUIPMENT RENTAL</v>
      </c>
      <c r="C49" s="10"/>
      <c r="D49" s="6"/>
      <c r="E49" s="2"/>
      <c r="F49" s="7">
        <f t="shared" si="39"/>
        <v>0</v>
      </c>
      <c r="G49" s="2"/>
      <c r="H49" s="6"/>
      <c r="I49" s="2"/>
      <c r="J49" s="7">
        <f t="shared" si="40"/>
        <v>0</v>
      </c>
      <c r="K49" s="2"/>
      <c r="L49" s="6">
        <f t="shared" si="41"/>
        <v>0</v>
      </c>
      <c r="M49" s="2"/>
      <c r="N49" s="7">
        <f t="shared" si="42"/>
        <v>0</v>
      </c>
      <c r="O49" s="10"/>
      <c r="P49" s="6">
        <v>96.3</v>
      </c>
      <c r="Q49" s="2"/>
      <c r="R49" s="7">
        <f t="shared" si="43"/>
        <v>0</v>
      </c>
      <c r="S49" s="2"/>
      <c r="T49" s="6">
        <v>3281</v>
      </c>
      <c r="U49" s="2"/>
      <c r="V49" s="7">
        <f t="shared" si="44"/>
        <v>4.5484688780755818E-3</v>
      </c>
      <c r="W49" s="2"/>
      <c r="X49" s="6">
        <f t="shared" si="45"/>
        <v>-3184.7</v>
      </c>
      <c r="Y49" s="2"/>
      <c r="Z49" s="7">
        <f t="shared" si="46"/>
        <v>-0.97064919231941471</v>
      </c>
    </row>
    <row r="50" spans="1:26" s="26" customFormat="1" outlineLevel="1" collapsed="1" x14ac:dyDescent="0.25">
      <c r="A50" s="25"/>
      <c r="B50" s="12" t="str">
        <f>CONCATENATE("     ","General                                           ")</f>
        <v xml:space="preserve">     General                                           </v>
      </c>
      <c r="C50" s="12"/>
      <c r="D50" s="1">
        <f>SUM(OSRRefD22_8x_0)</f>
        <v>0</v>
      </c>
      <c r="E50" s="1"/>
      <c r="F50" s="5">
        <f t="shared" si="39"/>
        <v>0</v>
      </c>
      <c r="G50" s="1"/>
      <c r="H50" s="1">
        <f>SUM(OSRRefH22_8x_0)</f>
        <v>0</v>
      </c>
      <c r="I50" s="1"/>
      <c r="J50" s="5">
        <f t="shared" si="40"/>
        <v>0</v>
      </c>
      <c r="K50" s="1"/>
      <c r="L50" s="1">
        <f t="shared" si="41"/>
        <v>0</v>
      </c>
      <c r="M50" s="1"/>
      <c r="N50" s="5">
        <f t="shared" si="42"/>
        <v>0</v>
      </c>
      <c r="O50" s="12"/>
      <c r="P50" s="1">
        <f>SUM(OSRRefP22_8x_0)</f>
        <v>0</v>
      </c>
      <c r="Q50" s="1"/>
      <c r="R50" s="5">
        <f t="shared" si="43"/>
        <v>0</v>
      </c>
      <c r="S50" s="1"/>
      <c r="T50" s="1">
        <f>SUM(OSRRefT22_8x_0)</f>
        <v>9308.4599999999991</v>
      </c>
      <c r="U50" s="1"/>
      <c r="V50" s="5">
        <f t="shared" si="44"/>
        <v>1.2904370805489614E-2</v>
      </c>
      <c r="W50" s="1"/>
      <c r="X50" s="1">
        <f t="shared" si="45"/>
        <v>-9308.4599999999991</v>
      </c>
      <c r="Y50" s="1"/>
      <c r="Z50" s="5">
        <f t="shared" si="46"/>
        <v>-1</v>
      </c>
    </row>
    <row r="51" spans="1:26" s="23" customFormat="1" hidden="1" outlineLevel="2" x14ac:dyDescent="0.25">
      <c r="A51" s="27"/>
      <c r="B51" s="10" t="str">
        <f>CONCATENATE("          ", "6279", " - ", "GENERAL EXPENSE")</f>
        <v xml:space="preserve">          6279 - GENERAL EXPENSE</v>
      </c>
      <c r="C51" s="10"/>
      <c r="D51" s="6"/>
      <c r="E51" s="2"/>
      <c r="F51" s="7">
        <f t="shared" si="39"/>
        <v>0</v>
      </c>
      <c r="G51" s="2"/>
      <c r="H51" s="6"/>
      <c r="I51" s="2"/>
      <c r="J51" s="7">
        <f t="shared" si="40"/>
        <v>0</v>
      </c>
      <c r="K51" s="2"/>
      <c r="L51" s="6">
        <f t="shared" si="41"/>
        <v>0</v>
      </c>
      <c r="M51" s="2"/>
      <c r="N51" s="7">
        <f t="shared" si="42"/>
        <v>0</v>
      </c>
      <c r="O51" s="10"/>
      <c r="P51" s="6">
        <v>0</v>
      </c>
      <c r="Q51" s="2"/>
      <c r="R51" s="7">
        <f t="shared" si="43"/>
        <v>0</v>
      </c>
      <c r="S51" s="2"/>
      <c r="T51" s="6">
        <v>9308.4599999999991</v>
      </c>
      <c r="U51" s="2"/>
      <c r="V51" s="7">
        <f t="shared" si="44"/>
        <v>1.2904370805489614E-2</v>
      </c>
      <c r="W51" s="2"/>
      <c r="X51" s="6">
        <f t="shared" si="45"/>
        <v>-9308.4599999999991</v>
      </c>
      <c r="Y51" s="2"/>
      <c r="Z51" s="7">
        <f t="shared" si="46"/>
        <v>-1</v>
      </c>
    </row>
    <row r="52" spans="1:26" s="26" customFormat="1" outlineLevel="1" collapsed="1" x14ac:dyDescent="0.25">
      <c r="A52" s="25"/>
      <c r="B52" s="12" t="str">
        <f>CONCATENATE("     ","Rent                                              ")</f>
        <v xml:space="preserve">     Rent                                              </v>
      </c>
      <c r="C52" s="12"/>
      <c r="D52" s="1">
        <f>SUM(OSRRefD22_9x_0)</f>
        <v>1850</v>
      </c>
      <c r="E52" s="1"/>
      <c r="F52" s="5">
        <f t="shared" si="39"/>
        <v>0</v>
      </c>
      <c r="G52" s="1"/>
      <c r="H52" s="1">
        <f>SUM(OSRRefH22_9x_0)</f>
        <v>1850</v>
      </c>
      <c r="I52" s="1"/>
      <c r="J52" s="5">
        <f t="shared" si="40"/>
        <v>0</v>
      </c>
      <c r="K52" s="1"/>
      <c r="L52" s="1">
        <f t="shared" si="41"/>
        <v>0</v>
      </c>
      <c r="M52" s="1"/>
      <c r="N52" s="5">
        <f t="shared" si="42"/>
        <v>0</v>
      </c>
      <c r="O52" s="12"/>
      <c r="P52" s="1">
        <f>SUM(OSRRefP22_9x_0)</f>
        <v>12950</v>
      </c>
      <c r="Q52" s="1"/>
      <c r="R52" s="5">
        <f t="shared" si="43"/>
        <v>0</v>
      </c>
      <c r="S52" s="1"/>
      <c r="T52" s="1">
        <f>SUM(OSRRefT22_9x_0)</f>
        <v>18500</v>
      </c>
      <c r="U52" s="1"/>
      <c r="V52" s="5">
        <f t="shared" si="44"/>
        <v>2.5646654752940645E-2</v>
      </c>
      <c r="W52" s="1"/>
      <c r="X52" s="1">
        <f t="shared" si="45"/>
        <v>-5550</v>
      </c>
      <c r="Y52" s="1"/>
      <c r="Z52" s="5">
        <f t="shared" si="46"/>
        <v>-0.3</v>
      </c>
    </row>
    <row r="53" spans="1:26" s="23" customFormat="1" hidden="1" outlineLevel="2" x14ac:dyDescent="0.25">
      <c r="A53" s="27"/>
      <c r="B53" s="10" t="str">
        <f>CONCATENATE("          ", "6273", " - ", "RENT")</f>
        <v xml:space="preserve">          6273 - RENT</v>
      </c>
      <c r="C53" s="10"/>
      <c r="D53" s="6">
        <v>1850</v>
      </c>
      <c r="E53" s="2"/>
      <c r="F53" s="7">
        <f t="shared" si="39"/>
        <v>0</v>
      </c>
      <c r="G53" s="2"/>
      <c r="H53" s="6">
        <v>1850</v>
      </c>
      <c r="I53" s="2"/>
      <c r="J53" s="7">
        <f t="shared" si="40"/>
        <v>0</v>
      </c>
      <c r="K53" s="2"/>
      <c r="L53" s="6">
        <f t="shared" si="41"/>
        <v>0</v>
      </c>
      <c r="M53" s="2"/>
      <c r="N53" s="7">
        <f t="shared" si="42"/>
        <v>0</v>
      </c>
      <c r="O53" s="10"/>
      <c r="P53" s="6">
        <v>12950</v>
      </c>
      <c r="Q53" s="2"/>
      <c r="R53" s="7">
        <f t="shared" si="43"/>
        <v>0</v>
      </c>
      <c r="S53" s="2"/>
      <c r="T53" s="6">
        <v>18500</v>
      </c>
      <c r="U53" s="2"/>
      <c r="V53" s="7">
        <f t="shared" si="44"/>
        <v>2.5646654752940645E-2</v>
      </c>
      <c r="W53" s="2"/>
      <c r="X53" s="6">
        <f t="shared" si="45"/>
        <v>-5550</v>
      </c>
      <c r="Y53" s="2"/>
      <c r="Z53" s="7">
        <f t="shared" si="46"/>
        <v>-0.3</v>
      </c>
    </row>
    <row r="54" spans="1:26" s="26" customFormat="1" outlineLevel="1" collapsed="1" x14ac:dyDescent="0.25">
      <c r="A54" s="25"/>
      <c r="B54" s="12" t="str">
        <f>CONCATENATE("     ","Repair and Maintenance                            ")</f>
        <v xml:space="preserve">     Repair and Maintenance                            </v>
      </c>
      <c r="C54" s="12"/>
      <c r="D54" s="1">
        <f>SUM(OSRRefD22_10x_0)</f>
        <v>0</v>
      </c>
      <c r="E54" s="1"/>
      <c r="F54" s="5">
        <f t="shared" si="39"/>
        <v>0</v>
      </c>
      <c r="G54" s="1"/>
      <c r="H54" s="1">
        <f>SUM(OSRRefH22_10x_0)</f>
        <v>2079.33</v>
      </c>
      <c r="I54" s="1"/>
      <c r="J54" s="5">
        <f t="shared" si="40"/>
        <v>0</v>
      </c>
      <c r="K54" s="1"/>
      <c r="L54" s="1">
        <f t="shared" si="41"/>
        <v>-2079.33</v>
      </c>
      <c r="M54" s="1"/>
      <c r="N54" s="5">
        <f t="shared" si="42"/>
        <v>-1</v>
      </c>
      <c r="O54" s="12"/>
      <c r="P54" s="1">
        <f>SUM(OSRRefP22_10x_0)</f>
        <v>6387.65</v>
      </c>
      <c r="Q54" s="1"/>
      <c r="R54" s="5">
        <f t="shared" si="43"/>
        <v>0</v>
      </c>
      <c r="S54" s="1"/>
      <c r="T54" s="1">
        <f>SUM(OSRRefT22_10x_0)</f>
        <v>27415.119999999999</v>
      </c>
      <c r="U54" s="1"/>
      <c r="V54" s="5">
        <f t="shared" si="44"/>
        <v>3.8005736089212871E-2</v>
      </c>
      <c r="W54" s="1"/>
      <c r="X54" s="1">
        <f t="shared" si="45"/>
        <v>-21027.47</v>
      </c>
      <c r="Y54" s="1"/>
      <c r="Z54" s="5">
        <f t="shared" si="46"/>
        <v>-0.76700266130514849</v>
      </c>
    </row>
    <row r="55" spans="1:26" s="23" customFormat="1" hidden="1" outlineLevel="2" x14ac:dyDescent="0.25">
      <c r="A55" s="27"/>
      <c r="B55" s="10" t="str">
        <f>CONCATENATE("          ", "6373", " - ", "MAINTENANCE CONTRACTS")</f>
        <v xml:space="preserve">          6373 - MAINTENANCE CONTRACTS</v>
      </c>
      <c r="C55" s="10"/>
      <c r="D55" s="6"/>
      <c r="E55" s="2"/>
      <c r="F55" s="7">
        <f t="shared" si="39"/>
        <v>0</v>
      </c>
      <c r="G55" s="2"/>
      <c r="H55" s="6">
        <v>1799</v>
      </c>
      <c r="I55" s="2"/>
      <c r="J55" s="7">
        <f t="shared" si="40"/>
        <v>0</v>
      </c>
      <c r="K55" s="2"/>
      <c r="L55" s="6">
        <f t="shared" si="41"/>
        <v>-1799</v>
      </c>
      <c r="M55" s="2"/>
      <c r="N55" s="7">
        <f t="shared" si="42"/>
        <v>-1</v>
      </c>
      <c r="O55" s="10"/>
      <c r="P55" s="6">
        <v>5845.65</v>
      </c>
      <c r="Q55" s="2"/>
      <c r="R55" s="7">
        <f t="shared" si="43"/>
        <v>0</v>
      </c>
      <c r="S55" s="2"/>
      <c r="T55" s="6">
        <v>18187.759999999998</v>
      </c>
      <c r="U55" s="2"/>
      <c r="V55" s="7">
        <f t="shared" si="44"/>
        <v>2.5213794672937499E-2</v>
      </c>
      <c r="W55" s="2"/>
      <c r="X55" s="6">
        <f t="shared" si="45"/>
        <v>-12342.109999999999</v>
      </c>
      <c r="Y55" s="2"/>
      <c r="Z55" s="7">
        <f t="shared" si="46"/>
        <v>-0.6785942853875353</v>
      </c>
    </row>
    <row r="56" spans="1:26" s="23" customFormat="1" hidden="1" outlineLevel="2" x14ac:dyDescent="0.25">
      <c r="A56" s="27"/>
      <c r="B56" s="10" t="str">
        <f>CONCATENATE("          ", "6375", " - ", "OUTSIDE REPAIRS &amp; MAINTENANCE")</f>
        <v xml:space="preserve">          6375 - OUTSIDE REPAIRS &amp; MAINTENANCE</v>
      </c>
      <c r="C56" s="10"/>
      <c r="D56" s="6"/>
      <c r="E56" s="2"/>
      <c r="F56" s="7">
        <f t="shared" si="39"/>
        <v>0</v>
      </c>
      <c r="G56" s="2"/>
      <c r="H56" s="6">
        <v>280.33</v>
      </c>
      <c r="I56" s="2"/>
      <c r="J56" s="7">
        <f t="shared" si="40"/>
        <v>0</v>
      </c>
      <c r="K56" s="2"/>
      <c r="L56" s="6">
        <f t="shared" si="41"/>
        <v>-280.33</v>
      </c>
      <c r="M56" s="2"/>
      <c r="N56" s="7">
        <f t="shared" si="42"/>
        <v>-1</v>
      </c>
      <c r="O56" s="10"/>
      <c r="P56" s="6">
        <v>542</v>
      </c>
      <c r="Q56" s="2"/>
      <c r="R56" s="7">
        <f t="shared" si="43"/>
        <v>0</v>
      </c>
      <c r="S56" s="2"/>
      <c r="T56" s="6">
        <v>9227.36</v>
      </c>
      <c r="U56" s="2"/>
      <c r="V56" s="7">
        <f t="shared" si="44"/>
        <v>1.2791941416275373E-2</v>
      </c>
      <c r="W56" s="2"/>
      <c r="X56" s="6">
        <f t="shared" si="45"/>
        <v>-8685.36</v>
      </c>
      <c r="Y56" s="2"/>
      <c r="Z56" s="7">
        <f t="shared" si="46"/>
        <v>-0.94126163929878104</v>
      </c>
    </row>
    <row r="57" spans="1:26" s="26" customFormat="1" outlineLevel="1" collapsed="1" x14ac:dyDescent="0.25">
      <c r="A57" s="25"/>
      <c r="B57" s="12" t="str">
        <f>CONCATENATE("     ","Royalty &amp; Commissions                             ")</f>
        <v xml:space="preserve">     Royalty &amp; Commissions                             </v>
      </c>
      <c r="C57" s="12"/>
      <c r="D57" s="1">
        <f>SUM(OSRRefD22_11x_0)</f>
        <v>0</v>
      </c>
      <c r="E57" s="1"/>
      <c r="F57" s="5">
        <f t="shared" ref="F57:F62" si="47">IF(D$12=0,0,D57/D$12)</f>
        <v>0</v>
      </c>
      <c r="G57" s="1"/>
      <c r="H57" s="1">
        <f>SUM(OSRRefH22_11x_0)</f>
        <v>0</v>
      </c>
      <c r="I57" s="1"/>
      <c r="J57" s="5">
        <f t="shared" ref="J57:J62" si="48">IF(H$12=0,0,H57/H$12)</f>
        <v>0</v>
      </c>
      <c r="K57" s="1"/>
      <c r="L57" s="1">
        <f t="shared" ref="L57:L62" si="49">+D57-H57</f>
        <v>0</v>
      </c>
      <c r="M57" s="1"/>
      <c r="N57" s="5">
        <f t="shared" ref="N57:N62" si="50">IF(H57=0,0,L57/H57)</f>
        <v>0</v>
      </c>
      <c r="O57" s="12"/>
      <c r="P57" s="1">
        <f>SUM(OSRRefP22_11x_0)</f>
        <v>0</v>
      </c>
      <c r="Q57" s="1"/>
      <c r="R57" s="5">
        <f t="shared" ref="R57:R62" si="51">IF(P$12=0,0,P57/P$12)</f>
        <v>0</v>
      </c>
      <c r="S57" s="1"/>
      <c r="T57" s="1">
        <f>SUM(OSRRefT22_11x_0)</f>
        <v>60535.32</v>
      </c>
      <c r="U57" s="1"/>
      <c r="V57" s="5">
        <f t="shared" ref="V57:V62" si="52">IF(T$12=0,0,T57/T$12)</f>
        <v>8.3920456886420691E-2</v>
      </c>
      <c r="W57" s="1"/>
      <c r="X57" s="1">
        <f t="shared" ref="X57:X62" si="53">+P57-T57</f>
        <v>-60535.32</v>
      </c>
      <c r="Y57" s="1"/>
      <c r="Z57" s="5">
        <f t="shared" ref="Z57:Z62" si="54">IF(T57=0,0,X57/T57)</f>
        <v>-1</v>
      </c>
    </row>
    <row r="58" spans="1:26" s="23" customFormat="1" hidden="1" outlineLevel="2" x14ac:dyDescent="0.25">
      <c r="A58" s="27"/>
      <c r="B58" s="10" t="str">
        <f>CONCATENATE("          ", "6259", " - ", "ROYALTY &amp; COMMISSIONS")</f>
        <v xml:space="preserve">          6259 - ROYALTY &amp; COMMISSIONS</v>
      </c>
      <c r="C58" s="10"/>
      <c r="D58" s="6"/>
      <c r="E58" s="2"/>
      <c r="F58" s="7">
        <f t="shared" si="47"/>
        <v>0</v>
      </c>
      <c r="G58" s="2"/>
      <c r="H58" s="6"/>
      <c r="I58" s="2"/>
      <c r="J58" s="7">
        <f t="shared" si="48"/>
        <v>0</v>
      </c>
      <c r="K58" s="2"/>
      <c r="L58" s="6">
        <f t="shared" si="49"/>
        <v>0</v>
      </c>
      <c r="M58" s="2"/>
      <c r="N58" s="7">
        <f t="shared" si="50"/>
        <v>0</v>
      </c>
      <c r="O58" s="10"/>
      <c r="P58" s="6"/>
      <c r="Q58" s="2"/>
      <c r="R58" s="7">
        <f t="shared" si="51"/>
        <v>0</v>
      </c>
      <c r="S58" s="2"/>
      <c r="T58" s="6">
        <v>60535.32</v>
      </c>
      <c r="U58" s="2"/>
      <c r="V58" s="7">
        <f t="shared" si="52"/>
        <v>8.3920456886420691E-2</v>
      </c>
      <c r="W58" s="2"/>
      <c r="X58" s="6">
        <f t="shared" si="53"/>
        <v>-60535.32</v>
      </c>
      <c r="Y58" s="2"/>
      <c r="Z58" s="7">
        <f t="shared" si="54"/>
        <v>-1</v>
      </c>
    </row>
    <row r="59" spans="1:26" s="26" customFormat="1" outlineLevel="1" collapsed="1" x14ac:dyDescent="0.25">
      <c r="A59" s="25"/>
      <c r="B59" s="12" t="str">
        <f>CONCATENATE("     ","Services                                          ")</f>
        <v xml:space="preserve">     Services                                          </v>
      </c>
      <c r="C59" s="12"/>
      <c r="D59" s="1">
        <f>SUM(OSRRefD22_12x_0)</f>
        <v>115</v>
      </c>
      <c r="E59" s="1"/>
      <c r="F59" s="5">
        <f t="shared" si="47"/>
        <v>0</v>
      </c>
      <c r="G59" s="1"/>
      <c r="H59" s="1">
        <f>SUM(OSRRefH22_12x_0)</f>
        <v>115</v>
      </c>
      <c r="I59" s="1"/>
      <c r="J59" s="5">
        <f t="shared" si="48"/>
        <v>0</v>
      </c>
      <c r="K59" s="1"/>
      <c r="L59" s="1">
        <f t="shared" si="49"/>
        <v>0</v>
      </c>
      <c r="M59" s="1"/>
      <c r="N59" s="5">
        <f t="shared" si="50"/>
        <v>0</v>
      </c>
      <c r="O59" s="12"/>
      <c r="P59" s="1">
        <f>SUM(OSRRefP22_12x_0)</f>
        <v>577</v>
      </c>
      <c r="Q59" s="1"/>
      <c r="R59" s="5">
        <f t="shared" si="51"/>
        <v>0</v>
      </c>
      <c r="S59" s="1"/>
      <c r="T59" s="1">
        <f>SUM(OSRRefT22_12x_0)</f>
        <v>3793.39</v>
      </c>
      <c r="U59" s="1"/>
      <c r="V59" s="5">
        <f t="shared" si="52"/>
        <v>5.2587980363922975E-3</v>
      </c>
      <c r="W59" s="1"/>
      <c r="X59" s="1">
        <f t="shared" si="53"/>
        <v>-3216.39</v>
      </c>
      <c r="Y59" s="1"/>
      <c r="Z59" s="5">
        <f t="shared" si="54"/>
        <v>-0.84789330915091776</v>
      </c>
    </row>
    <row r="60" spans="1:26" s="23" customFormat="1" hidden="1" outlineLevel="2" x14ac:dyDescent="0.25">
      <c r="A60" s="27"/>
      <c r="B60" s="10" t="str">
        <f>CONCATENATE("          ", "6282", " - ", "JANITORIAL/EXTERMINATOR EXPENS")</f>
        <v xml:space="preserve">          6282 - JANITORIAL/EXTERMINATOR EXPENS</v>
      </c>
      <c r="C60" s="10"/>
      <c r="D60" s="6"/>
      <c r="E60" s="2"/>
      <c r="F60" s="7">
        <f t="shared" si="47"/>
        <v>0</v>
      </c>
      <c r="G60" s="2"/>
      <c r="H60" s="6"/>
      <c r="I60" s="2"/>
      <c r="J60" s="7">
        <f t="shared" si="48"/>
        <v>0</v>
      </c>
      <c r="K60" s="2"/>
      <c r="L60" s="6">
        <f t="shared" si="49"/>
        <v>0</v>
      </c>
      <c r="M60" s="2"/>
      <c r="N60" s="7">
        <f t="shared" si="50"/>
        <v>0</v>
      </c>
      <c r="O60" s="10"/>
      <c r="P60" s="6"/>
      <c r="Q60" s="2"/>
      <c r="R60" s="7">
        <f t="shared" si="51"/>
        <v>0</v>
      </c>
      <c r="S60" s="2"/>
      <c r="T60" s="6">
        <v>872.64</v>
      </c>
      <c r="U60" s="2"/>
      <c r="V60" s="7">
        <f t="shared" si="52"/>
        <v>1.2097457731678985E-3</v>
      </c>
      <c r="W60" s="2"/>
      <c r="X60" s="6">
        <f t="shared" si="53"/>
        <v>-872.64</v>
      </c>
      <c r="Y60" s="2"/>
      <c r="Z60" s="7">
        <f t="shared" si="54"/>
        <v>-1</v>
      </c>
    </row>
    <row r="61" spans="1:26" s="23" customFormat="1" hidden="1" outlineLevel="2" x14ac:dyDescent="0.25">
      <c r="A61" s="27"/>
      <c r="B61" s="10" t="str">
        <f>CONCATENATE("          ", "6284", " - ", "TRASH REMOVAL EXPENSE")</f>
        <v xml:space="preserve">          6284 - TRASH REMOVAL EXPENSE</v>
      </c>
      <c r="C61" s="10"/>
      <c r="D61" s="6">
        <v>115</v>
      </c>
      <c r="E61" s="2"/>
      <c r="F61" s="7">
        <f t="shared" si="47"/>
        <v>0</v>
      </c>
      <c r="G61" s="2"/>
      <c r="H61" s="6">
        <v>115</v>
      </c>
      <c r="I61" s="2"/>
      <c r="J61" s="7">
        <f t="shared" si="48"/>
        <v>0</v>
      </c>
      <c r="K61" s="2"/>
      <c r="L61" s="6">
        <f t="shared" si="49"/>
        <v>0</v>
      </c>
      <c r="M61" s="2"/>
      <c r="N61" s="7">
        <f t="shared" si="50"/>
        <v>0</v>
      </c>
      <c r="O61" s="10"/>
      <c r="P61" s="6">
        <v>577</v>
      </c>
      <c r="Q61" s="2"/>
      <c r="R61" s="7">
        <f t="shared" si="51"/>
        <v>0</v>
      </c>
      <c r="S61" s="2"/>
      <c r="T61" s="6">
        <v>1054</v>
      </c>
      <c r="U61" s="2"/>
      <c r="V61" s="7">
        <f t="shared" si="52"/>
        <v>1.4611661680864563E-3</v>
      </c>
      <c r="W61" s="2"/>
      <c r="X61" s="6">
        <f t="shared" si="53"/>
        <v>-477</v>
      </c>
      <c r="Y61" s="2"/>
      <c r="Z61" s="7">
        <f t="shared" si="54"/>
        <v>-0.45256166982922202</v>
      </c>
    </row>
    <row r="62" spans="1:26" s="23" customFormat="1" hidden="1" outlineLevel="2" x14ac:dyDescent="0.25">
      <c r="A62" s="27"/>
      <c r="B62" s="10" t="str">
        <f>CONCATENATE("          ", "6286", " - ", "LAUNDRY EXPENSE")</f>
        <v xml:space="preserve">          6286 - LAUNDRY EXPENSE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/>
      <c r="Q62" s="2"/>
      <c r="R62" s="7">
        <f t="shared" si="51"/>
        <v>0</v>
      </c>
      <c r="S62" s="2"/>
      <c r="T62" s="6">
        <v>1866.75</v>
      </c>
      <c r="U62" s="2"/>
      <c r="V62" s="7">
        <f t="shared" si="52"/>
        <v>2.5878860951379433E-3</v>
      </c>
      <c r="W62" s="2"/>
      <c r="X62" s="6">
        <f t="shared" si="53"/>
        <v>-1866.75</v>
      </c>
      <c r="Y62" s="2"/>
      <c r="Z62" s="7">
        <f t="shared" si="54"/>
        <v>-1</v>
      </c>
    </row>
    <row r="63" spans="1:26" s="26" customFormat="1" outlineLevel="1" collapsed="1" x14ac:dyDescent="0.25">
      <c r="A63" s="25"/>
      <c r="B63" s="12" t="str">
        <f>CONCATENATE("     ","Subscriptions &amp; Dues                              ")</f>
        <v xml:space="preserve">     Subscriptions &amp; Dues                              </v>
      </c>
      <c r="C63" s="12"/>
      <c r="D63" s="1">
        <f>SUM(OSRRefD22_13x_0)</f>
        <v>0</v>
      </c>
      <c r="E63" s="1"/>
      <c r="F63" s="5">
        <f t="shared" ref="F63:F65" si="55">IF(D$12=0,0,D63/D$12)</f>
        <v>0</v>
      </c>
      <c r="G63" s="1"/>
      <c r="H63" s="1">
        <f>SUM(OSRRefH22_13x_0)</f>
        <v>0</v>
      </c>
      <c r="I63" s="1"/>
      <c r="J63" s="5">
        <f t="shared" ref="J63:J65" si="56">IF(H$12=0,0,H63/H$12)</f>
        <v>0</v>
      </c>
      <c r="K63" s="1"/>
      <c r="L63" s="1">
        <f t="shared" ref="L63:L65" si="57">+D63-H63</f>
        <v>0</v>
      </c>
      <c r="M63" s="1"/>
      <c r="N63" s="5">
        <f t="shared" ref="N63:N65" si="58">IF(H63=0,0,L63/H63)</f>
        <v>0</v>
      </c>
      <c r="O63" s="12"/>
      <c r="P63" s="1">
        <f>SUM(OSRRefP22_13x_0)</f>
        <v>0</v>
      </c>
      <c r="Q63" s="1"/>
      <c r="R63" s="5">
        <f t="shared" ref="R63:R65" si="59">IF(P$12=0,0,P63/P$12)</f>
        <v>0</v>
      </c>
      <c r="S63" s="1"/>
      <c r="T63" s="1">
        <f>SUM(OSRRefT22_13x_0)</f>
        <v>1101.72</v>
      </c>
      <c r="U63" s="1"/>
      <c r="V63" s="5">
        <f t="shared" ref="V63:V65" si="60">IF(T$12=0,0,T63/T$12)</f>
        <v>1.5273206742924198E-3</v>
      </c>
      <c r="W63" s="1"/>
      <c r="X63" s="1">
        <f t="shared" ref="X63:X65" si="61">+P63-T63</f>
        <v>-1101.72</v>
      </c>
      <c r="Y63" s="1"/>
      <c r="Z63" s="5">
        <f t="shared" ref="Z63:Z65" si="62">IF(T63=0,0,X63/T63)</f>
        <v>-1</v>
      </c>
    </row>
    <row r="64" spans="1:26" s="23" customFormat="1" hidden="1" outlineLevel="2" x14ac:dyDescent="0.25">
      <c r="A64" s="27"/>
      <c r="B64" s="10" t="str">
        <f>CONCATENATE("          ", "6258", " - ", "MEMBERSHIP DUES")</f>
        <v xml:space="preserve">          6258 - MEMBERSHIP DUES</v>
      </c>
      <c r="C64" s="10"/>
      <c r="D64" s="6"/>
      <c r="E64" s="2"/>
      <c r="F64" s="7">
        <f t="shared" si="55"/>
        <v>0</v>
      </c>
      <c r="G64" s="2"/>
      <c r="H64" s="6"/>
      <c r="I64" s="2"/>
      <c r="J64" s="7">
        <f t="shared" si="56"/>
        <v>0</v>
      </c>
      <c r="K64" s="2"/>
      <c r="L64" s="6">
        <f t="shared" si="57"/>
        <v>0</v>
      </c>
      <c r="M64" s="2"/>
      <c r="N64" s="7">
        <f t="shared" si="58"/>
        <v>0</v>
      </c>
      <c r="O64" s="10"/>
      <c r="P64" s="6"/>
      <c r="Q64" s="2"/>
      <c r="R64" s="7">
        <f t="shared" si="59"/>
        <v>0</v>
      </c>
      <c r="S64" s="2"/>
      <c r="T64" s="6">
        <v>979</v>
      </c>
      <c r="U64" s="2"/>
      <c r="V64" s="7">
        <f t="shared" si="60"/>
        <v>1.3571932434123725E-3</v>
      </c>
      <c r="W64" s="2"/>
      <c r="X64" s="6">
        <f t="shared" si="61"/>
        <v>-979</v>
      </c>
      <c r="Y64" s="2"/>
      <c r="Z64" s="7">
        <f t="shared" si="62"/>
        <v>-1</v>
      </c>
    </row>
    <row r="65" spans="1:26" s="23" customFormat="1" hidden="1" outlineLevel="2" x14ac:dyDescent="0.25">
      <c r="A65" s="27"/>
      <c r="B65" s="10" t="str">
        <f>CONCATENATE("          ", "6275", " - ", "SUBSCRIPTIONS")</f>
        <v xml:space="preserve">          6275 - SUBSCRIPTIONS</v>
      </c>
      <c r="C65" s="10"/>
      <c r="D65" s="6"/>
      <c r="E65" s="2"/>
      <c r="F65" s="7">
        <f t="shared" si="55"/>
        <v>0</v>
      </c>
      <c r="G65" s="2"/>
      <c r="H65" s="6"/>
      <c r="I65" s="2"/>
      <c r="J65" s="7">
        <f t="shared" si="56"/>
        <v>0</v>
      </c>
      <c r="K65" s="2"/>
      <c r="L65" s="6">
        <f t="shared" si="57"/>
        <v>0</v>
      </c>
      <c r="M65" s="2"/>
      <c r="N65" s="7">
        <f t="shared" si="58"/>
        <v>0</v>
      </c>
      <c r="O65" s="10"/>
      <c r="P65" s="6"/>
      <c r="Q65" s="2"/>
      <c r="R65" s="7">
        <f t="shared" si="59"/>
        <v>0</v>
      </c>
      <c r="S65" s="2"/>
      <c r="T65" s="6">
        <v>122.72</v>
      </c>
      <c r="U65" s="2"/>
      <c r="V65" s="7">
        <f t="shared" si="60"/>
        <v>1.7012743088004736E-4</v>
      </c>
      <c r="W65" s="2"/>
      <c r="X65" s="6">
        <f t="shared" si="61"/>
        <v>-122.72</v>
      </c>
      <c r="Y65" s="2"/>
      <c r="Z65" s="7">
        <f t="shared" si="62"/>
        <v>-1</v>
      </c>
    </row>
    <row r="66" spans="1:26" s="26" customFormat="1" outlineLevel="1" collapsed="1" x14ac:dyDescent="0.25">
      <c r="A66" s="25"/>
      <c r="B66" s="12" t="str">
        <f>CONCATENATE("     ","Supplies                                          ")</f>
        <v xml:space="preserve">     Supplies                                          </v>
      </c>
      <c r="C66" s="12"/>
      <c r="D66" s="1">
        <f>SUM(OSRRefD22_14x_0)</f>
        <v>0</v>
      </c>
      <c r="E66" s="1"/>
      <c r="F66" s="5">
        <f t="shared" ref="F66:F73" si="63">IF(D$12=0,0,D66/D$12)</f>
        <v>0</v>
      </c>
      <c r="G66" s="1"/>
      <c r="H66" s="1">
        <f>SUM(OSRRefH22_14x_0)</f>
        <v>0</v>
      </c>
      <c r="I66" s="1"/>
      <c r="J66" s="5">
        <f t="shared" ref="J66:J73" si="64">IF(H$12=0,0,H66/H$12)</f>
        <v>0</v>
      </c>
      <c r="K66" s="1"/>
      <c r="L66" s="1">
        <f t="shared" ref="L66:L73" si="65">+D66-H66</f>
        <v>0</v>
      </c>
      <c r="M66" s="1"/>
      <c r="N66" s="5">
        <f t="shared" ref="N66:N73" si="66">IF(H66=0,0,L66/H66)</f>
        <v>0</v>
      </c>
      <c r="O66" s="12"/>
      <c r="P66" s="1">
        <f>SUM(OSRRefP22_14x_0)</f>
        <v>72</v>
      </c>
      <c r="Q66" s="1"/>
      <c r="R66" s="5">
        <f t="shared" ref="R66:R73" si="67">IF(P$12=0,0,P66/P$12)</f>
        <v>0</v>
      </c>
      <c r="S66" s="1"/>
      <c r="T66" s="1">
        <f>SUM(OSRRefT22_14x_0)</f>
        <v>11997.33</v>
      </c>
      <c r="U66" s="1"/>
      <c r="V66" s="5">
        <f t="shared" ref="V66:V73" si="68">IF(T$12=0,0,T66/T$12)</f>
        <v>1.6631966511734993E-2</v>
      </c>
      <c r="W66" s="1"/>
      <c r="X66" s="1">
        <f t="shared" ref="X66:X73" si="69">+P66-T66</f>
        <v>-11925.33</v>
      </c>
      <c r="Y66" s="1"/>
      <c r="Z66" s="5">
        <f t="shared" ref="Z66:Z73" si="70">IF(T66=0,0,X66/T66)</f>
        <v>-0.99399866470289644</v>
      </c>
    </row>
    <row r="67" spans="1:26" s="23" customFormat="1" hidden="1" outlineLevel="2" x14ac:dyDescent="0.25">
      <c r="A67" s="27"/>
      <c r="B67" s="10" t="str">
        <f>CONCATENATE("          ", "6237", " - ", "JANITORIAL SUPPLIES")</f>
        <v xml:space="preserve">          6237 - JANITORIAL SUPPLIES</v>
      </c>
      <c r="C67" s="10"/>
      <c r="D67" s="6"/>
      <c r="E67" s="2"/>
      <c r="F67" s="7">
        <f t="shared" si="63"/>
        <v>0</v>
      </c>
      <c r="G67" s="2"/>
      <c r="H67" s="6"/>
      <c r="I67" s="2"/>
      <c r="J67" s="7">
        <f t="shared" si="64"/>
        <v>0</v>
      </c>
      <c r="K67" s="2"/>
      <c r="L67" s="6">
        <f t="shared" si="65"/>
        <v>0</v>
      </c>
      <c r="M67" s="2"/>
      <c r="N67" s="7">
        <f t="shared" si="66"/>
        <v>0</v>
      </c>
      <c r="O67" s="10"/>
      <c r="P67" s="6">
        <v>72</v>
      </c>
      <c r="Q67" s="2"/>
      <c r="R67" s="7">
        <f t="shared" si="67"/>
        <v>0</v>
      </c>
      <c r="S67" s="2"/>
      <c r="T67" s="6">
        <v>2140.12</v>
      </c>
      <c r="U67" s="2"/>
      <c r="V67" s="7">
        <f t="shared" si="68"/>
        <v>2.9668604740466665E-3</v>
      </c>
      <c r="W67" s="2"/>
      <c r="X67" s="6">
        <f t="shared" si="69"/>
        <v>-2068.12</v>
      </c>
      <c r="Y67" s="2"/>
      <c r="Z67" s="7">
        <f t="shared" si="70"/>
        <v>-0.96635702670878265</v>
      </c>
    </row>
    <row r="68" spans="1:26" s="23" customFormat="1" hidden="1" outlineLevel="2" x14ac:dyDescent="0.25">
      <c r="A68" s="27"/>
      <c r="B68" s="10" t="str">
        <f>CONCATENATE("          ", "6239", " - ", "KITCHEN SUPPLIES")</f>
        <v xml:space="preserve">          6239 - KITCHEN SUPPLIES</v>
      </c>
      <c r="C68" s="10"/>
      <c r="D68" s="6"/>
      <c r="E68" s="2"/>
      <c r="F68" s="7">
        <f t="shared" si="63"/>
        <v>0</v>
      </c>
      <c r="G68" s="2"/>
      <c r="H68" s="6"/>
      <c r="I68" s="2"/>
      <c r="J68" s="7">
        <f t="shared" si="64"/>
        <v>0</v>
      </c>
      <c r="K68" s="2"/>
      <c r="L68" s="6">
        <f t="shared" si="65"/>
        <v>0</v>
      </c>
      <c r="M68" s="2"/>
      <c r="N68" s="7">
        <f t="shared" si="66"/>
        <v>0</v>
      </c>
      <c r="O68" s="10"/>
      <c r="P68" s="6"/>
      <c r="Q68" s="2"/>
      <c r="R68" s="7">
        <f t="shared" si="67"/>
        <v>0</v>
      </c>
      <c r="S68" s="2"/>
      <c r="T68" s="6">
        <v>4435.24</v>
      </c>
      <c r="U68" s="2"/>
      <c r="V68" s="7">
        <f t="shared" si="68"/>
        <v>6.1485983257531058E-3</v>
      </c>
      <c r="W68" s="2"/>
      <c r="X68" s="6">
        <f t="shared" si="69"/>
        <v>-4435.24</v>
      </c>
      <c r="Y68" s="2"/>
      <c r="Z68" s="7">
        <f t="shared" si="70"/>
        <v>-1</v>
      </c>
    </row>
    <row r="69" spans="1:26" s="23" customFormat="1" hidden="1" outlineLevel="2" x14ac:dyDescent="0.25">
      <c r="A69" s="27"/>
      <c r="B69" s="10" t="str">
        <f>CONCATENATE("          ", "6241", " - ", "OFFICE EXPENSE")</f>
        <v xml:space="preserve">          6241 - OFFICE EXPENSE</v>
      </c>
      <c r="C69" s="10"/>
      <c r="D69" s="6"/>
      <c r="E69" s="2"/>
      <c r="F69" s="7">
        <f t="shared" si="63"/>
        <v>0</v>
      </c>
      <c r="G69" s="2"/>
      <c r="H69" s="6"/>
      <c r="I69" s="2"/>
      <c r="J69" s="7">
        <f t="shared" si="64"/>
        <v>0</v>
      </c>
      <c r="K69" s="2"/>
      <c r="L69" s="6">
        <f t="shared" si="65"/>
        <v>0</v>
      </c>
      <c r="M69" s="2"/>
      <c r="N69" s="7">
        <f t="shared" si="66"/>
        <v>0</v>
      </c>
      <c r="O69" s="10"/>
      <c r="P69" s="6"/>
      <c r="Q69" s="2"/>
      <c r="R69" s="7">
        <f t="shared" si="67"/>
        <v>0</v>
      </c>
      <c r="S69" s="2"/>
      <c r="T69" s="6">
        <v>1415.33</v>
      </c>
      <c r="U69" s="2"/>
      <c r="V69" s="7">
        <f t="shared" si="68"/>
        <v>1.9620799930529448E-3</v>
      </c>
      <c r="W69" s="2"/>
      <c r="X69" s="6">
        <f t="shared" si="69"/>
        <v>-1415.33</v>
      </c>
      <c r="Y69" s="2"/>
      <c r="Z69" s="7">
        <f t="shared" si="70"/>
        <v>-1</v>
      </c>
    </row>
    <row r="70" spans="1:26" s="23" customFormat="1" hidden="1" outlineLevel="2" x14ac:dyDescent="0.25">
      <c r="A70" s="27"/>
      <c r="B70" s="10" t="str">
        <f>CONCATENATE("          ", "6243", " - ", "PAPER SUPPLIES")</f>
        <v xml:space="preserve">          6243 - PAPER SUPPLIES</v>
      </c>
      <c r="C70" s="10"/>
      <c r="D70" s="6"/>
      <c r="E70" s="2"/>
      <c r="F70" s="7">
        <f t="shared" si="63"/>
        <v>0</v>
      </c>
      <c r="G70" s="2"/>
      <c r="H70" s="6"/>
      <c r="I70" s="2"/>
      <c r="J70" s="7">
        <f t="shared" si="64"/>
        <v>0</v>
      </c>
      <c r="K70" s="2"/>
      <c r="L70" s="6">
        <f t="shared" si="65"/>
        <v>0</v>
      </c>
      <c r="M70" s="2"/>
      <c r="N70" s="7">
        <f t="shared" si="66"/>
        <v>0</v>
      </c>
      <c r="O70" s="10"/>
      <c r="P70" s="6"/>
      <c r="Q70" s="2"/>
      <c r="R70" s="7">
        <f t="shared" si="67"/>
        <v>0</v>
      </c>
      <c r="S70" s="2"/>
      <c r="T70" s="6">
        <v>5057.43</v>
      </c>
      <c r="U70" s="2"/>
      <c r="V70" s="7">
        <f t="shared" si="68"/>
        <v>7.0111438457926816E-3</v>
      </c>
      <c r="W70" s="2"/>
      <c r="X70" s="6">
        <f t="shared" si="69"/>
        <v>-5057.43</v>
      </c>
      <c r="Y70" s="2"/>
      <c r="Z70" s="7">
        <f t="shared" si="70"/>
        <v>-1</v>
      </c>
    </row>
    <row r="71" spans="1:26" s="23" customFormat="1" hidden="1" outlineLevel="2" x14ac:dyDescent="0.25">
      <c r="A71" s="27"/>
      <c r="B71" s="10" t="str">
        <f>CONCATENATE("          ", "6245", " - ", "PRINTING")</f>
        <v xml:space="preserve">          6245 - PRINTING</v>
      </c>
      <c r="C71" s="10"/>
      <c r="D71" s="6"/>
      <c r="E71" s="2"/>
      <c r="F71" s="7">
        <f t="shared" si="63"/>
        <v>0</v>
      </c>
      <c r="G71" s="2"/>
      <c r="H71" s="6"/>
      <c r="I71" s="2"/>
      <c r="J71" s="7">
        <f t="shared" si="64"/>
        <v>0</v>
      </c>
      <c r="K71" s="2"/>
      <c r="L71" s="6">
        <f t="shared" si="65"/>
        <v>0</v>
      </c>
      <c r="M71" s="2"/>
      <c r="N71" s="7">
        <f t="shared" si="66"/>
        <v>0</v>
      </c>
      <c r="O71" s="10"/>
      <c r="P71" s="6"/>
      <c r="Q71" s="2"/>
      <c r="R71" s="7">
        <f t="shared" si="67"/>
        <v>0</v>
      </c>
      <c r="S71" s="2"/>
      <c r="T71" s="6">
        <v>66.930000000000007</v>
      </c>
      <c r="U71" s="2"/>
      <c r="V71" s="7">
        <f t="shared" si="68"/>
        <v>9.2785437979152295E-5</v>
      </c>
      <c r="W71" s="2"/>
      <c r="X71" s="6">
        <f t="shared" si="69"/>
        <v>-66.930000000000007</v>
      </c>
      <c r="Y71" s="2"/>
      <c r="Z71" s="7">
        <f t="shared" si="70"/>
        <v>-1</v>
      </c>
    </row>
    <row r="72" spans="1:26" s="23" customFormat="1" hidden="1" outlineLevel="2" x14ac:dyDescent="0.25">
      <c r="A72" s="27"/>
      <c r="B72" s="10" t="str">
        <f>CONCATENATE("          ", "6247", " - ", "STORE SUPPLIES")</f>
        <v xml:space="preserve">          6247 - STORE SUPPLIES</v>
      </c>
      <c r="C72" s="10"/>
      <c r="D72" s="6"/>
      <c r="E72" s="2"/>
      <c r="F72" s="7">
        <f t="shared" si="63"/>
        <v>0</v>
      </c>
      <c r="G72" s="2"/>
      <c r="H72" s="6"/>
      <c r="I72" s="2"/>
      <c r="J72" s="7">
        <f t="shared" si="64"/>
        <v>0</v>
      </c>
      <c r="K72" s="2"/>
      <c r="L72" s="6">
        <f t="shared" si="65"/>
        <v>0</v>
      </c>
      <c r="M72" s="2"/>
      <c r="N72" s="7">
        <f t="shared" si="66"/>
        <v>0</v>
      </c>
      <c r="O72" s="10"/>
      <c r="P72" s="6"/>
      <c r="Q72" s="2"/>
      <c r="R72" s="7">
        <f t="shared" si="67"/>
        <v>0</v>
      </c>
      <c r="S72" s="2"/>
      <c r="T72" s="6">
        <v>-1251.8</v>
      </c>
      <c r="U72" s="2"/>
      <c r="V72" s="7">
        <f t="shared" si="68"/>
        <v>-1.7353774280935729E-3</v>
      </c>
      <c r="W72" s="2"/>
      <c r="X72" s="6">
        <f t="shared" si="69"/>
        <v>1251.8</v>
      </c>
      <c r="Y72" s="2"/>
      <c r="Z72" s="7">
        <f t="shared" si="70"/>
        <v>-1</v>
      </c>
    </row>
    <row r="73" spans="1:26" s="23" customFormat="1" hidden="1" outlineLevel="2" x14ac:dyDescent="0.25">
      <c r="A73" s="27"/>
      <c r="B73" s="10" t="str">
        <f>CONCATENATE("          ", "6248", " - ", "UNIFORMS")</f>
        <v xml:space="preserve">          6248 - UNIFORMS</v>
      </c>
      <c r="C73" s="10"/>
      <c r="D73" s="6"/>
      <c r="E73" s="2"/>
      <c r="F73" s="7">
        <f t="shared" si="63"/>
        <v>0</v>
      </c>
      <c r="G73" s="2"/>
      <c r="H73" s="6"/>
      <c r="I73" s="2"/>
      <c r="J73" s="7">
        <f t="shared" si="64"/>
        <v>0</v>
      </c>
      <c r="K73" s="2"/>
      <c r="L73" s="6">
        <f t="shared" si="65"/>
        <v>0</v>
      </c>
      <c r="M73" s="2"/>
      <c r="N73" s="7">
        <f t="shared" si="66"/>
        <v>0</v>
      </c>
      <c r="O73" s="10"/>
      <c r="P73" s="6"/>
      <c r="Q73" s="2"/>
      <c r="R73" s="7">
        <f t="shared" si="67"/>
        <v>0</v>
      </c>
      <c r="S73" s="2"/>
      <c r="T73" s="6">
        <v>134.08000000000001</v>
      </c>
      <c r="U73" s="2"/>
      <c r="V73" s="7">
        <f t="shared" si="68"/>
        <v>1.8587586320401524E-4</v>
      </c>
      <c r="W73" s="2"/>
      <c r="X73" s="6">
        <f t="shared" si="69"/>
        <v>-134.08000000000001</v>
      </c>
      <c r="Y73" s="2"/>
      <c r="Z73" s="7">
        <f t="shared" si="70"/>
        <v>-1</v>
      </c>
    </row>
    <row r="74" spans="1:26" s="26" customFormat="1" outlineLevel="1" collapsed="1" x14ac:dyDescent="0.25">
      <c r="A74" s="25"/>
      <c r="B74" s="12" t="str">
        <f>CONCATENATE("     ","Telephone/Data Lines                              ")</f>
        <v xml:space="preserve">     Telephone/Data Lines                              </v>
      </c>
      <c r="C74" s="12"/>
      <c r="D74" s="1">
        <f>SUM(OSRRefD22_15x_0)</f>
        <v>0</v>
      </c>
      <c r="E74" s="1"/>
      <c r="F74" s="5">
        <f t="shared" ref="F74:F79" si="71">IF(D$12=0,0,D74/D$12)</f>
        <v>0</v>
      </c>
      <c r="G74" s="1"/>
      <c r="H74" s="1">
        <f>SUM(OSRRefH22_15x_0)</f>
        <v>23</v>
      </c>
      <c r="I74" s="1"/>
      <c r="J74" s="5">
        <f t="shared" ref="J74:J79" si="72">IF(H$12=0,0,H74/H$12)</f>
        <v>0</v>
      </c>
      <c r="K74" s="1"/>
      <c r="L74" s="1">
        <f t="shared" ref="L74:L79" si="73">+D74-H74</f>
        <v>-23</v>
      </c>
      <c r="M74" s="1"/>
      <c r="N74" s="5">
        <f t="shared" ref="N74:N79" si="74">IF(H74=0,0,L74/H74)</f>
        <v>-1</v>
      </c>
      <c r="O74" s="12"/>
      <c r="P74" s="1">
        <f>SUM(OSRRefP22_15x_0)</f>
        <v>77.430000000000007</v>
      </c>
      <c r="Q74" s="1"/>
      <c r="R74" s="5">
        <f t="shared" ref="R74:R79" si="75">IF(P$12=0,0,P74/P$12)</f>
        <v>0</v>
      </c>
      <c r="S74" s="1"/>
      <c r="T74" s="1">
        <f>SUM(OSRRefT22_15x_0)</f>
        <v>1485.8</v>
      </c>
      <c r="U74" s="1"/>
      <c r="V74" s="5">
        <f t="shared" ref="V74:V79" si="76">IF(T$12=0,0,T74/T$12)</f>
        <v>2.059772953076714E-3</v>
      </c>
      <c r="W74" s="1"/>
      <c r="X74" s="1">
        <f t="shared" ref="X74:X79" si="77">+P74-T74</f>
        <v>-1408.37</v>
      </c>
      <c r="Y74" s="1"/>
      <c r="Z74" s="5">
        <f t="shared" ref="Z74:Z79" si="78">IF(T74=0,0,X74/T74)</f>
        <v>-0.94788666038497771</v>
      </c>
    </row>
    <row r="75" spans="1:26" s="23" customFormat="1" hidden="1" outlineLevel="2" x14ac:dyDescent="0.25">
      <c r="A75" s="27"/>
      <c r="B75" s="10" t="str">
        <f>CONCATENATE("          ", "6309", " - ", "TELEPHONE")</f>
        <v xml:space="preserve">          6309 - TELEPHONE</v>
      </c>
      <c r="C75" s="10"/>
      <c r="D75" s="6"/>
      <c r="E75" s="2"/>
      <c r="F75" s="7">
        <f t="shared" si="71"/>
        <v>0</v>
      </c>
      <c r="G75" s="2"/>
      <c r="H75" s="6">
        <v>23</v>
      </c>
      <c r="I75" s="2"/>
      <c r="J75" s="7">
        <f t="shared" si="72"/>
        <v>0</v>
      </c>
      <c r="K75" s="2"/>
      <c r="L75" s="6">
        <f t="shared" si="73"/>
        <v>-23</v>
      </c>
      <c r="M75" s="2"/>
      <c r="N75" s="7">
        <f t="shared" si="74"/>
        <v>-1</v>
      </c>
      <c r="O75" s="10"/>
      <c r="P75" s="6">
        <v>77.430000000000007</v>
      </c>
      <c r="Q75" s="2"/>
      <c r="R75" s="7">
        <f t="shared" si="75"/>
        <v>0</v>
      </c>
      <c r="S75" s="2"/>
      <c r="T75" s="6">
        <v>1485.8</v>
      </c>
      <c r="U75" s="2"/>
      <c r="V75" s="7">
        <f t="shared" si="76"/>
        <v>2.059772953076714E-3</v>
      </c>
      <c r="W75" s="2"/>
      <c r="X75" s="6">
        <f t="shared" si="77"/>
        <v>-1408.37</v>
      </c>
      <c r="Y75" s="2"/>
      <c r="Z75" s="7">
        <f t="shared" si="78"/>
        <v>-0.94788666038497771</v>
      </c>
    </row>
    <row r="76" spans="1:26" s="26" customFormat="1" outlineLevel="1" collapsed="1" x14ac:dyDescent="0.25">
      <c r="A76" s="25"/>
      <c r="B76" s="12" t="str">
        <f>CONCATENATE("     ","Training                                          ")</f>
        <v xml:space="preserve">     Training                                          </v>
      </c>
      <c r="C76" s="12"/>
      <c r="D76" s="1">
        <f>SUM(OSRRefD22_16x_0)</f>
        <v>0</v>
      </c>
      <c r="E76" s="1"/>
      <c r="F76" s="5">
        <f t="shared" si="71"/>
        <v>0</v>
      </c>
      <c r="G76" s="1"/>
      <c r="H76" s="1">
        <f>SUM(OSRRefH22_16x_0)</f>
        <v>120</v>
      </c>
      <c r="I76" s="1"/>
      <c r="J76" s="5">
        <f t="shared" si="72"/>
        <v>0</v>
      </c>
      <c r="K76" s="1"/>
      <c r="L76" s="1">
        <f t="shared" si="73"/>
        <v>-120</v>
      </c>
      <c r="M76" s="1"/>
      <c r="N76" s="5">
        <f t="shared" si="74"/>
        <v>-1</v>
      </c>
      <c r="O76" s="12"/>
      <c r="P76" s="1">
        <f>SUM(OSRRefP22_16x_0)</f>
        <v>0</v>
      </c>
      <c r="Q76" s="1"/>
      <c r="R76" s="5">
        <f t="shared" si="75"/>
        <v>0</v>
      </c>
      <c r="S76" s="1"/>
      <c r="T76" s="1">
        <f>SUM(OSRRefT22_16x_0)</f>
        <v>585.65</v>
      </c>
      <c r="U76" s="1"/>
      <c r="V76" s="5">
        <f t="shared" si="76"/>
        <v>8.1188991113836147E-4</v>
      </c>
      <c r="W76" s="1"/>
      <c r="X76" s="1">
        <f t="shared" si="77"/>
        <v>-585.65</v>
      </c>
      <c r="Y76" s="1"/>
      <c r="Z76" s="5">
        <f t="shared" si="78"/>
        <v>-1</v>
      </c>
    </row>
    <row r="77" spans="1:26" s="23" customFormat="1" hidden="1" outlineLevel="2" x14ac:dyDescent="0.25">
      <c r="A77" s="27"/>
      <c r="B77" s="10" t="str">
        <f>CONCATENATE("          ", "6376", " - ", "TRAINING")</f>
        <v xml:space="preserve">          6376 - TRAINING</v>
      </c>
      <c r="C77" s="10"/>
      <c r="D77" s="6"/>
      <c r="E77" s="2"/>
      <c r="F77" s="7">
        <f t="shared" si="71"/>
        <v>0</v>
      </c>
      <c r="G77" s="2"/>
      <c r="H77" s="6">
        <v>120</v>
      </c>
      <c r="I77" s="2"/>
      <c r="J77" s="7">
        <f t="shared" si="72"/>
        <v>0</v>
      </c>
      <c r="K77" s="2"/>
      <c r="L77" s="6">
        <f t="shared" si="73"/>
        <v>-120</v>
      </c>
      <c r="M77" s="2"/>
      <c r="N77" s="7">
        <f t="shared" si="74"/>
        <v>-1</v>
      </c>
      <c r="O77" s="10"/>
      <c r="P77" s="6"/>
      <c r="Q77" s="2"/>
      <c r="R77" s="7">
        <f t="shared" si="75"/>
        <v>0</v>
      </c>
      <c r="S77" s="2"/>
      <c r="T77" s="6">
        <v>585.65</v>
      </c>
      <c r="U77" s="2"/>
      <c r="V77" s="7">
        <f t="shared" si="76"/>
        <v>8.1188991113836147E-4</v>
      </c>
      <c r="W77" s="2"/>
      <c r="X77" s="6">
        <f t="shared" si="77"/>
        <v>-585.65</v>
      </c>
      <c r="Y77" s="2"/>
      <c r="Z77" s="7">
        <f t="shared" si="78"/>
        <v>-1</v>
      </c>
    </row>
    <row r="78" spans="1:26" s="26" customFormat="1" outlineLevel="1" collapsed="1" x14ac:dyDescent="0.25">
      <c r="A78" s="25"/>
      <c r="B78" s="12" t="str">
        <f>CONCATENATE("     ","Utilities                                         ")</f>
        <v xml:space="preserve">     Utilities                                         </v>
      </c>
      <c r="C78" s="12"/>
      <c r="D78" s="1">
        <f>SUM(OSRRefD22_17x_0)</f>
        <v>348</v>
      </c>
      <c r="E78" s="1"/>
      <c r="F78" s="5">
        <f t="shared" si="71"/>
        <v>0</v>
      </c>
      <c r="G78" s="1"/>
      <c r="H78" s="1">
        <f>SUM(OSRRefH22_17x_0)</f>
        <v>348</v>
      </c>
      <c r="I78" s="1"/>
      <c r="J78" s="5">
        <f t="shared" si="72"/>
        <v>0</v>
      </c>
      <c r="K78" s="1"/>
      <c r="L78" s="1">
        <f t="shared" si="73"/>
        <v>0</v>
      </c>
      <c r="M78" s="1"/>
      <c r="N78" s="5">
        <f t="shared" si="74"/>
        <v>0</v>
      </c>
      <c r="O78" s="12"/>
      <c r="P78" s="1">
        <f>SUM(OSRRefP22_17x_0)</f>
        <v>1602</v>
      </c>
      <c r="Q78" s="1"/>
      <c r="R78" s="5">
        <f t="shared" si="75"/>
        <v>0</v>
      </c>
      <c r="S78" s="1"/>
      <c r="T78" s="1">
        <f>SUM(OSRRefT22_17x_0)</f>
        <v>3476</v>
      </c>
      <c r="U78" s="1"/>
      <c r="V78" s="5">
        <f t="shared" si="76"/>
        <v>4.8187984822281992E-3</v>
      </c>
      <c r="W78" s="1"/>
      <c r="X78" s="1">
        <f t="shared" si="77"/>
        <v>-1874</v>
      </c>
      <c r="Y78" s="1"/>
      <c r="Z78" s="5">
        <f t="shared" si="78"/>
        <v>-0.53912543153049486</v>
      </c>
    </row>
    <row r="79" spans="1:26" s="23" customFormat="1" hidden="1" outlineLevel="2" x14ac:dyDescent="0.25">
      <c r="A79" s="27"/>
      <c r="B79" s="10" t="str">
        <f>CONCATENATE("          ", "6274", " - ", "UTILITIES")</f>
        <v xml:space="preserve">          6274 - UTILITIES</v>
      </c>
      <c r="C79" s="10"/>
      <c r="D79" s="6">
        <v>348</v>
      </c>
      <c r="E79" s="2"/>
      <c r="F79" s="7">
        <f t="shared" si="71"/>
        <v>0</v>
      </c>
      <c r="G79" s="2"/>
      <c r="H79" s="6">
        <v>348</v>
      </c>
      <c r="I79" s="2"/>
      <c r="J79" s="7">
        <f t="shared" si="72"/>
        <v>0</v>
      </c>
      <c r="K79" s="2"/>
      <c r="L79" s="6">
        <f t="shared" si="73"/>
        <v>0</v>
      </c>
      <c r="M79" s="2"/>
      <c r="N79" s="7">
        <f t="shared" si="74"/>
        <v>0</v>
      </c>
      <c r="O79" s="10"/>
      <c r="P79" s="6">
        <v>1602</v>
      </c>
      <c r="Q79" s="2"/>
      <c r="R79" s="7">
        <f t="shared" si="75"/>
        <v>0</v>
      </c>
      <c r="S79" s="2"/>
      <c r="T79" s="6">
        <v>3476</v>
      </c>
      <c r="U79" s="2"/>
      <c r="V79" s="7">
        <f t="shared" si="76"/>
        <v>4.8187984822281992E-3</v>
      </c>
      <c r="W79" s="2"/>
      <c r="X79" s="6">
        <f t="shared" si="77"/>
        <v>-1874</v>
      </c>
      <c r="Y79" s="2"/>
      <c r="Z79" s="7">
        <f t="shared" si="78"/>
        <v>-0.53912543153049486</v>
      </c>
    </row>
    <row r="80" spans="1:26" s="62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4" customFormat="1" x14ac:dyDescent="0.25">
      <c r="A81" s="11"/>
      <c r="B81" s="28" t="s">
        <v>292</v>
      </c>
      <c r="C81" s="11"/>
      <c r="D81" s="4">
        <f>SUM(0)</f>
        <v>0</v>
      </c>
      <c r="E81" s="4"/>
      <c r="F81" s="13">
        <f>IF(D$12=0,0,D81/D$12)</f>
        <v>0</v>
      </c>
      <c r="G81" s="4"/>
      <c r="H81" s="4">
        <f>SUM(0)</f>
        <v>0</v>
      </c>
      <c r="I81" s="4"/>
      <c r="J81" s="13">
        <f>IF(H$12=0,0,H81/H$12)</f>
        <v>0</v>
      </c>
      <c r="K81" s="4"/>
      <c r="L81" s="4">
        <f>+D81-H81</f>
        <v>0</v>
      </c>
      <c r="M81" s="4"/>
      <c r="N81" s="13">
        <f>IF(H81=0,0,L81/H81)</f>
        <v>0</v>
      </c>
      <c r="O81" s="11"/>
      <c r="P81" s="4">
        <f>SUM(0)</f>
        <v>0</v>
      </c>
      <c r="Q81" s="4"/>
      <c r="R81" s="13">
        <f>IF(P$12=0,0,P81/P$12)</f>
        <v>0</v>
      </c>
      <c r="S81" s="4"/>
      <c r="T81" s="4">
        <f>SUM(0)</f>
        <v>0</v>
      </c>
      <c r="U81" s="4"/>
      <c r="V81" s="13">
        <f>IF(T$12=0,0,T81/T$12)</f>
        <v>0</v>
      </c>
      <c r="W81" s="4"/>
      <c r="X81" s="4">
        <f>+P81-T81</f>
        <v>0</v>
      </c>
      <c r="Y81" s="4"/>
      <c r="Z81" s="13">
        <f>IF(T81=0,0,X81/T81)</f>
        <v>0</v>
      </c>
    </row>
    <row r="82" spans="1:26" x14ac:dyDescent="0.25">
      <c r="A82" s="9"/>
      <c r="B82" s="11"/>
      <c r="C82" s="11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1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4" customFormat="1" x14ac:dyDescent="0.25">
      <c r="A83" s="11"/>
      <c r="B83" s="29" t="s">
        <v>276</v>
      </c>
      <c r="C83" s="29"/>
      <c r="D83" s="20">
        <f>+D20-D22+D81</f>
        <v>-7546.01</v>
      </c>
      <c r="E83" s="14"/>
      <c r="F83" s="22">
        <f>IF(D$12=0,0,D83/D$12)</f>
        <v>0</v>
      </c>
      <c r="G83" s="14"/>
      <c r="H83" s="20">
        <f>+H20-H22+H81</f>
        <v>-15567.779999999999</v>
      </c>
      <c r="I83" s="14"/>
      <c r="J83" s="22">
        <f>IF(H$12=0,0,H83/H$12)</f>
        <v>0</v>
      </c>
      <c r="K83" s="16"/>
      <c r="L83" s="20">
        <f>+D83-H83</f>
        <v>8021.7699999999986</v>
      </c>
      <c r="M83" s="16"/>
      <c r="N83" s="22">
        <f>IF(H83=0,0,L83/H83)</f>
        <v>-0.51528027759898964</v>
      </c>
      <c r="O83" s="28"/>
      <c r="P83" s="20">
        <f>+P20-P22+P81</f>
        <v>-72014.87999999999</v>
      </c>
      <c r="Q83" s="14"/>
      <c r="R83" s="22">
        <f>IF(P$12=0,0,P83/P$12)</f>
        <v>0</v>
      </c>
      <c r="S83" s="14"/>
      <c r="T83" s="20">
        <f>+T20-T22+T81</f>
        <v>-82497.299999999988</v>
      </c>
      <c r="U83" s="14"/>
      <c r="V83" s="22">
        <f>IF(T$12=0,0,T83/T$12)</f>
        <v>-0.11436647411620378</v>
      </c>
      <c r="W83" s="16"/>
      <c r="X83" s="20">
        <f>+P83-T83</f>
        <v>10482.419999999998</v>
      </c>
      <c r="Y83" s="16"/>
      <c r="Z83" s="22">
        <f>IF(T83=0,0,X83/T83)</f>
        <v>-0.12706379481510305</v>
      </c>
    </row>
    <row r="84" spans="1:26" x14ac:dyDescent="0.25">
      <c r="A84" s="9"/>
      <c r="B84" s="11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4" customFormat="1" x14ac:dyDescent="0.25">
      <c r="A85" s="51"/>
      <c r="B85" s="11" t="s">
        <v>127</v>
      </c>
      <c r="C85" s="11"/>
      <c r="D85" s="4"/>
      <c r="E85" s="4"/>
      <c r="F85" s="13">
        <f>IF(D$12=0,0,D85/D$12)</f>
        <v>0</v>
      </c>
      <c r="G85" s="4"/>
      <c r="H85" s="4">
        <v>4609.68</v>
      </c>
      <c r="I85" s="4"/>
      <c r="J85" s="13">
        <f>IF(H$12=0,0,H85/H$12)</f>
        <v>0</v>
      </c>
      <c r="K85" s="4"/>
      <c r="L85" s="4">
        <f>+D85-H85</f>
        <v>-4609.68</v>
      </c>
      <c r="M85" s="4"/>
      <c r="N85" s="13">
        <f>IF(H85=0,0,L85/H85)</f>
        <v>-1</v>
      </c>
      <c r="O85" s="11"/>
      <c r="P85" s="4"/>
      <c r="Q85" s="4"/>
      <c r="R85" s="13">
        <f>IF(P$12=0,0,P85/P$12)</f>
        <v>0</v>
      </c>
      <c r="S85" s="4"/>
      <c r="T85" s="4">
        <v>81903.179999999993</v>
      </c>
      <c r="U85" s="4"/>
      <c r="V85" s="13">
        <f>IF(T$12=0,0,T85/T$12)</f>
        <v>0.11354284219610557</v>
      </c>
      <c r="W85" s="4"/>
      <c r="X85" s="4">
        <f>+P85-T85</f>
        <v>-81903.179999999993</v>
      </c>
      <c r="Y85" s="4"/>
      <c r="Z85" s="13">
        <f>IF(T85=0,0,X85/T85)</f>
        <v>-1</v>
      </c>
    </row>
    <row r="86" spans="1:26" x14ac:dyDescent="0.25">
      <c r="A86" s="9"/>
      <c r="B86" s="11"/>
      <c r="C86" s="11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1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4" customFormat="1" ht="15.75" thickBot="1" x14ac:dyDescent="0.3">
      <c r="A87" s="11"/>
      <c r="B87" s="29" t="s">
        <v>125</v>
      </c>
      <c r="C87" s="29"/>
      <c r="D87" s="30">
        <f>+D83-D85</f>
        <v>-7546.01</v>
      </c>
      <c r="E87" s="14"/>
      <c r="F87" s="34">
        <f>IF(D$12=0,0,D87/D$12)</f>
        <v>0</v>
      </c>
      <c r="G87" s="14"/>
      <c r="H87" s="30">
        <f>+H83-H85</f>
        <v>-20177.46</v>
      </c>
      <c r="I87" s="14"/>
      <c r="J87" s="34">
        <f>IF(H$12=0,0,H87/H$12)</f>
        <v>0</v>
      </c>
      <c r="K87" s="16"/>
      <c r="L87" s="30">
        <f>D87-H87</f>
        <v>12631.449999999999</v>
      </c>
      <c r="M87" s="16"/>
      <c r="N87" s="34">
        <f>IF(H87=0,0,L87/H87)</f>
        <v>-0.62601784367308866</v>
      </c>
      <c r="O87" s="28"/>
      <c r="P87" s="30">
        <f>+P83-P85</f>
        <v>-72014.87999999999</v>
      </c>
      <c r="Q87" s="14"/>
      <c r="R87" s="34">
        <f>IF(P$12=0,0,P87/P$12)</f>
        <v>0</v>
      </c>
      <c r="S87" s="14"/>
      <c r="T87" s="30">
        <f>+T83-T85</f>
        <v>-164400.47999999998</v>
      </c>
      <c r="U87" s="14"/>
      <c r="V87" s="34">
        <f>IF(T$12=0,0,T87/T$12)</f>
        <v>-0.22790931631230935</v>
      </c>
      <c r="W87" s="16"/>
      <c r="X87" s="30">
        <f>P87-T87</f>
        <v>92385.599999999991</v>
      </c>
      <c r="Y87" s="16"/>
      <c r="Z87" s="34">
        <f>IF(T87=0,0,X87/T87)</f>
        <v>-0.56195456363631058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ht="15.75" thickBot="1" x14ac:dyDescent="0.3">
      <c r="A90" s="11"/>
      <c r="B90" s="29" t="s">
        <v>293</v>
      </c>
      <c r="C90" s="29"/>
      <c r="D90" s="32">
        <f>SUM(D87:D89)</f>
        <v>-7546.01</v>
      </c>
      <c r="E90" s="14"/>
      <c r="F90" s="35">
        <f>IF(D$12=0,0,D90/D$12)</f>
        <v>0</v>
      </c>
      <c r="G90" s="14"/>
      <c r="H90" s="32">
        <f>SUM(H87:H89)</f>
        <v>-20177.46</v>
      </c>
      <c r="I90" s="14"/>
      <c r="J90" s="35">
        <f>IF(H$12=0,0,H90/H$12)</f>
        <v>0</v>
      </c>
      <c r="K90" s="16"/>
      <c r="L90" s="32">
        <f>+D90-H90</f>
        <v>12631.449999999999</v>
      </c>
      <c r="M90" s="16"/>
      <c r="N90" s="35">
        <f>IF(H90=0,0,L90/H90)</f>
        <v>-0.62601784367308866</v>
      </c>
      <c r="O90" s="28"/>
      <c r="P90" s="32">
        <f>SUM(P87:P89)</f>
        <v>-72014.87999999999</v>
      </c>
      <c r="Q90" s="14"/>
      <c r="R90" s="35">
        <f>IF(P$12=0,0,P90/P$12)</f>
        <v>0</v>
      </c>
      <c r="S90" s="14"/>
      <c r="T90" s="32">
        <f>SUM(T87:T89)</f>
        <v>-164400.47999999998</v>
      </c>
      <c r="U90" s="14"/>
      <c r="V90" s="35">
        <f>IF(T$12=0,0,T90/T$12)</f>
        <v>-0.22790931631230935</v>
      </c>
      <c r="W90" s="16"/>
      <c r="X90" s="32">
        <f>+P90-T90</f>
        <v>92385.599999999991</v>
      </c>
      <c r="Y90" s="16"/>
      <c r="Z90" s="35">
        <f>IF(T90=0,0,X90/T90)</f>
        <v>-0.56195456363631058</v>
      </c>
    </row>
    <row r="91" spans="1:26" ht="15.75" thickTop="1" x14ac:dyDescent="0.25">
      <c r="A91" s="9"/>
      <c r="C91" s="9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59">
        <v>44330.00886898148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52" t="s">
        <v>56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5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","406", " - ", "OPA! Greek")</f>
        <v>Department 406 - OPA! Greek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189965.58000000002</v>
      </c>
      <c r="U12" s="4"/>
      <c r="V12" s="13"/>
      <c r="W12" s="4"/>
      <c r="X12" s="4">
        <f t="shared" ref="X12:X14" si="2">+P12-T12</f>
        <v>-189965.58000000002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--43841.85</f>
        <v>43841.85</v>
      </c>
      <c r="U13" s="2"/>
      <c r="V13" s="19"/>
      <c r="W13" s="2"/>
      <c r="X13" s="2">
        <f t="shared" si="2"/>
        <v>-43841.85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--146123.73</f>
        <v>146123.73000000001</v>
      </c>
      <c r="U14" s="2"/>
      <c r="V14" s="19"/>
      <c r="W14" s="2"/>
      <c r="X14" s="2">
        <f t="shared" si="2"/>
        <v>-146123.73000000001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4501</v>
      </c>
      <c r="I16" s="4"/>
      <c r="J16" s="13">
        <f t="shared" ref="J16:J18" si="8">IF(H$12=0,0,H16/H$12)</f>
        <v>0</v>
      </c>
      <c r="K16" s="4"/>
      <c r="L16" s="4">
        <f t="shared" ref="L16:L18" si="9">+D16-H16</f>
        <v>-4501</v>
      </c>
      <c r="M16" s="4"/>
      <c r="N16" s="13">
        <f t="shared" ref="N16:N18" si="10">IF(H16=0,0,L16/H16)</f>
        <v>-1</v>
      </c>
      <c r="O16" s="11"/>
      <c r="P16" s="4">
        <f>SUM(OSRRefP16x_0)</f>
        <v>0</v>
      </c>
      <c r="Q16" s="4"/>
      <c r="R16" s="13">
        <f t="shared" ref="R16:R18" si="11">IF(P$12=0,0,P16/P$12)</f>
        <v>0</v>
      </c>
      <c r="S16" s="4"/>
      <c r="T16" s="4">
        <f>SUM(OSRRefT16x_0)</f>
        <v>71171.56</v>
      </c>
      <c r="U16" s="4"/>
      <c r="V16" s="13">
        <f t="shared" ref="V16:V18" si="12">IF(T$12=0,0,T16/T$12)</f>
        <v>0.37465502961115371</v>
      </c>
      <c r="W16" s="4"/>
      <c r="X16" s="4">
        <f t="shared" ref="X16:X18" si="13">+P16-T16</f>
        <v>-71171.56</v>
      </c>
      <c r="Y16" s="4"/>
      <c r="Z16" s="13">
        <f t="shared" ref="Z16:Z18" si="14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0"/>
      <c r="P17" s="2"/>
      <c r="Q17" s="2"/>
      <c r="R17" s="19">
        <f t="shared" si="11"/>
        <v>0</v>
      </c>
      <c r="S17" s="2"/>
      <c r="T17" s="2">
        <v>69616.179999999993</v>
      </c>
      <c r="U17" s="2"/>
      <c r="V17" s="19">
        <f t="shared" si="12"/>
        <v>0.36646733581946783</v>
      </c>
      <c r="W17" s="2"/>
      <c r="X17" s="2">
        <f t="shared" si="13"/>
        <v>-69616.179999999993</v>
      </c>
      <c r="Y17" s="2"/>
      <c r="Z17" s="19">
        <f t="shared" si="14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>
        <v>4501</v>
      </c>
      <c r="I18" s="2"/>
      <c r="J18" s="19">
        <f t="shared" si="8"/>
        <v>0</v>
      </c>
      <c r="K18" s="2"/>
      <c r="L18" s="2">
        <f t="shared" si="9"/>
        <v>-4501</v>
      </c>
      <c r="M18" s="2"/>
      <c r="N18" s="19">
        <f t="shared" si="10"/>
        <v>-1</v>
      </c>
      <c r="O18" s="10"/>
      <c r="P18" s="2"/>
      <c r="Q18" s="2"/>
      <c r="R18" s="19">
        <f t="shared" si="11"/>
        <v>0</v>
      </c>
      <c r="S18" s="2"/>
      <c r="T18" s="2">
        <v>1555.38</v>
      </c>
      <c r="U18" s="2"/>
      <c r="V18" s="19">
        <f t="shared" si="12"/>
        <v>8.1876937916858412E-3</v>
      </c>
      <c r="W18" s="2"/>
      <c r="X18" s="2">
        <f t="shared" si="13"/>
        <v>-1555.38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-4501</v>
      </c>
      <c r="I20" s="14"/>
      <c r="J20" s="22">
        <f>IF(H$12=0,0,H20/H$12)</f>
        <v>0</v>
      </c>
      <c r="K20" s="16"/>
      <c r="L20" s="20">
        <f>+D20-H20</f>
        <v>4501</v>
      </c>
      <c r="M20" s="16"/>
      <c r="N20" s="22">
        <f>IF(H20=0,0,L20/H20)</f>
        <v>-1</v>
      </c>
      <c r="O20" s="28"/>
      <c r="P20" s="20">
        <f>P12-P16</f>
        <v>0</v>
      </c>
      <c r="Q20" s="14"/>
      <c r="R20" s="22">
        <f>IF(P$12=0,0,P20/P$12)</f>
        <v>0</v>
      </c>
      <c r="S20" s="14"/>
      <c r="T20" s="20">
        <f>T12-T16</f>
        <v>118794.02000000002</v>
      </c>
      <c r="U20" s="14"/>
      <c r="V20" s="22">
        <f>IF(T$12=0,0,T20/T$12)</f>
        <v>0.62534497038884629</v>
      </c>
      <c r="W20" s="16"/>
      <c r="X20" s="20">
        <f>+P20-T20</f>
        <v>-118794.02000000002</v>
      </c>
      <c r="Y20" s="16"/>
      <c r="Z20" s="22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119.55</v>
      </c>
      <c r="E22" s="21"/>
      <c r="F22" s="31">
        <f t="shared" ref="F22:F31" si="15">IF(D$12=0,0,D22/D$12)</f>
        <v>0</v>
      </c>
      <c r="G22" s="21"/>
      <c r="H22" s="21">
        <f>SUM(OSRRefH22x_0)</f>
        <v>1324.1799999999998</v>
      </c>
      <c r="I22" s="21"/>
      <c r="J22" s="31">
        <f t="shared" ref="J22:J31" si="16">IF(H$12=0,0,H22/H$12)</f>
        <v>0</v>
      </c>
      <c r="K22" s="4"/>
      <c r="L22" s="21">
        <f t="shared" ref="L22:L31" si="17">+D22-H22</f>
        <v>-1204.6299999999999</v>
      </c>
      <c r="M22" s="4"/>
      <c r="N22" s="31">
        <f t="shared" ref="N22:N31" si="18">IF(H22=0,0,L22/H22)</f>
        <v>-0.90971771209352204</v>
      </c>
      <c r="O22" s="11"/>
      <c r="P22" s="21">
        <f>SUM(OSRRefP22x_0)</f>
        <v>2291.9899999999998</v>
      </c>
      <c r="Q22" s="21"/>
      <c r="R22" s="31">
        <f t="shared" ref="R22:R31" si="19">IF(P$12=0,0,P22/P$12)</f>
        <v>0</v>
      </c>
      <c r="S22" s="21"/>
      <c r="T22" s="21">
        <f>SUM(OSRRefT22x_0)</f>
        <v>184739.94000000006</v>
      </c>
      <c r="U22" s="21"/>
      <c r="V22" s="31">
        <f t="shared" ref="V22:V31" si="20">IF(T$12=0,0,T22/T$12)</f>
        <v>0.97249164822385215</v>
      </c>
      <c r="W22" s="4"/>
      <c r="X22" s="21">
        <f t="shared" ref="X22:X31" si="21">+P22-T22</f>
        <v>-182447.95000000007</v>
      </c>
      <c r="Y22" s="4"/>
      <c r="Z22" s="31">
        <f t="shared" ref="Z22:Z31" si="22">IF(T22=0,0,X22/T22)</f>
        <v>-0.98759342457294297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692.02</v>
      </c>
      <c r="I23" s="1"/>
      <c r="J23" s="5">
        <f t="shared" si="16"/>
        <v>0</v>
      </c>
      <c r="K23" s="1"/>
      <c r="L23" s="1">
        <f t="shared" si="17"/>
        <v>-692.02</v>
      </c>
      <c r="M23" s="1"/>
      <c r="N23" s="5">
        <f t="shared" si="18"/>
        <v>-1</v>
      </c>
      <c r="O23" s="12"/>
      <c r="P23" s="1">
        <f>SUM(OSRRefP22_0x_0)</f>
        <v>660.8</v>
      </c>
      <c r="Q23" s="1"/>
      <c r="R23" s="5">
        <f t="shared" si="19"/>
        <v>0</v>
      </c>
      <c r="S23" s="1"/>
      <c r="T23" s="1">
        <f>SUM(OSRRefT22_0x_0)</f>
        <v>20098.699999999997</v>
      </c>
      <c r="U23" s="1"/>
      <c r="V23" s="5">
        <f t="shared" si="20"/>
        <v>0.10580179841000667</v>
      </c>
      <c r="W23" s="1"/>
      <c r="X23" s="1">
        <f t="shared" si="21"/>
        <v>-19437.899999999998</v>
      </c>
      <c r="Y23" s="1"/>
      <c r="Z23" s="5">
        <f t="shared" si="22"/>
        <v>-0.9671222516879201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>
        <v>31.22</v>
      </c>
      <c r="I24" s="2"/>
      <c r="J24" s="7">
        <f t="shared" si="16"/>
        <v>0</v>
      </c>
      <c r="K24" s="2"/>
      <c r="L24" s="6">
        <f t="shared" si="17"/>
        <v>-31.22</v>
      </c>
      <c r="M24" s="2"/>
      <c r="N24" s="7">
        <f t="shared" si="18"/>
        <v>-1</v>
      </c>
      <c r="O24" s="10"/>
      <c r="P24" s="6"/>
      <c r="Q24" s="2"/>
      <c r="R24" s="7">
        <f t="shared" si="19"/>
        <v>0</v>
      </c>
      <c r="S24" s="2"/>
      <c r="T24" s="6">
        <v>6831.57</v>
      </c>
      <c r="U24" s="2"/>
      <c r="V24" s="7">
        <f t="shared" si="20"/>
        <v>3.5962146405680434E-2</v>
      </c>
      <c r="W24" s="2"/>
      <c r="X24" s="6">
        <f t="shared" si="21"/>
        <v>-6831.57</v>
      </c>
      <c r="Y24" s="2"/>
      <c r="Z24" s="7">
        <f t="shared" si="22"/>
        <v>-1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4016.54</v>
      </c>
      <c r="U25" s="2"/>
      <c r="V25" s="7">
        <f t="shared" si="20"/>
        <v>2.1143514525105021E-2</v>
      </c>
      <c r="W25" s="2"/>
      <c r="X25" s="6">
        <f t="shared" si="21"/>
        <v>-4016.54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>
        <v>660.8</v>
      </c>
      <c r="I26" s="2"/>
      <c r="J26" s="7">
        <f t="shared" si="16"/>
        <v>0</v>
      </c>
      <c r="K26" s="2"/>
      <c r="L26" s="6">
        <f t="shared" si="17"/>
        <v>-660.8</v>
      </c>
      <c r="M26" s="2"/>
      <c r="N26" s="7">
        <f t="shared" si="18"/>
        <v>-1</v>
      </c>
      <c r="O26" s="10"/>
      <c r="P26" s="6">
        <v>660.8</v>
      </c>
      <c r="Q26" s="2"/>
      <c r="R26" s="7">
        <f t="shared" si="19"/>
        <v>0</v>
      </c>
      <c r="S26" s="2"/>
      <c r="T26" s="6">
        <v>942.72</v>
      </c>
      <c r="U26" s="2"/>
      <c r="V26" s="7">
        <f t="shared" si="20"/>
        <v>4.9625832216552068E-3</v>
      </c>
      <c r="W26" s="2"/>
      <c r="X26" s="6">
        <f t="shared" si="21"/>
        <v>-281.92000000000007</v>
      </c>
      <c r="Y26" s="2"/>
      <c r="Z26" s="7">
        <f t="shared" si="22"/>
        <v>-0.29904955872369321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/>
      <c r="I27" s="2"/>
      <c r="J27" s="7">
        <f t="shared" si="16"/>
        <v>0</v>
      </c>
      <c r="K27" s="2"/>
      <c r="L27" s="6">
        <f t="shared" si="17"/>
        <v>0</v>
      </c>
      <c r="M27" s="2"/>
      <c r="N27" s="7">
        <f t="shared" si="18"/>
        <v>0</v>
      </c>
      <c r="O27" s="10"/>
      <c r="P27" s="6"/>
      <c r="Q27" s="2"/>
      <c r="R27" s="7">
        <f t="shared" si="19"/>
        <v>0</v>
      </c>
      <c r="S27" s="2"/>
      <c r="T27" s="6">
        <v>319.64</v>
      </c>
      <c r="U27" s="2"/>
      <c r="V27" s="7">
        <f t="shared" si="20"/>
        <v>1.6826206094809383E-3</v>
      </c>
      <c r="W27" s="2"/>
      <c r="X27" s="6">
        <f t="shared" si="21"/>
        <v>-319.64</v>
      </c>
      <c r="Y27" s="2"/>
      <c r="Z27" s="7">
        <f t="shared" si="22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/>
      <c r="I28" s="2"/>
      <c r="J28" s="7">
        <f t="shared" si="16"/>
        <v>0</v>
      </c>
      <c r="K28" s="2"/>
      <c r="L28" s="6">
        <f t="shared" si="17"/>
        <v>0</v>
      </c>
      <c r="M28" s="2"/>
      <c r="N28" s="7">
        <f t="shared" si="18"/>
        <v>0</v>
      </c>
      <c r="O28" s="10"/>
      <c r="P28" s="6"/>
      <c r="Q28" s="2"/>
      <c r="R28" s="7">
        <f t="shared" si="19"/>
        <v>0</v>
      </c>
      <c r="S28" s="2"/>
      <c r="T28" s="6">
        <v>2839.06</v>
      </c>
      <c r="U28" s="2"/>
      <c r="V28" s="7">
        <f t="shared" si="20"/>
        <v>1.4945128480643702E-2</v>
      </c>
      <c r="W28" s="2"/>
      <c r="X28" s="6">
        <f t="shared" si="21"/>
        <v>-2839.06</v>
      </c>
      <c r="Y28" s="2"/>
      <c r="Z28" s="7">
        <f t="shared" si="22"/>
        <v>-1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0</v>
      </c>
      <c r="M29" s="2"/>
      <c r="N29" s="7">
        <f t="shared" si="18"/>
        <v>0</v>
      </c>
      <c r="O29" s="10"/>
      <c r="P29" s="6"/>
      <c r="Q29" s="2"/>
      <c r="R29" s="7">
        <f t="shared" si="19"/>
        <v>0</v>
      </c>
      <c r="S29" s="2"/>
      <c r="T29" s="6">
        <v>1634.87</v>
      </c>
      <c r="U29" s="2"/>
      <c r="V29" s="7">
        <f t="shared" si="20"/>
        <v>8.6061380172134331E-3</v>
      </c>
      <c r="W29" s="2"/>
      <c r="X29" s="6">
        <f t="shared" si="21"/>
        <v>-1634.87</v>
      </c>
      <c r="Y29" s="2"/>
      <c r="Z29" s="7">
        <f t="shared" si="22"/>
        <v>-1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/>
      <c r="I30" s="2"/>
      <c r="J30" s="7">
        <f t="shared" si="16"/>
        <v>0</v>
      </c>
      <c r="K30" s="2"/>
      <c r="L30" s="6">
        <f t="shared" si="17"/>
        <v>0</v>
      </c>
      <c r="M30" s="2"/>
      <c r="N30" s="7">
        <f t="shared" si="18"/>
        <v>0</v>
      </c>
      <c r="O30" s="10"/>
      <c r="P30" s="6"/>
      <c r="Q30" s="2"/>
      <c r="R30" s="7">
        <f t="shared" si="19"/>
        <v>0</v>
      </c>
      <c r="S30" s="2"/>
      <c r="T30" s="6">
        <v>1996.53</v>
      </c>
      <c r="U30" s="2"/>
      <c r="V30" s="7">
        <f t="shared" si="20"/>
        <v>1.0509956593189144E-2</v>
      </c>
      <c r="W30" s="2"/>
      <c r="X30" s="6">
        <f t="shared" si="21"/>
        <v>-1996.53</v>
      </c>
      <c r="Y30" s="2"/>
      <c r="Z30" s="7">
        <f t="shared" si="22"/>
        <v>-1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0"/>
      <c r="P31" s="6"/>
      <c r="Q31" s="2"/>
      <c r="R31" s="7">
        <f t="shared" si="19"/>
        <v>0</v>
      </c>
      <c r="S31" s="2"/>
      <c r="T31" s="6">
        <v>1517.77</v>
      </c>
      <c r="U31" s="2"/>
      <c r="V31" s="7">
        <f t="shared" si="20"/>
        <v>7.9897105570388063E-3</v>
      </c>
      <c r="W31" s="2"/>
      <c r="X31" s="6">
        <f t="shared" si="21"/>
        <v>-1517.77</v>
      </c>
      <c r="Y31" s="2"/>
      <c r="Z31" s="7">
        <f t="shared" si="22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8" si="23">IF(D$12=0,0,D32/D$12)</f>
        <v>0</v>
      </c>
      <c r="G32" s="1"/>
      <c r="H32" s="1">
        <f>SUM(OSRRefH22_1x_0)</f>
        <v>204</v>
      </c>
      <c r="I32" s="1"/>
      <c r="J32" s="5">
        <f t="shared" ref="J32:J38" si="24">IF(H$12=0,0,H32/H$12)</f>
        <v>0</v>
      </c>
      <c r="K32" s="1"/>
      <c r="L32" s="1">
        <f t="shared" ref="L32:L38" si="25">+D32-H32</f>
        <v>-204</v>
      </c>
      <c r="M32" s="1"/>
      <c r="N32" s="5">
        <f t="shared" ref="N32:N38" si="26">IF(H32=0,0,L32/H32)</f>
        <v>-1</v>
      </c>
      <c r="O32" s="12"/>
      <c r="P32" s="1">
        <f>SUM(OSRRefP22_1x_0)</f>
        <v>0</v>
      </c>
      <c r="Q32" s="1"/>
      <c r="R32" s="5">
        <f t="shared" ref="R32:R38" si="27">IF(P$12=0,0,P32/P$12)</f>
        <v>0</v>
      </c>
      <c r="S32" s="1"/>
      <c r="T32" s="1">
        <f>SUM(OSRRefT22_1x_0)</f>
        <v>112168.78</v>
      </c>
      <c r="U32" s="1"/>
      <c r="V32" s="5">
        <f t="shared" ref="V32:V38" si="28">IF(T$12=0,0,T32/T$12)</f>
        <v>0.59046896811517113</v>
      </c>
      <c r="W32" s="1"/>
      <c r="X32" s="1">
        <f t="shared" ref="X32:X38" si="29">+P32-T32</f>
        <v>-112168.78</v>
      </c>
      <c r="Y32" s="1"/>
      <c r="Z32" s="5">
        <f t="shared" ref="Z32:Z38" si="30">IF(T32=0,0,X32/T32)</f>
        <v>-1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/>
      <c r="I33" s="2"/>
      <c r="J33" s="7">
        <f t="shared" si="24"/>
        <v>0</v>
      </c>
      <c r="K33" s="2"/>
      <c r="L33" s="6">
        <f t="shared" si="25"/>
        <v>0</v>
      </c>
      <c r="M33" s="2"/>
      <c r="N33" s="7">
        <f t="shared" si="26"/>
        <v>0</v>
      </c>
      <c r="O33" s="10"/>
      <c r="P33" s="6"/>
      <c r="Q33" s="2"/>
      <c r="R33" s="7">
        <f t="shared" si="27"/>
        <v>0</v>
      </c>
      <c r="S33" s="2"/>
      <c r="T33" s="6">
        <v>37546.44</v>
      </c>
      <c r="U33" s="2"/>
      <c r="V33" s="7">
        <f t="shared" si="28"/>
        <v>0.19764864771818136</v>
      </c>
      <c r="W33" s="2"/>
      <c r="X33" s="6">
        <f t="shared" si="29"/>
        <v>-37546.44</v>
      </c>
      <c r="Y33" s="2"/>
      <c r="Z33" s="7">
        <f t="shared" si="30"/>
        <v>-1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3"/>
        <v>0</v>
      </c>
      <c r="G34" s="2"/>
      <c r="H34" s="6">
        <v>408</v>
      </c>
      <c r="I34" s="2"/>
      <c r="J34" s="7">
        <f t="shared" si="24"/>
        <v>0</v>
      </c>
      <c r="K34" s="2"/>
      <c r="L34" s="6">
        <f t="shared" si="25"/>
        <v>-408</v>
      </c>
      <c r="M34" s="2"/>
      <c r="N34" s="7">
        <f t="shared" si="26"/>
        <v>-1</v>
      </c>
      <c r="O34" s="10"/>
      <c r="P34" s="6"/>
      <c r="Q34" s="2"/>
      <c r="R34" s="7">
        <f t="shared" si="27"/>
        <v>0</v>
      </c>
      <c r="S34" s="2"/>
      <c r="T34" s="6">
        <v>2484.31</v>
      </c>
      <c r="U34" s="2"/>
      <c r="V34" s="7">
        <f t="shared" si="28"/>
        <v>1.3077684915340978E-2</v>
      </c>
      <c r="W34" s="2"/>
      <c r="X34" s="6">
        <f t="shared" si="29"/>
        <v>-2484.31</v>
      </c>
      <c r="Y34" s="2"/>
      <c r="Z34" s="7">
        <f t="shared" si="30"/>
        <v>-1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40119.120000000003</v>
      </c>
      <c r="U35" s="2"/>
      <c r="V35" s="7">
        <f t="shared" si="28"/>
        <v>0.21119152216943721</v>
      </c>
      <c r="W35" s="2"/>
      <c r="X35" s="6">
        <f t="shared" si="29"/>
        <v>-40119.120000000003</v>
      </c>
      <c r="Y35" s="2"/>
      <c r="Z35" s="7">
        <f t="shared" si="30"/>
        <v>-1</v>
      </c>
    </row>
    <row r="36" spans="1:26" s="23" customFormat="1" hidden="1" outlineLevel="2" x14ac:dyDescent="0.25">
      <c r="A36" s="27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1294.4100000000001</v>
      </c>
      <c r="U36" s="2"/>
      <c r="V36" s="7">
        <f t="shared" si="28"/>
        <v>6.8139186056758285E-3</v>
      </c>
      <c r="W36" s="2"/>
      <c r="X36" s="6">
        <f t="shared" si="29"/>
        <v>-1294.4100000000001</v>
      </c>
      <c r="Y36" s="2"/>
      <c r="Z36" s="7">
        <f t="shared" si="30"/>
        <v>-1</v>
      </c>
    </row>
    <row r="37" spans="1:26" s="23" customFormat="1" hidden="1" outlineLevel="2" x14ac:dyDescent="0.25">
      <c r="A37" s="27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23"/>
        <v>0</v>
      </c>
      <c r="G37" s="2"/>
      <c r="H37" s="6">
        <v>-204</v>
      </c>
      <c r="I37" s="2"/>
      <c r="J37" s="7">
        <f t="shared" si="24"/>
        <v>0</v>
      </c>
      <c r="K37" s="2"/>
      <c r="L37" s="6">
        <f t="shared" si="25"/>
        <v>204</v>
      </c>
      <c r="M37" s="2"/>
      <c r="N37" s="7">
        <f t="shared" si="26"/>
        <v>-1</v>
      </c>
      <c r="O37" s="10"/>
      <c r="P37" s="6"/>
      <c r="Q37" s="2"/>
      <c r="R37" s="7">
        <f t="shared" si="27"/>
        <v>0</v>
      </c>
      <c r="S37" s="2"/>
      <c r="T37" s="6">
        <v>28126.86</v>
      </c>
      <c r="U37" s="2"/>
      <c r="V37" s="7">
        <f t="shared" si="28"/>
        <v>0.14806292803148866</v>
      </c>
      <c r="W37" s="2"/>
      <c r="X37" s="6">
        <f t="shared" si="29"/>
        <v>-28126.86</v>
      </c>
      <c r="Y37" s="2"/>
      <c r="Z37" s="7">
        <f t="shared" si="30"/>
        <v>-1</v>
      </c>
    </row>
    <row r="38" spans="1:26" s="23" customFormat="1" hidden="1" outlineLevel="2" x14ac:dyDescent="0.25">
      <c r="A38" s="27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3"/>
        <v>0</v>
      </c>
      <c r="G38" s="2"/>
      <c r="H38" s="6"/>
      <c r="I38" s="2"/>
      <c r="J38" s="7">
        <f t="shared" si="24"/>
        <v>0</v>
      </c>
      <c r="K38" s="2"/>
      <c r="L38" s="6">
        <f t="shared" si="25"/>
        <v>0</v>
      </c>
      <c r="M38" s="2"/>
      <c r="N38" s="7">
        <f t="shared" si="26"/>
        <v>0</v>
      </c>
      <c r="O38" s="10"/>
      <c r="P38" s="6"/>
      <c r="Q38" s="2"/>
      <c r="R38" s="7">
        <f t="shared" si="27"/>
        <v>0</v>
      </c>
      <c r="S38" s="2"/>
      <c r="T38" s="6">
        <v>2597.64</v>
      </c>
      <c r="U38" s="2"/>
      <c r="V38" s="7">
        <f t="shared" si="28"/>
        <v>1.367426667504713E-2</v>
      </c>
      <c r="W38" s="2"/>
      <c r="X38" s="6">
        <f t="shared" si="29"/>
        <v>-2597.64</v>
      </c>
      <c r="Y38" s="2"/>
      <c r="Z38" s="7">
        <f t="shared" si="30"/>
        <v>-1</v>
      </c>
    </row>
    <row r="39" spans="1:26" s="26" customFormat="1" outlineLevel="1" collapsed="1" x14ac:dyDescent="0.25">
      <c r="A39" s="25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56" si="31">IF(D$12=0,0,D39/D$12)</f>
        <v>0</v>
      </c>
      <c r="G39" s="1"/>
      <c r="H39" s="1">
        <f>SUM(OSRRefH22_2x_0)</f>
        <v>0</v>
      </c>
      <c r="I39" s="1"/>
      <c r="J39" s="5">
        <f t="shared" ref="J39:J56" si="32">IF(H$12=0,0,H39/H$12)</f>
        <v>0</v>
      </c>
      <c r="K39" s="1"/>
      <c r="L39" s="1">
        <f t="shared" ref="L39:L56" si="33">+D39-H39</f>
        <v>0</v>
      </c>
      <c r="M39" s="1"/>
      <c r="N39" s="5">
        <f t="shared" ref="N39:N56" si="34">IF(H39=0,0,L39/H39)</f>
        <v>0</v>
      </c>
      <c r="O39" s="12"/>
      <c r="P39" s="1">
        <f>SUM(OSRRefP22_2x_0)</f>
        <v>0</v>
      </c>
      <c r="Q39" s="1"/>
      <c r="R39" s="5">
        <f t="shared" ref="R39:R56" si="35">IF(P$12=0,0,P39/P$12)</f>
        <v>0</v>
      </c>
      <c r="S39" s="1"/>
      <c r="T39" s="1">
        <f>SUM(OSRRefT22_2x_0)</f>
        <v>3228.7</v>
      </c>
      <c r="U39" s="1"/>
      <c r="V39" s="5">
        <f t="shared" ref="V39:V56" si="36">IF(T$12=0,0,T39/T$12)</f>
        <v>1.6996236897231592E-2</v>
      </c>
      <c r="W39" s="1"/>
      <c r="X39" s="1">
        <f t="shared" ref="X39:X56" si="37">+P39-T39</f>
        <v>-3228.7</v>
      </c>
      <c r="Y39" s="1"/>
      <c r="Z39" s="5">
        <f t="shared" ref="Z39:Z56" si="38">IF(T39=0,0,X39/T39)</f>
        <v>-1</v>
      </c>
    </row>
    <row r="40" spans="1:26" s="23" customFormat="1" hidden="1" outlineLevel="2" x14ac:dyDescent="0.25">
      <c r="A40" s="27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31"/>
        <v>0</v>
      </c>
      <c r="G40" s="2"/>
      <c r="H40" s="6"/>
      <c r="I40" s="2"/>
      <c r="J40" s="7">
        <f t="shared" si="32"/>
        <v>0</v>
      </c>
      <c r="K40" s="2"/>
      <c r="L40" s="6">
        <f t="shared" si="33"/>
        <v>0</v>
      </c>
      <c r="M40" s="2"/>
      <c r="N40" s="7">
        <f t="shared" si="34"/>
        <v>0</v>
      </c>
      <c r="O40" s="10"/>
      <c r="P40" s="6"/>
      <c r="Q40" s="2"/>
      <c r="R40" s="7">
        <f t="shared" si="35"/>
        <v>0</v>
      </c>
      <c r="S40" s="2"/>
      <c r="T40" s="6">
        <v>3228.7</v>
      </c>
      <c r="U40" s="2"/>
      <c r="V40" s="7">
        <f t="shared" si="36"/>
        <v>1.6996236897231592E-2</v>
      </c>
      <c r="W40" s="2"/>
      <c r="X40" s="6">
        <f t="shared" si="37"/>
        <v>-3228.7</v>
      </c>
      <c r="Y40" s="2"/>
      <c r="Z40" s="7">
        <f t="shared" si="38"/>
        <v>-1</v>
      </c>
    </row>
    <row r="41" spans="1:26" s="26" customFormat="1" outlineLevel="1" collapsed="1" x14ac:dyDescent="0.25">
      <c r="A41" s="25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1"/>
        <v>0</v>
      </c>
      <c r="G41" s="1"/>
      <c r="H41" s="1">
        <f>SUM(OSRRefH22_3x_0)</f>
        <v>0</v>
      </c>
      <c r="I41" s="1"/>
      <c r="J41" s="5">
        <f t="shared" si="32"/>
        <v>0</v>
      </c>
      <c r="K41" s="1"/>
      <c r="L41" s="1">
        <f t="shared" si="33"/>
        <v>0</v>
      </c>
      <c r="M41" s="1"/>
      <c r="N41" s="5">
        <f t="shared" si="34"/>
        <v>0</v>
      </c>
      <c r="O41" s="12"/>
      <c r="P41" s="1">
        <f>SUM(OSRRefP22_3x_0)</f>
        <v>0</v>
      </c>
      <c r="Q41" s="1"/>
      <c r="R41" s="5">
        <f t="shared" si="35"/>
        <v>0</v>
      </c>
      <c r="S41" s="1"/>
      <c r="T41" s="1">
        <f>SUM(OSRRefT22_3x_0)</f>
        <v>-42.37</v>
      </c>
      <c r="U41" s="1"/>
      <c r="V41" s="5">
        <f t="shared" si="36"/>
        <v>-2.2304040553030709E-4</v>
      </c>
      <c r="W41" s="1"/>
      <c r="X41" s="1">
        <f t="shared" si="37"/>
        <v>42.37</v>
      </c>
      <c r="Y41" s="1"/>
      <c r="Z41" s="5">
        <f t="shared" si="38"/>
        <v>-1</v>
      </c>
    </row>
    <row r="42" spans="1:26" s="23" customFormat="1" hidden="1" outlineLevel="2" x14ac:dyDescent="0.25">
      <c r="A42" s="27"/>
      <c r="B42" s="10" t="str">
        <f>CONCATENATE("          ", "6272", " - ", "CASH (OVER/SHORT)")</f>
        <v xml:space="preserve">          6272 - CASH (OVER/SHORT)</v>
      </c>
      <c r="C42" s="10"/>
      <c r="D42" s="6"/>
      <c r="E42" s="2"/>
      <c r="F42" s="7">
        <f t="shared" si="31"/>
        <v>0</v>
      </c>
      <c r="G42" s="2"/>
      <c r="H42" s="6"/>
      <c r="I42" s="2"/>
      <c r="J42" s="7">
        <f t="shared" si="32"/>
        <v>0</v>
      </c>
      <c r="K42" s="2"/>
      <c r="L42" s="6">
        <f t="shared" si="33"/>
        <v>0</v>
      </c>
      <c r="M42" s="2"/>
      <c r="N42" s="7">
        <f t="shared" si="34"/>
        <v>0</v>
      </c>
      <c r="O42" s="10"/>
      <c r="P42" s="6"/>
      <c r="Q42" s="2"/>
      <c r="R42" s="7">
        <f t="shared" si="35"/>
        <v>0</v>
      </c>
      <c r="S42" s="2"/>
      <c r="T42" s="6">
        <v>-42.37</v>
      </c>
      <c r="U42" s="2"/>
      <c r="V42" s="7">
        <f t="shared" si="36"/>
        <v>-2.2304040553030709E-4</v>
      </c>
      <c r="W42" s="2"/>
      <c r="X42" s="6">
        <f t="shared" si="37"/>
        <v>42.37</v>
      </c>
      <c r="Y42" s="2"/>
      <c r="Z42" s="7">
        <f t="shared" si="38"/>
        <v>-1</v>
      </c>
    </row>
    <row r="43" spans="1:26" s="26" customFormat="1" outlineLevel="1" collapsed="1" x14ac:dyDescent="0.25">
      <c r="A43" s="25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1"/>
        <v>0</v>
      </c>
      <c r="G43" s="1"/>
      <c r="H43" s="1">
        <f>SUM(OSRRefH22_4x_0)</f>
        <v>93.54</v>
      </c>
      <c r="I43" s="1"/>
      <c r="J43" s="5">
        <f t="shared" si="32"/>
        <v>0</v>
      </c>
      <c r="K43" s="1"/>
      <c r="L43" s="1">
        <f t="shared" si="33"/>
        <v>-93.54</v>
      </c>
      <c r="M43" s="1"/>
      <c r="N43" s="5">
        <f t="shared" si="34"/>
        <v>-1</v>
      </c>
      <c r="O43" s="12"/>
      <c r="P43" s="1">
        <f>SUM(OSRRefP22_4x_0)</f>
        <v>0</v>
      </c>
      <c r="Q43" s="1"/>
      <c r="R43" s="5">
        <f t="shared" si="35"/>
        <v>0</v>
      </c>
      <c r="S43" s="1"/>
      <c r="T43" s="1">
        <f>SUM(OSRRefT22_4x_0)</f>
        <v>7084.51</v>
      </c>
      <c r="U43" s="1"/>
      <c r="V43" s="5">
        <f t="shared" si="36"/>
        <v>3.7293650776103755E-2</v>
      </c>
      <c r="W43" s="1"/>
      <c r="X43" s="1">
        <f t="shared" si="37"/>
        <v>-7084.51</v>
      </c>
      <c r="Y43" s="1"/>
      <c r="Z43" s="5">
        <f t="shared" si="38"/>
        <v>-1</v>
      </c>
    </row>
    <row r="44" spans="1:26" s="23" customFormat="1" hidden="1" outlineLevel="2" x14ac:dyDescent="0.25">
      <c r="A44" s="27"/>
      <c r="B44" s="10" t="str">
        <f>CONCATENATE("          ", "6381", " - ", "BANK/CREDIT CARD FEES")</f>
        <v xml:space="preserve">          6381 - BANK/CREDIT CARD FEES</v>
      </c>
      <c r="C44" s="10"/>
      <c r="D44" s="6"/>
      <c r="E44" s="2"/>
      <c r="F44" s="7">
        <f t="shared" si="31"/>
        <v>0</v>
      </c>
      <c r="G44" s="2"/>
      <c r="H44" s="6">
        <v>93.54</v>
      </c>
      <c r="I44" s="2"/>
      <c r="J44" s="7">
        <f t="shared" si="32"/>
        <v>0</v>
      </c>
      <c r="K44" s="2"/>
      <c r="L44" s="6">
        <f t="shared" si="33"/>
        <v>-93.54</v>
      </c>
      <c r="M44" s="2"/>
      <c r="N44" s="7">
        <f t="shared" si="34"/>
        <v>-1</v>
      </c>
      <c r="O44" s="10"/>
      <c r="P44" s="6"/>
      <c r="Q44" s="2"/>
      <c r="R44" s="7">
        <f t="shared" si="35"/>
        <v>0</v>
      </c>
      <c r="S44" s="2"/>
      <c r="T44" s="6">
        <v>7084.51</v>
      </c>
      <c r="U44" s="2"/>
      <c r="V44" s="7">
        <f t="shared" si="36"/>
        <v>3.7293650776103755E-2</v>
      </c>
      <c r="W44" s="2"/>
      <c r="X44" s="6">
        <f t="shared" si="37"/>
        <v>-7084.51</v>
      </c>
      <c r="Y44" s="2"/>
      <c r="Z44" s="7">
        <f t="shared" si="38"/>
        <v>-1</v>
      </c>
    </row>
    <row r="45" spans="1:26" s="26" customFormat="1" outlineLevel="1" collapsed="1" x14ac:dyDescent="0.25">
      <c r="A45" s="25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119.55</v>
      </c>
      <c r="E45" s="1"/>
      <c r="F45" s="5">
        <f t="shared" si="31"/>
        <v>0</v>
      </c>
      <c r="G45" s="1"/>
      <c r="H45" s="1">
        <f>SUM(OSRRefH22_5x_0)</f>
        <v>119.55</v>
      </c>
      <c r="I45" s="1"/>
      <c r="J45" s="5">
        <f t="shared" si="32"/>
        <v>0</v>
      </c>
      <c r="K45" s="1"/>
      <c r="L45" s="1">
        <f t="shared" si="33"/>
        <v>0</v>
      </c>
      <c r="M45" s="1"/>
      <c r="N45" s="5">
        <f t="shared" si="34"/>
        <v>0</v>
      </c>
      <c r="O45" s="12"/>
      <c r="P45" s="1">
        <f>SUM(OSRRefP22_5x_0)</f>
        <v>1195.5</v>
      </c>
      <c r="Q45" s="1"/>
      <c r="R45" s="5">
        <f t="shared" si="35"/>
        <v>0</v>
      </c>
      <c r="S45" s="1"/>
      <c r="T45" s="1">
        <f>SUM(OSRRefT22_5x_0)</f>
        <v>25097.4</v>
      </c>
      <c r="U45" s="1"/>
      <c r="V45" s="5">
        <f t="shared" si="36"/>
        <v>0.13211551271551403</v>
      </c>
      <c r="W45" s="1"/>
      <c r="X45" s="1">
        <f t="shared" si="37"/>
        <v>-23901.9</v>
      </c>
      <c r="Y45" s="1"/>
      <c r="Z45" s="5">
        <f t="shared" si="38"/>
        <v>-0.95236558368595947</v>
      </c>
    </row>
    <row r="46" spans="1:26" s="23" customFormat="1" hidden="1" outlineLevel="2" x14ac:dyDescent="0.25">
      <c r="A46" s="27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119.55</v>
      </c>
      <c r="E46" s="2"/>
      <c r="F46" s="7">
        <f t="shared" si="31"/>
        <v>0</v>
      </c>
      <c r="G46" s="2"/>
      <c r="H46" s="6">
        <v>119.55</v>
      </c>
      <c r="I46" s="2"/>
      <c r="J46" s="7">
        <f t="shared" si="32"/>
        <v>0</v>
      </c>
      <c r="K46" s="2"/>
      <c r="L46" s="6">
        <f t="shared" si="33"/>
        <v>0</v>
      </c>
      <c r="M46" s="2"/>
      <c r="N46" s="7">
        <f t="shared" si="34"/>
        <v>0</v>
      </c>
      <c r="O46" s="10"/>
      <c r="P46" s="6">
        <v>1195.5</v>
      </c>
      <c r="Q46" s="2"/>
      <c r="R46" s="7">
        <f t="shared" si="35"/>
        <v>0</v>
      </c>
      <c r="S46" s="2"/>
      <c r="T46" s="6">
        <v>25097.4</v>
      </c>
      <c r="U46" s="2"/>
      <c r="V46" s="7">
        <f t="shared" si="36"/>
        <v>0.13211551271551403</v>
      </c>
      <c r="W46" s="2"/>
      <c r="X46" s="6">
        <f t="shared" si="37"/>
        <v>-23901.9</v>
      </c>
      <c r="Y46" s="2"/>
      <c r="Z46" s="7">
        <f t="shared" si="38"/>
        <v>-0.95236558368595947</v>
      </c>
    </row>
    <row r="47" spans="1:26" s="26" customFormat="1" outlineLevel="1" collapsed="1" x14ac:dyDescent="0.25">
      <c r="A47" s="25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si="31"/>
        <v>0</v>
      </c>
      <c r="G47" s="1"/>
      <c r="H47" s="1">
        <f>SUM(OSRRefH22_6x_0)</f>
        <v>0</v>
      </c>
      <c r="I47" s="1"/>
      <c r="J47" s="5">
        <f t="shared" si="32"/>
        <v>0</v>
      </c>
      <c r="K47" s="1"/>
      <c r="L47" s="1">
        <f t="shared" si="33"/>
        <v>0</v>
      </c>
      <c r="M47" s="1"/>
      <c r="N47" s="5">
        <f t="shared" si="34"/>
        <v>0</v>
      </c>
      <c r="O47" s="12"/>
      <c r="P47" s="1">
        <f>SUM(OSRRefP22_6x_0)</f>
        <v>0</v>
      </c>
      <c r="Q47" s="1"/>
      <c r="R47" s="5">
        <f t="shared" si="35"/>
        <v>0</v>
      </c>
      <c r="S47" s="1"/>
      <c r="T47" s="1">
        <f>SUM(OSRRefT22_6x_0)</f>
        <v>107.51</v>
      </c>
      <c r="U47" s="1"/>
      <c r="V47" s="5">
        <f t="shared" si="36"/>
        <v>5.6594463060097517E-4</v>
      </c>
      <c r="W47" s="1"/>
      <c r="X47" s="1">
        <f t="shared" si="37"/>
        <v>-107.51</v>
      </c>
      <c r="Y47" s="1"/>
      <c r="Z47" s="5">
        <f t="shared" si="38"/>
        <v>-1</v>
      </c>
    </row>
    <row r="48" spans="1:26" s="23" customFormat="1" hidden="1" outlineLevel="2" x14ac:dyDescent="0.25">
      <c r="A48" s="27"/>
      <c r="B48" s="10" t="str">
        <f>CONCATENATE("          ", "6277", " - ", "EMPLOYEE APPRECIATION")</f>
        <v xml:space="preserve">          6277 - EMPLOYEE APPRECIATION</v>
      </c>
      <c r="C48" s="10"/>
      <c r="D48" s="6"/>
      <c r="E48" s="2"/>
      <c r="F48" s="7">
        <f t="shared" si="31"/>
        <v>0</v>
      </c>
      <c r="G48" s="2"/>
      <c r="H48" s="6"/>
      <c r="I48" s="2"/>
      <c r="J48" s="7">
        <f t="shared" si="32"/>
        <v>0</v>
      </c>
      <c r="K48" s="2"/>
      <c r="L48" s="6">
        <f t="shared" si="33"/>
        <v>0</v>
      </c>
      <c r="M48" s="2"/>
      <c r="N48" s="7">
        <f t="shared" si="34"/>
        <v>0</v>
      </c>
      <c r="O48" s="10"/>
      <c r="P48" s="6"/>
      <c r="Q48" s="2"/>
      <c r="R48" s="7">
        <f t="shared" si="35"/>
        <v>0</v>
      </c>
      <c r="S48" s="2"/>
      <c r="T48" s="6">
        <v>107.51</v>
      </c>
      <c r="U48" s="2"/>
      <c r="V48" s="7">
        <f t="shared" si="36"/>
        <v>5.6594463060097517E-4</v>
      </c>
      <c r="W48" s="2"/>
      <c r="X48" s="6">
        <f t="shared" si="37"/>
        <v>-107.51</v>
      </c>
      <c r="Y48" s="2"/>
      <c r="Z48" s="7">
        <f t="shared" si="38"/>
        <v>-1</v>
      </c>
    </row>
    <row r="49" spans="1:26" s="26" customFormat="1" outlineLevel="1" collapsed="1" x14ac:dyDescent="0.25">
      <c r="A49" s="25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0</v>
      </c>
      <c r="E49" s="1"/>
      <c r="F49" s="5">
        <f t="shared" si="31"/>
        <v>0</v>
      </c>
      <c r="G49" s="1"/>
      <c r="H49" s="1">
        <f>SUM(OSRRefH22_7x_0)</f>
        <v>64.02</v>
      </c>
      <c r="I49" s="1"/>
      <c r="J49" s="5">
        <f t="shared" si="32"/>
        <v>0</v>
      </c>
      <c r="K49" s="1"/>
      <c r="L49" s="1">
        <f t="shared" si="33"/>
        <v>-64.02</v>
      </c>
      <c r="M49" s="1"/>
      <c r="N49" s="5">
        <f t="shared" si="34"/>
        <v>-1</v>
      </c>
      <c r="O49" s="12"/>
      <c r="P49" s="1">
        <f>SUM(OSRRefP22_7x_0)</f>
        <v>64.02</v>
      </c>
      <c r="Q49" s="1"/>
      <c r="R49" s="5">
        <f t="shared" si="35"/>
        <v>0</v>
      </c>
      <c r="S49" s="1"/>
      <c r="T49" s="1">
        <f>SUM(OSRRefT22_7x_0)</f>
        <v>1584.74</v>
      </c>
      <c r="U49" s="1"/>
      <c r="V49" s="5">
        <f t="shared" si="36"/>
        <v>8.3422481062095551E-3</v>
      </c>
      <c r="W49" s="1"/>
      <c r="X49" s="1">
        <f t="shared" si="37"/>
        <v>-1520.72</v>
      </c>
      <c r="Y49" s="1"/>
      <c r="Z49" s="5">
        <f t="shared" si="38"/>
        <v>-0.95960220604010749</v>
      </c>
    </row>
    <row r="50" spans="1:26" s="23" customFormat="1" hidden="1" outlineLevel="2" x14ac:dyDescent="0.25">
      <c r="A50" s="27"/>
      <c r="B50" s="10" t="str">
        <f>CONCATENATE("          ", "6351", " - ", "EQUIPMENT RENTAL")</f>
        <v xml:space="preserve">          6351 - EQUIPMENT RENTAL</v>
      </c>
      <c r="C50" s="10"/>
      <c r="D50" s="6"/>
      <c r="E50" s="2"/>
      <c r="F50" s="7">
        <f t="shared" si="31"/>
        <v>0</v>
      </c>
      <c r="G50" s="2"/>
      <c r="H50" s="6">
        <v>64.02</v>
      </c>
      <c r="I50" s="2"/>
      <c r="J50" s="7">
        <f t="shared" si="32"/>
        <v>0</v>
      </c>
      <c r="K50" s="2"/>
      <c r="L50" s="6">
        <f t="shared" si="33"/>
        <v>-64.02</v>
      </c>
      <c r="M50" s="2"/>
      <c r="N50" s="7">
        <f t="shared" si="34"/>
        <v>-1</v>
      </c>
      <c r="O50" s="10"/>
      <c r="P50" s="6">
        <v>64.02</v>
      </c>
      <c r="Q50" s="2"/>
      <c r="R50" s="7">
        <f t="shared" si="35"/>
        <v>0</v>
      </c>
      <c r="S50" s="2"/>
      <c r="T50" s="6">
        <v>1584.74</v>
      </c>
      <c r="U50" s="2"/>
      <c r="V50" s="7">
        <f t="shared" si="36"/>
        <v>8.3422481062095551E-3</v>
      </c>
      <c r="W50" s="2"/>
      <c r="X50" s="6">
        <f t="shared" si="37"/>
        <v>-1520.72</v>
      </c>
      <c r="Y50" s="2"/>
      <c r="Z50" s="7">
        <f t="shared" si="38"/>
        <v>-0.95960220604010749</v>
      </c>
    </row>
    <row r="51" spans="1:26" s="26" customFormat="1" outlineLevel="1" collapsed="1" x14ac:dyDescent="0.25">
      <c r="A51" s="25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1"/>
        <v>0</v>
      </c>
      <c r="G51" s="1"/>
      <c r="H51" s="1">
        <f>SUM(OSRRefH22_8x_0)</f>
        <v>0</v>
      </c>
      <c r="I51" s="1"/>
      <c r="J51" s="5">
        <f t="shared" si="32"/>
        <v>0</v>
      </c>
      <c r="K51" s="1"/>
      <c r="L51" s="1">
        <f t="shared" si="33"/>
        <v>0</v>
      </c>
      <c r="M51" s="1"/>
      <c r="N51" s="5">
        <f t="shared" si="34"/>
        <v>0</v>
      </c>
      <c r="O51" s="12"/>
      <c r="P51" s="1">
        <f>SUM(OSRRefP22_8x_0)</f>
        <v>0</v>
      </c>
      <c r="Q51" s="1"/>
      <c r="R51" s="5">
        <f t="shared" si="35"/>
        <v>0</v>
      </c>
      <c r="S51" s="1"/>
      <c r="T51" s="1">
        <f>SUM(OSRRefT22_8x_0)</f>
        <v>768.15</v>
      </c>
      <c r="U51" s="1"/>
      <c r="V51" s="5">
        <f t="shared" si="36"/>
        <v>4.0436272718457726E-3</v>
      </c>
      <c r="W51" s="1"/>
      <c r="X51" s="1">
        <f t="shared" si="37"/>
        <v>-768.15</v>
      </c>
      <c r="Y51" s="1"/>
      <c r="Z51" s="5">
        <f t="shared" si="38"/>
        <v>-1</v>
      </c>
    </row>
    <row r="52" spans="1:26" s="23" customFormat="1" hidden="1" outlineLevel="2" x14ac:dyDescent="0.25">
      <c r="A52" s="27"/>
      <c r="B52" s="10" t="str">
        <f>CONCATENATE("          ", "6279", " - ", "GENERAL EXPENSE")</f>
        <v xml:space="preserve">          6279 - GENERAL EXPENSE</v>
      </c>
      <c r="C52" s="10"/>
      <c r="D52" s="6"/>
      <c r="E52" s="2"/>
      <c r="F52" s="7">
        <f t="shared" si="31"/>
        <v>0</v>
      </c>
      <c r="G52" s="2"/>
      <c r="H52" s="6"/>
      <c r="I52" s="2"/>
      <c r="J52" s="7">
        <f t="shared" si="32"/>
        <v>0</v>
      </c>
      <c r="K52" s="2"/>
      <c r="L52" s="6">
        <f t="shared" si="33"/>
        <v>0</v>
      </c>
      <c r="M52" s="2"/>
      <c r="N52" s="7">
        <f t="shared" si="34"/>
        <v>0</v>
      </c>
      <c r="O52" s="10"/>
      <c r="P52" s="6"/>
      <c r="Q52" s="2"/>
      <c r="R52" s="7">
        <f t="shared" si="35"/>
        <v>0</v>
      </c>
      <c r="S52" s="2"/>
      <c r="T52" s="6">
        <v>768.15</v>
      </c>
      <c r="U52" s="2"/>
      <c r="V52" s="7">
        <f t="shared" si="36"/>
        <v>4.0436272718457726E-3</v>
      </c>
      <c r="W52" s="2"/>
      <c r="X52" s="6">
        <f t="shared" si="37"/>
        <v>-768.15</v>
      </c>
      <c r="Y52" s="2"/>
      <c r="Z52" s="7">
        <f t="shared" si="38"/>
        <v>-1</v>
      </c>
    </row>
    <row r="53" spans="1:26" s="26" customFormat="1" outlineLevel="1" collapsed="1" x14ac:dyDescent="0.25">
      <c r="A53" s="25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SUM(OSRRefD22_9x_0)</f>
        <v>0</v>
      </c>
      <c r="E53" s="1"/>
      <c r="F53" s="5">
        <f t="shared" si="31"/>
        <v>0</v>
      </c>
      <c r="G53" s="1"/>
      <c r="H53" s="1">
        <f>SUM(OSRRefH22_9x_0)</f>
        <v>0</v>
      </c>
      <c r="I53" s="1"/>
      <c r="J53" s="5">
        <f t="shared" si="32"/>
        <v>0</v>
      </c>
      <c r="K53" s="1"/>
      <c r="L53" s="1">
        <f t="shared" si="33"/>
        <v>0</v>
      </c>
      <c r="M53" s="1"/>
      <c r="N53" s="5">
        <f t="shared" si="34"/>
        <v>0</v>
      </c>
      <c r="O53" s="12"/>
      <c r="P53" s="1">
        <f>SUM(OSRRefP22_9x_0)</f>
        <v>286.47000000000003</v>
      </c>
      <c r="Q53" s="1"/>
      <c r="R53" s="5">
        <f t="shared" si="35"/>
        <v>0</v>
      </c>
      <c r="S53" s="1"/>
      <c r="T53" s="1">
        <f>SUM(OSRRefT22_9x_0)</f>
        <v>5494.59</v>
      </c>
      <c r="U53" s="1"/>
      <c r="V53" s="5">
        <f t="shared" si="36"/>
        <v>2.8924134572168282E-2</v>
      </c>
      <c r="W53" s="1"/>
      <c r="X53" s="1">
        <f t="shared" si="37"/>
        <v>-5208.12</v>
      </c>
      <c r="Y53" s="1"/>
      <c r="Z53" s="5">
        <f t="shared" si="38"/>
        <v>-0.94786326186303249</v>
      </c>
    </row>
    <row r="54" spans="1:26" s="23" customFormat="1" hidden="1" outlineLevel="2" x14ac:dyDescent="0.25">
      <c r="A54" s="27"/>
      <c r="B54" s="10" t="str">
        <f>CONCATENATE("          ", "6371", " - ", "COMPUTER SOFTWARE MAINTENANCE")</f>
        <v xml:space="preserve">          6371 - COMPUTER SOFTWARE MAINTENANCE</v>
      </c>
      <c r="C54" s="10"/>
      <c r="D54" s="6"/>
      <c r="E54" s="2"/>
      <c r="F54" s="7">
        <f t="shared" si="31"/>
        <v>0</v>
      </c>
      <c r="G54" s="2"/>
      <c r="H54" s="6"/>
      <c r="I54" s="2"/>
      <c r="J54" s="7">
        <f t="shared" si="32"/>
        <v>0</v>
      </c>
      <c r="K54" s="2"/>
      <c r="L54" s="6">
        <f t="shared" si="33"/>
        <v>0</v>
      </c>
      <c r="M54" s="2"/>
      <c r="N54" s="7">
        <f t="shared" si="34"/>
        <v>0</v>
      </c>
      <c r="O54" s="10"/>
      <c r="P54" s="6"/>
      <c r="Q54" s="2"/>
      <c r="R54" s="7">
        <f t="shared" si="35"/>
        <v>0</v>
      </c>
      <c r="S54" s="2"/>
      <c r="T54" s="6">
        <v>2186.54</v>
      </c>
      <c r="U54" s="2"/>
      <c r="V54" s="7">
        <f t="shared" si="36"/>
        <v>1.1510190425023312E-2</v>
      </c>
      <c r="W54" s="2"/>
      <c r="X54" s="6">
        <f t="shared" si="37"/>
        <v>-2186.54</v>
      </c>
      <c r="Y54" s="2"/>
      <c r="Z54" s="7">
        <f t="shared" si="38"/>
        <v>-1</v>
      </c>
    </row>
    <row r="55" spans="1:26" s="23" customFormat="1" hidden="1" outlineLevel="2" x14ac:dyDescent="0.25">
      <c r="A55" s="27"/>
      <c r="B55" s="10" t="str">
        <f>CONCATENATE("          ", "6373", " - ", "MAINTENANCE CONTRACTS")</f>
        <v xml:space="preserve">          6373 - MAINTENANCE CONTRACTS</v>
      </c>
      <c r="C55" s="10"/>
      <c r="D55" s="6"/>
      <c r="E55" s="2"/>
      <c r="F55" s="7">
        <f t="shared" si="31"/>
        <v>0</v>
      </c>
      <c r="G55" s="2"/>
      <c r="H55" s="6"/>
      <c r="I55" s="2"/>
      <c r="J55" s="7">
        <f t="shared" si="32"/>
        <v>0</v>
      </c>
      <c r="K55" s="2"/>
      <c r="L55" s="6">
        <f t="shared" si="33"/>
        <v>0</v>
      </c>
      <c r="M55" s="2"/>
      <c r="N55" s="7">
        <f t="shared" si="34"/>
        <v>0</v>
      </c>
      <c r="O55" s="10"/>
      <c r="P55" s="6">
        <v>286.47000000000003</v>
      </c>
      <c r="Q55" s="2"/>
      <c r="R55" s="7">
        <f t="shared" si="35"/>
        <v>0</v>
      </c>
      <c r="S55" s="2"/>
      <c r="T55" s="6">
        <v>909.57</v>
      </c>
      <c r="U55" s="2"/>
      <c r="V55" s="7">
        <f t="shared" si="36"/>
        <v>4.7880779244324151E-3</v>
      </c>
      <c r="W55" s="2"/>
      <c r="X55" s="6">
        <f t="shared" si="37"/>
        <v>-623.1</v>
      </c>
      <c r="Y55" s="2"/>
      <c r="Z55" s="7">
        <f t="shared" si="38"/>
        <v>-0.68504897918796792</v>
      </c>
    </row>
    <row r="56" spans="1:26" s="23" customFormat="1" hidden="1" outlineLevel="2" x14ac:dyDescent="0.25">
      <c r="A56" s="27"/>
      <c r="B56" s="10" t="str">
        <f>CONCATENATE("          ", "6375", " - ", "OUTSIDE REPAIRS &amp; MAINTENANCE")</f>
        <v xml:space="preserve">          6375 - OUTSIDE REPAIRS &amp; MAINTENANCE</v>
      </c>
      <c r="C56" s="10"/>
      <c r="D56" s="6"/>
      <c r="E56" s="2"/>
      <c r="F56" s="7">
        <f t="shared" si="31"/>
        <v>0</v>
      </c>
      <c r="G56" s="2"/>
      <c r="H56" s="6"/>
      <c r="I56" s="2"/>
      <c r="J56" s="7">
        <f t="shared" si="32"/>
        <v>0</v>
      </c>
      <c r="K56" s="2"/>
      <c r="L56" s="6">
        <f t="shared" si="33"/>
        <v>0</v>
      </c>
      <c r="M56" s="2"/>
      <c r="N56" s="7">
        <f t="shared" si="34"/>
        <v>0</v>
      </c>
      <c r="O56" s="10"/>
      <c r="P56" s="6"/>
      <c r="Q56" s="2"/>
      <c r="R56" s="7">
        <f t="shared" si="35"/>
        <v>0</v>
      </c>
      <c r="S56" s="2"/>
      <c r="T56" s="6">
        <v>2398.48</v>
      </c>
      <c r="U56" s="2"/>
      <c r="V56" s="7">
        <f t="shared" si="36"/>
        <v>1.2625866222712556E-2</v>
      </c>
      <c r="W56" s="2"/>
      <c r="X56" s="6">
        <f t="shared" si="37"/>
        <v>-2398.48</v>
      </c>
      <c r="Y56" s="2"/>
      <c r="Z56" s="7">
        <f t="shared" si="38"/>
        <v>-1</v>
      </c>
    </row>
    <row r="57" spans="1:26" s="26" customFormat="1" outlineLevel="1" collapsed="1" x14ac:dyDescent="0.25">
      <c r="A57" s="25"/>
      <c r="B57" s="12" t="str">
        <f>CONCATENATE("     ","Services                                          ")</f>
        <v xml:space="preserve">     Services                                          </v>
      </c>
      <c r="C57" s="12"/>
      <c r="D57" s="1">
        <f>SUM(OSRRefD22_10x_0)</f>
        <v>0</v>
      </c>
      <c r="E57" s="1"/>
      <c r="F57" s="5">
        <f t="shared" ref="F57:F59" si="39">IF(D$12=0,0,D57/D$12)</f>
        <v>0</v>
      </c>
      <c r="G57" s="1"/>
      <c r="H57" s="1">
        <f>SUM(OSRRefH22_10x_0)</f>
        <v>0</v>
      </c>
      <c r="I57" s="1"/>
      <c r="J57" s="5">
        <f t="shared" ref="J57:J59" si="40">IF(H$12=0,0,H57/H$12)</f>
        <v>0</v>
      </c>
      <c r="K57" s="1"/>
      <c r="L57" s="1">
        <f t="shared" ref="L57:L59" si="41">+D57-H57</f>
        <v>0</v>
      </c>
      <c r="M57" s="1"/>
      <c r="N57" s="5">
        <f t="shared" ref="N57:N59" si="42">IF(H57=0,0,L57/H57)</f>
        <v>0</v>
      </c>
      <c r="O57" s="12"/>
      <c r="P57" s="1">
        <f>SUM(OSRRefP22_10x_0)</f>
        <v>0</v>
      </c>
      <c r="Q57" s="1"/>
      <c r="R57" s="5">
        <f t="shared" ref="R57:R59" si="43">IF(P$12=0,0,P57/P$12)</f>
        <v>0</v>
      </c>
      <c r="S57" s="1"/>
      <c r="T57" s="1">
        <f>SUM(OSRRefT22_10x_0)</f>
        <v>1739.62</v>
      </c>
      <c r="U57" s="1"/>
      <c r="V57" s="5">
        <f t="shared" ref="V57:V59" si="44">IF(T$12=0,0,T57/T$12)</f>
        <v>9.1575536999913346E-3</v>
      </c>
      <c r="W57" s="1"/>
      <c r="X57" s="1">
        <f t="shared" ref="X57:X59" si="45">+P57-T57</f>
        <v>-1739.62</v>
      </c>
      <c r="Y57" s="1"/>
      <c r="Z57" s="5">
        <f t="shared" ref="Z57:Z59" si="46">IF(T57=0,0,X57/T57)</f>
        <v>-1</v>
      </c>
    </row>
    <row r="58" spans="1:26" s="23" customFormat="1" hidden="1" outlineLevel="2" x14ac:dyDescent="0.25">
      <c r="A58" s="27"/>
      <c r="B58" s="10" t="str">
        <f>CONCATENATE("          ", "6285", " - ", "JANITORIAL SERVICES")</f>
        <v xml:space="preserve">          6285 - JANITORIAL SERVICES</v>
      </c>
      <c r="C58" s="10"/>
      <c r="D58" s="6"/>
      <c r="E58" s="2"/>
      <c r="F58" s="7">
        <f t="shared" si="39"/>
        <v>0</v>
      </c>
      <c r="G58" s="2"/>
      <c r="H58" s="6"/>
      <c r="I58" s="2"/>
      <c r="J58" s="7">
        <f t="shared" si="40"/>
        <v>0</v>
      </c>
      <c r="K58" s="2"/>
      <c r="L58" s="6">
        <f t="shared" si="41"/>
        <v>0</v>
      </c>
      <c r="M58" s="2"/>
      <c r="N58" s="7">
        <f t="shared" si="42"/>
        <v>0</v>
      </c>
      <c r="O58" s="10"/>
      <c r="P58" s="6"/>
      <c r="Q58" s="2"/>
      <c r="R58" s="7">
        <f t="shared" si="43"/>
        <v>0</v>
      </c>
      <c r="S58" s="2"/>
      <c r="T58" s="6">
        <v>1305.25</v>
      </c>
      <c r="U58" s="2"/>
      <c r="V58" s="7">
        <f t="shared" si="44"/>
        <v>6.8709815746621043E-3</v>
      </c>
      <c r="W58" s="2"/>
      <c r="X58" s="6">
        <f t="shared" si="45"/>
        <v>-1305.25</v>
      </c>
      <c r="Y58" s="2"/>
      <c r="Z58" s="7">
        <f t="shared" si="46"/>
        <v>-1</v>
      </c>
    </row>
    <row r="59" spans="1:26" s="23" customFormat="1" hidden="1" outlineLevel="2" x14ac:dyDescent="0.25">
      <c r="A59" s="27"/>
      <c r="B59" s="10" t="str">
        <f>CONCATENATE("          ", "6286", " - ", "LAUNDRY EXPENSE")</f>
        <v xml:space="preserve">          6286 - LAUNDRY EXPENSE</v>
      </c>
      <c r="C59" s="10"/>
      <c r="D59" s="6"/>
      <c r="E59" s="2"/>
      <c r="F59" s="7">
        <f t="shared" si="39"/>
        <v>0</v>
      </c>
      <c r="G59" s="2"/>
      <c r="H59" s="6"/>
      <c r="I59" s="2"/>
      <c r="J59" s="7">
        <f t="shared" si="40"/>
        <v>0</v>
      </c>
      <c r="K59" s="2"/>
      <c r="L59" s="6">
        <f t="shared" si="41"/>
        <v>0</v>
      </c>
      <c r="M59" s="2"/>
      <c r="N59" s="7">
        <f t="shared" si="42"/>
        <v>0</v>
      </c>
      <c r="O59" s="10"/>
      <c r="P59" s="6"/>
      <c r="Q59" s="2"/>
      <c r="R59" s="7">
        <f t="shared" si="43"/>
        <v>0</v>
      </c>
      <c r="S59" s="2"/>
      <c r="T59" s="6">
        <v>434.37</v>
      </c>
      <c r="U59" s="2"/>
      <c r="V59" s="7">
        <f t="shared" si="44"/>
        <v>2.2865721253292307E-3</v>
      </c>
      <c r="W59" s="2"/>
      <c r="X59" s="6">
        <f t="shared" si="45"/>
        <v>-434.37</v>
      </c>
      <c r="Y59" s="2"/>
      <c r="Z59" s="7">
        <f t="shared" si="46"/>
        <v>-1</v>
      </c>
    </row>
    <row r="60" spans="1:26" s="26" customFormat="1" outlineLevel="1" collapsed="1" x14ac:dyDescent="0.25">
      <c r="A60" s="25"/>
      <c r="B60" s="12" t="str">
        <f>CONCATENATE("     ","Supplies                                          ")</f>
        <v xml:space="preserve">     Supplies                                          </v>
      </c>
      <c r="C60" s="12"/>
      <c r="D60" s="1">
        <f>SUM(OSRRefD22_11x_0)</f>
        <v>0</v>
      </c>
      <c r="E60" s="1"/>
      <c r="F60" s="5">
        <f t="shared" ref="F60:F66" si="47">IF(D$12=0,0,D60/D$12)</f>
        <v>0</v>
      </c>
      <c r="G60" s="1"/>
      <c r="H60" s="1">
        <f>SUM(OSRRefH22_11x_0)</f>
        <v>65.05</v>
      </c>
      <c r="I60" s="1"/>
      <c r="J60" s="5">
        <f t="shared" ref="J60:J66" si="48">IF(H$12=0,0,H60/H$12)</f>
        <v>0</v>
      </c>
      <c r="K60" s="1"/>
      <c r="L60" s="1">
        <f t="shared" ref="L60:L66" si="49">+D60-H60</f>
        <v>-65.05</v>
      </c>
      <c r="M60" s="1"/>
      <c r="N60" s="5">
        <f t="shared" ref="N60:N66" si="50">IF(H60=0,0,L60/H60)</f>
        <v>-1</v>
      </c>
      <c r="O60" s="12"/>
      <c r="P60" s="1">
        <f>SUM(OSRRefP22_11x_0)</f>
        <v>0</v>
      </c>
      <c r="Q60" s="1"/>
      <c r="R60" s="5">
        <f t="shared" ref="R60:R66" si="51">IF(P$12=0,0,P60/P$12)</f>
        <v>0</v>
      </c>
      <c r="S60" s="1"/>
      <c r="T60" s="1">
        <f>SUM(OSRRefT22_11x_0)</f>
        <v>6361.66</v>
      </c>
      <c r="U60" s="1"/>
      <c r="V60" s="5">
        <f t="shared" ref="V60:V66" si="52">IF(T$12=0,0,T60/T$12)</f>
        <v>3.3488487756571476E-2</v>
      </c>
      <c r="W60" s="1"/>
      <c r="X60" s="1">
        <f t="shared" ref="X60:X66" si="53">+P60-T60</f>
        <v>-6361.66</v>
      </c>
      <c r="Y60" s="1"/>
      <c r="Z60" s="5">
        <f t="shared" ref="Z60:Z66" si="54">IF(T60=0,0,X60/T60)</f>
        <v>-1</v>
      </c>
    </row>
    <row r="61" spans="1:26" s="23" customFormat="1" hidden="1" outlineLevel="2" x14ac:dyDescent="0.25">
      <c r="A61" s="27"/>
      <c r="B61" s="10" t="str">
        <f>CONCATENATE("          ", "6237", " - ", "JANITORIAL SUPPLIES")</f>
        <v xml:space="preserve">          6237 - JANITORIAL SUPPLIES</v>
      </c>
      <c r="C61" s="10"/>
      <c r="D61" s="6"/>
      <c r="E61" s="2"/>
      <c r="F61" s="7">
        <f t="shared" si="47"/>
        <v>0</v>
      </c>
      <c r="G61" s="2"/>
      <c r="H61" s="6"/>
      <c r="I61" s="2"/>
      <c r="J61" s="7">
        <f t="shared" si="48"/>
        <v>0</v>
      </c>
      <c r="K61" s="2"/>
      <c r="L61" s="6">
        <f t="shared" si="49"/>
        <v>0</v>
      </c>
      <c r="M61" s="2"/>
      <c r="N61" s="7">
        <f t="shared" si="50"/>
        <v>0</v>
      </c>
      <c r="O61" s="10"/>
      <c r="P61" s="6"/>
      <c r="Q61" s="2"/>
      <c r="R61" s="7">
        <f t="shared" si="51"/>
        <v>0</v>
      </c>
      <c r="S61" s="2"/>
      <c r="T61" s="6">
        <v>10.95</v>
      </c>
      <c r="U61" s="2"/>
      <c r="V61" s="7">
        <f t="shared" si="52"/>
        <v>5.7642021254587271E-5</v>
      </c>
      <c r="W61" s="2"/>
      <c r="X61" s="6">
        <f t="shared" si="53"/>
        <v>-10.95</v>
      </c>
      <c r="Y61" s="2"/>
      <c r="Z61" s="7">
        <f t="shared" si="54"/>
        <v>-1</v>
      </c>
    </row>
    <row r="62" spans="1:26" s="23" customFormat="1" hidden="1" outlineLevel="2" x14ac:dyDescent="0.25">
      <c r="A62" s="27"/>
      <c r="B62" s="10" t="str">
        <f>CONCATENATE("          ", "6239", " - ", "KITCHEN SUPPLIES")</f>
        <v xml:space="preserve">          6239 - KITCHEN SUPPLIES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/>
      <c r="Q62" s="2"/>
      <c r="R62" s="7">
        <f t="shared" si="51"/>
        <v>0</v>
      </c>
      <c r="S62" s="2"/>
      <c r="T62" s="6">
        <v>2898.22</v>
      </c>
      <c r="U62" s="2"/>
      <c r="V62" s="7">
        <f t="shared" si="52"/>
        <v>1.5256553318764375E-2</v>
      </c>
      <c r="W62" s="2"/>
      <c r="X62" s="6">
        <f t="shared" si="53"/>
        <v>-2898.22</v>
      </c>
      <c r="Y62" s="2"/>
      <c r="Z62" s="7">
        <f t="shared" si="54"/>
        <v>-1</v>
      </c>
    </row>
    <row r="63" spans="1:26" s="23" customFormat="1" hidden="1" outlineLevel="2" x14ac:dyDescent="0.25">
      <c r="A63" s="27"/>
      <c r="B63" s="10" t="str">
        <f>CONCATENATE("          ", "6241", " - ", "OFFICE EXPENSE")</f>
        <v xml:space="preserve">          6241 - OFFICE EXPENSE</v>
      </c>
      <c r="C63" s="10"/>
      <c r="D63" s="6"/>
      <c r="E63" s="2"/>
      <c r="F63" s="7">
        <f t="shared" si="47"/>
        <v>0</v>
      </c>
      <c r="G63" s="2"/>
      <c r="H63" s="6">
        <v>65.05</v>
      </c>
      <c r="I63" s="2"/>
      <c r="J63" s="7">
        <f t="shared" si="48"/>
        <v>0</v>
      </c>
      <c r="K63" s="2"/>
      <c r="L63" s="6">
        <f t="shared" si="49"/>
        <v>-65.05</v>
      </c>
      <c r="M63" s="2"/>
      <c r="N63" s="7">
        <f t="shared" si="50"/>
        <v>-1</v>
      </c>
      <c r="O63" s="10"/>
      <c r="P63" s="6"/>
      <c r="Q63" s="2"/>
      <c r="R63" s="7">
        <f t="shared" si="51"/>
        <v>0</v>
      </c>
      <c r="S63" s="2"/>
      <c r="T63" s="6">
        <v>853.96</v>
      </c>
      <c r="U63" s="2"/>
      <c r="V63" s="7">
        <f t="shared" si="52"/>
        <v>4.4953406822435937E-3</v>
      </c>
      <c r="W63" s="2"/>
      <c r="X63" s="6">
        <f t="shared" si="53"/>
        <v>-853.96</v>
      </c>
      <c r="Y63" s="2"/>
      <c r="Z63" s="7">
        <f t="shared" si="54"/>
        <v>-1</v>
      </c>
    </row>
    <row r="64" spans="1:26" s="23" customFormat="1" hidden="1" outlineLevel="2" x14ac:dyDescent="0.25">
      <c r="A64" s="27"/>
      <c r="B64" s="10" t="str">
        <f>CONCATENATE("          ", "6243", " - ", "PAPER SUPPLIES")</f>
        <v xml:space="preserve">          6243 - PAPER SUPPLIES</v>
      </c>
      <c r="C64" s="10"/>
      <c r="D64" s="6"/>
      <c r="E64" s="2"/>
      <c r="F64" s="7">
        <f t="shared" si="47"/>
        <v>0</v>
      </c>
      <c r="G64" s="2"/>
      <c r="H64" s="6"/>
      <c r="I64" s="2"/>
      <c r="J64" s="7">
        <f t="shared" si="48"/>
        <v>0</v>
      </c>
      <c r="K64" s="2"/>
      <c r="L64" s="6">
        <f t="shared" si="49"/>
        <v>0</v>
      </c>
      <c r="M64" s="2"/>
      <c r="N64" s="7">
        <f t="shared" si="50"/>
        <v>0</v>
      </c>
      <c r="O64" s="10"/>
      <c r="P64" s="6"/>
      <c r="Q64" s="2"/>
      <c r="R64" s="7">
        <f t="shared" si="51"/>
        <v>0</v>
      </c>
      <c r="S64" s="2"/>
      <c r="T64" s="6">
        <v>1858.86</v>
      </c>
      <c r="U64" s="2"/>
      <c r="V64" s="7">
        <f t="shared" si="52"/>
        <v>9.7852463588403733E-3</v>
      </c>
      <c r="W64" s="2"/>
      <c r="X64" s="6">
        <f t="shared" si="53"/>
        <v>-1858.86</v>
      </c>
      <c r="Y64" s="2"/>
      <c r="Z64" s="7">
        <f t="shared" si="54"/>
        <v>-1</v>
      </c>
    </row>
    <row r="65" spans="1:26" s="23" customFormat="1" hidden="1" outlineLevel="2" x14ac:dyDescent="0.25">
      <c r="A65" s="27"/>
      <c r="B65" s="10" t="str">
        <f>CONCATENATE("          ", "6247", " - ", "STORE SUPPLIES")</f>
        <v xml:space="preserve">          6247 - STORE SUPPLIES</v>
      </c>
      <c r="C65" s="10"/>
      <c r="D65" s="6"/>
      <c r="E65" s="2"/>
      <c r="F65" s="7">
        <f t="shared" si="47"/>
        <v>0</v>
      </c>
      <c r="G65" s="2"/>
      <c r="H65" s="6"/>
      <c r="I65" s="2"/>
      <c r="J65" s="7">
        <f t="shared" si="48"/>
        <v>0</v>
      </c>
      <c r="K65" s="2"/>
      <c r="L65" s="6">
        <f t="shared" si="49"/>
        <v>0</v>
      </c>
      <c r="M65" s="2"/>
      <c r="N65" s="7">
        <f t="shared" si="50"/>
        <v>0</v>
      </c>
      <c r="O65" s="10"/>
      <c r="P65" s="6"/>
      <c r="Q65" s="2"/>
      <c r="R65" s="7">
        <f t="shared" si="51"/>
        <v>0</v>
      </c>
      <c r="S65" s="2"/>
      <c r="T65" s="6">
        <v>102.64</v>
      </c>
      <c r="U65" s="2"/>
      <c r="V65" s="7">
        <f t="shared" si="52"/>
        <v>5.4030840744939159E-4</v>
      </c>
      <c r="W65" s="2"/>
      <c r="X65" s="6">
        <f t="shared" si="53"/>
        <v>-102.64</v>
      </c>
      <c r="Y65" s="2"/>
      <c r="Z65" s="7">
        <f t="shared" si="54"/>
        <v>-1</v>
      </c>
    </row>
    <row r="66" spans="1:26" s="23" customFormat="1" hidden="1" outlineLevel="2" x14ac:dyDescent="0.25">
      <c r="A66" s="27"/>
      <c r="B66" s="10" t="str">
        <f>CONCATENATE("          ", "6248", " - ", "UNIFORMS")</f>
        <v xml:space="preserve">          6248 - UNIFORMS</v>
      </c>
      <c r="C66" s="10"/>
      <c r="D66" s="6"/>
      <c r="E66" s="2"/>
      <c r="F66" s="7">
        <f t="shared" si="47"/>
        <v>0</v>
      </c>
      <c r="G66" s="2"/>
      <c r="H66" s="6"/>
      <c r="I66" s="2"/>
      <c r="J66" s="7">
        <f t="shared" si="48"/>
        <v>0</v>
      </c>
      <c r="K66" s="2"/>
      <c r="L66" s="6">
        <f t="shared" si="49"/>
        <v>0</v>
      </c>
      <c r="M66" s="2"/>
      <c r="N66" s="7">
        <f t="shared" si="50"/>
        <v>0</v>
      </c>
      <c r="O66" s="10"/>
      <c r="P66" s="6"/>
      <c r="Q66" s="2"/>
      <c r="R66" s="7">
        <f t="shared" si="51"/>
        <v>0</v>
      </c>
      <c r="S66" s="2"/>
      <c r="T66" s="6">
        <v>637.03</v>
      </c>
      <c r="U66" s="2"/>
      <c r="V66" s="7">
        <f t="shared" si="52"/>
        <v>3.3533969680191534E-3</v>
      </c>
      <c r="W66" s="2"/>
      <c r="X66" s="6">
        <f t="shared" si="53"/>
        <v>-637.03</v>
      </c>
      <c r="Y66" s="2"/>
      <c r="Z66" s="7">
        <f t="shared" si="54"/>
        <v>-1</v>
      </c>
    </row>
    <row r="67" spans="1:26" s="26" customFormat="1" outlineLevel="1" collapsed="1" x14ac:dyDescent="0.25">
      <c r="A67" s="25"/>
      <c r="B67" s="12" t="str">
        <f>CONCATENATE("     ","Telephone/Data Lines                              ")</f>
        <v xml:space="preserve">     Telephone/Data Lines                              </v>
      </c>
      <c r="C67" s="12"/>
      <c r="D67" s="1">
        <f>SUM(OSRRefD22_12x_0)</f>
        <v>0</v>
      </c>
      <c r="E67" s="1"/>
      <c r="F67" s="5">
        <f t="shared" ref="F67:F72" si="55">IF(D$12=0,0,D67/D$12)</f>
        <v>0</v>
      </c>
      <c r="G67" s="1"/>
      <c r="H67" s="1">
        <f>SUM(OSRRefH22_12x_0)</f>
        <v>86</v>
      </c>
      <c r="I67" s="1"/>
      <c r="J67" s="5">
        <f t="shared" ref="J67:J72" si="56">IF(H$12=0,0,H67/H$12)</f>
        <v>0</v>
      </c>
      <c r="K67" s="1"/>
      <c r="L67" s="1">
        <f t="shared" ref="L67:L72" si="57">+D67-H67</f>
        <v>-86</v>
      </c>
      <c r="M67" s="1"/>
      <c r="N67" s="5">
        <f t="shared" ref="N67:N72" si="58">IF(H67=0,0,L67/H67)</f>
        <v>-1</v>
      </c>
      <c r="O67" s="12"/>
      <c r="P67" s="1">
        <f>SUM(OSRRefP22_12x_0)</f>
        <v>85.2</v>
      </c>
      <c r="Q67" s="1"/>
      <c r="R67" s="5">
        <f t="shared" ref="R67:R72" si="59">IF(P$12=0,0,P67/P$12)</f>
        <v>0</v>
      </c>
      <c r="S67" s="1"/>
      <c r="T67" s="1">
        <f>SUM(OSRRefT22_12x_0)</f>
        <v>865.5</v>
      </c>
      <c r="U67" s="1"/>
      <c r="V67" s="5">
        <f t="shared" ref="V67:V72" si="60">IF(T$12=0,0,T67/T$12)</f>
        <v>4.5560885293009397E-3</v>
      </c>
      <c r="W67" s="1"/>
      <c r="X67" s="1">
        <f t="shared" ref="X67:X72" si="61">+P67-T67</f>
        <v>-780.3</v>
      </c>
      <c r="Y67" s="1"/>
      <c r="Z67" s="5">
        <f t="shared" ref="Z67:Z72" si="62">IF(T67=0,0,X67/T67)</f>
        <v>-0.90155979202772962</v>
      </c>
    </row>
    <row r="68" spans="1:26" s="23" customFormat="1" hidden="1" outlineLevel="2" x14ac:dyDescent="0.25">
      <c r="A68" s="27"/>
      <c r="B68" s="10" t="str">
        <f>CONCATENATE("          ", "6309", " - ", "TELEPHONE")</f>
        <v xml:space="preserve">          6309 - TELEPHONE</v>
      </c>
      <c r="C68" s="10"/>
      <c r="D68" s="6"/>
      <c r="E68" s="2"/>
      <c r="F68" s="7">
        <f t="shared" si="55"/>
        <v>0</v>
      </c>
      <c r="G68" s="2"/>
      <c r="H68" s="6">
        <v>86</v>
      </c>
      <c r="I68" s="2"/>
      <c r="J68" s="7">
        <f t="shared" si="56"/>
        <v>0</v>
      </c>
      <c r="K68" s="2"/>
      <c r="L68" s="6">
        <f t="shared" si="57"/>
        <v>-86</v>
      </c>
      <c r="M68" s="2"/>
      <c r="N68" s="7">
        <f t="shared" si="58"/>
        <v>-1</v>
      </c>
      <c r="O68" s="10"/>
      <c r="P68" s="6">
        <v>85.2</v>
      </c>
      <c r="Q68" s="2"/>
      <c r="R68" s="7">
        <f t="shared" si="59"/>
        <v>0</v>
      </c>
      <c r="S68" s="2"/>
      <c r="T68" s="6">
        <v>865.5</v>
      </c>
      <c r="U68" s="2"/>
      <c r="V68" s="7">
        <f t="shared" si="60"/>
        <v>4.5560885293009397E-3</v>
      </c>
      <c r="W68" s="2"/>
      <c r="X68" s="6">
        <f t="shared" si="61"/>
        <v>-780.3</v>
      </c>
      <c r="Y68" s="2"/>
      <c r="Z68" s="7">
        <f t="shared" si="62"/>
        <v>-0.90155979202772962</v>
      </c>
    </row>
    <row r="69" spans="1:26" s="26" customFormat="1" outlineLevel="1" collapsed="1" x14ac:dyDescent="0.25">
      <c r="A69" s="25"/>
      <c r="B69" s="12" t="str">
        <f>CONCATENATE("     ","Training                                          ")</f>
        <v xml:space="preserve">     Training                                          </v>
      </c>
      <c r="C69" s="12"/>
      <c r="D69" s="1">
        <f>SUM(OSRRefD22_13x_0)</f>
        <v>0</v>
      </c>
      <c r="E69" s="1"/>
      <c r="F69" s="5">
        <f t="shared" si="55"/>
        <v>0</v>
      </c>
      <c r="G69" s="1"/>
      <c r="H69" s="1">
        <f>SUM(OSRRefH22_13x_0)</f>
        <v>0</v>
      </c>
      <c r="I69" s="1"/>
      <c r="J69" s="5">
        <f t="shared" si="56"/>
        <v>0</v>
      </c>
      <c r="K69" s="1"/>
      <c r="L69" s="1">
        <f t="shared" si="57"/>
        <v>0</v>
      </c>
      <c r="M69" s="1"/>
      <c r="N69" s="5">
        <f t="shared" si="58"/>
        <v>0</v>
      </c>
      <c r="O69" s="12"/>
      <c r="P69" s="1">
        <f>SUM(OSRRefP22_13x_0)</f>
        <v>0</v>
      </c>
      <c r="Q69" s="1"/>
      <c r="R69" s="5">
        <f t="shared" si="59"/>
        <v>0</v>
      </c>
      <c r="S69" s="1"/>
      <c r="T69" s="1">
        <f>SUM(OSRRefT22_13x_0)</f>
        <v>170.95</v>
      </c>
      <c r="U69" s="1"/>
      <c r="V69" s="5">
        <f t="shared" si="60"/>
        <v>8.9989986607047435E-4</v>
      </c>
      <c r="W69" s="1"/>
      <c r="X69" s="1">
        <f t="shared" si="61"/>
        <v>-170.95</v>
      </c>
      <c r="Y69" s="1"/>
      <c r="Z69" s="5">
        <f t="shared" si="62"/>
        <v>-1</v>
      </c>
    </row>
    <row r="70" spans="1:26" s="23" customFormat="1" hidden="1" outlineLevel="2" x14ac:dyDescent="0.25">
      <c r="A70" s="27"/>
      <c r="B70" s="10" t="str">
        <f>CONCATENATE("          ", "6376", " - ", "TRAINING")</f>
        <v xml:space="preserve">          6376 - TRAINING</v>
      </c>
      <c r="C70" s="10"/>
      <c r="D70" s="6"/>
      <c r="E70" s="2"/>
      <c r="F70" s="7">
        <f t="shared" si="55"/>
        <v>0</v>
      </c>
      <c r="G70" s="2"/>
      <c r="H70" s="6"/>
      <c r="I70" s="2"/>
      <c r="J70" s="7">
        <f t="shared" si="56"/>
        <v>0</v>
      </c>
      <c r="K70" s="2"/>
      <c r="L70" s="6">
        <f t="shared" si="57"/>
        <v>0</v>
      </c>
      <c r="M70" s="2"/>
      <c r="N70" s="7">
        <f t="shared" si="58"/>
        <v>0</v>
      </c>
      <c r="O70" s="10"/>
      <c r="P70" s="6"/>
      <c r="Q70" s="2"/>
      <c r="R70" s="7">
        <f t="shared" si="59"/>
        <v>0</v>
      </c>
      <c r="S70" s="2"/>
      <c r="T70" s="6">
        <v>170.95</v>
      </c>
      <c r="U70" s="2"/>
      <c r="V70" s="7">
        <f t="shared" si="60"/>
        <v>8.9989986607047435E-4</v>
      </c>
      <c r="W70" s="2"/>
      <c r="X70" s="6">
        <f t="shared" si="61"/>
        <v>-170.95</v>
      </c>
      <c r="Y70" s="2"/>
      <c r="Z70" s="7">
        <f t="shared" si="62"/>
        <v>-1</v>
      </c>
    </row>
    <row r="71" spans="1:26" s="26" customFormat="1" outlineLevel="1" collapsed="1" x14ac:dyDescent="0.25">
      <c r="A71" s="25"/>
      <c r="B71" s="12" t="str">
        <f>CONCATENATE("     ","Travel                                            ")</f>
        <v xml:space="preserve">     Travel                                            </v>
      </c>
      <c r="C71" s="12"/>
      <c r="D71" s="1">
        <f>SUM(OSRRefD22_14x_0)</f>
        <v>0</v>
      </c>
      <c r="E71" s="1"/>
      <c r="F71" s="5">
        <f t="shared" si="55"/>
        <v>0</v>
      </c>
      <c r="G71" s="1"/>
      <c r="H71" s="1">
        <f>SUM(OSRRefH22_14x_0)</f>
        <v>0</v>
      </c>
      <c r="I71" s="1"/>
      <c r="J71" s="5">
        <f t="shared" si="56"/>
        <v>0</v>
      </c>
      <c r="K71" s="1"/>
      <c r="L71" s="1">
        <f t="shared" si="57"/>
        <v>0</v>
      </c>
      <c r="M71" s="1"/>
      <c r="N71" s="5">
        <f t="shared" si="58"/>
        <v>0</v>
      </c>
      <c r="O71" s="12"/>
      <c r="P71" s="1">
        <f>SUM(OSRRefP22_14x_0)</f>
        <v>0</v>
      </c>
      <c r="Q71" s="1"/>
      <c r="R71" s="5">
        <f t="shared" si="59"/>
        <v>0</v>
      </c>
      <c r="S71" s="1"/>
      <c r="T71" s="1">
        <f>SUM(OSRRefT22_14x_0)</f>
        <v>11.5</v>
      </c>
      <c r="U71" s="1"/>
      <c r="V71" s="5">
        <f t="shared" si="60"/>
        <v>6.0537282596141888E-5</v>
      </c>
      <c r="W71" s="1"/>
      <c r="X71" s="1">
        <f t="shared" si="61"/>
        <v>-11.5</v>
      </c>
      <c r="Y71" s="1"/>
      <c r="Z71" s="5">
        <f t="shared" si="62"/>
        <v>-1</v>
      </c>
    </row>
    <row r="72" spans="1:26" s="23" customFormat="1" hidden="1" outlineLevel="2" x14ac:dyDescent="0.25">
      <c r="A72" s="27"/>
      <c r="B72" s="10" t="str">
        <f>CONCATENATE("          ", "6294", " - ", "TRAVEL OPERATIONAL")</f>
        <v xml:space="preserve">          6294 - TRAVEL OPERATIONAL</v>
      </c>
      <c r="C72" s="10"/>
      <c r="D72" s="6"/>
      <c r="E72" s="2"/>
      <c r="F72" s="7">
        <f t="shared" si="55"/>
        <v>0</v>
      </c>
      <c r="G72" s="2"/>
      <c r="H72" s="6"/>
      <c r="I72" s="2"/>
      <c r="J72" s="7">
        <f t="shared" si="56"/>
        <v>0</v>
      </c>
      <c r="K72" s="2"/>
      <c r="L72" s="6">
        <f t="shared" si="57"/>
        <v>0</v>
      </c>
      <c r="M72" s="2"/>
      <c r="N72" s="7">
        <f t="shared" si="58"/>
        <v>0</v>
      </c>
      <c r="O72" s="10"/>
      <c r="P72" s="6"/>
      <c r="Q72" s="2"/>
      <c r="R72" s="7">
        <f t="shared" si="59"/>
        <v>0</v>
      </c>
      <c r="S72" s="2"/>
      <c r="T72" s="6">
        <v>11.5</v>
      </c>
      <c r="U72" s="2"/>
      <c r="V72" s="7">
        <f t="shared" si="60"/>
        <v>6.0537282596141888E-5</v>
      </c>
      <c r="W72" s="2"/>
      <c r="X72" s="6">
        <f t="shared" si="61"/>
        <v>-11.5</v>
      </c>
      <c r="Y72" s="2"/>
      <c r="Z72" s="7">
        <f t="shared" si="62"/>
        <v>-1</v>
      </c>
    </row>
    <row r="73" spans="1:26" s="62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4" customFormat="1" x14ac:dyDescent="0.25">
      <c r="A74" s="11"/>
      <c r="B74" s="28" t="s">
        <v>292</v>
      </c>
      <c r="C74" s="11"/>
      <c r="D74" s="4">
        <f>SUM(0)</f>
        <v>0</v>
      </c>
      <c r="E74" s="4"/>
      <c r="F74" s="13">
        <f>IF(D$12=0,0,D74/D$12)</f>
        <v>0</v>
      </c>
      <c r="G74" s="4"/>
      <c r="H74" s="4">
        <f>SUM(0)</f>
        <v>0</v>
      </c>
      <c r="I74" s="4"/>
      <c r="J74" s="13">
        <f>IF(H$12=0,0,H74/H$12)</f>
        <v>0</v>
      </c>
      <c r="K74" s="4"/>
      <c r="L74" s="4">
        <f>+D74-H74</f>
        <v>0</v>
      </c>
      <c r="M74" s="4"/>
      <c r="N74" s="13">
        <f>IF(H74=0,0,L74/H74)</f>
        <v>0</v>
      </c>
      <c r="O74" s="11"/>
      <c r="P74" s="4">
        <f>SUM(0)</f>
        <v>0</v>
      </c>
      <c r="Q74" s="4"/>
      <c r="R74" s="13">
        <f>IF(P$12=0,0,P74/P$12)</f>
        <v>0</v>
      </c>
      <c r="S74" s="4"/>
      <c r="T74" s="4">
        <f>SUM(0)</f>
        <v>0</v>
      </c>
      <c r="U74" s="4"/>
      <c r="V74" s="13">
        <f>IF(T$12=0,0,T74/T$12)</f>
        <v>0</v>
      </c>
      <c r="W74" s="4"/>
      <c r="X74" s="4">
        <f>+P74-T74</f>
        <v>0</v>
      </c>
      <c r="Y74" s="4"/>
      <c r="Z74" s="13">
        <f>IF(T74=0,0,X74/T74)</f>
        <v>0</v>
      </c>
    </row>
    <row r="75" spans="1:26" x14ac:dyDescent="0.25">
      <c r="A75" s="9"/>
      <c r="B75" s="11"/>
      <c r="C75" s="11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1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x14ac:dyDescent="0.25">
      <c r="A76" s="11"/>
      <c r="B76" s="29" t="s">
        <v>276</v>
      </c>
      <c r="C76" s="29"/>
      <c r="D76" s="20">
        <f>+D20-D22+D74</f>
        <v>-119.55</v>
      </c>
      <c r="E76" s="14"/>
      <c r="F76" s="22">
        <f>IF(D$12=0,0,D76/D$12)</f>
        <v>0</v>
      </c>
      <c r="G76" s="14"/>
      <c r="H76" s="20">
        <f>+H20-H22+H74</f>
        <v>-5825.18</v>
      </c>
      <c r="I76" s="14"/>
      <c r="J76" s="22">
        <f>IF(H$12=0,0,H76/H$12)</f>
        <v>0</v>
      </c>
      <c r="K76" s="16"/>
      <c r="L76" s="20">
        <f>+D76-H76</f>
        <v>5705.63</v>
      </c>
      <c r="M76" s="16"/>
      <c r="N76" s="22">
        <f>IF(H76=0,0,L76/H76)</f>
        <v>-0.97947702903601264</v>
      </c>
      <c r="O76" s="28"/>
      <c r="P76" s="20">
        <f>+P20-P22+P74</f>
        <v>-2291.9899999999998</v>
      </c>
      <c r="Q76" s="14"/>
      <c r="R76" s="22">
        <f>IF(P$12=0,0,P76/P$12)</f>
        <v>0</v>
      </c>
      <c r="S76" s="14"/>
      <c r="T76" s="20">
        <f>+T20-T22+T74</f>
        <v>-65945.920000000042</v>
      </c>
      <c r="U76" s="14"/>
      <c r="V76" s="22">
        <f>IF(T$12=0,0,T76/T$12)</f>
        <v>-0.34714667783500586</v>
      </c>
      <c r="W76" s="16"/>
      <c r="X76" s="20">
        <f>+P76-T76</f>
        <v>63653.930000000044</v>
      </c>
      <c r="Y76" s="16"/>
      <c r="Z76" s="22">
        <f>IF(T76=0,0,X76/T76)</f>
        <v>-0.96524440026009195</v>
      </c>
    </row>
    <row r="77" spans="1:26" x14ac:dyDescent="0.25">
      <c r="A77" s="9"/>
      <c r="B77" s="11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x14ac:dyDescent="0.25">
      <c r="A78" s="51"/>
      <c r="B78" s="11" t="s">
        <v>127</v>
      </c>
      <c r="C78" s="11"/>
      <c r="D78" s="4"/>
      <c r="E78" s="4"/>
      <c r="F78" s="13">
        <f>IF(D$12=0,0,D78/D$12)</f>
        <v>0</v>
      </c>
      <c r="G78" s="4"/>
      <c r="H78" s="4">
        <v>1213.96</v>
      </c>
      <c r="I78" s="4"/>
      <c r="J78" s="13">
        <f>IF(H$12=0,0,H78/H$12)</f>
        <v>0</v>
      </c>
      <c r="K78" s="4"/>
      <c r="L78" s="4">
        <f>+D78-H78</f>
        <v>-1213.96</v>
      </c>
      <c r="M78" s="4"/>
      <c r="N78" s="13">
        <f>IF(H78=0,0,L78/H78)</f>
        <v>-1</v>
      </c>
      <c r="O78" s="11"/>
      <c r="P78" s="4"/>
      <c r="Q78" s="4"/>
      <c r="R78" s="13">
        <f>IF(P$12=0,0,P78/P$12)</f>
        <v>0</v>
      </c>
      <c r="S78" s="4"/>
      <c r="T78" s="4">
        <v>21569.23</v>
      </c>
      <c r="U78" s="4"/>
      <c r="V78" s="13">
        <f>IF(T$12=0,0,T78/T$12)</f>
        <v>0.1135428323383636</v>
      </c>
      <c r="W78" s="4"/>
      <c r="X78" s="4">
        <f>+P78-T78</f>
        <v>-21569.23</v>
      </c>
      <c r="Y78" s="4"/>
      <c r="Z78" s="13">
        <f>IF(T78=0,0,X78/T78)</f>
        <v>-1</v>
      </c>
    </row>
    <row r="79" spans="1:26" x14ac:dyDescent="0.25">
      <c r="A79" s="9"/>
      <c r="B79" s="11"/>
      <c r="C79" s="11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1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4" customFormat="1" ht="15.75" thickBot="1" x14ac:dyDescent="0.3">
      <c r="A80" s="11"/>
      <c r="B80" s="29" t="s">
        <v>125</v>
      </c>
      <c r="C80" s="29"/>
      <c r="D80" s="30">
        <f>+D76-D78</f>
        <v>-119.55</v>
      </c>
      <c r="E80" s="14"/>
      <c r="F80" s="34">
        <f>IF(D$12=0,0,D80/D$12)</f>
        <v>0</v>
      </c>
      <c r="G80" s="14"/>
      <c r="H80" s="30">
        <f>+H76-H78</f>
        <v>-7039.14</v>
      </c>
      <c r="I80" s="14"/>
      <c r="J80" s="34">
        <f>IF(H$12=0,0,H80/H$12)</f>
        <v>0</v>
      </c>
      <c r="K80" s="16"/>
      <c r="L80" s="30">
        <f>D80-H80</f>
        <v>6919.59</v>
      </c>
      <c r="M80" s="16"/>
      <c r="N80" s="34">
        <f>IF(H80=0,0,L80/H80)</f>
        <v>-0.98301639120688034</v>
      </c>
      <c r="O80" s="28"/>
      <c r="P80" s="30">
        <f>+P76-P78</f>
        <v>-2291.9899999999998</v>
      </c>
      <c r="Q80" s="14"/>
      <c r="R80" s="34">
        <f>IF(P$12=0,0,P80/P$12)</f>
        <v>0</v>
      </c>
      <c r="S80" s="14"/>
      <c r="T80" s="30">
        <f>+T76-T78</f>
        <v>-87515.150000000038</v>
      </c>
      <c r="U80" s="14"/>
      <c r="V80" s="34">
        <f>IF(T$12=0,0,T80/T$12)</f>
        <v>-0.46068951017336945</v>
      </c>
      <c r="W80" s="16"/>
      <c r="X80" s="30">
        <f>P80-T80</f>
        <v>85223.160000000033</v>
      </c>
      <c r="Y80" s="16"/>
      <c r="Z80" s="34">
        <f>IF(T80=0,0,X80/T80)</f>
        <v>-0.97381036311998548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4" customFormat="1" ht="15.75" thickBot="1" x14ac:dyDescent="0.3">
      <c r="A83" s="11"/>
      <c r="B83" s="29" t="s">
        <v>293</v>
      </c>
      <c r="C83" s="29"/>
      <c r="D83" s="32">
        <f>SUM(D80:D82)</f>
        <v>-119.55</v>
      </c>
      <c r="E83" s="14"/>
      <c r="F83" s="35">
        <f>IF(D$12=0,0,D83/D$12)</f>
        <v>0</v>
      </c>
      <c r="G83" s="14"/>
      <c r="H83" s="32">
        <f>SUM(H80:H82)</f>
        <v>-7039.14</v>
      </c>
      <c r="I83" s="14"/>
      <c r="J83" s="35">
        <f>IF(H$12=0,0,H83/H$12)</f>
        <v>0</v>
      </c>
      <c r="K83" s="16"/>
      <c r="L83" s="32">
        <f>+D83-H83</f>
        <v>6919.59</v>
      </c>
      <c r="M83" s="16"/>
      <c r="N83" s="35">
        <f>IF(H83=0,0,L83/H83)</f>
        <v>-0.98301639120688034</v>
      </c>
      <c r="O83" s="28"/>
      <c r="P83" s="32">
        <f>SUM(P80:P82)</f>
        <v>-2291.9899999999998</v>
      </c>
      <c r="Q83" s="14"/>
      <c r="R83" s="35">
        <f>IF(P$12=0,0,P83/P$12)</f>
        <v>0</v>
      </c>
      <c r="S83" s="14"/>
      <c r="T83" s="32">
        <f>SUM(T80:T82)</f>
        <v>-87515.150000000038</v>
      </c>
      <c r="U83" s="14"/>
      <c r="V83" s="35">
        <f>IF(T$12=0,0,T83/T$12)</f>
        <v>-0.46068951017336945</v>
      </c>
      <c r="W83" s="16"/>
      <c r="X83" s="32">
        <f>+P83-T83</f>
        <v>85223.160000000033</v>
      </c>
      <c r="Y83" s="16"/>
      <c r="Z83" s="35">
        <f>IF(T83=0,0,X83/T83)</f>
        <v>-0.97381036311998548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59">
        <v>44330.00886898148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52" t="s">
        <v>56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5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","411", " - ", "University Dining")</f>
        <v>Department 411 - University Dining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38137.349999999991</v>
      </c>
      <c r="E18" s="21"/>
      <c r="F18" s="31">
        <f t="shared" ref="F18:F28" si="0">IF(D$12=0,0,D18/D$12)</f>
        <v>0</v>
      </c>
      <c r="G18" s="21"/>
      <c r="H18" s="21">
        <f>SUM(OSRRefH22x_0)</f>
        <v>48052.229999999996</v>
      </c>
      <c r="I18" s="21"/>
      <c r="J18" s="31">
        <f t="shared" ref="J18:J28" si="1">IF(H$12=0,0,H18/H$12)</f>
        <v>0</v>
      </c>
      <c r="K18" s="4"/>
      <c r="L18" s="21">
        <f t="shared" ref="L18:L28" si="2">+D18-H18</f>
        <v>-9914.8800000000047</v>
      </c>
      <c r="M18" s="4"/>
      <c r="N18" s="31">
        <f t="shared" ref="N18:N28" si="3">IF(H18=0,0,L18/H18)</f>
        <v>-0.20633548120451445</v>
      </c>
      <c r="O18" s="11"/>
      <c r="P18" s="21">
        <f>SUM(OSRRefP22x_0)</f>
        <v>291450.71999999997</v>
      </c>
      <c r="Q18" s="21"/>
      <c r="R18" s="31">
        <f t="shared" ref="R18:R28" si="4">IF(P$12=0,0,P18/P$12)</f>
        <v>0</v>
      </c>
      <c r="S18" s="21"/>
      <c r="T18" s="21">
        <f>SUM(OSRRefT22x_0)</f>
        <v>930050.35000000009</v>
      </c>
      <c r="U18" s="21"/>
      <c r="V18" s="31">
        <f t="shared" ref="V18:V28" si="5">IF(T$12=0,0,T18/T$12)</f>
        <v>0</v>
      </c>
      <c r="W18" s="4"/>
      <c r="X18" s="21">
        <f t="shared" ref="X18:X28" si="6">+P18-T18</f>
        <v>-638599.63000000012</v>
      </c>
      <c r="Y18" s="4"/>
      <c r="Z18" s="31">
        <f t="shared" ref="Z18:Z28" si="7">IF(T18=0,0,X18/T18)</f>
        <v>-0.68662909486567048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6905.3399999999992</v>
      </c>
      <c r="E19" s="1"/>
      <c r="F19" s="5">
        <f t="shared" si="0"/>
        <v>0</v>
      </c>
      <c r="G19" s="1"/>
      <c r="H19" s="1">
        <f>SUM(OSRRefH22_0x_0)</f>
        <v>-985.73000000000047</v>
      </c>
      <c r="I19" s="1"/>
      <c r="J19" s="5">
        <f t="shared" si="1"/>
        <v>0</v>
      </c>
      <c r="K19" s="1"/>
      <c r="L19" s="1">
        <f t="shared" si="2"/>
        <v>7891.07</v>
      </c>
      <c r="M19" s="1"/>
      <c r="N19" s="5">
        <f t="shared" si="3"/>
        <v>-8.0053057125176217</v>
      </c>
      <c r="O19" s="12"/>
      <c r="P19" s="1">
        <f>SUM(OSRRefP22_0x_0)</f>
        <v>60521.04</v>
      </c>
      <c r="Q19" s="1"/>
      <c r="R19" s="5">
        <f t="shared" si="4"/>
        <v>0</v>
      </c>
      <c r="S19" s="1"/>
      <c r="T19" s="1">
        <f>SUM(OSRRefT22_0x_0)</f>
        <v>69090.239999999991</v>
      </c>
      <c r="U19" s="1"/>
      <c r="V19" s="5">
        <f t="shared" si="5"/>
        <v>0</v>
      </c>
      <c r="W19" s="1"/>
      <c r="X19" s="1">
        <f t="shared" si="6"/>
        <v>-8569.1999999999898</v>
      </c>
      <c r="Y19" s="1"/>
      <c r="Z19" s="5">
        <f t="shared" si="7"/>
        <v>-0.12402909586071768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1281.68</v>
      </c>
      <c r="E20" s="2"/>
      <c r="F20" s="7">
        <f t="shared" si="0"/>
        <v>0</v>
      </c>
      <c r="G20" s="2"/>
      <c r="H20" s="6">
        <v>1182.81</v>
      </c>
      <c r="I20" s="2"/>
      <c r="J20" s="7">
        <f t="shared" si="1"/>
        <v>0</v>
      </c>
      <c r="K20" s="2"/>
      <c r="L20" s="6">
        <f t="shared" si="2"/>
        <v>98.870000000000118</v>
      </c>
      <c r="M20" s="2"/>
      <c r="N20" s="7">
        <f t="shared" si="3"/>
        <v>8.3589080241120828E-2</v>
      </c>
      <c r="O20" s="10"/>
      <c r="P20" s="6">
        <v>9175.39</v>
      </c>
      <c r="Q20" s="2"/>
      <c r="R20" s="7">
        <f t="shared" si="4"/>
        <v>0</v>
      </c>
      <c r="S20" s="2"/>
      <c r="T20" s="6">
        <v>23327.18</v>
      </c>
      <c r="U20" s="2"/>
      <c r="V20" s="7">
        <f t="shared" si="5"/>
        <v>0</v>
      </c>
      <c r="W20" s="2"/>
      <c r="X20" s="6">
        <f t="shared" si="6"/>
        <v>-14151.79</v>
      </c>
      <c r="Y20" s="2"/>
      <c r="Z20" s="7">
        <f t="shared" si="7"/>
        <v>-0.60666527201316234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36.78</v>
      </c>
      <c r="E21" s="2"/>
      <c r="F21" s="7">
        <f t="shared" si="0"/>
        <v>0</v>
      </c>
      <c r="G21" s="2"/>
      <c r="H21" s="6">
        <v>182.31</v>
      </c>
      <c r="I21" s="2"/>
      <c r="J21" s="7">
        <f t="shared" si="1"/>
        <v>0</v>
      </c>
      <c r="K21" s="2"/>
      <c r="L21" s="6">
        <f t="shared" si="2"/>
        <v>-145.53</v>
      </c>
      <c r="M21" s="2"/>
      <c r="N21" s="7">
        <f t="shared" si="3"/>
        <v>-0.79825571828204711</v>
      </c>
      <c r="O21" s="10"/>
      <c r="P21" s="6">
        <v>513.86</v>
      </c>
      <c r="Q21" s="2"/>
      <c r="R21" s="7">
        <f t="shared" si="4"/>
        <v>0</v>
      </c>
      <c r="S21" s="2"/>
      <c r="T21" s="6">
        <v>8542.17</v>
      </c>
      <c r="U21" s="2"/>
      <c r="V21" s="7">
        <f t="shared" si="5"/>
        <v>0</v>
      </c>
      <c r="W21" s="2"/>
      <c r="X21" s="6">
        <f t="shared" si="6"/>
        <v>-8028.31</v>
      </c>
      <c r="Y21" s="2"/>
      <c r="Z21" s="7">
        <f t="shared" si="7"/>
        <v>-0.93984432527097916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1920.87</v>
      </c>
      <c r="E22" s="2"/>
      <c r="F22" s="7">
        <f t="shared" si="0"/>
        <v>0</v>
      </c>
      <c r="G22" s="2"/>
      <c r="H22" s="6">
        <v>2158.9699999999998</v>
      </c>
      <c r="I22" s="2"/>
      <c r="J22" s="7">
        <f t="shared" si="1"/>
        <v>0</v>
      </c>
      <c r="K22" s="2"/>
      <c r="L22" s="6">
        <f t="shared" si="2"/>
        <v>-238.09999999999991</v>
      </c>
      <c r="M22" s="2"/>
      <c r="N22" s="7">
        <f t="shared" si="3"/>
        <v>-0.11028407064479819</v>
      </c>
      <c r="O22" s="10"/>
      <c r="P22" s="6">
        <v>18253.95</v>
      </c>
      <c r="Q22" s="2"/>
      <c r="R22" s="7">
        <f t="shared" si="4"/>
        <v>0</v>
      </c>
      <c r="S22" s="2"/>
      <c r="T22" s="6">
        <v>33140.5</v>
      </c>
      <c r="U22" s="2"/>
      <c r="V22" s="7">
        <f t="shared" si="5"/>
        <v>0</v>
      </c>
      <c r="W22" s="2"/>
      <c r="X22" s="6">
        <f t="shared" si="6"/>
        <v>-14886.55</v>
      </c>
      <c r="Y22" s="2"/>
      <c r="Z22" s="7">
        <f t="shared" si="7"/>
        <v>-0.44919509361657184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28.98</v>
      </c>
      <c r="E23" s="2"/>
      <c r="F23" s="7">
        <f t="shared" si="0"/>
        <v>0</v>
      </c>
      <c r="G23" s="2"/>
      <c r="H23" s="6">
        <v>26.8</v>
      </c>
      <c r="I23" s="2"/>
      <c r="J23" s="7">
        <f t="shared" si="1"/>
        <v>0</v>
      </c>
      <c r="K23" s="2"/>
      <c r="L23" s="6">
        <f t="shared" si="2"/>
        <v>2.1799999999999997</v>
      </c>
      <c r="M23" s="2"/>
      <c r="N23" s="7">
        <f t="shared" si="3"/>
        <v>8.1343283582089546E-2</v>
      </c>
      <c r="O23" s="10"/>
      <c r="P23" s="6">
        <v>339.97</v>
      </c>
      <c r="Q23" s="2"/>
      <c r="R23" s="7">
        <f t="shared" si="4"/>
        <v>0</v>
      </c>
      <c r="S23" s="2"/>
      <c r="T23" s="6">
        <v>799.72</v>
      </c>
      <c r="U23" s="2"/>
      <c r="V23" s="7">
        <f t="shared" si="5"/>
        <v>0</v>
      </c>
      <c r="W23" s="2"/>
      <c r="X23" s="6">
        <f t="shared" si="6"/>
        <v>-459.75</v>
      </c>
      <c r="Y23" s="2"/>
      <c r="Z23" s="7">
        <f t="shared" si="7"/>
        <v>-0.57488871104886707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1221.05</v>
      </c>
      <c r="E24" s="2"/>
      <c r="F24" s="7">
        <f t="shared" si="0"/>
        <v>0</v>
      </c>
      <c r="G24" s="2"/>
      <c r="H24" s="6">
        <v>918.93</v>
      </c>
      <c r="I24" s="2"/>
      <c r="J24" s="7">
        <f t="shared" si="1"/>
        <v>0</v>
      </c>
      <c r="K24" s="2"/>
      <c r="L24" s="6">
        <f t="shared" si="2"/>
        <v>302.12</v>
      </c>
      <c r="M24" s="2"/>
      <c r="N24" s="7">
        <f t="shared" si="3"/>
        <v>0.32877368243500593</v>
      </c>
      <c r="O24" s="10"/>
      <c r="P24" s="6">
        <v>14481.94</v>
      </c>
      <c r="Q24" s="2"/>
      <c r="R24" s="7">
        <f t="shared" si="4"/>
        <v>0</v>
      </c>
      <c r="S24" s="2"/>
      <c r="T24" s="6">
        <v>15569.96</v>
      </c>
      <c r="U24" s="2"/>
      <c r="V24" s="7">
        <f t="shared" si="5"/>
        <v>0</v>
      </c>
      <c r="W24" s="2"/>
      <c r="X24" s="6">
        <f t="shared" si="6"/>
        <v>-1088.0199999999986</v>
      </c>
      <c r="Y24" s="2"/>
      <c r="Z24" s="7">
        <f t="shared" si="7"/>
        <v>-6.9879434500795035E-2</v>
      </c>
    </row>
    <row r="25" spans="1:26" s="23" customFormat="1" hidden="1" outlineLevel="2" x14ac:dyDescent="0.25">
      <c r="A25" s="27"/>
      <c r="B25" s="10" t="str">
        <f>CONCATENATE("          ", "6117", " - ", "RETIREMENT STAFF HOURLY")</f>
        <v xml:space="preserve">          6117 - RETIREMENT STAFF HOURLY</v>
      </c>
      <c r="C25" s="10"/>
      <c r="D25" s="6"/>
      <c r="E25" s="2"/>
      <c r="F25" s="7">
        <f t="shared" si="0"/>
        <v>0</v>
      </c>
      <c r="G25" s="2"/>
      <c r="H25" s="6">
        <v>84</v>
      </c>
      <c r="I25" s="2"/>
      <c r="J25" s="7">
        <f t="shared" si="1"/>
        <v>0</v>
      </c>
      <c r="K25" s="2"/>
      <c r="L25" s="6">
        <f t="shared" si="2"/>
        <v>-84</v>
      </c>
      <c r="M25" s="2"/>
      <c r="N25" s="7">
        <f t="shared" si="3"/>
        <v>-1</v>
      </c>
      <c r="O25" s="10"/>
      <c r="P25" s="6"/>
      <c r="Q25" s="2"/>
      <c r="R25" s="7">
        <f t="shared" si="4"/>
        <v>0</v>
      </c>
      <c r="S25" s="2"/>
      <c r="T25" s="6">
        <v>588</v>
      </c>
      <c r="U25" s="2"/>
      <c r="V25" s="7">
        <f t="shared" si="5"/>
        <v>0</v>
      </c>
      <c r="W25" s="2"/>
      <c r="X25" s="6">
        <f t="shared" si="6"/>
        <v>-588</v>
      </c>
      <c r="Y25" s="2"/>
      <c r="Z25" s="7">
        <f t="shared" si="7"/>
        <v>-1</v>
      </c>
    </row>
    <row r="26" spans="1:26" s="23" customFormat="1" hidden="1" outlineLevel="2" x14ac:dyDescent="0.25">
      <c r="A26" s="27"/>
      <c r="B26" s="10" t="str">
        <f>CONCATENATE("          ", "6118", " - ", "VACATION")</f>
        <v xml:space="preserve">          6118 - VACATION</v>
      </c>
      <c r="C26" s="10"/>
      <c r="D26" s="6">
        <v>1533.78</v>
      </c>
      <c r="E26" s="2"/>
      <c r="F26" s="7">
        <f t="shared" si="0"/>
        <v>0</v>
      </c>
      <c r="G26" s="2"/>
      <c r="H26" s="6">
        <v>1321.05</v>
      </c>
      <c r="I26" s="2"/>
      <c r="J26" s="7">
        <f t="shared" si="1"/>
        <v>0</v>
      </c>
      <c r="K26" s="2"/>
      <c r="L26" s="6">
        <f t="shared" si="2"/>
        <v>212.73000000000002</v>
      </c>
      <c r="M26" s="2"/>
      <c r="N26" s="7">
        <f t="shared" si="3"/>
        <v>0.1610309980697173</v>
      </c>
      <c r="O26" s="10"/>
      <c r="P26" s="6">
        <v>11439.86</v>
      </c>
      <c r="Q26" s="2"/>
      <c r="R26" s="7">
        <f t="shared" si="4"/>
        <v>0</v>
      </c>
      <c r="S26" s="2"/>
      <c r="T26" s="6">
        <v>15559.21</v>
      </c>
      <c r="U26" s="2"/>
      <c r="V26" s="7">
        <f t="shared" si="5"/>
        <v>0</v>
      </c>
      <c r="W26" s="2"/>
      <c r="X26" s="6">
        <f t="shared" si="6"/>
        <v>-4119.3499999999985</v>
      </c>
      <c r="Y26" s="2"/>
      <c r="Z26" s="7">
        <f t="shared" si="7"/>
        <v>-0.26475315906141755</v>
      </c>
    </row>
    <row r="27" spans="1:26" s="23" customFormat="1" hidden="1" outlineLevel="2" x14ac:dyDescent="0.25">
      <c r="A27" s="27"/>
      <c r="B27" s="10" t="str">
        <f>CONCATENATE("          ", "6119", " - ", "SICK LEAVE")</f>
        <v xml:space="preserve">          6119 - SICK LEAVE</v>
      </c>
      <c r="C27" s="10"/>
      <c r="D27" s="6">
        <v>765.87</v>
      </c>
      <c r="E27" s="2"/>
      <c r="F27" s="7">
        <f t="shared" si="0"/>
        <v>0</v>
      </c>
      <c r="G27" s="2"/>
      <c r="H27" s="6">
        <v>-6940.6</v>
      </c>
      <c r="I27" s="2"/>
      <c r="J27" s="7">
        <f t="shared" si="1"/>
        <v>0</v>
      </c>
      <c r="K27" s="2"/>
      <c r="L27" s="6">
        <f t="shared" si="2"/>
        <v>7706.47</v>
      </c>
      <c r="M27" s="2"/>
      <c r="N27" s="7">
        <f t="shared" si="3"/>
        <v>-1.1103463677491858</v>
      </c>
      <c r="O27" s="10"/>
      <c r="P27" s="6">
        <v>5712.32</v>
      </c>
      <c r="Q27" s="2"/>
      <c r="R27" s="7">
        <f t="shared" si="4"/>
        <v>0</v>
      </c>
      <c r="S27" s="2"/>
      <c r="T27" s="6">
        <v>-31940.67</v>
      </c>
      <c r="U27" s="2"/>
      <c r="V27" s="7">
        <f t="shared" si="5"/>
        <v>0</v>
      </c>
      <c r="W27" s="2"/>
      <c r="X27" s="6">
        <f t="shared" si="6"/>
        <v>37652.99</v>
      </c>
      <c r="Y27" s="2"/>
      <c r="Z27" s="7">
        <f t="shared" si="7"/>
        <v>-1.1788415834733585</v>
      </c>
    </row>
    <row r="28" spans="1:26" s="23" customFormat="1" hidden="1" outlineLevel="2" x14ac:dyDescent="0.25">
      <c r="A28" s="27"/>
      <c r="B28" s="10" t="str">
        <f>CONCATENATE("          ", "6156", " - ", "EMPLOYEE MEALS")</f>
        <v xml:space="preserve">          6156 - EMPLOYEE MEALS</v>
      </c>
      <c r="C28" s="10"/>
      <c r="D28" s="6">
        <v>116.33</v>
      </c>
      <c r="E28" s="2"/>
      <c r="F28" s="7">
        <f t="shared" si="0"/>
        <v>0</v>
      </c>
      <c r="G28" s="2"/>
      <c r="H28" s="6">
        <v>80</v>
      </c>
      <c r="I28" s="2"/>
      <c r="J28" s="7">
        <f t="shared" si="1"/>
        <v>0</v>
      </c>
      <c r="K28" s="2"/>
      <c r="L28" s="6">
        <f t="shared" si="2"/>
        <v>36.33</v>
      </c>
      <c r="M28" s="2"/>
      <c r="N28" s="7">
        <f t="shared" si="3"/>
        <v>0.454125</v>
      </c>
      <c r="O28" s="10"/>
      <c r="P28" s="6">
        <v>603.75</v>
      </c>
      <c r="Q28" s="2"/>
      <c r="R28" s="7">
        <f t="shared" si="4"/>
        <v>0</v>
      </c>
      <c r="S28" s="2"/>
      <c r="T28" s="6">
        <v>3504.17</v>
      </c>
      <c r="U28" s="2"/>
      <c r="V28" s="7">
        <f t="shared" si="5"/>
        <v>0</v>
      </c>
      <c r="W28" s="2"/>
      <c r="X28" s="6">
        <f t="shared" si="6"/>
        <v>-2900.42</v>
      </c>
      <c r="Y28" s="2"/>
      <c r="Z28" s="7">
        <f t="shared" si="7"/>
        <v>-0.82770527685586026</v>
      </c>
    </row>
    <row r="29" spans="1:26" s="26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13906.92</v>
      </c>
      <c r="E29" s="1"/>
      <c r="F29" s="5">
        <f t="shared" ref="F29:F35" si="8">IF(D$12=0,0,D29/D$12)</f>
        <v>0</v>
      </c>
      <c r="G29" s="1"/>
      <c r="H29" s="1">
        <f>SUM(OSRRefH22_1x_0)</f>
        <v>4753.6499999999996</v>
      </c>
      <c r="I29" s="1"/>
      <c r="J29" s="5">
        <f t="shared" ref="J29:J35" si="9">IF(H$12=0,0,H29/H$12)</f>
        <v>0</v>
      </c>
      <c r="K29" s="1"/>
      <c r="L29" s="1">
        <f t="shared" ref="L29:L35" si="10">+D29-H29</f>
        <v>9153.27</v>
      </c>
      <c r="M29" s="1"/>
      <c r="N29" s="5">
        <f t="shared" ref="N29:N35" si="11">IF(H29=0,0,L29/H29)</f>
        <v>1.9255245968887069</v>
      </c>
      <c r="O29" s="12"/>
      <c r="P29" s="1">
        <f>SUM(OSRRefP22_1x_0)</f>
        <v>113511.17</v>
      </c>
      <c r="Q29" s="1"/>
      <c r="R29" s="5">
        <f t="shared" ref="R29:R35" si="12">IF(P$12=0,0,P29/P$12)</f>
        <v>0</v>
      </c>
      <c r="S29" s="1"/>
      <c r="T29" s="1">
        <f>SUM(OSRRefT22_1x_0)</f>
        <v>253553.05000000002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-140041.88</v>
      </c>
      <c r="Y29" s="1"/>
      <c r="Z29" s="5">
        <f t="shared" ref="Z29:Z35" si="15">IF(T29=0,0,X29/T29)</f>
        <v>-0.55231786799646065</v>
      </c>
    </row>
    <row r="30" spans="1:26" s="23" customFormat="1" hidden="1" outlineLevel="2" x14ac:dyDescent="0.25">
      <c r="A30" s="27"/>
      <c r="B30" s="10" t="str">
        <f>CONCATENATE("          ", "6001", " - ", "ADMINISTRATIVE SALARIES")</f>
        <v xml:space="preserve">          6001 - ADMINISTRATIVE SALARIES</v>
      </c>
      <c r="C30" s="10"/>
      <c r="D30" s="6">
        <v>13836.92</v>
      </c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13836.92</v>
      </c>
      <c r="M30" s="2"/>
      <c r="N30" s="7">
        <f t="shared" si="11"/>
        <v>0</v>
      </c>
      <c r="O30" s="10"/>
      <c r="P30" s="6">
        <v>111056.17</v>
      </c>
      <c r="Q30" s="2"/>
      <c r="R30" s="7">
        <f t="shared" si="12"/>
        <v>0</v>
      </c>
      <c r="S30" s="2"/>
      <c r="T30" s="6">
        <v>67427.61</v>
      </c>
      <c r="U30" s="2"/>
      <c r="V30" s="7">
        <f t="shared" si="13"/>
        <v>0</v>
      </c>
      <c r="W30" s="2"/>
      <c r="X30" s="6">
        <f t="shared" si="14"/>
        <v>43628.56</v>
      </c>
      <c r="Y30" s="2"/>
      <c r="Z30" s="7">
        <f t="shared" si="15"/>
        <v>0.64704295465907802</v>
      </c>
    </row>
    <row r="31" spans="1:26" s="23" customFormat="1" hidden="1" outlineLevel="2" x14ac:dyDescent="0.25">
      <c r="A31" s="27"/>
      <c r="B31" s="10" t="str">
        <f>CONCATENATE("          ", "6002", " - ", "STAFF SALARIES")</f>
        <v xml:space="preserve">          6002 - STAFF SALARIES</v>
      </c>
      <c r="C31" s="10"/>
      <c r="D31" s="6"/>
      <c r="E31" s="2"/>
      <c r="F31" s="7">
        <f t="shared" si="8"/>
        <v>0</v>
      </c>
      <c r="G31" s="2"/>
      <c r="H31" s="6">
        <v>4753.6499999999996</v>
      </c>
      <c r="I31" s="2"/>
      <c r="J31" s="7">
        <f t="shared" si="9"/>
        <v>0</v>
      </c>
      <c r="K31" s="2"/>
      <c r="L31" s="6">
        <f t="shared" si="10"/>
        <v>-4753.6499999999996</v>
      </c>
      <c r="M31" s="2"/>
      <c r="N31" s="7">
        <f t="shared" si="11"/>
        <v>-1</v>
      </c>
      <c r="O31" s="10"/>
      <c r="P31" s="6">
        <v>2080</v>
      </c>
      <c r="Q31" s="2"/>
      <c r="R31" s="7">
        <f t="shared" si="12"/>
        <v>0</v>
      </c>
      <c r="S31" s="2"/>
      <c r="T31" s="6">
        <v>49852.86</v>
      </c>
      <c r="U31" s="2"/>
      <c r="V31" s="7">
        <f t="shared" si="13"/>
        <v>0</v>
      </c>
      <c r="W31" s="2"/>
      <c r="X31" s="6">
        <f t="shared" si="14"/>
        <v>-47772.86</v>
      </c>
      <c r="Y31" s="2"/>
      <c r="Z31" s="7">
        <f t="shared" si="15"/>
        <v>-0.95827721819771228</v>
      </c>
    </row>
    <row r="32" spans="1:26" s="23" customFormat="1" hidden="1" outlineLevel="2" x14ac:dyDescent="0.25">
      <c r="A32" s="27"/>
      <c r="B32" s="10" t="str">
        <f>CONCATENATE("          ", "6004", " - ", "STAFF HOURLY")</f>
        <v xml:space="preserve">          6004 - STAFF HOURLY</v>
      </c>
      <c r="C32" s="10"/>
      <c r="D32" s="6">
        <v>70</v>
      </c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70</v>
      </c>
      <c r="M32" s="2"/>
      <c r="N32" s="7">
        <f t="shared" si="11"/>
        <v>0</v>
      </c>
      <c r="O32" s="10"/>
      <c r="P32" s="6">
        <v>70</v>
      </c>
      <c r="Q32" s="2"/>
      <c r="R32" s="7">
        <f t="shared" si="12"/>
        <v>0</v>
      </c>
      <c r="S32" s="2"/>
      <c r="T32" s="6">
        <v>23599.23</v>
      </c>
      <c r="U32" s="2"/>
      <c r="V32" s="7">
        <f t="shared" si="13"/>
        <v>0</v>
      </c>
      <c r="W32" s="2"/>
      <c r="X32" s="6">
        <f t="shared" si="14"/>
        <v>-23529.23</v>
      </c>
      <c r="Y32" s="2"/>
      <c r="Z32" s="7">
        <f t="shared" si="15"/>
        <v>-0.99703380152657528</v>
      </c>
    </row>
    <row r="33" spans="1:26" s="23" customFormat="1" hidden="1" outlineLevel="2" x14ac:dyDescent="0.25">
      <c r="A33" s="27"/>
      <c r="B33" s="10" t="str">
        <f>CONCATENATE("          ", "6005", " - ", "TEMPORARY WAGES-HOURLY")</f>
        <v xml:space="preserve">          6005 - TEMPORARY WAGES-HOURLY</v>
      </c>
      <c r="C33" s="10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0"/>
      <c r="P33" s="6">
        <v>305</v>
      </c>
      <c r="Q33" s="2"/>
      <c r="R33" s="7">
        <f t="shared" si="12"/>
        <v>0</v>
      </c>
      <c r="S33" s="2"/>
      <c r="T33" s="6">
        <v>94654.75</v>
      </c>
      <c r="U33" s="2"/>
      <c r="V33" s="7">
        <f t="shared" si="13"/>
        <v>0</v>
      </c>
      <c r="W33" s="2"/>
      <c r="X33" s="6">
        <f t="shared" si="14"/>
        <v>-94349.75</v>
      </c>
      <c r="Y33" s="2"/>
      <c r="Z33" s="7">
        <f t="shared" si="15"/>
        <v>-0.99677776339803337</v>
      </c>
    </row>
    <row r="34" spans="1:26" s="23" customFormat="1" hidden="1" outlineLevel="2" x14ac:dyDescent="0.25">
      <c r="A34" s="27"/>
      <c r="B34" s="10" t="str">
        <f>CONCATENATE("          ", "6006", " - ", "TEMPORARY PART TIME")</f>
        <v xml:space="preserve">          6006 - TEMPORARY PART TIME</v>
      </c>
      <c r="C34" s="10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0"/>
      <c r="P34" s="6"/>
      <c r="Q34" s="2"/>
      <c r="R34" s="7">
        <f t="shared" si="12"/>
        <v>0</v>
      </c>
      <c r="S34" s="2"/>
      <c r="T34" s="6">
        <v>1236.8800000000001</v>
      </c>
      <c r="U34" s="2"/>
      <c r="V34" s="7">
        <f t="shared" si="13"/>
        <v>0</v>
      </c>
      <c r="W34" s="2"/>
      <c r="X34" s="6">
        <f t="shared" si="14"/>
        <v>-1236.8800000000001</v>
      </c>
      <c r="Y34" s="2"/>
      <c r="Z34" s="7">
        <f t="shared" si="15"/>
        <v>-1</v>
      </c>
    </row>
    <row r="35" spans="1:26" s="23" customFormat="1" hidden="1" outlineLevel="2" x14ac:dyDescent="0.25">
      <c r="A35" s="27"/>
      <c r="B35" s="10" t="str">
        <f>CONCATENATE("          ", "6007", " - ", "STUDENT HOURLY")</f>
        <v xml:space="preserve">          6007 - STUDENT HOURLY</v>
      </c>
      <c r="C35" s="10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0"/>
      <c r="P35" s="6"/>
      <c r="Q35" s="2"/>
      <c r="R35" s="7">
        <f t="shared" si="12"/>
        <v>0</v>
      </c>
      <c r="S35" s="2"/>
      <c r="T35" s="6">
        <v>16781.72</v>
      </c>
      <c r="U35" s="2"/>
      <c r="V35" s="7">
        <f t="shared" si="13"/>
        <v>0</v>
      </c>
      <c r="W35" s="2"/>
      <c r="X35" s="6">
        <f t="shared" si="14"/>
        <v>-16781.72</v>
      </c>
      <c r="Y35" s="2"/>
      <c r="Z35" s="7">
        <f t="shared" si="15"/>
        <v>-1</v>
      </c>
    </row>
    <row r="36" spans="1:26" s="26" customFormat="1" outlineLevel="1" collapsed="1" x14ac:dyDescent="0.25">
      <c r="A36" s="25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63.55</v>
      </c>
      <c r="E36" s="1"/>
      <c r="F36" s="5">
        <f t="shared" ref="F36:F43" si="16">IF(D$12=0,0,D36/D$12)</f>
        <v>0</v>
      </c>
      <c r="G36" s="1"/>
      <c r="H36" s="1">
        <f>SUM(OSRRefH22_2x_0)</f>
        <v>0</v>
      </c>
      <c r="I36" s="1"/>
      <c r="J36" s="5">
        <f t="shared" ref="J36:J43" si="17">IF(H$12=0,0,H36/H$12)</f>
        <v>0</v>
      </c>
      <c r="K36" s="1"/>
      <c r="L36" s="1">
        <f t="shared" ref="L36:L43" si="18">+D36-H36</f>
        <v>63.55</v>
      </c>
      <c r="M36" s="1"/>
      <c r="N36" s="5">
        <f t="shared" ref="N36:N43" si="19">IF(H36=0,0,L36/H36)</f>
        <v>0</v>
      </c>
      <c r="O36" s="12"/>
      <c r="P36" s="1">
        <f>SUM(OSRRefP22_2x_0)</f>
        <v>63.55</v>
      </c>
      <c r="Q36" s="1"/>
      <c r="R36" s="5">
        <f t="shared" ref="R36:R43" si="20">IF(P$12=0,0,P36/P$12)</f>
        <v>0</v>
      </c>
      <c r="S36" s="1"/>
      <c r="T36" s="1">
        <f>SUM(OSRRefT22_2x_0)</f>
        <v>3780.74</v>
      </c>
      <c r="U36" s="1"/>
      <c r="V36" s="5">
        <f t="shared" ref="V36:V43" si="21">IF(T$12=0,0,T36/T$12)</f>
        <v>0</v>
      </c>
      <c r="W36" s="1"/>
      <c r="X36" s="1">
        <f t="shared" ref="X36:X43" si="22">+P36-T36</f>
        <v>-3717.1899999999996</v>
      </c>
      <c r="Y36" s="1"/>
      <c r="Z36" s="5">
        <f t="shared" ref="Z36:Z43" si="23">IF(T36=0,0,X36/T36)</f>
        <v>-0.98319112131487485</v>
      </c>
    </row>
    <row r="37" spans="1:26" s="23" customFormat="1" hidden="1" outlineLevel="2" x14ac:dyDescent="0.25">
      <c r="A37" s="27"/>
      <c r="B37" s="10" t="str">
        <f>CONCATENATE("          ", "6362", " - ", "ADVERTISING EXPENSE")</f>
        <v xml:space="preserve">          6362 - ADVERTISING EXPENSE</v>
      </c>
      <c r="C37" s="10"/>
      <c r="D37" s="6">
        <v>63.55</v>
      </c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63.55</v>
      </c>
      <c r="M37" s="2"/>
      <c r="N37" s="7">
        <f t="shared" si="19"/>
        <v>0</v>
      </c>
      <c r="O37" s="10"/>
      <c r="P37" s="6">
        <v>63.55</v>
      </c>
      <c r="Q37" s="2"/>
      <c r="R37" s="7">
        <f t="shared" si="20"/>
        <v>0</v>
      </c>
      <c r="S37" s="2"/>
      <c r="T37" s="6">
        <v>3780.74</v>
      </c>
      <c r="U37" s="2"/>
      <c r="V37" s="7">
        <f t="shared" si="21"/>
        <v>0</v>
      </c>
      <c r="W37" s="2"/>
      <c r="X37" s="6">
        <f t="shared" si="22"/>
        <v>-3717.1899999999996</v>
      </c>
      <c r="Y37" s="2"/>
      <c r="Z37" s="7">
        <f t="shared" si="23"/>
        <v>-0.98319112131487485</v>
      </c>
    </row>
    <row r="38" spans="1:26" s="26" customFormat="1" outlineLevel="1" collapsed="1" x14ac:dyDescent="0.25">
      <c r="A38" s="25"/>
      <c r="B38" s="12" t="str">
        <f>CONCATENATE("     ","Bank/card Fees                                    ")</f>
        <v xml:space="preserve">     Bank/card Fees                                    </v>
      </c>
      <c r="C38" s="12"/>
      <c r="D38" s="1">
        <f>SUM(OSRRefD22_3x_0)</f>
        <v>492.91</v>
      </c>
      <c r="E38" s="1"/>
      <c r="F38" s="5">
        <f t="shared" si="16"/>
        <v>0</v>
      </c>
      <c r="G38" s="1"/>
      <c r="H38" s="1">
        <f>SUM(OSRRefH22_3x_0)</f>
        <v>5</v>
      </c>
      <c r="I38" s="1"/>
      <c r="J38" s="5">
        <f t="shared" si="17"/>
        <v>0</v>
      </c>
      <c r="K38" s="1"/>
      <c r="L38" s="1">
        <f t="shared" si="18"/>
        <v>487.91</v>
      </c>
      <c r="M38" s="1"/>
      <c r="N38" s="5">
        <f t="shared" si="19"/>
        <v>97.582000000000008</v>
      </c>
      <c r="O38" s="12"/>
      <c r="P38" s="1">
        <f>SUM(OSRRefP22_3x_0)</f>
        <v>4373.3100000000004</v>
      </c>
      <c r="Q38" s="1"/>
      <c r="R38" s="5">
        <f t="shared" si="20"/>
        <v>0</v>
      </c>
      <c r="S38" s="1"/>
      <c r="T38" s="1">
        <f>SUM(OSRRefT22_3x_0)</f>
        <v>5</v>
      </c>
      <c r="U38" s="1"/>
      <c r="V38" s="5">
        <f t="shared" si="21"/>
        <v>0</v>
      </c>
      <c r="W38" s="1"/>
      <c r="X38" s="1">
        <f t="shared" si="22"/>
        <v>4368.3100000000004</v>
      </c>
      <c r="Y38" s="1"/>
      <c r="Z38" s="5">
        <f t="shared" si="23"/>
        <v>873.66200000000003</v>
      </c>
    </row>
    <row r="39" spans="1:26" s="23" customFormat="1" hidden="1" outlineLevel="2" x14ac:dyDescent="0.25">
      <c r="A39" s="27"/>
      <c r="B39" s="10" t="str">
        <f>CONCATENATE("          ", "6381", " - ", "BANK/CREDIT CARD FEES")</f>
        <v xml:space="preserve">          6381 - BANK/CREDIT CARD FEES</v>
      </c>
      <c r="C39" s="10"/>
      <c r="D39" s="6">
        <v>492.91</v>
      </c>
      <c r="E39" s="2"/>
      <c r="F39" s="7">
        <f t="shared" si="16"/>
        <v>0</v>
      </c>
      <c r="G39" s="2"/>
      <c r="H39" s="6">
        <v>5</v>
      </c>
      <c r="I39" s="2"/>
      <c r="J39" s="7">
        <f t="shared" si="17"/>
        <v>0</v>
      </c>
      <c r="K39" s="2"/>
      <c r="L39" s="6">
        <f t="shared" si="18"/>
        <v>487.91</v>
      </c>
      <c r="M39" s="2"/>
      <c r="N39" s="7">
        <f t="shared" si="19"/>
        <v>97.582000000000008</v>
      </c>
      <c r="O39" s="10"/>
      <c r="P39" s="6">
        <v>4373.3100000000004</v>
      </c>
      <c r="Q39" s="2"/>
      <c r="R39" s="7">
        <f t="shared" si="20"/>
        <v>0</v>
      </c>
      <c r="S39" s="2"/>
      <c r="T39" s="6">
        <v>5</v>
      </c>
      <c r="U39" s="2"/>
      <c r="V39" s="7">
        <f t="shared" si="21"/>
        <v>0</v>
      </c>
      <c r="W39" s="2"/>
      <c r="X39" s="6">
        <f t="shared" si="22"/>
        <v>4368.3100000000004</v>
      </c>
      <c r="Y39" s="2"/>
      <c r="Z39" s="7">
        <f t="shared" si="23"/>
        <v>873.66200000000003</v>
      </c>
    </row>
    <row r="40" spans="1:26" s="26" customFormat="1" outlineLevel="1" collapsed="1" x14ac:dyDescent="0.25">
      <c r="A40" s="25"/>
      <c r="B40" s="12" t="str">
        <f>CONCATENATE("     ","Depreciation                                      ")</f>
        <v xml:space="preserve">     Depreciation                                      </v>
      </c>
      <c r="C40" s="12"/>
      <c r="D40" s="1">
        <f>SUM(OSRRefD22_4x_0)</f>
        <v>6779.8600000000006</v>
      </c>
      <c r="E40" s="1"/>
      <c r="F40" s="5">
        <f t="shared" si="16"/>
        <v>0</v>
      </c>
      <c r="G40" s="1"/>
      <c r="H40" s="1">
        <f>SUM(OSRRefH22_4x_0)</f>
        <v>7612.7800000000007</v>
      </c>
      <c r="I40" s="1"/>
      <c r="J40" s="5">
        <f t="shared" si="17"/>
        <v>0</v>
      </c>
      <c r="K40" s="1"/>
      <c r="L40" s="1">
        <f t="shared" si="18"/>
        <v>-832.92000000000007</v>
      </c>
      <c r="M40" s="1"/>
      <c r="N40" s="5">
        <f t="shared" si="19"/>
        <v>-0.10941075402152696</v>
      </c>
      <c r="O40" s="12"/>
      <c r="P40" s="1">
        <f>SUM(OSRRefP22_4x_0)</f>
        <v>68582.790000000008</v>
      </c>
      <c r="Q40" s="1"/>
      <c r="R40" s="5">
        <f t="shared" si="20"/>
        <v>0</v>
      </c>
      <c r="S40" s="1"/>
      <c r="T40" s="1">
        <f>SUM(OSRRefT22_4x_0)</f>
        <v>71197.719999999987</v>
      </c>
      <c r="U40" s="1"/>
      <c r="V40" s="5">
        <f t="shared" si="21"/>
        <v>0</v>
      </c>
      <c r="W40" s="1"/>
      <c r="X40" s="1">
        <f t="shared" si="22"/>
        <v>-2614.9299999999785</v>
      </c>
      <c r="Y40" s="1"/>
      <c r="Z40" s="5">
        <f t="shared" si="23"/>
        <v>-3.6727721056235778E-2</v>
      </c>
    </row>
    <row r="41" spans="1:26" s="23" customFormat="1" hidden="1" outlineLevel="2" x14ac:dyDescent="0.25">
      <c r="A41" s="27"/>
      <c r="B41" s="10" t="str">
        <f>CONCATENATE("          ", "6321", " - ", "BUILDING DEPRECIATION")</f>
        <v xml:space="preserve">          6321 - BUILDING DEPRECIATION</v>
      </c>
      <c r="C41" s="10"/>
      <c r="D41" s="6">
        <v>1822.68</v>
      </c>
      <c r="E41" s="2"/>
      <c r="F41" s="7">
        <f t="shared" si="16"/>
        <v>0</v>
      </c>
      <c r="G41" s="2"/>
      <c r="H41" s="6">
        <v>2266.9499999999998</v>
      </c>
      <c r="I41" s="2"/>
      <c r="J41" s="7">
        <f t="shared" si="17"/>
        <v>0</v>
      </c>
      <c r="K41" s="2"/>
      <c r="L41" s="6">
        <f t="shared" si="18"/>
        <v>-444.26999999999975</v>
      </c>
      <c r="M41" s="2"/>
      <c r="N41" s="7">
        <f t="shared" si="19"/>
        <v>-0.19597697346655188</v>
      </c>
      <c r="O41" s="10"/>
      <c r="P41" s="6">
        <v>19010.990000000002</v>
      </c>
      <c r="Q41" s="2"/>
      <c r="R41" s="7">
        <f t="shared" si="20"/>
        <v>0</v>
      </c>
      <c r="S41" s="2"/>
      <c r="T41" s="6">
        <v>22669.5</v>
      </c>
      <c r="U41" s="2"/>
      <c r="V41" s="7">
        <f t="shared" si="21"/>
        <v>0</v>
      </c>
      <c r="W41" s="2"/>
      <c r="X41" s="6">
        <f t="shared" si="22"/>
        <v>-3658.5099999999984</v>
      </c>
      <c r="Y41" s="2"/>
      <c r="Z41" s="7">
        <f t="shared" si="23"/>
        <v>-0.16138467985619437</v>
      </c>
    </row>
    <row r="42" spans="1:26" s="23" customFormat="1" hidden="1" outlineLevel="2" x14ac:dyDescent="0.25">
      <c r="A42" s="27"/>
      <c r="B42" s="10" t="str">
        <f>CONCATENATE("          ", "6322", " - ", "EQUIPMENT DEPRECIATION EXPENSE")</f>
        <v xml:space="preserve">          6322 - EQUIPMENT DEPRECIATION EXPENSE</v>
      </c>
      <c r="C42" s="10"/>
      <c r="D42" s="6">
        <v>4957.18</v>
      </c>
      <c r="E42" s="2"/>
      <c r="F42" s="7">
        <f t="shared" si="16"/>
        <v>0</v>
      </c>
      <c r="G42" s="2"/>
      <c r="H42" s="6">
        <v>4921.6000000000004</v>
      </c>
      <c r="I42" s="2"/>
      <c r="J42" s="7">
        <f t="shared" si="17"/>
        <v>0</v>
      </c>
      <c r="K42" s="2"/>
      <c r="L42" s="6">
        <f t="shared" si="18"/>
        <v>35.579999999999927</v>
      </c>
      <c r="M42" s="2"/>
      <c r="N42" s="7">
        <f t="shared" si="19"/>
        <v>7.2293563068920527E-3</v>
      </c>
      <c r="O42" s="10"/>
      <c r="P42" s="6">
        <v>49571.8</v>
      </c>
      <c r="Q42" s="2"/>
      <c r="R42" s="7">
        <f t="shared" si="20"/>
        <v>0</v>
      </c>
      <c r="S42" s="2"/>
      <c r="T42" s="6">
        <v>44285.74</v>
      </c>
      <c r="U42" s="2"/>
      <c r="V42" s="7">
        <f t="shared" si="21"/>
        <v>0</v>
      </c>
      <c r="W42" s="2"/>
      <c r="X42" s="6">
        <f t="shared" si="22"/>
        <v>5286.0600000000049</v>
      </c>
      <c r="Y42" s="2"/>
      <c r="Z42" s="7">
        <f t="shared" si="23"/>
        <v>0.11936257585398834</v>
      </c>
    </row>
    <row r="43" spans="1:26" s="23" customFormat="1" hidden="1" outlineLevel="2" x14ac:dyDescent="0.25">
      <c r="A43" s="27"/>
      <c r="B43" s="10" t="str">
        <f>CONCATENATE("          ", "6326", " - ", "VEHICLES DEPRECIATION EXPENSE")</f>
        <v xml:space="preserve">          6326 - VEHICLES DEPRECIATION EXPENSE</v>
      </c>
      <c r="C43" s="10"/>
      <c r="D43" s="6"/>
      <c r="E43" s="2"/>
      <c r="F43" s="7">
        <f t="shared" si="16"/>
        <v>0</v>
      </c>
      <c r="G43" s="2"/>
      <c r="H43" s="6">
        <v>424.23</v>
      </c>
      <c r="I43" s="2"/>
      <c r="J43" s="7">
        <f t="shared" si="17"/>
        <v>0</v>
      </c>
      <c r="K43" s="2"/>
      <c r="L43" s="6">
        <f t="shared" si="18"/>
        <v>-424.23</v>
      </c>
      <c r="M43" s="2"/>
      <c r="N43" s="7">
        <f t="shared" si="19"/>
        <v>-1</v>
      </c>
      <c r="O43" s="10"/>
      <c r="P43" s="6"/>
      <c r="Q43" s="2"/>
      <c r="R43" s="7">
        <f t="shared" si="20"/>
        <v>0</v>
      </c>
      <c r="S43" s="2"/>
      <c r="T43" s="6">
        <v>4242.4799999999996</v>
      </c>
      <c r="U43" s="2"/>
      <c r="V43" s="7">
        <f t="shared" si="21"/>
        <v>0</v>
      </c>
      <c r="W43" s="2"/>
      <c r="X43" s="6">
        <f t="shared" si="22"/>
        <v>-4242.4799999999996</v>
      </c>
      <c r="Y43" s="2"/>
      <c r="Z43" s="7">
        <f t="shared" si="23"/>
        <v>-1</v>
      </c>
    </row>
    <row r="44" spans="1:26" s="26" customFormat="1" outlineLevel="1" collapsed="1" x14ac:dyDescent="0.25">
      <c r="A44" s="25"/>
      <c r="B44" s="12" t="str">
        <f>CONCATENATE("     ","Donations                                         ")</f>
        <v xml:space="preserve">     Donations                                         </v>
      </c>
      <c r="C44" s="12"/>
      <c r="D44" s="1">
        <f>SUM(OSRRefD22_5x_0)</f>
        <v>0</v>
      </c>
      <c r="E44" s="1"/>
      <c r="F44" s="5">
        <f t="shared" ref="F44:F62" si="24">IF(D$12=0,0,D44/D$12)</f>
        <v>0</v>
      </c>
      <c r="G44" s="1"/>
      <c r="H44" s="1">
        <f>SUM(OSRRefH22_5x_0)</f>
        <v>0</v>
      </c>
      <c r="I44" s="1"/>
      <c r="J44" s="5">
        <f t="shared" ref="J44:J62" si="25">IF(H$12=0,0,H44/H$12)</f>
        <v>0</v>
      </c>
      <c r="K44" s="1"/>
      <c r="L44" s="1">
        <f t="shared" ref="L44:L62" si="26">+D44-H44</f>
        <v>0</v>
      </c>
      <c r="M44" s="1"/>
      <c r="N44" s="5">
        <f t="shared" ref="N44:N62" si="27">IF(H44=0,0,L44/H44)</f>
        <v>0</v>
      </c>
      <c r="O44" s="12"/>
      <c r="P44" s="1">
        <f>SUM(OSRRefP22_5x_0)</f>
        <v>0</v>
      </c>
      <c r="Q44" s="1"/>
      <c r="R44" s="5">
        <f t="shared" ref="R44:R62" si="28">IF(P$12=0,0,P44/P$12)</f>
        <v>0</v>
      </c>
      <c r="S44" s="1"/>
      <c r="T44" s="1">
        <f>SUM(OSRRefT22_5x_0)</f>
        <v>163.68</v>
      </c>
      <c r="U44" s="1"/>
      <c r="V44" s="5">
        <f t="shared" ref="V44:V62" si="29">IF(T$12=0,0,T44/T$12)</f>
        <v>0</v>
      </c>
      <c r="W44" s="1"/>
      <c r="X44" s="1">
        <f t="shared" ref="X44:X62" si="30">+P44-T44</f>
        <v>-163.68</v>
      </c>
      <c r="Y44" s="1"/>
      <c r="Z44" s="5">
        <f t="shared" ref="Z44:Z62" si="31">IF(T44=0,0,X44/T44)</f>
        <v>-1</v>
      </c>
    </row>
    <row r="45" spans="1:26" s="23" customFormat="1" hidden="1" outlineLevel="2" x14ac:dyDescent="0.25">
      <c r="A45" s="27"/>
      <c r="B45" s="10" t="str">
        <f>CONCATENATE("          ", "6399", " - ", "DONATION-ON CAMPUS")</f>
        <v xml:space="preserve">          6399 - DONATION-ON CAMPUS</v>
      </c>
      <c r="C45" s="10"/>
      <c r="D45" s="6"/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0"/>
      <c r="P45" s="6"/>
      <c r="Q45" s="2"/>
      <c r="R45" s="7">
        <f t="shared" si="28"/>
        <v>0</v>
      </c>
      <c r="S45" s="2"/>
      <c r="T45" s="6">
        <v>163.68</v>
      </c>
      <c r="U45" s="2"/>
      <c r="V45" s="7">
        <f t="shared" si="29"/>
        <v>0</v>
      </c>
      <c r="W45" s="2"/>
      <c r="X45" s="6">
        <f t="shared" si="30"/>
        <v>-163.68</v>
      </c>
      <c r="Y45" s="2"/>
      <c r="Z45" s="7">
        <f t="shared" si="31"/>
        <v>-1</v>
      </c>
    </row>
    <row r="46" spans="1:26" s="26" customFormat="1" outlineLevel="1" collapsed="1" x14ac:dyDescent="0.25">
      <c r="A46" s="25"/>
      <c r="B46" s="12" t="str">
        <f>CONCATENATE("     ","Employees' Appreciation                           ")</f>
        <v xml:space="preserve">     Employees' Appreciation                           </v>
      </c>
      <c r="C46" s="12"/>
      <c r="D46" s="1">
        <f>SUM(OSRRefD22_6x_0)</f>
        <v>0</v>
      </c>
      <c r="E46" s="1"/>
      <c r="F46" s="5">
        <f t="shared" si="24"/>
        <v>0</v>
      </c>
      <c r="G46" s="1"/>
      <c r="H46" s="1">
        <f>SUM(OSRRefH22_6x_0)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2"/>
      <c r="P46" s="1">
        <f>SUM(OSRRefP22_6x_0)</f>
        <v>0</v>
      </c>
      <c r="Q46" s="1"/>
      <c r="R46" s="5">
        <f t="shared" si="28"/>
        <v>0</v>
      </c>
      <c r="S46" s="1"/>
      <c r="T46" s="1">
        <f>SUM(OSRRefT22_6x_0)</f>
        <v>502.38</v>
      </c>
      <c r="U46" s="1"/>
      <c r="V46" s="5">
        <f t="shared" si="29"/>
        <v>0</v>
      </c>
      <c r="W46" s="1"/>
      <c r="X46" s="1">
        <f t="shared" si="30"/>
        <v>-502.38</v>
      </c>
      <c r="Y46" s="1"/>
      <c r="Z46" s="5">
        <f t="shared" si="31"/>
        <v>-1</v>
      </c>
    </row>
    <row r="47" spans="1:26" s="23" customFormat="1" hidden="1" outlineLevel="2" x14ac:dyDescent="0.25">
      <c r="A47" s="27"/>
      <c r="B47" s="10" t="str">
        <f>CONCATENATE("          ", "6277", " - ", "EMPLOYEE APPRECIATION")</f>
        <v xml:space="preserve">          6277 - EMPLOYEE APPRECIATION</v>
      </c>
      <c r="C47" s="10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0"/>
      <c r="P47" s="6"/>
      <c r="Q47" s="2"/>
      <c r="R47" s="7">
        <f t="shared" si="28"/>
        <v>0</v>
      </c>
      <c r="S47" s="2"/>
      <c r="T47" s="6">
        <v>502.38</v>
      </c>
      <c r="U47" s="2"/>
      <c r="V47" s="7">
        <f t="shared" si="29"/>
        <v>0</v>
      </c>
      <c r="W47" s="2"/>
      <c r="X47" s="6">
        <f t="shared" si="30"/>
        <v>-502.38</v>
      </c>
      <c r="Y47" s="2"/>
      <c r="Z47" s="7">
        <f t="shared" si="31"/>
        <v>-1</v>
      </c>
    </row>
    <row r="48" spans="1:26" s="26" customFormat="1" outlineLevel="1" collapsed="1" x14ac:dyDescent="0.25">
      <c r="A48" s="25"/>
      <c r="B48" s="12" t="str">
        <f>CONCATENATE("     ","Equipment Rental                                  ")</f>
        <v xml:space="preserve">     Equipment Rental                                  </v>
      </c>
      <c r="C48" s="12"/>
      <c r="D48" s="1">
        <f>SUM(OSRRefD22_7x_0)</f>
        <v>91.26</v>
      </c>
      <c r="E48" s="1"/>
      <c r="F48" s="5">
        <f t="shared" si="24"/>
        <v>0</v>
      </c>
      <c r="G48" s="1"/>
      <c r="H48" s="1">
        <f>SUM(OSRRefH22_7x_0)</f>
        <v>876.28</v>
      </c>
      <c r="I48" s="1"/>
      <c r="J48" s="5">
        <f t="shared" si="25"/>
        <v>0</v>
      </c>
      <c r="K48" s="1"/>
      <c r="L48" s="1">
        <f t="shared" si="26"/>
        <v>-785.02</v>
      </c>
      <c r="M48" s="1"/>
      <c r="N48" s="5">
        <f t="shared" si="27"/>
        <v>-0.89585520609850733</v>
      </c>
      <c r="O48" s="12"/>
      <c r="P48" s="1">
        <f>SUM(OSRRefP22_7x_0)</f>
        <v>3110.75</v>
      </c>
      <c r="Q48" s="1"/>
      <c r="R48" s="5">
        <f t="shared" si="28"/>
        <v>0</v>
      </c>
      <c r="S48" s="1"/>
      <c r="T48" s="1">
        <f>SUM(OSRRefT22_7x_0)</f>
        <v>10509.4</v>
      </c>
      <c r="U48" s="1"/>
      <c r="V48" s="5">
        <f t="shared" si="29"/>
        <v>0</v>
      </c>
      <c r="W48" s="1"/>
      <c r="X48" s="1">
        <f t="shared" si="30"/>
        <v>-7398.65</v>
      </c>
      <c r="Y48" s="1"/>
      <c r="Z48" s="5">
        <f t="shared" si="31"/>
        <v>-0.70400308295430758</v>
      </c>
    </row>
    <row r="49" spans="1:26" s="23" customFormat="1" hidden="1" outlineLevel="2" x14ac:dyDescent="0.25">
      <c r="A49" s="27"/>
      <c r="B49" s="10" t="str">
        <f>CONCATENATE("          ", "6351", " - ", "EQUIPMENT RENTAL")</f>
        <v xml:space="preserve">          6351 - EQUIPMENT RENTAL</v>
      </c>
      <c r="C49" s="10"/>
      <c r="D49" s="6">
        <v>91.26</v>
      </c>
      <c r="E49" s="2"/>
      <c r="F49" s="7">
        <f t="shared" si="24"/>
        <v>0</v>
      </c>
      <c r="G49" s="2"/>
      <c r="H49" s="6">
        <v>876.28</v>
      </c>
      <c r="I49" s="2"/>
      <c r="J49" s="7">
        <f t="shared" si="25"/>
        <v>0</v>
      </c>
      <c r="K49" s="2"/>
      <c r="L49" s="6">
        <f t="shared" si="26"/>
        <v>-785.02</v>
      </c>
      <c r="M49" s="2"/>
      <c r="N49" s="7">
        <f t="shared" si="27"/>
        <v>-0.89585520609850733</v>
      </c>
      <c r="O49" s="10"/>
      <c r="P49" s="6">
        <v>3110.75</v>
      </c>
      <c r="Q49" s="2"/>
      <c r="R49" s="7">
        <f t="shared" si="28"/>
        <v>0</v>
      </c>
      <c r="S49" s="2"/>
      <c r="T49" s="6">
        <v>10509.4</v>
      </c>
      <c r="U49" s="2"/>
      <c r="V49" s="7">
        <f t="shared" si="29"/>
        <v>0</v>
      </c>
      <c r="W49" s="2"/>
      <c r="X49" s="6">
        <f t="shared" si="30"/>
        <v>-7398.65</v>
      </c>
      <c r="Y49" s="2"/>
      <c r="Z49" s="7">
        <f t="shared" si="31"/>
        <v>-0.70400308295430758</v>
      </c>
    </row>
    <row r="50" spans="1:26" s="26" customFormat="1" outlineLevel="1" collapsed="1" x14ac:dyDescent="0.25">
      <c r="A50" s="25"/>
      <c r="B50" s="12" t="str">
        <f>CONCATENATE("     ","Freight out/Postage                               ")</f>
        <v xml:space="preserve">     Freight out/Postage                               </v>
      </c>
      <c r="C50" s="12"/>
      <c r="D50" s="1">
        <f>SUM(OSRRefD22_8x_0)</f>
        <v>2.96</v>
      </c>
      <c r="E50" s="1"/>
      <c r="F50" s="5">
        <f t="shared" si="24"/>
        <v>0</v>
      </c>
      <c r="G50" s="1"/>
      <c r="H50" s="1">
        <f>SUM(OSRRefH22_8x_0)</f>
        <v>0</v>
      </c>
      <c r="I50" s="1"/>
      <c r="J50" s="5">
        <f t="shared" si="25"/>
        <v>0</v>
      </c>
      <c r="K50" s="1"/>
      <c r="L50" s="1">
        <f t="shared" si="26"/>
        <v>2.96</v>
      </c>
      <c r="M50" s="1"/>
      <c r="N50" s="5">
        <f t="shared" si="27"/>
        <v>0</v>
      </c>
      <c r="O50" s="12"/>
      <c r="P50" s="1">
        <f>SUM(OSRRefP22_8x_0)</f>
        <v>-2.4500000000000002</v>
      </c>
      <c r="Q50" s="1"/>
      <c r="R50" s="5">
        <f t="shared" si="28"/>
        <v>0</v>
      </c>
      <c r="S50" s="1"/>
      <c r="T50" s="1">
        <f>SUM(OSRRefT22_8x_0)</f>
        <v>0</v>
      </c>
      <c r="U50" s="1"/>
      <c r="V50" s="5">
        <f t="shared" si="29"/>
        <v>0</v>
      </c>
      <c r="W50" s="1"/>
      <c r="X50" s="1">
        <f t="shared" si="30"/>
        <v>-2.4500000000000002</v>
      </c>
      <c r="Y50" s="1"/>
      <c r="Z50" s="5">
        <f t="shared" si="31"/>
        <v>0</v>
      </c>
    </row>
    <row r="51" spans="1:26" s="23" customFormat="1" hidden="1" outlineLevel="2" x14ac:dyDescent="0.25">
      <c r="A51" s="27"/>
      <c r="B51" s="10" t="str">
        <f>CONCATENATE("          ", "6307", " - ", "POSTAGE")</f>
        <v xml:space="preserve">          6307 - POSTAGE</v>
      </c>
      <c r="C51" s="10"/>
      <c r="D51" s="6">
        <v>2.96</v>
      </c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2.96</v>
      </c>
      <c r="M51" s="2"/>
      <c r="N51" s="7">
        <f t="shared" si="27"/>
        <v>0</v>
      </c>
      <c r="O51" s="10"/>
      <c r="P51" s="6">
        <v>-2.4500000000000002</v>
      </c>
      <c r="Q51" s="2"/>
      <c r="R51" s="7">
        <f t="shared" si="28"/>
        <v>0</v>
      </c>
      <c r="S51" s="2"/>
      <c r="T51" s="6"/>
      <c r="U51" s="2"/>
      <c r="V51" s="7">
        <f t="shared" si="29"/>
        <v>0</v>
      </c>
      <c r="W51" s="2"/>
      <c r="X51" s="6">
        <f t="shared" si="30"/>
        <v>-2.4500000000000002</v>
      </c>
      <c r="Y51" s="2"/>
      <c r="Z51" s="7">
        <f t="shared" si="31"/>
        <v>0</v>
      </c>
    </row>
    <row r="52" spans="1:26" s="26" customFormat="1" outlineLevel="1" collapsed="1" x14ac:dyDescent="0.25">
      <c r="A52" s="25"/>
      <c r="B52" s="12" t="str">
        <f>CONCATENATE("     ","General                                           ")</f>
        <v xml:space="preserve">     General                                           </v>
      </c>
      <c r="C52" s="12"/>
      <c r="D52" s="1">
        <f>SUM(OSRRefD22_9x_0)</f>
        <v>205</v>
      </c>
      <c r="E52" s="1"/>
      <c r="F52" s="5">
        <f t="shared" si="24"/>
        <v>0</v>
      </c>
      <c r="G52" s="1"/>
      <c r="H52" s="1">
        <f>SUM(OSRRefH22_9x_0)</f>
        <v>205</v>
      </c>
      <c r="I52" s="1"/>
      <c r="J52" s="5">
        <f t="shared" si="25"/>
        <v>0</v>
      </c>
      <c r="K52" s="1"/>
      <c r="L52" s="1">
        <f t="shared" si="26"/>
        <v>0</v>
      </c>
      <c r="M52" s="1"/>
      <c r="N52" s="5">
        <f t="shared" si="27"/>
        <v>0</v>
      </c>
      <c r="O52" s="12"/>
      <c r="P52" s="1">
        <f>SUM(OSRRefP22_9x_0)</f>
        <v>721.41</v>
      </c>
      <c r="Q52" s="1"/>
      <c r="R52" s="5">
        <f t="shared" si="28"/>
        <v>0</v>
      </c>
      <c r="S52" s="1"/>
      <c r="T52" s="1">
        <f>SUM(OSRRefT22_9x_0)</f>
        <v>23322.71</v>
      </c>
      <c r="U52" s="1"/>
      <c r="V52" s="5">
        <f t="shared" si="29"/>
        <v>0</v>
      </c>
      <c r="W52" s="1"/>
      <c r="X52" s="1">
        <f t="shared" si="30"/>
        <v>-22601.3</v>
      </c>
      <c r="Y52" s="1"/>
      <c r="Z52" s="5">
        <f t="shared" si="31"/>
        <v>-0.9690683458311663</v>
      </c>
    </row>
    <row r="53" spans="1:26" s="23" customFormat="1" hidden="1" outlineLevel="2" x14ac:dyDescent="0.25">
      <c r="A53" s="27"/>
      <c r="B53" s="10" t="str">
        <f>CONCATENATE("          ", "6279", " - ", "GENERAL EXPENSE")</f>
        <v xml:space="preserve">          6279 - GENERAL EXPENSE</v>
      </c>
      <c r="C53" s="10"/>
      <c r="D53" s="6">
        <v>205</v>
      </c>
      <c r="E53" s="2"/>
      <c r="F53" s="7">
        <f t="shared" si="24"/>
        <v>0</v>
      </c>
      <c r="G53" s="2"/>
      <c r="H53" s="6">
        <v>205</v>
      </c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0"/>
      <c r="P53" s="6">
        <v>721.41</v>
      </c>
      <c r="Q53" s="2"/>
      <c r="R53" s="7">
        <f t="shared" si="28"/>
        <v>0</v>
      </c>
      <c r="S53" s="2"/>
      <c r="T53" s="6">
        <v>23322.71</v>
      </c>
      <c r="U53" s="2"/>
      <c r="V53" s="7">
        <f t="shared" si="29"/>
        <v>0</v>
      </c>
      <c r="W53" s="2"/>
      <c r="X53" s="6">
        <f t="shared" si="30"/>
        <v>-22601.3</v>
      </c>
      <c r="Y53" s="2"/>
      <c r="Z53" s="7">
        <f t="shared" si="31"/>
        <v>-0.9690683458311663</v>
      </c>
    </row>
    <row r="54" spans="1:26" s="26" customFormat="1" outlineLevel="1" collapsed="1" x14ac:dyDescent="0.25">
      <c r="A54" s="25"/>
      <c r="B54" s="12" t="str">
        <f>CONCATENATE("     ","Insurance                                         ")</f>
        <v xml:space="preserve">     Insurance                                         </v>
      </c>
      <c r="C54" s="12"/>
      <c r="D54" s="1">
        <f>SUM(OSRRefD22_10x_0)</f>
        <v>3598.85</v>
      </c>
      <c r="E54" s="1"/>
      <c r="F54" s="5">
        <f t="shared" si="24"/>
        <v>0</v>
      </c>
      <c r="G54" s="1"/>
      <c r="H54" s="1">
        <f>SUM(OSRRefH22_10x_0)</f>
        <v>3598.85</v>
      </c>
      <c r="I54" s="1"/>
      <c r="J54" s="5">
        <f t="shared" si="25"/>
        <v>0</v>
      </c>
      <c r="K54" s="1"/>
      <c r="L54" s="1">
        <f t="shared" si="26"/>
        <v>0</v>
      </c>
      <c r="M54" s="1"/>
      <c r="N54" s="5">
        <f t="shared" si="27"/>
        <v>0</v>
      </c>
      <c r="O54" s="12"/>
      <c r="P54" s="1">
        <f>SUM(OSRRefP22_10x_0)</f>
        <v>42100.5</v>
      </c>
      <c r="Q54" s="1"/>
      <c r="R54" s="5">
        <f t="shared" si="28"/>
        <v>0</v>
      </c>
      <c r="S54" s="1"/>
      <c r="T54" s="1">
        <f>SUM(OSRRefT22_10x_0)</f>
        <v>41749.5</v>
      </c>
      <c r="U54" s="1"/>
      <c r="V54" s="5">
        <f t="shared" si="29"/>
        <v>0</v>
      </c>
      <c r="W54" s="1"/>
      <c r="X54" s="1">
        <f t="shared" si="30"/>
        <v>351</v>
      </c>
      <c r="Y54" s="1"/>
      <c r="Z54" s="5">
        <f t="shared" si="31"/>
        <v>8.4072863148061654E-3</v>
      </c>
    </row>
    <row r="55" spans="1:26" s="23" customFormat="1" hidden="1" outlineLevel="2" x14ac:dyDescent="0.25">
      <c r="A55" s="27"/>
      <c r="B55" s="10" t="str">
        <f>CONCATENATE("          ", "6314", " - ", "LIABILITY INSURANCE")</f>
        <v xml:space="preserve">          6314 - LIABILITY INSURANCE</v>
      </c>
      <c r="C55" s="10"/>
      <c r="D55" s="6">
        <v>3598.85</v>
      </c>
      <c r="E55" s="2"/>
      <c r="F55" s="7">
        <f t="shared" si="24"/>
        <v>0</v>
      </c>
      <c r="G55" s="2"/>
      <c r="H55" s="6">
        <v>3598.85</v>
      </c>
      <c r="I55" s="2"/>
      <c r="J55" s="7">
        <f t="shared" si="25"/>
        <v>0</v>
      </c>
      <c r="K55" s="2"/>
      <c r="L55" s="6">
        <f t="shared" si="26"/>
        <v>0</v>
      </c>
      <c r="M55" s="2"/>
      <c r="N55" s="7">
        <f t="shared" si="27"/>
        <v>0</v>
      </c>
      <c r="O55" s="10"/>
      <c r="P55" s="6">
        <v>42100.5</v>
      </c>
      <c r="Q55" s="2"/>
      <c r="R55" s="7">
        <f t="shared" si="28"/>
        <v>0</v>
      </c>
      <c r="S55" s="2"/>
      <c r="T55" s="6">
        <v>41749.5</v>
      </c>
      <c r="U55" s="2"/>
      <c r="V55" s="7">
        <f t="shared" si="29"/>
        <v>0</v>
      </c>
      <c r="W55" s="2"/>
      <c r="X55" s="6">
        <f t="shared" si="30"/>
        <v>351</v>
      </c>
      <c r="Y55" s="2"/>
      <c r="Z55" s="7">
        <f t="shared" si="31"/>
        <v>8.4072863148061654E-3</v>
      </c>
    </row>
    <row r="56" spans="1:26" s="26" customFormat="1" outlineLevel="1" collapsed="1" x14ac:dyDescent="0.25">
      <c r="A56" s="25"/>
      <c r="B56" s="12" t="str">
        <f>CONCATENATE("     ","Professional Services                             ")</f>
        <v xml:space="preserve">     Professional Services                             </v>
      </c>
      <c r="C56" s="12"/>
      <c r="D56" s="1">
        <f>SUM(OSRRefD22_11x_0)</f>
        <v>0</v>
      </c>
      <c r="E56" s="1"/>
      <c r="F56" s="5">
        <f t="shared" si="24"/>
        <v>0</v>
      </c>
      <c r="G56" s="1"/>
      <c r="H56" s="1">
        <f>SUM(OSRRefH22_11x_0)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2"/>
      <c r="P56" s="1">
        <f>SUM(OSRRefP22_11x_0)</f>
        <v>0</v>
      </c>
      <c r="Q56" s="1"/>
      <c r="R56" s="5">
        <f t="shared" si="28"/>
        <v>0</v>
      </c>
      <c r="S56" s="1"/>
      <c r="T56" s="1">
        <f>SUM(OSRRefT22_11x_0)</f>
        <v>125</v>
      </c>
      <c r="U56" s="1"/>
      <c r="V56" s="5">
        <f t="shared" si="29"/>
        <v>0</v>
      </c>
      <c r="W56" s="1"/>
      <c r="X56" s="1">
        <f t="shared" si="30"/>
        <v>-125</v>
      </c>
      <c r="Y56" s="1"/>
      <c r="Z56" s="5">
        <f t="shared" si="31"/>
        <v>-1</v>
      </c>
    </row>
    <row r="57" spans="1:26" s="23" customFormat="1" hidden="1" outlineLevel="2" x14ac:dyDescent="0.25">
      <c r="A57" s="27"/>
      <c r="B57" s="10" t="str">
        <f>CONCATENATE("          ", "6336", " - ", "PROFESSIONAL SERVICES")</f>
        <v xml:space="preserve">          6336 - PROFESSIONAL SERVICES</v>
      </c>
      <c r="C57" s="10"/>
      <c r="D57" s="6"/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0</v>
      </c>
      <c r="M57" s="2"/>
      <c r="N57" s="7">
        <f t="shared" si="27"/>
        <v>0</v>
      </c>
      <c r="O57" s="10"/>
      <c r="P57" s="6"/>
      <c r="Q57" s="2"/>
      <c r="R57" s="7">
        <f t="shared" si="28"/>
        <v>0</v>
      </c>
      <c r="S57" s="2"/>
      <c r="T57" s="6">
        <v>125</v>
      </c>
      <c r="U57" s="2"/>
      <c r="V57" s="7">
        <f t="shared" si="29"/>
        <v>0</v>
      </c>
      <c r="W57" s="2"/>
      <c r="X57" s="6">
        <f t="shared" si="30"/>
        <v>-125</v>
      </c>
      <c r="Y57" s="2"/>
      <c r="Z57" s="7">
        <f t="shared" si="31"/>
        <v>-1</v>
      </c>
    </row>
    <row r="58" spans="1:26" s="26" customFormat="1" outlineLevel="1" collapsed="1" x14ac:dyDescent="0.25">
      <c r="A58" s="25"/>
      <c r="B58" s="12" t="str">
        <f>CONCATENATE("     ","Repair and Maintenance                            ")</f>
        <v xml:space="preserve">     Repair and Maintenance                            </v>
      </c>
      <c r="C58" s="12"/>
      <c r="D58" s="1">
        <f>SUM(OSRRefD22_12x_0)</f>
        <v>72</v>
      </c>
      <c r="E58" s="1"/>
      <c r="F58" s="5">
        <f t="shared" si="24"/>
        <v>0</v>
      </c>
      <c r="G58" s="1"/>
      <c r="H58" s="1">
        <f>SUM(OSRRefH22_12x_0)</f>
        <v>13144.09</v>
      </c>
      <c r="I58" s="1"/>
      <c r="J58" s="5">
        <f t="shared" si="25"/>
        <v>0</v>
      </c>
      <c r="K58" s="1"/>
      <c r="L58" s="1">
        <f t="shared" si="26"/>
        <v>-13072.09</v>
      </c>
      <c r="M58" s="1"/>
      <c r="N58" s="5">
        <f t="shared" si="27"/>
        <v>-0.99452225296692276</v>
      </c>
      <c r="O58" s="12"/>
      <c r="P58" s="1">
        <f>SUM(OSRRefP22_12x_0)</f>
        <v>8313.84</v>
      </c>
      <c r="Q58" s="1"/>
      <c r="R58" s="5">
        <f t="shared" si="28"/>
        <v>0</v>
      </c>
      <c r="S58" s="1"/>
      <c r="T58" s="1">
        <f>SUM(OSRRefT22_12x_0)</f>
        <v>112927.67999999999</v>
      </c>
      <c r="U58" s="1"/>
      <c r="V58" s="5">
        <f t="shared" si="29"/>
        <v>0</v>
      </c>
      <c r="W58" s="1"/>
      <c r="X58" s="1">
        <f t="shared" si="30"/>
        <v>-104613.84</v>
      </c>
      <c r="Y58" s="1"/>
      <c r="Z58" s="5">
        <f t="shared" si="31"/>
        <v>-0.92637907729973734</v>
      </c>
    </row>
    <row r="59" spans="1:26" s="23" customFormat="1" hidden="1" outlineLevel="2" x14ac:dyDescent="0.25">
      <c r="A59" s="27"/>
      <c r="B59" s="10" t="str">
        <f>CONCATENATE("          ", "6371", " - ", "COMPUTER SOFTWARE MAINTENANCE")</f>
        <v xml:space="preserve">          6371 - COMPUTER SOFTWARE MAINTENANCE</v>
      </c>
      <c r="C59" s="10"/>
      <c r="D59" s="6"/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0"/>
      <c r="P59" s="6">
        <v>702.27</v>
      </c>
      <c r="Q59" s="2"/>
      <c r="R59" s="7">
        <f t="shared" si="28"/>
        <v>0</v>
      </c>
      <c r="S59" s="2"/>
      <c r="T59" s="6"/>
      <c r="U59" s="2"/>
      <c r="V59" s="7">
        <f t="shared" si="29"/>
        <v>0</v>
      </c>
      <c r="W59" s="2"/>
      <c r="X59" s="6">
        <f t="shared" si="30"/>
        <v>702.27</v>
      </c>
      <c r="Y59" s="2"/>
      <c r="Z59" s="7">
        <f t="shared" si="31"/>
        <v>0</v>
      </c>
    </row>
    <row r="60" spans="1:26" s="23" customFormat="1" hidden="1" outlineLevel="2" x14ac:dyDescent="0.25">
      <c r="A60" s="27"/>
      <c r="B60" s="10" t="str">
        <f>CONCATENATE("          ", "6372", " - ", "COMPUTER HARDWARE MAINTENANCE")</f>
        <v xml:space="preserve">          6372 - COMPUTER HARDWARE MAINTENANCE</v>
      </c>
      <c r="C60" s="10"/>
      <c r="D60" s="6"/>
      <c r="E60" s="2"/>
      <c r="F60" s="7">
        <f t="shared" si="24"/>
        <v>0</v>
      </c>
      <c r="G60" s="2"/>
      <c r="H60" s="6">
        <v>8142.88</v>
      </c>
      <c r="I60" s="2"/>
      <c r="J60" s="7">
        <f t="shared" si="25"/>
        <v>0</v>
      </c>
      <c r="K60" s="2"/>
      <c r="L60" s="6">
        <f t="shared" si="26"/>
        <v>-8142.88</v>
      </c>
      <c r="M60" s="2"/>
      <c r="N60" s="7">
        <f t="shared" si="27"/>
        <v>-1</v>
      </c>
      <c r="O60" s="10"/>
      <c r="P60" s="6">
        <v>100</v>
      </c>
      <c r="Q60" s="2"/>
      <c r="R60" s="7">
        <f t="shared" si="28"/>
        <v>0</v>
      </c>
      <c r="S60" s="2"/>
      <c r="T60" s="6">
        <v>8142.88</v>
      </c>
      <c r="U60" s="2"/>
      <c r="V60" s="7">
        <f t="shared" si="29"/>
        <v>0</v>
      </c>
      <c r="W60" s="2"/>
      <c r="X60" s="6">
        <f t="shared" si="30"/>
        <v>-8042.88</v>
      </c>
      <c r="Y60" s="2"/>
      <c r="Z60" s="7">
        <f t="shared" si="31"/>
        <v>-0.98771933271766255</v>
      </c>
    </row>
    <row r="61" spans="1:26" s="23" customFormat="1" hidden="1" outlineLevel="2" x14ac:dyDescent="0.25">
      <c r="A61" s="27"/>
      <c r="B61" s="10" t="str">
        <f>CONCATENATE("          ", "6373", " - ", "MAINTENANCE CONTRACTS")</f>
        <v xml:space="preserve">          6373 - MAINTENANCE CONTRACTS</v>
      </c>
      <c r="C61" s="10"/>
      <c r="D61" s="6"/>
      <c r="E61" s="2"/>
      <c r="F61" s="7">
        <f t="shared" si="24"/>
        <v>0</v>
      </c>
      <c r="G61" s="2"/>
      <c r="H61" s="6">
        <v>5001.21</v>
      </c>
      <c r="I61" s="2"/>
      <c r="J61" s="7">
        <f t="shared" si="25"/>
        <v>0</v>
      </c>
      <c r="K61" s="2"/>
      <c r="L61" s="6">
        <f t="shared" si="26"/>
        <v>-5001.21</v>
      </c>
      <c r="M61" s="2"/>
      <c r="N61" s="7">
        <f t="shared" si="27"/>
        <v>-1</v>
      </c>
      <c r="O61" s="10"/>
      <c r="P61" s="6">
        <v>2215.61</v>
      </c>
      <c r="Q61" s="2"/>
      <c r="R61" s="7">
        <f t="shared" si="28"/>
        <v>0</v>
      </c>
      <c r="S61" s="2"/>
      <c r="T61" s="6">
        <v>58633.919999999998</v>
      </c>
      <c r="U61" s="2"/>
      <c r="V61" s="7">
        <f t="shared" si="29"/>
        <v>0</v>
      </c>
      <c r="W61" s="2"/>
      <c r="X61" s="6">
        <f t="shared" si="30"/>
        <v>-56418.31</v>
      </c>
      <c r="Y61" s="2"/>
      <c r="Z61" s="7">
        <f t="shared" si="31"/>
        <v>-0.96221282834236566</v>
      </c>
    </row>
    <row r="62" spans="1:26" s="23" customFormat="1" hidden="1" outlineLevel="2" x14ac:dyDescent="0.25">
      <c r="A62" s="27"/>
      <c r="B62" s="10" t="str">
        <f>CONCATENATE("          ", "6375", " - ", "OUTSIDE REPAIRS &amp; MAINTENANCE")</f>
        <v xml:space="preserve">          6375 - OUTSIDE REPAIRS &amp; MAINTENANCE</v>
      </c>
      <c r="C62" s="10"/>
      <c r="D62" s="6">
        <v>72</v>
      </c>
      <c r="E62" s="2"/>
      <c r="F62" s="7">
        <f t="shared" si="24"/>
        <v>0</v>
      </c>
      <c r="G62" s="2"/>
      <c r="H62" s="6"/>
      <c r="I62" s="2"/>
      <c r="J62" s="7">
        <f t="shared" si="25"/>
        <v>0</v>
      </c>
      <c r="K62" s="2"/>
      <c r="L62" s="6">
        <f t="shared" si="26"/>
        <v>72</v>
      </c>
      <c r="M62" s="2"/>
      <c r="N62" s="7">
        <f t="shared" si="27"/>
        <v>0</v>
      </c>
      <c r="O62" s="10"/>
      <c r="P62" s="6">
        <v>5295.96</v>
      </c>
      <c r="Q62" s="2"/>
      <c r="R62" s="7">
        <f t="shared" si="28"/>
        <v>0</v>
      </c>
      <c r="S62" s="2"/>
      <c r="T62" s="6">
        <v>46150.879999999997</v>
      </c>
      <c r="U62" s="2"/>
      <c r="V62" s="7">
        <f t="shared" si="29"/>
        <v>0</v>
      </c>
      <c r="W62" s="2"/>
      <c r="X62" s="6">
        <f t="shared" si="30"/>
        <v>-40854.92</v>
      </c>
      <c r="Y62" s="2"/>
      <c r="Z62" s="7">
        <f t="shared" si="31"/>
        <v>-0.88524682519596598</v>
      </c>
    </row>
    <row r="63" spans="1:26" s="26" customFormat="1" outlineLevel="1" collapsed="1" x14ac:dyDescent="0.25">
      <c r="A63" s="25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SUM(OSRRefD22_13x_0)</f>
        <v>4924.1000000000004</v>
      </c>
      <c r="E63" s="1"/>
      <c r="F63" s="5">
        <f t="shared" ref="F63:F68" si="32">IF(D$12=0,0,D63/D$12)</f>
        <v>0</v>
      </c>
      <c r="G63" s="1"/>
      <c r="H63" s="1">
        <f>SUM(OSRRefH22_13x_0)</f>
        <v>4323.0600000000004</v>
      </c>
      <c r="I63" s="1"/>
      <c r="J63" s="5">
        <f t="shared" ref="J63:J68" si="33">IF(H$12=0,0,H63/H$12)</f>
        <v>0</v>
      </c>
      <c r="K63" s="1"/>
      <c r="L63" s="1">
        <f t="shared" ref="L63:L68" si="34">+D63-H63</f>
        <v>601.04</v>
      </c>
      <c r="M63" s="1"/>
      <c r="N63" s="5">
        <f t="shared" ref="N63:N68" si="35">IF(H63=0,0,L63/H63)</f>
        <v>0.13903114923225676</v>
      </c>
      <c r="O63" s="12"/>
      <c r="P63" s="1">
        <f>SUM(OSRRefP22_13x_0)</f>
        <v>27052.18</v>
      </c>
      <c r="Q63" s="1"/>
      <c r="R63" s="5">
        <f t="shared" ref="R63:R68" si="36">IF(P$12=0,0,P63/P$12)</f>
        <v>0</v>
      </c>
      <c r="S63" s="1"/>
      <c r="T63" s="1">
        <f>SUM(OSRRefT22_13x_0)</f>
        <v>135226.26999999999</v>
      </c>
      <c r="U63" s="1"/>
      <c r="V63" s="5">
        <f t="shared" ref="V63:V68" si="37">IF(T$12=0,0,T63/T$12)</f>
        <v>0</v>
      </c>
      <c r="W63" s="1"/>
      <c r="X63" s="1">
        <f t="shared" ref="X63:X68" si="38">+P63-T63</f>
        <v>-108174.09</v>
      </c>
      <c r="Y63" s="1"/>
      <c r="Z63" s="5">
        <f t="shared" ref="Z63:Z68" si="39">IF(T63=0,0,X63/T63)</f>
        <v>-0.79994878214122156</v>
      </c>
    </row>
    <row r="64" spans="1:26" s="23" customFormat="1" hidden="1" outlineLevel="2" x14ac:dyDescent="0.25">
      <c r="A64" s="27"/>
      <c r="B64" s="10" t="str">
        <f>CONCATENATE("          ", "6282", " - ", "JANITORIAL/EXTERMINATOR EXPENS")</f>
        <v xml:space="preserve">          6282 - JANITORIAL/EXTERMINATOR EXPENS</v>
      </c>
      <c r="C64" s="10"/>
      <c r="D64" s="6">
        <v>670.1</v>
      </c>
      <c r="E64" s="2"/>
      <c r="F64" s="7">
        <f t="shared" si="32"/>
        <v>0</v>
      </c>
      <c r="G64" s="2"/>
      <c r="H64" s="6"/>
      <c r="I64" s="2"/>
      <c r="J64" s="7">
        <f t="shared" si="33"/>
        <v>0</v>
      </c>
      <c r="K64" s="2"/>
      <c r="L64" s="6">
        <f t="shared" si="34"/>
        <v>670.1</v>
      </c>
      <c r="M64" s="2"/>
      <c r="N64" s="7">
        <f t="shared" si="35"/>
        <v>0</v>
      </c>
      <c r="O64" s="10"/>
      <c r="P64" s="6">
        <v>5680.18</v>
      </c>
      <c r="Q64" s="2"/>
      <c r="R64" s="7">
        <f t="shared" si="36"/>
        <v>0</v>
      </c>
      <c r="S64" s="2"/>
      <c r="T64" s="6">
        <v>6262.6</v>
      </c>
      <c r="U64" s="2"/>
      <c r="V64" s="7">
        <f t="shared" si="37"/>
        <v>0</v>
      </c>
      <c r="W64" s="2"/>
      <c r="X64" s="6">
        <f t="shared" si="38"/>
        <v>-582.42000000000007</v>
      </c>
      <c r="Y64" s="2"/>
      <c r="Z64" s="7">
        <f t="shared" si="39"/>
        <v>-9.2999712579439855E-2</v>
      </c>
    </row>
    <row r="65" spans="1:26" s="23" customFormat="1" hidden="1" outlineLevel="2" x14ac:dyDescent="0.25">
      <c r="A65" s="27"/>
      <c r="B65" s="10" t="str">
        <f>CONCATENATE("          ", "6283", " - ", "PLANT SERVICE")</f>
        <v xml:space="preserve">          6283 - PLANT SERVICE</v>
      </c>
      <c r="C65" s="10"/>
      <c r="D65" s="6"/>
      <c r="E65" s="2"/>
      <c r="F65" s="7">
        <f t="shared" si="32"/>
        <v>0</v>
      </c>
      <c r="G65" s="2"/>
      <c r="H65" s="6">
        <v>71.06</v>
      </c>
      <c r="I65" s="2"/>
      <c r="J65" s="7">
        <f t="shared" si="33"/>
        <v>0</v>
      </c>
      <c r="K65" s="2"/>
      <c r="L65" s="6">
        <f t="shared" si="34"/>
        <v>-71.06</v>
      </c>
      <c r="M65" s="2"/>
      <c r="N65" s="7">
        <f t="shared" si="35"/>
        <v>-1</v>
      </c>
      <c r="O65" s="10"/>
      <c r="P65" s="6"/>
      <c r="Q65" s="2"/>
      <c r="R65" s="7">
        <f t="shared" si="36"/>
        <v>0</v>
      </c>
      <c r="S65" s="2"/>
      <c r="T65" s="6">
        <v>319.77</v>
      </c>
      <c r="U65" s="2"/>
      <c r="V65" s="7">
        <f t="shared" si="37"/>
        <v>0</v>
      </c>
      <c r="W65" s="2"/>
      <c r="X65" s="6">
        <f t="shared" si="38"/>
        <v>-319.77</v>
      </c>
      <c r="Y65" s="2"/>
      <c r="Z65" s="7">
        <f t="shared" si="39"/>
        <v>-1</v>
      </c>
    </row>
    <row r="66" spans="1:26" s="23" customFormat="1" hidden="1" outlineLevel="2" x14ac:dyDescent="0.25">
      <c r="A66" s="27"/>
      <c r="B66" s="10" t="str">
        <f>CONCATENATE("          ", "6284", " - ", "TRASH REMOVAL EXPENSE")</f>
        <v xml:space="preserve">          6284 - TRASH REMOVAL EXPENSE</v>
      </c>
      <c r="C66" s="10"/>
      <c r="D66" s="6">
        <v>4254</v>
      </c>
      <c r="E66" s="2"/>
      <c r="F66" s="7">
        <f t="shared" si="32"/>
        <v>0</v>
      </c>
      <c r="G66" s="2"/>
      <c r="H66" s="6">
        <v>4252</v>
      </c>
      <c r="I66" s="2"/>
      <c r="J66" s="7">
        <f t="shared" si="33"/>
        <v>0</v>
      </c>
      <c r="K66" s="2"/>
      <c r="L66" s="6">
        <f t="shared" si="34"/>
        <v>2</v>
      </c>
      <c r="M66" s="2"/>
      <c r="N66" s="7">
        <f t="shared" si="35"/>
        <v>4.7036688617121356E-4</v>
      </c>
      <c r="O66" s="10"/>
      <c r="P66" s="6">
        <v>21372</v>
      </c>
      <c r="Q66" s="2"/>
      <c r="R66" s="7">
        <f t="shared" si="36"/>
        <v>0</v>
      </c>
      <c r="S66" s="2"/>
      <c r="T66" s="6">
        <v>34755</v>
      </c>
      <c r="U66" s="2"/>
      <c r="V66" s="7">
        <f t="shared" si="37"/>
        <v>0</v>
      </c>
      <c r="W66" s="2"/>
      <c r="X66" s="6">
        <f t="shared" si="38"/>
        <v>-13383</v>
      </c>
      <c r="Y66" s="2"/>
      <c r="Z66" s="7">
        <f t="shared" si="39"/>
        <v>-0.38506689684937417</v>
      </c>
    </row>
    <row r="67" spans="1:26" s="23" customFormat="1" hidden="1" outlineLevel="2" x14ac:dyDescent="0.25">
      <c r="A67" s="27"/>
      <c r="B67" s="10" t="str">
        <f>CONCATENATE("          ", "6285", " - ", "JANITORIAL SERVICES")</f>
        <v xml:space="preserve">          6285 - JANITORIAL SERVICES</v>
      </c>
      <c r="C67" s="10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0"/>
      <c r="P67" s="6"/>
      <c r="Q67" s="2"/>
      <c r="R67" s="7">
        <f t="shared" si="36"/>
        <v>0</v>
      </c>
      <c r="S67" s="2"/>
      <c r="T67" s="6">
        <v>93144.07</v>
      </c>
      <c r="U67" s="2"/>
      <c r="V67" s="7">
        <f t="shared" si="37"/>
        <v>0</v>
      </c>
      <c r="W67" s="2"/>
      <c r="X67" s="6">
        <f t="shared" si="38"/>
        <v>-93144.07</v>
      </c>
      <c r="Y67" s="2"/>
      <c r="Z67" s="7">
        <f t="shared" si="39"/>
        <v>-1</v>
      </c>
    </row>
    <row r="68" spans="1:26" s="23" customFormat="1" hidden="1" outlineLevel="2" x14ac:dyDescent="0.25">
      <c r="A68" s="27"/>
      <c r="B68" s="10" t="str">
        <f>CONCATENATE("          ", "6286", " - ", "LAUNDRY EXPENSE")</f>
        <v xml:space="preserve">          6286 - LAUNDRY EXPENSE</v>
      </c>
      <c r="C68" s="10"/>
      <c r="D68" s="6"/>
      <c r="E68" s="2"/>
      <c r="F68" s="7">
        <f t="shared" si="32"/>
        <v>0</v>
      </c>
      <c r="G68" s="2"/>
      <c r="H68" s="6"/>
      <c r="I68" s="2"/>
      <c r="J68" s="7">
        <f t="shared" si="33"/>
        <v>0</v>
      </c>
      <c r="K68" s="2"/>
      <c r="L68" s="6">
        <f t="shared" si="34"/>
        <v>0</v>
      </c>
      <c r="M68" s="2"/>
      <c r="N68" s="7">
        <f t="shared" si="35"/>
        <v>0</v>
      </c>
      <c r="O68" s="10"/>
      <c r="P68" s="6"/>
      <c r="Q68" s="2"/>
      <c r="R68" s="7">
        <f t="shared" si="36"/>
        <v>0</v>
      </c>
      <c r="S68" s="2"/>
      <c r="T68" s="6">
        <v>744.83</v>
      </c>
      <c r="U68" s="2"/>
      <c r="V68" s="7">
        <f t="shared" si="37"/>
        <v>0</v>
      </c>
      <c r="W68" s="2"/>
      <c r="X68" s="6">
        <f t="shared" si="38"/>
        <v>-744.83</v>
      </c>
      <c r="Y68" s="2"/>
      <c r="Z68" s="7">
        <f t="shared" si="39"/>
        <v>-1</v>
      </c>
    </row>
    <row r="69" spans="1:26" s="26" customFormat="1" outlineLevel="1" collapsed="1" x14ac:dyDescent="0.25">
      <c r="A69" s="25"/>
      <c r="B69" s="12" t="str">
        <f>CONCATENATE("     ","Subscriptions &amp; Dues                              ")</f>
        <v xml:space="preserve">     Subscriptions &amp; Dues                              </v>
      </c>
      <c r="C69" s="12"/>
      <c r="D69" s="1">
        <f>SUM(OSRRefD22_14x_0)</f>
        <v>0</v>
      </c>
      <c r="E69" s="1"/>
      <c r="F69" s="5">
        <f t="shared" ref="F69:F71" si="40">IF(D$12=0,0,D69/D$12)</f>
        <v>0</v>
      </c>
      <c r="G69" s="1"/>
      <c r="H69" s="1">
        <f>SUM(OSRRefH22_14x_0)</f>
        <v>0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0</v>
      </c>
      <c r="M69" s="1"/>
      <c r="N69" s="5">
        <f t="shared" ref="N69:N71" si="43">IF(H69=0,0,L69/H69)</f>
        <v>0</v>
      </c>
      <c r="O69" s="12"/>
      <c r="P69" s="1">
        <f>SUM(OSRRefP22_14x_0)</f>
        <v>119.07</v>
      </c>
      <c r="Q69" s="1"/>
      <c r="R69" s="5">
        <f t="shared" ref="R69:R71" si="44">IF(P$12=0,0,P69/P$12)</f>
        <v>0</v>
      </c>
      <c r="S69" s="1"/>
      <c r="T69" s="1">
        <f>SUM(OSRRefT22_14x_0)</f>
        <v>795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-675.93000000000006</v>
      </c>
      <c r="Y69" s="1"/>
      <c r="Z69" s="5">
        <f t="shared" ref="Z69:Z71" si="47">IF(T69=0,0,X69/T69)</f>
        <v>-0.85022641509433972</v>
      </c>
    </row>
    <row r="70" spans="1:26" s="23" customFormat="1" hidden="1" outlineLevel="2" x14ac:dyDescent="0.25">
      <c r="A70" s="27"/>
      <c r="B70" s="10" t="str">
        <f>CONCATENATE("          ", "6258", " - ", "MEMBERSHIP DUES")</f>
        <v xml:space="preserve">          6258 - MEMBERSHIP DUES</v>
      </c>
      <c r="C70" s="10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0"/>
      <c r="P70" s="6"/>
      <c r="Q70" s="2"/>
      <c r="R70" s="7">
        <f t="shared" si="44"/>
        <v>0</v>
      </c>
      <c r="S70" s="2"/>
      <c r="T70" s="6">
        <v>795</v>
      </c>
      <c r="U70" s="2"/>
      <c r="V70" s="7">
        <f t="shared" si="45"/>
        <v>0</v>
      </c>
      <c r="W70" s="2"/>
      <c r="X70" s="6">
        <f t="shared" si="46"/>
        <v>-795</v>
      </c>
      <c r="Y70" s="2"/>
      <c r="Z70" s="7">
        <f t="shared" si="47"/>
        <v>-1</v>
      </c>
    </row>
    <row r="71" spans="1:26" s="23" customFormat="1" hidden="1" outlineLevel="2" x14ac:dyDescent="0.25">
      <c r="A71" s="27"/>
      <c r="B71" s="10" t="str">
        <f>CONCATENATE("          ", "6275", " - ", "SUBSCRIPTIONS")</f>
        <v xml:space="preserve">          6275 - SUBSCRIPTIONS</v>
      </c>
      <c r="C71" s="10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0"/>
      <c r="P71" s="6">
        <v>119.07</v>
      </c>
      <c r="Q71" s="2"/>
      <c r="R71" s="7">
        <f t="shared" si="44"/>
        <v>0</v>
      </c>
      <c r="S71" s="2"/>
      <c r="T71" s="6"/>
      <c r="U71" s="2"/>
      <c r="V71" s="7">
        <f t="shared" si="45"/>
        <v>0</v>
      </c>
      <c r="W71" s="2"/>
      <c r="X71" s="6">
        <f t="shared" si="46"/>
        <v>119.07</v>
      </c>
      <c r="Y71" s="2"/>
      <c r="Z71" s="7">
        <f t="shared" si="47"/>
        <v>0</v>
      </c>
    </row>
    <row r="72" spans="1:26" s="26" customFormat="1" outlineLevel="1" collapsed="1" x14ac:dyDescent="0.25">
      <c r="A72" s="25"/>
      <c r="B72" s="12" t="str">
        <f>CONCATENATE("     ","Supplies                                          ")</f>
        <v xml:space="preserve">     Supplies                                          </v>
      </c>
      <c r="C72" s="12"/>
      <c r="D72" s="1">
        <f>SUM(OSRRefD22_15x_0)</f>
        <v>0</v>
      </c>
      <c r="E72" s="1"/>
      <c r="F72" s="5">
        <f t="shared" ref="F72:F81" si="48">IF(D$12=0,0,D72/D$12)</f>
        <v>0</v>
      </c>
      <c r="G72" s="1"/>
      <c r="H72" s="1">
        <f>SUM(OSRRefH22_15x_0)</f>
        <v>916.9</v>
      </c>
      <c r="I72" s="1"/>
      <c r="J72" s="5">
        <f t="shared" ref="J72:J81" si="49">IF(H$12=0,0,H72/H$12)</f>
        <v>0</v>
      </c>
      <c r="K72" s="1"/>
      <c r="L72" s="1">
        <f t="shared" ref="L72:L81" si="50">+D72-H72</f>
        <v>-916.9</v>
      </c>
      <c r="M72" s="1"/>
      <c r="N72" s="5">
        <f t="shared" ref="N72:N81" si="51">IF(H72=0,0,L72/H72)</f>
        <v>-1</v>
      </c>
      <c r="O72" s="12"/>
      <c r="P72" s="1">
        <f>SUM(OSRRefP22_15x_0)</f>
        <v>-29072.880000000001</v>
      </c>
      <c r="Q72" s="1"/>
      <c r="R72" s="5">
        <f t="shared" ref="R72:R81" si="52">IF(P$12=0,0,P72/P$12)</f>
        <v>0</v>
      </c>
      <c r="S72" s="1"/>
      <c r="T72" s="1">
        <f>SUM(OSRRefT22_15x_0)</f>
        <v>66855.179999999993</v>
      </c>
      <c r="U72" s="1"/>
      <c r="V72" s="5">
        <f t="shared" ref="V72:V81" si="53">IF(T$12=0,0,T72/T$12)</f>
        <v>0</v>
      </c>
      <c r="W72" s="1"/>
      <c r="X72" s="1">
        <f t="shared" ref="X72:X81" si="54">+P72-T72</f>
        <v>-95928.06</v>
      </c>
      <c r="Y72" s="1"/>
      <c r="Z72" s="5">
        <f t="shared" ref="Z72:Z81" si="55">IF(T72=0,0,X72/T72)</f>
        <v>-1.4348635363781834</v>
      </c>
    </row>
    <row r="73" spans="1:26" s="23" customFormat="1" hidden="1" outlineLevel="2" x14ac:dyDescent="0.25">
      <c r="A73" s="27"/>
      <c r="B73" s="10" t="str">
        <f>CONCATENATE("          ", "6234", " - ", "EXPENDABLE SUPPLIES &amp; EQUIPMEN")</f>
        <v xml:space="preserve">          6234 - EXPENDABLE SUPPLIES &amp; EQUIPMEN</v>
      </c>
      <c r="C73" s="10"/>
      <c r="D73" s="6"/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0</v>
      </c>
      <c r="M73" s="2"/>
      <c r="N73" s="7">
        <f t="shared" si="51"/>
        <v>0</v>
      </c>
      <c r="O73" s="10"/>
      <c r="P73" s="6"/>
      <c r="Q73" s="2"/>
      <c r="R73" s="7">
        <f t="shared" si="52"/>
        <v>0</v>
      </c>
      <c r="S73" s="2"/>
      <c r="T73" s="6">
        <v>8480.18</v>
      </c>
      <c r="U73" s="2"/>
      <c r="V73" s="7">
        <f t="shared" si="53"/>
        <v>0</v>
      </c>
      <c r="W73" s="2"/>
      <c r="X73" s="6">
        <f t="shared" si="54"/>
        <v>-8480.18</v>
      </c>
      <c r="Y73" s="2"/>
      <c r="Z73" s="7">
        <f t="shared" si="55"/>
        <v>-1</v>
      </c>
    </row>
    <row r="74" spans="1:26" s="23" customFormat="1" hidden="1" outlineLevel="2" x14ac:dyDescent="0.25">
      <c r="A74" s="27"/>
      <c r="B74" s="10" t="str">
        <f>CONCATENATE("          ", "6235", " - ", "COVID-19 EXPENSES")</f>
        <v xml:space="preserve">          6235 - COVID-19 EXPENSES</v>
      </c>
      <c r="C74" s="10"/>
      <c r="D74" s="6"/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0"/>
      <c r="P74" s="6">
        <v>127.89</v>
      </c>
      <c r="Q74" s="2"/>
      <c r="R74" s="7">
        <f t="shared" si="52"/>
        <v>0</v>
      </c>
      <c r="S74" s="2"/>
      <c r="T74" s="6"/>
      <c r="U74" s="2"/>
      <c r="V74" s="7">
        <f t="shared" si="53"/>
        <v>0</v>
      </c>
      <c r="W74" s="2"/>
      <c r="X74" s="6">
        <f t="shared" si="54"/>
        <v>127.89</v>
      </c>
      <c r="Y74" s="2"/>
      <c r="Z74" s="7">
        <f t="shared" si="55"/>
        <v>0</v>
      </c>
    </row>
    <row r="75" spans="1:26" s="23" customFormat="1" hidden="1" outlineLevel="2" x14ac:dyDescent="0.25">
      <c r="A75" s="27"/>
      <c r="B75" s="10" t="str">
        <f>CONCATENATE("          ", "6237", " - ", "JANITORIAL SUPPLIES")</f>
        <v xml:space="preserve">          6237 - JANITORIAL SUPPLIES</v>
      </c>
      <c r="C75" s="10"/>
      <c r="D75" s="6"/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0</v>
      </c>
      <c r="M75" s="2"/>
      <c r="N75" s="7">
        <f t="shared" si="51"/>
        <v>0</v>
      </c>
      <c r="O75" s="10"/>
      <c r="P75" s="6"/>
      <c r="Q75" s="2"/>
      <c r="R75" s="7">
        <f t="shared" si="52"/>
        <v>0</v>
      </c>
      <c r="S75" s="2"/>
      <c r="T75" s="6">
        <v>35461.51</v>
      </c>
      <c r="U75" s="2"/>
      <c r="V75" s="7">
        <f t="shared" si="53"/>
        <v>0</v>
      </c>
      <c r="W75" s="2"/>
      <c r="X75" s="6">
        <f t="shared" si="54"/>
        <v>-35461.51</v>
      </c>
      <c r="Y75" s="2"/>
      <c r="Z75" s="7">
        <f t="shared" si="55"/>
        <v>-1</v>
      </c>
    </row>
    <row r="76" spans="1:26" s="23" customFormat="1" hidden="1" outlineLevel="2" x14ac:dyDescent="0.25">
      <c r="A76" s="27"/>
      <c r="B76" s="10" t="str">
        <f>CONCATENATE("          ", "6239", " - ", "KITCHEN SUPPLIES")</f>
        <v xml:space="preserve">          6239 - KITCHEN SUPPLIES</v>
      </c>
      <c r="C76" s="10"/>
      <c r="D76" s="6"/>
      <c r="E76" s="2"/>
      <c r="F76" s="7">
        <f t="shared" si="48"/>
        <v>0</v>
      </c>
      <c r="G76" s="2"/>
      <c r="H76" s="6"/>
      <c r="I76" s="2"/>
      <c r="J76" s="7">
        <f t="shared" si="49"/>
        <v>0</v>
      </c>
      <c r="K76" s="2"/>
      <c r="L76" s="6">
        <f t="shared" si="50"/>
        <v>0</v>
      </c>
      <c r="M76" s="2"/>
      <c r="N76" s="7">
        <f t="shared" si="51"/>
        <v>0</v>
      </c>
      <c r="O76" s="10"/>
      <c r="P76" s="6"/>
      <c r="Q76" s="2"/>
      <c r="R76" s="7">
        <f t="shared" si="52"/>
        <v>0</v>
      </c>
      <c r="S76" s="2"/>
      <c r="T76" s="6">
        <v>18397.89</v>
      </c>
      <c r="U76" s="2"/>
      <c r="V76" s="7">
        <f t="shared" si="53"/>
        <v>0</v>
      </c>
      <c r="W76" s="2"/>
      <c r="X76" s="6">
        <f t="shared" si="54"/>
        <v>-18397.89</v>
      </c>
      <c r="Y76" s="2"/>
      <c r="Z76" s="7">
        <f t="shared" si="55"/>
        <v>-1</v>
      </c>
    </row>
    <row r="77" spans="1:26" s="23" customFormat="1" hidden="1" outlineLevel="2" x14ac:dyDescent="0.25">
      <c r="A77" s="27"/>
      <c r="B77" s="10" t="str">
        <f>CONCATENATE("          ", "6241", " - ", "OFFICE EXPENSE")</f>
        <v xml:space="preserve">          6241 - OFFICE EXPENSE</v>
      </c>
      <c r="C77" s="10"/>
      <c r="D77" s="6"/>
      <c r="E77" s="2"/>
      <c r="F77" s="7">
        <f t="shared" si="48"/>
        <v>0</v>
      </c>
      <c r="G77" s="2"/>
      <c r="H77" s="6">
        <v>916.9</v>
      </c>
      <c r="I77" s="2"/>
      <c r="J77" s="7">
        <f t="shared" si="49"/>
        <v>0</v>
      </c>
      <c r="K77" s="2"/>
      <c r="L77" s="6">
        <f t="shared" si="50"/>
        <v>-916.9</v>
      </c>
      <c r="M77" s="2"/>
      <c r="N77" s="7">
        <f t="shared" si="51"/>
        <v>-1</v>
      </c>
      <c r="O77" s="10"/>
      <c r="P77" s="6">
        <v>-29200.77</v>
      </c>
      <c r="Q77" s="2"/>
      <c r="R77" s="7">
        <f t="shared" si="52"/>
        <v>0</v>
      </c>
      <c r="S77" s="2"/>
      <c r="T77" s="6">
        <v>2858.28</v>
      </c>
      <c r="U77" s="2"/>
      <c r="V77" s="7">
        <f t="shared" si="53"/>
        <v>0</v>
      </c>
      <c r="W77" s="2"/>
      <c r="X77" s="6">
        <f t="shared" si="54"/>
        <v>-32059.05</v>
      </c>
      <c r="Y77" s="2"/>
      <c r="Z77" s="7">
        <f t="shared" si="55"/>
        <v>-11.216203451026491</v>
      </c>
    </row>
    <row r="78" spans="1:26" s="23" customFormat="1" hidden="1" outlineLevel="2" x14ac:dyDescent="0.25">
      <c r="A78" s="27"/>
      <c r="B78" s="10" t="str">
        <f>CONCATENATE("          ", "6243", " - ", "PAPER SUPPLIES")</f>
        <v xml:space="preserve">          6243 - PAPER SUPPLIES</v>
      </c>
      <c r="C78" s="10"/>
      <c r="D78" s="6"/>
      <c r="E78" s="2"/>
      <c r="F78" s="7">
        <f t="shared" si="48"/>
        <v>0</v>
      </c>
      <c r="G78" s="2"/>
      <c r="H78" s="6"/>
      <c r="I78" s="2"/>
      <c r="J78" s="7">
        <f t="shared" si="49"/>
        <v>0</v>
      </c>
      <c r="K78" s="2"/>
      <c r="L78" s="6">
        <f t="shared" si="50"/>
        <v>0</v>
      </c>
      <c r="M78" s="2"/>
      <c r="N78" s="7">
        <f t="shared" si="51"/>
        <v>0</v>
      </c>
      <c r="O78" s="10"/>
      <c r="P78" s="6"/>
      <c r="Q78" s="2"/>
      <c r="R78" s="7">
        <f t="shared" si="52"/>
        <v>0</v>
      </c>
      <c r="S78" s="2"/>
      <c r="T78" s="6">
        <v>1027.17</v>
      </c>
      <c r="U78" s="2"/>
      <c r="V78" s="7">
        <f t="shared" si="53"/>
        <v>0</v>
      </c>
      <c r="W78" s="2"/>
      <c r="X78" s="6">
        <f t="shared" si="54"/>
        <v>-1027.17</v>
      </c>
      <c r="Y78" s="2"/>
      <c r="Z78" s="7">
        <f t="shared" si="55"/>
        <v>-1</v>
      </c>
    </row>
    <row r="79" spans="1:26" s="23" customFormat="1" hidden="1" outlineLevel="2" x14ac:dyDescent="0.25">
      <c r="A79" s="27"/>
      <c r="B79" s="10" t="str">
        <f>CONCATENATE("          ", "6245", " - ", "PRINTING")</f>
        <v xml:space="preserve">          6245 - PRINTING</v>
      </c>
      <c r="C79" s="10"/>
      <c r="D79" s="6"/>
      <c r="E79" s="2"/>
      <c r="F79" s="7">
        <f t="shared" si="48"/>
        <v>0</v>
      </c>
      <c r="G79" s="2"/>
      <c r="H79" s="6"/>
      <c r="I79" s="2"/>
      <c r="J79" s="7">
        <f t="shared" si="49"/>
        <v>0</v>
      </c>
      <c r="K79" s="2"/>
      <c r="L79" s="6">
        <f t="shared" si="50"/>
        <v>0</v>
      </c>
      <c r="M79" s="2"/>
      <c r="N79" s="7">
        <f t="shared" si="51"/>
        <v>0</v>
      </c>
      <c r="O79" s="10"/>
      <c r="P79" s="6"/>
      <c r="Q79" s="2"/>
      <c r="R79" s="7">
        <f t="shared" si="52"/>
        <v>0</v>
      </c>
      <c r="S79" s="2"/>
      <c r="T79" s="6">
        <v>15.99</v>
      </c>
      <c r="U79" s="2"/>
      <c r="V79" s="7">
        <f t="shared" si="53"/>
        <v>0</v>
      </c>
      <c r="W79" s="2"/>
      <c r="X79" s="6">
        <f t="shared" si="54"/>
        <v>-15.99</v>
      </c>
      <c r="Y79" s="2"/>
      <c r="Z79" s="7">
        <f t="shared" si="55"/>
        <v>-1</v>
      </c>
    </row>
    <row r="80" spans="1:26" s="23" customFormat="1" hidden="1" outlineLevel="2" x14ac:dyDescent="0.25">
      <c r="A80" s="27"/>
      <c r="B80" s="10" t="str">
        <f>CONCATENATE("          ", "6247", " - ", "STORE SUPPLIES")</f>
        <v xml:space="preserve">          6247 - STORE SUPPLIES</v>
      </c>
      <c r="C80" s="10"/>
      <c r="D80" s="6"/>
      <c r="E80" s="2"/>
      <c r="F80" s="7">
        <f t="shared" si="48"/>
        <v>0</v>
      </c>
      <c r="G80" s="2"/>
      <c r="H80" s="6"/>
      <c r="I80" s="2"/>
      <c r="J80" s="7">
        <f t="shared" si="49"/>
        <v>0</v>
      </c>
      <c r="K80" s="2"/>
      <c r="L80" s="6">
        <f t="shared" si="50"/>
        <v>0</v>
      </c>
      <c r="M80" s="2"/>
      <c r="N80" s="7">
        <f t="shared" si="51"/>
        <v>0</v>
      </c>
      <c r="O80" s="10"/>
      <c r="P80" s="6"/>
      <c r="Q80" s="2"/>
      <c r="R80" s="7">
        <f t="shared" si="52"/>
        <v>0</v>
      </c>
      <c r="S80" s="2"/>
      <c r="T80" s="6">
        <v>123.68</v>
      </c>
      <c r="U80" s="2"/>
      <c r="V80" s="7">
        <f t="shared" si="53"/>
        <v>0</v>
      </c>
      <c r="W80" s="2"/>
      <c r="X80" s="6">
        <f t="shared" si="54"/>
        <v>-123.68</v>
      </c>
      <c r="Y80" s="2"/>
      <c r="Z80" s="7">
        <f t="shared" si="55"/>
        <v>-1</v>
      </c>
    </row>
    <row r="81" spans="1:26" s="23" customFormat="1" hidden="1" outlineLevel="2" x14ac:dyDescent="0.25">
      <c r="A81" s="27"/>
      <c r="B81" s="10" t="str">
        <f>CONCATENATE("          ", "6248", " - ", "UNIFORMS")</f>
        <v xml:space="preserve">          6248 - UNIFORMS</v>
      </c>
      <c r="C81" s="10"/>
      <c r="D81" s="6"/>
      <c r="E81" s="2"/>
      <c r="F81" s="7">
        <f t="shared" si="48"/>
        <v>0</v>
      </c>
      <c r="G81" s="2"/>
      <c r="H81" s="6"/>
      <c r="I81" s="2"/>
      <c r="J81" s="7">
        <f t="shared" si="49"/>
        <v>0</v>
      </c>
      <c r="K81" s="2"/>
      <c r="L81" s="6">
        <f t="shared" si="50"/>
        <v>0</v>
      </c>
      <c r="M81" s="2"/>
      <c r="N81" s="7">
        <f t="shared" si="51"/>
        <v>0</v>
      </c>
      <c r="O81" s="10"/>
      <c r="P81" s="6"/>
      <c r="Q81" s="2"/>
      <c r="R81" s="7">
        <f t="shared" si="52"/>
        <v>0</v>
      </c>
      <c r="S81" s="2"/>
      <c r="T81" s="6">
        <v>490.48</v>
      </c>
      <c r="U81" s="2"/>
      <c r="V81" s="7">
        <f t="shared" si="53"/>
        <v>0</v>
      </c>
      <c r="W81" s="2"/>
      <c r="X81" s="6">
        <f t="shared" si="54"/>
        <v>-490.48</v>
      </c>
      <c r="Y81" s="2"/>
      <c r="Z81" s="7">
        <f t="shared" si="55"/>
        <v>-1</v>
      </c>
    </row>
    <row r="82" spans="1:26" s="26" customFormat="1" outlineLevel="1" collapsed="1" x14ac:dyDescent="0.25">
      <c r="A82" s="25"/>
      <c r="B82" s="12" t="str">
        <f>CONCATENATE("     ","Telephone/Data Lines                              ")</f>
        <v xml:space="preserve">     Telephone/Data Lines                              </v>
      </c>
      <c r="C82" s="12"/>
      <c r="D82" s="1">
        <f>SUM(OSRRefD22_16x_0)</f>
        <v>94.6</v>
      </c>
      <c r="E82" s="1"/>
      <c r="F82" s="5">
        <f t="shared" ref="F82:F89" si="56">IF(D$12=0,0,D82/D$12)</f>
        <v>0</v>
      </c>
      <c r="G82" s="1"/>
      <c r="H82" s="1">
        <f>SUM(OSRRefH22_16x_0)</f>
        <v>489</v>
      </c>
      <c r="I82" s="1"/>
      <c r="J82" s="5">
        <f t="shared" ref="J82:J89" si="57">IF(H$12=0,0,H82/H$12)</f>
        <v>0</v>
      </c>
      <c r="K82" s="1"/>
      <c r="L82" s="1">
        <f t="shared" ref="L82:L89" si="58">+D82-H82</f>
        <v>-394.4</v>
      </c>
      <c r="M82" s="1"/>
      <c r="N82" s="5">
        <f t="shared" ref="N82:N89" si="59">IF(H82=0,0,L82/H82)</f>
        <v>-0.80654396728016353</v>
      </c>
      <c r="O82" s="12"/>
      <c r="P82" s="1">
        <f>SUM(OSRRefP22_16x_0)</f>
        <v>1763.23</v>
      </c>
      <c r="Q82" s="1"/>
      <c r="R82" s="5">
        <f t="shared" ref="R82:R89" si="60">IF(P$12=0,0,P82/P$12)</f>
        <v>0</v>
      </c>
      <c r="S82" s="1"/>
      <c r="T82" s="1">
        <f>SUM(OSRRefT22_16x_0)</f>
        <v>4422.9399999999996</v>
      </c>
      <c r="U82" s="1"/>
      <c r="V82" s="5">
        <f t="shared" ref="V82:V89" si="61">IF(T$12=0,0,T82/T$12)</f>
        <v>0</v>
      </c>
      <c r="W82" s="1"/>
      <c r="X82" s="1">
        <f t="shared" ref="X82:X89" si="62">+P82-T82</f>
        <v>-2659.7099999999996</v>
      </c>
      <c r="Y82" s="1"/>
      <c r="Z82" s="5">
        <f t="shared" ref="Z82:Z89" si="63">IF(T82=0,0,X82/T82)</f>
        <v>-0.60134435466002245</v>
      </c>
    </row>
    <row r="83" spans="1:26" s="23" customFormat="1" hidden="1" outlineLevel="2" x14ac:dyDescent="0.25">
      <c r="A83" s="27"/>
      <c r="B83" s="10" t="str">
        <f>CONCATENATE("          ", "6309", " - ", "TELEPHONE")</f>
        <v xml:space="preserve">          6309 - TELEPHONE</v>
      </c>
      <c r="C83" s="10"/>
      <c r="D83" s="6">
        <v>94.6</v>
      </c>
      <c r="E83" s="2"/>
      <c r="F83" s="7">
        <f t="shared" si="56"/>
        <v>0</v>
      </c>
      <c r="G83" s="2"/>
      <c r="H83" s="6">
        <v>489</v>
      </c>
      <c r="I83" s="2"/>
      <c r="J83" s="7">
        <f t="shared" si="57"/>
        <v>0</v>
      </c>
      <c r="K83" s="2"/>
      <c r="L83" s="6">
        <f t="shared" si="58"/>
        <v>-394.4</v>
      </c>
      <c r="M83" s="2"/>
      <c r="N83" s="7">
        <f t="shared" si="59"/>
        <v>-0.80654396728016353</v>
      </c>
      <c r="O83" s="10"/>
      <c r="P83" s="6">
        <v>1763.23</v>
      </c>
      <c r="Q83" s="2"/>
      <c r="R83" s="7">
        <f t="shared" si="60"/>
        <v>0</v>
      </c>
      <c r="S83" s="2"/>
      <c r="T83" s="6">
        <v>4422.9399999999996</v>
      </c>
      <c r="U83" s="2"/>
      <c r="V83" s="7">
        <f t="shared" si="61"/>
        <v>0</v>
      </c>
      <c r="W83" s="2"/>
      <c r="X83" s="6">
        <f t="shared" si="62"/>
        <v>-2659.7099999999996</v>
      </c>
      <c r="Y83" s="2"/>
      <c r="Z83" s="7">
        <f t="shared" si="63"/>
        <v>-0.60134435466002245</v>
      </c>
    </row>
    <row r="84" spans="1:26" s="26" customFormat="1" outlineLevel="1" collapsed="1" x14ac:dyDescent="0.25">
      <c r="A84" s="25"/>
      <c r="B84" s="12" t="str">
        <f>CONCATENATE("     ","Training                                          ")</f>
        <v xml:space="preserve">     Training                                          </v>
      </c>
      <c r="C84" s="12"/>
      <c r="D84" s="1">
        <f>SUM(OSRRefD22_17x_0)</f>
        <v>0</v>
      </c>
      <c r="E84" s="1"/>
      <c r="F84" s="5">
        <f t="shared" si="56"/>
        <v>0</v>
      </c>
      <c r="G84" s="1"/>
      <c r="H84" s="1">
        <f>SUM(OSRRefH22_17x_0)</f>
        <v>0</v>
      </c>
      <c r="I84" s="1"/>
      <c r="J84" s="5">
        <f t="shared" si="57"/>
        <v>0</v>
      </c>
      <c r="K84" s="1"/>
      <c r="L84" s="1">
        <f t="shared" si="58"/>
        <v>0</v>
      </c>
      <c r="M84" s="1"/>
      <c r="N84" s="5">
        <f t="shared" si="59"/>
        <v>0</v>
      </c>
      <c r="O84" s="12"/>
      <c r="P84" s="1">
        <f>SUM(OSRRefP22_17x_0)</f>
        <v>0</v>
      </c>
      <c r="Q84" s="1"/>
      <c r="R84" s="5">
        <f t="shared" si="60"/>
        <v>0</v>
      </c>
      <c r="S84" s="1"/>
      <c r="T84" s="1">
        <f>SUM(OSRRefT22_17x_0)</f>
        <v>240</v>
      </c>
      <c r="U84" s="1"/>
      <c r="V84" s="5">
        <f t="shared" si="61"/>
        <v>0</v>
      </c>
      <c r="W84" s="1"/>
      <c r="X84" s="1">
        <f t="shared" si="62"/>
        <v>-240</v>
      </c>
      <c r="Y84" s="1"/>
      <c r="Z84" s="5">
        <f t="shared" si="63"/>
        <v>-1</v>
      </c>
    </row>
    <row r="85" spans="1:26" s="23" customFormat="1" hidden="1" outlineLevel="2" x14ac:dyDescent="0.25">
      <c r="A85" s="27"/>
      <c r="B85" s="10" t="str">
        <f>CONCATENATE("          ", "6376", " - ", "TRAINING")</f>
        <v xml:space="preserve">          6376 - TRAINING</v>
      </c>
      <c r="C85" s="10"/>
      <c r="D85" s="6"/>
      <c r="E85" s="2"/>
      <c r="F85" s="7">
        <f t="shared" si="56"/>
        <v>0</v>
      </c>
      <c r="G85" s="2"/>
      <c r="H85" s="6"/>
      <c r="I85" s="2"/>
      <c r="J85" s="7">
        <f t="shared" si="57"/>
        <v>0</v>
      </c>
      <c r="K85" s="2"/>
      <c r="L85" s="6">
        <f t="shared" si="58"/>
        <v>0</v>
      </c>
      <c r="M85" s="2"/>
      <c r="N85" s="7">
        <f t="shared" si="59"/>
        <v>0</v>
      </c>
      <c r="O85" s="10"/>
      <c r="P85" s="6"/>
      <c r="Q85" s="2"/>
      <c r="R85" s="7">
        <f t="shared" si="60"/>
        <v>0</v>
      </c>
      <c r="S85" s="2"/>
      <c r="T85" s="6">
        <v>240</v>
      </c>
      <c r="U85" s="2"/>
      <c r="V85" s="7">
        <f t="shared" si="61"/>
        <v>0</v>
      </c>
      <c r="W85" s="2"/>
      <c r="X85" s="6">
        <f t="shared" si="62"/>
        <v>-240</v>
      </c>
      <c r="Y85" s="2"/>
      <c r="Z85" s="7">
        <f t="shared" si="63"/>
        <v>-1</v>
      </c>
    </row>
    <row r="86" spans="1:26" s="26" customFormat="1" outlineLevel="1" collapsed="1" x14ac:dyDescent="0.25">
      <c r="A86" s="25"/>
      <c r="B86" s="12" t="str">
        <f>CONCATENATE("     ","Travel                                            ")</f>
        <v xml:space="preserve">     Travel                                            </v>
      </c>
      <c r="C86" s="12"/>
      <c r="D86" s="1">
        <f>SUM(OSRRefD22_18x_0)</f>
        <v>0</v>
      </c>
      <c r="E86" s="1"/>
      <c r="F86" s="5">
        <f t="shared" si="56"/>
        <v>0</v>
      </c>
      <c r="G86" s="1"/>
      <c r="H86" s="1">
        <f>SUM(OSRRefH22_18x_0)</f>
        <v>190.35</v>
      </c>
      <c r="I86" s="1"/>
      <c r="J86" s="5">
        <f t="shared" si="57"/>
        <v>0</v>
      </c>
      <c r="K86" s="1"/>
      <c r="L86" s="1">
        <f t="shared" si="58"/>
        <v>-190.35</v>
      </c>
      <c r="M86" s="1"/>
      <c r="N86" s="5">
        <f t="shared" si="59"/>
        <v>-1</v>
      </c>
      <c r="O86" s="12"/>
      <c r="P86" s="1">
        <f>SUM(OSRRefP22_18x_0)</f>
        <v>332.21</v>
      </c>
      <c r="Q86" s="1"/>
      <c r="R86" s="5">
        <f t="shared" si="60"/>
        <v>0</v>
      </c>
      <c r="S86" s="1"/>
      <c r="T86" s="1">
        <f>SUM(OSRRefT22_18x_0)</f>
        <v>2300.86</v>
      </c>
      <c r="U86" s="1"/>
      <c r="V86" s="5">
        <f t="shared" si="61"/>
        <v>0</v>
      </c>
      <c r="W86" s="1"/>
      <c r="X86" s="1">
        <f t="shared" si="62"/>
        <v>-1968.65</v>
      </c>
      <c r="Y86" s="1"/>
      <c r="Z86" s="5">
        <f t="shared" si="63"/>
        <v>-0.85561485705344953</v>
      </c>
    </row>
    <row r="87" spans="1:26" s="23" customFormat="1" hidden="1" outlineLevel="2" x14ac:dyDescent="0.25">
      <c r="A87" s="27"/>
      <c r="B87" s="10" t="str">
        <f>CONCATENATE("          ", "6292", " - ", "TRAVEL/CONFERENCE")</f>
        <v xml:space="preserve">          6292 - TRAVEL/CONFERENCE</v>
      </c>
      <c r="C87" s="10"/>
      <c r="D87" s="6"/>
      <c r="E87" s="2"/>
      <c r="F87" s="7">
        <f t="shared" si="56"/>
        <v>0</v>
      </c>
      <c r="G87" s="2"/>
      <c r="H87" s="6"/>
      <c r="I87" s="2"/>
      <c r="J87" s="7">
        <f t="shared" si="57"/>
        <v>0</v>
      </c>
      <c r="K87" s="2"/>
      <c r="L87" s="6">
        <f t="shared" si="58"/>
        <v>0</v>
      </c>
      <c r="M87" s="2"/>
      <c r="N87" s="7">
        <f t="shared" si="59"/>
        <v>0</v>
      </c>
      <c r="O87" s="10"/>
      <c r="P87" s="6"/>
      <c r="Q87" s="2"/>
      <c r="R87" s="7">
        <f t="shared" si="60"/>
        <v>0</v>
      </c>
      <c r="S87" s="2"/>
      <c r="T87" s="6">
        <v>966.72</v>
      </c>
      <c r="U87" s="2"/>
      <c r="V87" s="7">
        <f t="shared" si="61"/>
        <v>0</v>
      </c>
      <c r="W87" s="2"/>
      <c r="X87" s="6">
        <f t="shared" si="62"/>
        <v>-966.72</v>
      </c>
      <c r="Y87" s="2"/>
      <c r="Z87" s="7">
        <f t="shared" si="63"/>
        <v>-1</v>
      </c>
    </row>
    <row r="88" spans="1:26" s="23" customFormat="1" hidden="1" outlineLevel="2" x14ac:dyDescent="0.25">
      <c r="A88" s="27"/>
      <c r="B88" s="10" t="str">
        <f>CONCATENATE("          ", "6294", " - ", "TRAVEL OPERATIONAL")</f>
        <v xml:space="preserve">          6294 - TRAVEL OPERATIONAL</v>
      </c>
      <c r="C88" s="10"/>
      <c r="D88" s="6"/>
      <c r="E88" s="2"/>
      <c r="F88" s="7">
        <f t="shared" si="56"/>
        <v>0</v>
      </c>
      <c r="G88" s="2"/>
      <c r="H88" s="6"/>
      <c r="I88" s="2"/>
      <c r="J88" s="7">
        <f t="shared" si="57"/>
        <v>0</v>
      </c>
      <c r="K88" s="2"/>
      <c r="L88" s="6">
        <f t="shared" si="58"/>
        <v>0</v>
      </c>
      <c r="M88" s="2"/>
      <c r="N88" s="7">
        <f t="shared" si="59"/>
        <v>0</v>
      </c>
      <c r="O88" s="10"/>
      <c r="P88" s="6"/>
      <c r="Q88" s="2"/>
      <c r="R88" s="7">
        <f t="shared" si="60"/>
        <v>0</v>
      </c>
      <c r="S88" s="2"/>
      <c r="T88" s="6">
        <v>45.49</v>
      </c>
      <c r="U88" s="2"/>
      <c r="V88" s="7">
        <f t="shared" si="61"/>
        <v>0</v>
      </c>
      <c r="W88" s="2"/>
      <c r="X88" s="6">
        <f t="shared" si="62"/>
        <v>-45.49</v>
      </c>
      <c r="Y88" s="2"/>
      <c r="Z88" s="7">
        <f t="shared" si="63"/>
        <v>-1</v>
      </c>
    </row>
    <row r="89" spans="1:26" s="23" customFormat="1" hidden="1" outlineLevel="2" x14ac:dyDescent="0.25">
      <c r="A89" s="27"/>
      <c r="B89" s="10" t="str">
        <f>CONCATENATE("          ", "6298", " - ", "VEHICLE MILEAGE")</f>
        <v xml:space="preserve">          6298 - VEHICLE MILEAGE</v>
      </c>
      <c r="C89" s="10"/>
      <c r="D89" s="6"/>
      <c r="E89" s="2"/>
      <c r="F89" s="7">
        <f t="shared" si="56"/>
        <v>0</v>
      </c>
      <c r="G89" s="2"/>
      <c r="H89" s="6">
        <v>190.35</v>
      </c>
      <c r="I89" s="2"/>
      <c r="J89" s="7">
        <f t="shared" si="57"/>
        <v>0</v>
      </c>
      <c r="K89" s="2"/>
      <c r="L89" s="6">
        <f t="shared" si="58"/>
        <v>-190.35</v>
      </c>
      <c r="M89" s="2"/>
      <c r="N89" s="7">
        <f t="shared" si="59"/>
        <v>-1</v>
      </c>
      <c r="O89" s="10"/>
      <c r="P89" s="6">
        <v>332.21</v>
      </c>
      <c r="Q89" s="2"/>
      <c r="R89" s="7">
        <f t="shared" si="60"/>
        <v>0</v>
      </c>
      <c r="S89" s="2"/>
      <c r="T89" s="6">
        <v>1288.6500000000001</v>
      </c>
      <c r="U89" s="2"/>
      <c r="V89" s="7">
        <f t="shared" si="61"/>
        <v>0</v>
      </c>
      <c r="W89" s="2"/>
      <c r="X89" s="6">
        <f t="shared" si="62"/>
        <v>-956.44</v>
      </c>
      <c r="Y89" s="2"/>
      <c r="Z89" s="7">
        <f t="shared" si="63"/>
        <v>-0.74220308074341368</v>
      </c>
    </row>
    <row r="90" spans="1:26" s="26" customFormat="1" outlineLevel="1" collapsed="1" x14ac:dyDescent="0.25">
      <c r="A90" s="25"/>
      <c r="B90" s="12" t="str">
        <f>CONCATENATE("     ","Utilities                                         ")</f>
        <v xml:space="preserve">     Utilities                                         </v>
      </c>
      <c r="C90" s="12"/>
      <c r="D90" s="1">
        <f>SUM(OSRRefD22_19x_0)</f>
        <v>1000</v>
      </c>
      <c r="E90" s="1"/>
      <c r="F90" s="5">
        <f t="shared" ref="F90:F91" si="64">IF(D$12=0,0,D90/D$12)</f>
        <v>0</v>
      </c>
      <c r="G90" s="1"/>
      <c r="H90" s="1">
        <f>SUM(OSRRefH22_19x_0)</f>
        <v>12923</v>
      </c>
      <c r="I90" s="1"/>
      <c r="J90" s="5">
        <f t="shared" ref="J90:J91" si="65">IF(H$12=0,0,H90/H$12)</f>
        <v>0</v>
      </c>
      <c r="K90" s="1"/>
      <c r="L90" s="1">
        <f t="shared" ref="L90:L91" si="66">+D90-H90</f>
        <v>-11923</v>
      </c>
      <c r="M90" s="1"/>
      <c r="N90" s="5">
        <f t="shared" ref="N90:N91" si="67">IF(H90=0,0,L90/H90)</f>
        <v>-0.92261858701539889</v>
      </c>
      <c r="O90" s="12"/>
      <c r="P90" s="1">
        <f>SUM(OSRRefP22_19x_0)</f>
        <v>-10039</v>
      </c>
      <c r="Q90" s="1"/>
      <c r="R90" s="5">
        <f t="shared" ref="R90:R91" si="68">IF(P$12=0,0,P90/P$12)</f>
        <v>0</v>
      </c>
      <c r="S90" s="1"/>
      <c r="T90" s="1">
        <f>SUM(OSRRefT22_19x_0)</f>
        <v>133283</v>
      </c>
      <c r="U90" s="1"/>
      <c r="V90" s="5">
        <f t="shared" ref="V90:V91" si="69">IF(T$12=0,0,T90/T$12)</f>
        <v>0</v>
      </c>
      <c r="W90" s="1"/>
      <c r="X90" s="1">
        <f t="shared" ref="X90:X91" si="70">+P90-T90</f>
        <v>-143322</v>
      </c>
      <c r="Y90" s="1"/>
      <c r="Z90" s="5">
        <f t="shared" ref="Z90:Z91" si="71">IF(T90=0,0,X90/T90)</f>
        <v>-1.0753209336524538</v>
      </c>
    </row>
    <row r="91" spans="1:26" s="23" customFormat="1" hidden="1" outlineLevel="2" x14ac:dyDescent="0.25">
      <c r="A91" s="27"/>
      <c r="B91" s="10" t="str">
        <f>CONCATENATE("          ", "6274", " - ", "UTILITIES")</f>
        <v xml:space="preserve">          6274 - UTILITIES</v>
      </c>
      <c r="C91" s="10"/>
      <c r="D91" s="6">
        <v>1000</v>
      </c>
      <c r="E91" s="2"/>
      <c r="F91" s="7">
        <f t="shared" si="64"/>
        <v>0</v>
      </c>
      <c r="G91" s="2"/>
      <c r="H91" s="6">
        <v>12923</v>
      </c>
      <c r="I91" s="2"/>
      <c r="J91" s="7">
        <f t="shared" si="65"/>
        <v>0</v>
      </c>
      <c r="K91" s="2"/>
      <c r="L91" s="6">
        <f t="shared" si="66"/>
        <v>-11923</v>
      </c>
      <c r="M91" s="2"/>
      <c r="N91" s="7">
        <f t="shared" si="67"/>
        <v>-0.92261858701539889</v>
      </c>
      <c r="O91" s="10"/>
      <c r="P91" s="6">
        <v>-10039</v>
      </c>
      <c r="Q91" s="2"/>
      <c r="R91" s="7">
        <f t="shared" si="68"/>
        <v>0</v>
      </c>
      <c r="S91" s="2"/>
      <c r="T91" s="6">
        <v>133283</v>
      </c>
      <c r="U91" s="2"/>
      <c r="V91" s="7">
        <f t="shared" si="69"/>
        <v>0</v>
      </c>
      <c r="W91" s="2"/>
      <c r="X91" s="6">
        <f t="shared" si="70"/>
        <v>-143322</v>
      </c>
      <c r="Y91" s="2"/>
      <c r="Z91" s="7">
        <f t="shared" si="71"/>
        <v>-1.0753209336524538</v>
      </c>
    </row>
    <row r="92" spans="1:26" s="62" customFormat="1" x14ac:dyDescent="0.25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4" customFormat="1" collapsed="1" x14ac:dyDescent="0.25">
      <c r="A93" s="11"/>
      <c r="B93" s="28" t="s">
        <v>292</v>
      </c>
      <c r="C93" s="11"/>
      <c r="D93" s="4">
        <f>SUM(OSRRefD25x_0)</f>
        <v>496.99</v>
      </c>
      <c r="E93" s="4"/>
      <c r="F93" s="13">
        <f t="shared" ref="F93:F95" si="72">IF(D$12=0,0,D93/D$12)</f>
        <v>0</v>
      </c>
      <c r="G93" s="4"/>
      <c r="H93" s="4">
        <f>SUM(OSRRefH25x_0)</f>
        <v>7850.87</v>
      </c>
      <c r="I93" s="4"/>
      <c r="J93" s="13">
        <f t="shared" ref="J93:J95" si="73">IF(H$12=0,0,H93/H$12)</f>
        <v>0</v>
      </c>
      <c r="K93" s="4"/>
      <c r="L93" s="4">
        <f t="shared" ref="L93:L95" si="74">+D93-H93</f>
        <v>-7353.88</v>
      </c>
      <c r="M93" s="4"/>
      <c r="N93" s="13">
        <f t="shared" ref="N93:N95" si="75">IF(H93=0,0,L93/H93)</f>
        <v>-0.93669618781103248</v>
      </c>
      <c r="O93" s="11"/>
      <c r="P93" s="4">
        <f>SUM(OSRRefP25x_0)</f>
        <v>6046.4100000000008</v>
      </c>
      <c r="Q93" s="4"/>
      <c r="R93" s="13">
        <f t="shared" ref="R93:R95" si="76">IF(P$12=0,0,P93/P$12)</f>
        <v>0</v>
      </c>
      <c r="S93" s="4"/>
      <c r="T93" s="4">
        <f>SUM(OSRRefT25x_0)</f>
        <v>111740.72</v>
      </c>
      <c r="U93" s="4"/>
      <c r="V93" s="13">
        <f t="shared" ref="V93:V95" si="77">IF(T$12=0,0,T93/T$12)</f>
        <v>0</v>
      </c>
      <c r="W93" s="4"/>
      <c r="X93" s="4">
        <f t="shared" ref="X93:X95" si="78">+P93-T93</f>
        <v>-105694.31</v>
      </c>
      <c r="Y93" s="4"/>
      <c r="Z93" s="13">
        <f t="shared" ref="Z93:Z95" si="79">IF(T93=0,0,X93/T93)</f>
        <v>-0.94588892929990065</v>
      </c>
    </row>
    <row r="94" spans="1:26" s="23" customFormat="1" hidden="1" outlineLevel="1" x14ac:dyDescent="0.25">
      <c r="A94" s="44"/>
      <c r="B94" s="10" t="str">
        <f>CONCATENATE("          ", "9150", " - ", "MISC. INCOME")</f>
        <v xml:space="preserve">          9150 - MISC. INCOME</v>
      </c>
      <c r="C94" s="10"/>
      <c r="D94" s="2">
        <f>--496.99</f>
        <v>496.99</v>
      </c>
      <c r="E94" s="2"/>
      <c r="F94" s="19">
        <f t="shared" si="72"/>
        <v>0</v>
      </c>
      <c r="G94" s="2"/>
      <c r="H94" s="2">
        <f>--7850.87</f>
        <v>7850.87</v>
      </c>
      <c r="I94" s="2"/>
      <c r="J94" s="19">
        <f t="shared" si="73"/>
        <v>0</v>
      </c>
      <c r="K94" s="2"/>
      <c r="L94" s="2">
        <f t="shared" si="74"/>
        <v>-7353.88</v>
      </c>
      <c r="M94" s="2"/>
      <c r="N94" s="19">
        <f t="shared" si="75"/>
        <v>-0.93669618781103248</v>
      </c>
      <c r="O94" s="10"/>
      <c r="P94" s="2">
        <f>--5230.06</f>
        <v>5230.0600000000004</v>
      </c>
      <c r="Q94" s="2"/>
      <c r="R94" s="19">
        <f t="shared" si="76"/>
        <v>0</v>
      </c>
      <c r="S94" s="2"/>
      <c r="T94" s="2">
        <f>--109690.69</f>
        <v>109690.69</v>
      </c>
      <c r="U94" s="2"/>
      <c r="V94" s="19">
        <f t="shared" si="77"/>
        <v>0</v>
      </c>
      <c r="W94" s="2"/>
      <c r="X94" s="2">
        <f t="shared" si="78"/>
        <v>-104460.63</v>
      </c>
      <c r="Y94" s="2"/>
      <c r="Z94" s="19">
        <f t="shared" si="79"/>
        <v>-0.95231992797200926</v>
      </c>
    </row>
    <row r="95" spans="1:26" s="23" customFormat="1" hidden="1" outlineLevel="1" x14ac:dyDescent="0.25">
      <c r="A95" s="44"/>
      <c r="B95" s="10" t="str">
        <f>CONCATENATE("          ", "9160", " - ", "MISC. INCOME")</f>
        <v xml:space="preserve">          9160 - MISC. INCOME</v>
      </c>
      <c r="C95" s="10"/>
      <c r="D95" s="2">
        <f>0</f>
        <v>0</v>
      </c>
      <c r="E95" s="2"/>
      <c r="F95" s="19">
        <f t="shared" si="72"/>
        <v>0</v>
      </c>
      <c r="G95" s="2"/>
      <c r="H95" s="2">
        <f>0</f>
        <v>0</v>
      </c>
      <c r="I95" s="2"/>
      <c r="J95" s="19">
        <f t="shared" si="73"/>
        <v>0</v>
      </c>
      <c r="K95" s="2"/>
      <c r="L95" s="2">
        <f t="shared" si="74"/>
        <v>0</v>
      </c>
      <c r="M95" s="2"/>
      <c r="N95" s="19">
        <f t="shared" si="75"/>
        <v>0</v>
      </c>
      <c r="O95" s="10"/>
      <c r="P95" s="2">
        <f>--816.35</f>
        <v>816.35</v>
      </c>
      <c r="Q95" s="2"/>
      <c r="R95" s="19">
        <f t="shared" si="76"/>
        <v>0</v>
      </c>
      <c r="S95" s="2"/>
      <c r="T95" s="2">
        <f>--2050.03</f>
        <v>2050.0300000000002</v>
      </c>
      <c r="U95" s="2"/>
      <c r="V95" s="19">
        <f t="shared" si="77"/>
        <v>0</v>
      </c>
      <c r="W95" s="2"/>
      <c r="X95" s="2">
        <f t="shared" si="78"/>
        <v>-1233.6800000000003</v>
      </c>
      <c r="Y95" s="2"/>
      <c r="Z95" s="19">
        <f t="shared" si="79"/>
        <v>-0.60178631532221483</v>
      </c>
    </row>
    <row r="96" spans="1:26" x14ac:dyDescent="0.25">
      <c r="A96" s="9"/>
      <c r="B96" s="11"/>
      <c r="C96" s="11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1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4" customFormat="1" x14ac:dyDescent="0.25">
      <c r="A97" s="11"/>
      <c r="B97" s="29" t="s">
        <v>276</v>
      </c>
      <c r="C97" s="29"/>
      <c r="D97" s="20">
        <f>+D16-D18+D93</f>
        <v>-37640.359999999993</v>
      </c>
      <c r="E97" s="14"/>
      <c r="F97" s="22">
        <f>IF(D$12=0,0,D97/D$12)</f>
        <v>0</v>
      </c>
      <c r="G97" s="14"/>
      <c r="H97" s="20">
        <f>+H16-H18+H93</f>
        <v>-40201.359999999993</v>
      </c>
      <c r="I97" s="14"/>
      <c r="J97" s="22">
        <f>IF(H$12=0,0,H97/H$12)</f>
        <v>0</v>
      </c>
      <c r="K97" s="16"/>
      <c r="L97" s="20">
        <f>+D97-H97</f>
        <v>2561</v>
      </c>
      <c r="M97" s="16"/>
      <c r="N97" s="22">
        <f>IF(H97=0,0,L97/H97)</f>
        <v>-6.370431249092072E-2</v>
      </c>
      <c r="O97" s="28"/>
      <c r="P97" s="20">
        <f>+P16-P18+P93</f>
        <v>-285404.31</v>
      </c>
      <c r="Q97" s="14"/>
      <c r="R97" s="22">
        <f>IF(P$12=0,0,P97/P$12)</f>
        <v>0</v>
      </c>
      <c r="S97" s="14"/>
      <c r="T97" s="20">
        <f>+T16-T18+T93</f>
        <v>-818309.63000000012</v>
      </c>
      <c r="U97" s="14"/>
      <c r="V97" s="22">
        <f>IF(T$12=0,0,T97/T$12)</f>
        <v>0</v>
      </c>
      <c r="W97" s="16"/>
      <c r="X97" s="20">
        <f>+P97-T97</f>
        <v>532905.32000000007</v>
      </c>
      <c r="Y97" s="16"/>
      <c r="Z97" s="22">
        <f>IF(T97=0,0,X97/T97)</f>
        <v>-0.65122699338146617</v>
      </c>
    </row>
    <row r="98" spans="1:26" x14ac:dyDescent="0.25">
      <c r="A98" s="9"/>
      <c r="B98" s="11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4" customFormat="1" x14ac:dyDescent="0.25">
      <c r="A99" s="51"/>
      <c r="B99" s="11" t="s">
        <v>127</v>
      </c>
      <c r="C99" s="11"/>
      <c r="D99" s="4"/>
      <c r="E99" s="4"/>
      <c r="F99" s="13">
        <f>IF(D$12=0,0,D99/D$12)</f>
        <v>0</v>
      </c>
      <c r="G99" s="4"/>
      <c r="H99" s="4"/>
      <c r="I99" s="4"/>
      <c r="J99" s="13">
        <f>IF(H$12=0,0,H99/H$12)</f>
        <v>0</v>
      </c>
      <c r="K99" s="4"/>
      <c r="L99" s="4">
        <f>+D99-H99</f>
        <v>0</v>
      </c>
      <c r="M99" s="4"/>
      <c r="N99" s="13">
        <f>IF(H99=0,0,L99/H99)</f>
        <v>0</v>
      </c>
      <c r="O99" s="11"/>
      <c r="P99" s="4"/>
      <c r="Q99" s="4"/>
      <c r="R99" s="13">
        <f>IF(P$12=0,0,P99/P$12)</f>
        <v>0</v>
      </c>
      <c r="S99" s="4"/>
      <c r="T99" s="4"/>
      <c r="U99" s="4"/>
      <c r="V99" s="13">
        <f>IF(T$12=0,0,T99/T$12)</f>
        <v>0</v>
      </c>
      <c r="W99" s="4"/>
      <c r="X99" s="4">
        <f>+P99-T99</f>
        <v>0</v>
      </c>
      <c r="Y99" s="4"/>
      <c r="Z99" s="13">
        <f>IF(T99=0,0,X99/T99)</f>
        <v>0</v>
      </c>
    </row>
    <row r="100" spans="1:26" x14ac:dyDescent="0.25">
      <c r="A100" s="9"/>
      <c r="B100" s="11"/>
      <c r="C100" s="11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1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4" customFormat="1" ht="15.75" thickBot="1" x14ac:dyDescent="0.3">
      <c r="A101" s="11"/>
      <c r="B101" s="29" t="s">
        <v>125</v>
      </c>
      <c r="C101" s="29"/>
      <c r="D101" s="30">
        <f>+D97-D99</f>
        <v>-37640.359999999993</v>
      </c>
      <c r="E101" s="14"/>
      <c r="F101" s="34">
        <f>IF(D$12=0,0,D101/D$12)</f>
        <v>0</v>
      </c>
      <c r="G101" s="14"/>
      <c r="H101" s="30">
        <f>+H97-H99</f>
        <v>-40201.359999999993</v>
      </c>
      <c r="I101" s="14"/>
      <c r="J101" s="34">
        <f>IF(H$12=0,0,H101/H$12)</f>
        <v>0</v>
      </c>
      <c r="K101" s="16"/>
      <c r="L101" s="30">
        <f>D101-H101</f>
        <v>2561</v>
      </c>
      <c r="M101" s="16"/>
      <c r="N101" s="34">
        <f>IF(H101=0,0,L101/H101)</f>
        <v>-6.370431249092072E-2</v>
      </c>
      <c r="O101" s="28"/>
      <c r="P101" s="30">
        <f>+P97-P99</f>
        <v>-285404.31</v>
      </c>
      <c r="Q101" s="14"/>
      <c r="R101" s="34">
        <f>IF(P$12=0,0,P101/P$12)</f>
        <v>0</v>
      </c>
      <c r="S101" s="14"/>
      <c r="T101" s="30">
        <f>+T97-T99</f>
        <v>-818309.63000000012</v>
      </c>
      <c r="U101" s="14"/>
      <c r="V101" s="34">
        <f>IF(T$12=0,0,T101/T$12)</f>
        <v>0</v>
      </c>
      <c r="W101" s="16"/>
      <c r="X101" s="30">
        <f>P101-T101</f>
        <v>532905.32000000007</v>
      </c>
      <c r="Y101" s="16"/>
      <c r="Z101" s="34">
        <f>IF(T101=0,0,X101/T101)</f>
        <v>-0.65122699338146617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4" customFormat="1" ht="15.75" thickBot="1" x14ac:dyDescent="0.3">
      <c r="A104" s="11"/>
      <c r="B104" s="29" t="s">
        <v>293</v>
      </c>
      <c r="C104" s="29"/>
      <c r="D104" s="32">
        <f>SUM(D101:D103)</f>
        <v>-37640.359999999993</v>
      </c>
      <c r="E104" s="14"/>
      <c r="F104" s="35">
        <f>IF(D$12=0,0,D104/D$12)</f>
        <v>0</v>
      </c>
      <c r="G104" s="14"/>
      <c r="H104" s="32">
        <f>SUM(H101:H103)</f>
        <v>-40201.359999999993</v>
      </c>
      <c r="I104" s="14"/>
      <c r="J104" s="35">
        <f>IF(H$12=0,0,H104/H$12)</f>
        <v>0</v>
      </c>
      <c r="K104" s="16"/>
      <c r="L104" s="32">
        <f>+D104-H104</f>
        <v>2561</v>
      </c>
      <c r="M104" s="16"/>
      <c r="N104" s="35">
        <f>IF(H104=0,0,L104/H104)</f>
        <v>-6.370431249092072E-2</v>
      </c>
      <c r="O104" s="28"/>
      <c r="P104" s="32">
        <f>SUM(P101:P103)</f>
        <v>-285404.31</v>
      </c>
      <c r="Q104" s="14"/>
      <c r="R104" s="35">
        <f>IF(P$12=0,0,P104/P$12)</f>
        <v>0</v>
      </c>
      <c r="S104" s="14"/>
      <c r="T104" s="32">
        <f>SUM(T101:T103)</f>
        <v>-818309.63000000012</v>
      </c>
      <c r="U104" s="14"/>
      <c r="V104" s="35">
        <f>IF(T$12=0,0,T104/T$12)</f>
        <v>0</v>
      </c>
      <c r="W104" s="16"/>
      <c r="X104" s="32">
        <f>+P104-T104</f>
        <v>532905.32000000007</v>
      </c>
      <c r="Y104" s="16"/>
      <c r="Z104" s="35">
        <f>IF(T104=0,0,X104/T104)</f>
        <v>-0.65122699338146617</v>
      </c>
    </row>
    <row r="105" spans="1:26" ht="15.75" thickTop="1" x14ac:dyDescent="0.25">
      <c r="A105" s="9"/>
      <c r="C105" s="9"/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A106" s="9"/>
      <c r="B106" s="59">
        <v>44330.00886898148</v>
      </c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A107" s="9"/>
      <c r="B107" s="52" t="s">
        <v>56</v>
      </c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25">
      <c r="A108" s="9"/>
      <c r="B108" s="55"/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138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","412", " - ", "Chartroom")</f>
        <v>Department 412 - Chartroom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379973.86</v>
      </c>
      <c r="U12" s="4"/>
      <c r="V12" s="13"/>
      <c r="W12" s="4"/>
      <c r="X12" s="4">
        <f t="shared" ref="X12:X14" si="2">+P12-T12</f>
        <v>-379973.86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"4052", " - ", "TAXABLE SALES-FOOD")</f>
        <v xml:space="preserve">          4052 -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--329896.47</f>
        <v>329896.46999999997</v>
      </c>
      <c r="U13" s="2"/>
      <c r="V13" s="19"/>
      <c r="W13" s="2"/>
      <c r="X13" s="2">
        <f t="shared" si="2"/>
        <v>-329896.46999999997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"4152", " - ", "NON-TAXABLE SALES-FOOD")</f>
        <v xml:space="preserve">          4152 -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--50077.39</f>
        <v>50077.39</v>
      </c>
      <c r="U14" s="2"/>
      <c r="V14" s="19"/>
      <c r="W14" s="2"/>
      <c r="X14" s="2">
        <f t="shared" si="2"/>
        <v>-50077.39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13090.07</v>
      </c>
      <c r="I16" s="4"/>
      <c r="J16" s="13">
        <f t="shared" ref="J16:J18" si="8">IF(H$12=0,0,H16/H$12)</f>
        <v>0</v>
      </c>
      <c r="K16" s="4"/>
      <c r="L16" s="4">
        <f t="shared" ref="L16:L18" si="9">+D16-H16</f>
        <v>-13090.07</v>
      </c>
      <c r="M16" s="4"/>
      <c r="N16" s="13">
        <f t="shared" ref="N16:N18" si="10">IF(H16=0,0,L16/H16)</f>
        <v>-1</v>
      </c>
      <c r="O16" s="11"/>
      <c r="P16" s="4">
        <f>SUM(OSRRefP16x_0)</f>
        <v>0</v>
      </c>
      <c r="Q16" s="4"/>
      <c r="R16" s="13">
        <f t="shared" ref="R16:R18" si="11">IF(P$12=0,0,P16/P$12)</f>
        <v>0</v>
      </c>
      <c r="S16" s="4"/>
      <c r="T16" s="4">
        <f>SUM(OSRRefT16x_0)</f>
        <v>202331.49</v>
      </c>
      <c r="U16" s="4"/>
      <c r="V16" s="13">
        <f t="shared" ref="V16:V18" si="12">IF(T$12=0,0,T16/T$12)</f>
        <v>0.53248791903737802</v>
      </c>
      <c r="W16" s="4"/>
      <c r="X16" s="4">
        <f t="shared" ref="X16:X18" si="13">+P16-T16</f>
        <v>-202331.49</v>
      </c>
      <c r="Y16" s="4"/>
      <c r="Z16" s="13">
        <f t="shared" ref="Z16:Z18" si="14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>
        <v>13090.07</v>
      </c>
      <c r="I17" s="2"/>
      <c r="J17" s="19">
        <f t="shared" si="8"/>
        <v>0</v>
      </c>
      <c r="K17" s="2"/>
      <c r="L17" s="2">
        <f t="shared" si="9"/>
        <v>-13090.07</v>
      </c>
      <c r="M17" s="2"/>
      <c r="N17" s="19">
        <f t="shared" si="10"/>
        <v>-1</v>
      </c>
      <c r="O17" s="10"/>
      <c r="P17" s="2"/>
      <c r="Q17" s="2"/>
      <c r="R17" s="19">
        <f t="shared" si="11"/>
        <v>0</v>
      </c>
      <c r="S17" s="2"/>
      <c r="T17" s="2">
        <v>216281.49</v>
      </c>
      <c r="U17" s="2"/>
      <c r="V17" s="19">
        <f t="shared" si="12"/>
        <v>0.56920097082467724</v>
      </c>
      <c r="W17" s="2"/>
      <c r="X17" s="2">
        <f t="shared" si="13"/>
        <v>-216281.49</v>
      </c>
      <c r="Y17" s="2"/>
      <c r="Z17" s="19">
        <f t="shared" si="14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0"/>
      <c r="P18" s="2"/>
      <c r="Q18" s="2"/>
      <c r="R18" s="19">
        <f t="shared" si="11"/>
        <v>0</v>
      </c>
      <c r="S18" s="2"/>
      <c r="T18" s="2">
        <v>-13950</v>
      </c>
      <c r="U18" s="2"/>
      <c r="V18" s="19">
        <f t="shared" si="12"/>
        <v>-3.6713051787299264E-2</v>
      </c>
      <c r="W18" s="2"/>
      <c r="X18" s="2">
        <f t="shared" si="13"/>
        <v>13950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-13090.07</v>
      </c>
      <c r="I20" s="14"/>
      <c r="J20" s="22">
        <f>IF(H$12=0,0,H20/H$12)</f>
        <v>0</v>
      </c>
      <c r="K20" s="16"/>
      <c r="L20" s="20">
        <f>+D20-H20</f>
        <v>13090.07</v>
      </c>
      <c r="M20" s="16"/>
      <c r="N20" s="22">
        <f>IF(H20=0,0,L20/H20)</f>
        <v>-1</v>
      </c>
      <c r="O20" s="28"/>
      <c r="P20" s="20">
        <f>P12-P16</f>
        <v>0</v>
      </c>
      <c r="Q20" s="14"/>
      <c r="R20" s="22">
        <f>IF(P$12=0,0,P20/P$12)</f>
        <v>0</v>
      </c>
      <c r="S20" s="14"/>
      <c r="T20" s="20">
        <f>T12-T16</f>
        <v>177642.37</v>
      </c>
      <c r="U20" s="14"/>
      <c r="V20" s="22">
        <f>IF(T$12=0,0,T20/T$12)</f>
        <v>0.46751208096262203</v>
      </c>
      <c r="W20" s="16"/>
      <c r="X20" s="20">
        <f>+P20-T20</f>
        <v>-177642.37</v>
      </c>
      <c r="Y20" s="16"/>
      <c r="Z20" s="22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613.36</v>
      </c>
      <c r="E22" s="21"/>
      <c r="F22" s="31">
        <f t="shared" ref="F22:F31" si="15">IF(D$12=0,0,D22/D$12)</f>
        <v>0</v>
      </c>
      <c r="G22" s="21"/>
      <c r="H22" s="21">
        <f>SUM(OSRRefH22x_0)</f>
        <v>-6172.04</v>
      </c>
      <c r="I22" s="21"/>
      <c r="J22" s="31">
        <f t="shared" ref="J22:J31" si="16">IF(H$12=0,0,H22/H$12)</f>
        <v>0</v>
      </c>
      <c r="K22" s="4"/>
      <c r="L22" s="21">
        <f t="shared" ref="L22:L31" si="17">+D22-H22</f>
        <v>6785.4</v>
      </c>
      <c r="M22" s="4"/>
      <c r="N22" s="31">
        <f t="shared" ref="N22:N31" si="18">IF(H22=0,0,L22/H22)</f>
        <v>-1.0993771913338215</v>
      </c>
      <c r="O22" s="11"/>
      <c r="P22" s="21">
        <f>SUM(OSRRefP22x_0)</f>
        <v>8563.57</v>
      </c>
      <c r="Q22" s="21"/>
      <c r="R22" s="31">
        <f t="shared" ref="R22:R31" si="19">IF(P$12=0,0,P22/P$12)</f>
        <v>0</v>
      </c>
      <c r="S22" s="21"/>
      <c r="T22" s="21">
        <f>SUM(OSRRefT22x_0)</f>
        <v>339821.25999999995</v>
      </c>
      <c r="U22" s="21"/>
      <c r="V22" s="31">
        <f t="shared" ref="V22:V31" si="20">IF(T$12=0,0,T22/T$12)</f>
        <v>0.89432799403622121</v>
      </c>
      <c r="W22" s="4"/>
      <c r="X22" s="21">
        <f t="shared" ref="X22:X31" si="21">+P22-T22</f>
        <v>-331257.68999999994</v>
      </c>
      <c r="Y22" s="4"/>
      <c r="Z22" s="31">
        <f t="shared" ref="Z22:Z31" si="22">IF(T22=0,0,X22/T22)</f>
        <v>-0.9747997815086672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-7497.63</v>
      </c>
      <c r="I23" s="1"/>
      <c r="J23" s="5">
        <f t="shared" si="16"/>
        <v>0</v>
      </c>
      <c r="K23" s="1"/>
      <c r="L23" s="1">
        <f t="shared" si="17"/>
        <v>7497.63</v>
      </c>
      <c r="M23" s="1"/>
      <c r="N23" s="5">
        <f t="shared" si="18"/>
        <v>-1</v>
      </c>
      <c r="O23" s="12"/>
      <c r="P23" s="1">
        <f>SUM(OSRRefP22_0x_0)</f>
        <v>0</v>
      </c>
      <c r="Q23" s="1"/>
      <c r="R23" s="5">
        <f t="shared" si="19"/>
        <v>0</v>
      </c>
      <c r="S23" s="1"/>
      <c r="T23" s="1">
        <f>SUM(OSRRefT22_0x_0)</f>
        <v>77499.010000000009</v>
      </c>
      <c r="U23" s="1"/>
      <c r="V23" s="5">
        <f t="shared" si="20"/>
        <v>0.20395879337594436</v>
      </c>
      <c r="W23" s="1"/>
      <c r="X23" s="1">
        <f t="shared" si="21"/>
        <v>-77499.010000000009</v>
      </c>
      <c r="Y23" s="1"/>
      <c r="Z23" s="5">
        <f t="shared" si="22"/>
        <v>-1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/>
      <c r="I24" s="2"/>
      <c r="J24" s="7">
        <f t="shared" si="16"/>
        <v>0</v>
      </c>
      <c r="K24" s="2"/>
      <c r="L24" s="6">
        <f t="shared" si="17"/>
        <v>0</v>
      </c>
      <c r="M24" s="2"/>
      <c r="N24" s="7">
        <f t="shared" si="18"/>
        <v>0</v>
      </c>
      <c r="O24" s="10"/>
      <c r="P24" s="6"/>
      <c r="Q24" s="2"/>
      <c r="R24" s="7">
        <f t="shared" si="19"/>
        <v>0</v>
      </c>
      <c r="S24" s="2"/>
      <c r="T24" s="6">
        <v>14871.7</v>
      </c>
      <c r="U24" s="2"/>
      <c r="V24" s="7">
        <f t="shared" si="20"/>
        <v>3.9138744965245768E-2</v>
      </c>
      <c r="W24" s="2"/>
      <c r="X24" s="6">
        <f t="shared" si="21"/>
        <v>-14871.7</v>
      </c>
      <c r="Y24" s="2"/>
      <c r="Z24" s="7">
        <f t="shared" si="22"/>
        <v>-1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5449.61</v>
      </c>
      <c r="U25" s="2"/>
      <c r="V25" s="7">
        <f t="shared" si="20"/>
        <v>1.4342065530507809E-2</v>
      </c>
      <c r="W25" s="2"/>
      <c r="X25" s="6">
        <f t="shared" si="21"/>
        <v>-5449.61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>
        <v>0</v>
      </c>
      <c r="I26" s="2"/>
      <c r="J26" s="7">
        <f t="shared" si="16"/>
        <v>0</v>
      </c>
      <c r="K26" s="2"/>
      <c r="L26" s="6">
        <f t="shared" si="17"/>
        <v>0</v>
      </c>
      <c r="M26" s="2"/>
      <c r="N26" s="7">
        <f t="shared" si="18"/>
        <v>0</v>
      </c>
      <c r="O26" s="10"/>
      <c r="P26" s="6"/>
      <c r="Q26" s="2"/>
      <c r="R26" s="7">
        <f t="shared" si="19"/>
        <v>0</v>
      </c>
      <c r="S26" s="2"/>
      <c r="T26" s="6">
        <v>36209.82</v>
      </c>
      <c r="U26" s="2"/>
      <c r="V26" s="7">
        <f t="shared" si="20"/>
        <v>9.5295555331095669E-2</v>
      </c>
      <c r="W26" s="2"/>
      <c r="X26" s="6">
        <f t="shared" si="21"/>
        <v>-36209.82</v>
      </c>
      <c r="Y26" s="2"/>
      <c r="Z26" s="7">
        <f t="shared" si="22"/>
        <v>-1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/>
      <c r="I27" s="2"/>
      <c r="J27" s="7">
        <f t="shared" si="16"/>
        <v>0</v>
      </c>
      <c r="K27" s="2"/>
      <c r="L27" s="6">
        <f t="shared" si="17"/>
        <v>0</v>
      </c>
      <c r="M27" s="2"/>
      <c r="N27" s="7">
        <f t="shared" si="18"/>
        <v>0</v>
      </c>
      <c r="O27" s="10"/>
      <c r="P27" s="6"/>
      <c r="Q27" s="2"/>
      <c r="R27" s="7">
        <f t="shared" si="19"/>
        <v>0</v>
      </c>
      <c r="S27" s="2"/>
      <c r="T27" s="6">
        <v>552.04999999999995</v>
      </c>
      <c r="U27" s="2"/>
      <c r="V27" s="7">
        <f t="shared" si="20"/>
        <v>1.4528630995826923E-3</v>
      </c>
      <c r="W27" s="2"/>
      <c r="X27" s="6">
        <f t="shared" si="21"/>
        <v>-552.04999999999995</v>
      </c>
      <c r="Y27" s="2"/>
      <c r="Z27" s="7">
        <f t="shared" si="22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/>
      <c r="I28" s="2"/>
      <c r="J28" s="7">
        <f t="shared" si="16"/>
        <v>0</v>
      </c>
      <c r="K28" s="2"/>
      <c r="L28" s="6">
        <f t="shared" si="17"/>
        <v>0</v>
      </c>
      <c r="M28" s="2"/>
      <c r="N28" s="7">
        <f t="shared" si="18"/>
        <v>0</v>
      </c>
      <c r="O28" s="10"/>
      <c r="P28" s="6"/>
      <c r="Q28" s="2"/>
      <c r="R28" s="7">
        <f t="shared" si="19"/>
        <v>0</v>
      </c>
      <c r="S28" s="2"/>
      <c r="T28" s="6">
        <v>6215.55</v>
      </c>
      <c r="U28" s="2"/>
      <c r="V28" s="7">
        <f t="shared" si="20"/>
        <v>1.6357835773229242E-2</v>
      </c>
      <c r="W28" s="2"/>
      <c r="X28" s="6">
        <f t="shared" si="21"/>
        <v>-6215.55</v>
      </c>
      <c r="Y28" s="2"/>
      <c r="Z28" s="7">
        <f t="shared" si="22"/>
        <v>-1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0</v>
      </c>
      <c r="M29" s="2"/>
      <c r="N29" s="7">
        <f t="shared" si="18"/>
        <v>0</v>
      </c>
      <c r="O29" s="10"/>
      <c r="P29" s="6"/>
      <c r="Q29" s="2"/>
      <c r="R29" s="7">
        <f t="shared" si="19"/>
        <v>0</v>
      </c>
      <c r="S29" s="2"/>
      <c r="T29" s="6">
        <v>7805.68</v>
      </c>
      <c r="U29" s="2"/>
      <c r="V29" s="7">
        <f t="shared" si="20"/>
        <v>2.0542676277783951E-2</v>
      </c>
      <c r="W29" s="2"/>
      <c r="X29" s="6">
        <f t="shared" si="21"/>
        <v>-7805.68</v>
      </c>
      <c r="Y29" s="2"/>
      <c r="Z29" s="7">
        <f t="shared" si="22"/>
        <v>-1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>
        <v>-7497.63</v>
      </c>
      <c r="I30" s="2"/>
      <c r="J30" s="7">
        <f t="shared" si="16"/>
        <v>0</v>
      </c>
      <c r="K30" s="2"/>
      <c r="L30" s="6">
        <f t="shared" si="17"/>
        <v>7497.63</v>
      </c>
      <c r="M30" s="2"/>
      <c r="N30" s="7">
        <f t="shared" si="18"/>
        <v>-1</v>
      </c>
      <c r="O30" s="10"/>
      <c r="P30" s="6"/>
      <c r="Q30" s="2"/>
      <c r="R30" s="7">
        <f t="shared" si="19"/>
        <v>0</v>
      </c>
      <c r="S30" s="2"/>
      <c r="T30" s="6">
        <v>2660.64</v>
      </c>
      <c r="U30" s="2"/>
      <c r="V30" s="7">
        <f t="shared" si="20"/>
        <v>7.0021658858322516E-3</v>
      </c>
      <c r="W30" s="2"/>
      <c r="X30" s="6">
        <f t="shared" si="21"/>
        <v>-2660.64</v>
      </c>
      <c r="Y30" s="2"/>
      <c r="Z30" s="7">
        <f t="shared" si="22"/>
        <v>-1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0"/>
      <c r="P31" s="6"/>
      <c r="Q31" s="2"/>
      <c r="R31" s="7">
        <f t="shared" si="19"/>
        <v>0</v>
      </c>
      <c r="S31" s="2"/>
      <c r="T31" s="6">
        <v>3733.96</v>
      </c>
      <c r="U31" s="2"/>
      <c r="V31" s="7">
        <f t="shared" si="20"/>
        <v>9.8268865126669505E-3</v>
      </c>
      <c r="W31" s="2"/>
      <c r="X31" s="6">
        <f t="shared" si="21"/>
        <v>-3733.96</v>
      </c>
      <c r="Y31" s="2"/>
      <c r="Z31" s="7">
        <f t="shared" si="22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8" si="23">IF(D$12=0,0,D32/D$12)</f>
        <v>0</v>
      </c>
      <c r="G32" s="1"/>
      <c r="H32" s="1">
        <f>SUM(OSRRefH22_1x_0)</f>
        <v>104.84</v>
      </c>
      <c r="I32" s="1"/>
      <c r="J32" s="5">
        <f t="shared" ref="J32:J38" si="24">IF(H$12=0,0,H32/H$12)</f>
        <v>0</v>
      </c>
      <c r="K32" s="1"/>
      <c r="L32" s="1">
        <f t="shared" ref="L32:L38" si="25">+D32-H32</f>
        <v>-104.84</v>
      </c>
      <c r="M32" s="1"/>
      <c r="N32" s="5">
        <f t="shared" ref="N32:N38" si="26">IF(H32=0,0,L32/H32)</f>
        <v>-1</v>
      </c>
      <c r="O32" s="12"/>
      <c r="P32" s="1">
        <f>SUM(OSRRefP22_1x_0)</f>
        <v>0</v>
      </c>
      <c r="Q32" s="1"/>
      <c r="R32" s="5">
        <f t="shared" ref="R32:R38" si="27">IF(P$12=0,0,P32/P$12)</f>
        <v>0</v>
      </c>
      <c r="S32" s="1"/>
      <c r="T32" s="1">
        <f>SUM(OSRRefT22_1x_0)</f>
        <v>208564.34</v>
      </c>
      <c r="U32" s="1"/>
      <c r="V32" s="5">
        <f t="shared" ref="V32:V38" si="28">IF(T$12=0,0,T32/T$12)</f>
        <v>0.54889128425834344</v>
      </c>
      <c r="W32" s="1"/>
      <c r="X32" s="1">
        <f t="shared" ref="X32:X38" si="29">+P32-T32</f>
        <v>-208564.34</v>
      </c>
      <c r="Y32" s="1"/>
      <c r="Z32" s="5">
        <f t="shared" ref="Z32:Z38" si="30">IF(T32=0,0,X32/T32)</f>
        <v>-1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/>
      <c r="I33" s="2"/>
      <c r="J33" s="7">
        <f t="shared" si="24"/>
        <v>0</v>
      </c>
      <c r="K33" s="2"/>
      <c r="L33" s="6">
        <f t="shared" si="25"/>
        <v>0</v>
      </c>
      <c r="M33" s="2"/>
      <c r="N33" s="7">
        <f t="shared" si="26"/>
        <v>0</v>
      </c>
      <c r="O33" s="10"/>
      <c r="P33" s="6"/>
      <c r="Q33" s="2"/>
      <c r="R33" s="7">
        <f t="shared" si="27"/>
        <v>0</v>
      </c>
      <c r="S33" s="2"/>
      <c r="T33" s="6">
        <v>60376.42</v>
      </c>
      <c r="U33" s="2"/>
      <c r="V33" s="7">
        <f t="shared" si="28"/>
        <v>0.15889624617861872</v>
      </c>
      <c r="W33" s="2"/>
      <c r="X33" s="6">
        <f t="shared" si="29"/>
        <v>-60376.42</v>
      </c>
      <c r="Y33" s="2"/>
      <c r="Z33" s="7">
        <f t="shared" si="30"/>
        <v>-1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0"/>
      <c r="P34" s="6"/>
      <c r="Q34" s="2"/>
      <c r="R34" s="7">
        <f t="shared" si="27"/>
        <v>0</v>
      </c>
      <c r="S34" s="2"/>
      <c r="T34" s="6">
        <v>54540.13</v>
      </c>
      <c r="U34" s="2"/>
      <c r="V34" s="7">
        <f t="shared" si="28"/>
        <v>0.14353653169720676</v>
      </c>
      <c r="W34" s="2"/>
      <c r="X34" s="6">
        <f t="shared" si="29"/>
        <v>-54540.13</v>
      </c>
      <c r="Y34" s="2"/>
      <c r="Z34" s="7">
        <f t="shared" si="30"/>
        <v>-1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3"/>
        <v>0</v>
      </c>
      <c r="G35" s="2"/>
      <c r="H35" s="6">
        <v>104.84</v>
      </c>
      <c r="I35" s="2"/>
      <c r="J35" s="7">
        <f t="shared" si="24"/>
        <v>0</v>
      </c>
      <c r="K35" s="2"/>
      <c r="L35" s="6">
        <f t="shared" si="25"/>
        <v>-104.84</v>
      </c>
      <c r="M35" s="2"/>
      <c r="N35" s="7">
        <f t="shared" si="26"/>
        <v>-1</v>
      </c>
      <c r="O35" s="10"/>
      <c r="P35" s="6"/>
      <c r="Q35" s="2"/>
      <c r="R35" s="7">
        <f t="shared" si="27"/>
        <v>0</v>
      </c>
      <c r="S35" s="2"/>
      <c r="T35" s="6">
        <v>47656.53</v>
      </c>
      <c r="U35" s="2"/>
      <c r="V35" s="7">
        <f t="shared" si="28"/>
        <v>0.12542054866616351</v>
      </c>
      <c r="W35" s="2"/>
      <c r="X35" s="6">
        <f t="shared" si="29"/>
        <v>-47656.53</v>
      </c>
      <c r="Y35" s="2"/>
      <c r="Z35" s="7">
        <f t="shared" si="30"/>
        <v>-1</v>
      </c>
    </row>
    <row r="36" spans="1:26" s="23" customFormat="1" hidden="1" outlineLevel="2" x14ac:dyDescent="0.25">
      <c r="A36" s="27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1299.6300000000001</v>
      </c>
      <c r="U36" s="2"/>
      <c r="V36" s="7">
        <f t="shared" si="28"/>
        <v>3.4203142289840681E-3</v>
      </c>
      <c r="W36" s="2"/>
      <c r="X36" s="6">
        <f t="shared" si="29"/>
        <v>-1299.6300000000001</v>
      </c>
      <c r="Y36" s="2"/>
      <c r="Z36" s="7">
        <f t="shared" si="30"/>
        <v>-1</v>
      </c>
    </row>
    <row r="37" spans="1:26" s="23" customFormat="1" hidden="1" outlineLevel="2" x14ac:dyDescent="0.25">
      <c r="A37" s="27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41286.410000000003</v>
      </c>
      <c r="U37" s="2"/>
      <c r="V37" s="7">
        <f t="shared" si="28"/>
        <v>0.10865592175209106</v>
      </c>
      <c r="W37" s="2"/>
      <c r="X37" s="6">
        <f t="shared" si="29"/>
        <v>-41286.410000000003</v>
      </c>
      <c r="Y37" s="2"/>
      <c r="Z37" s="7">
        <f t="shared" si="30"/>
        <v>-1</v>
      </c>
    </row>
    <row r="38" spans="1:26" s="23" customFormat="1" hidden="1" outlineLevel="2" x14ac:dyDescent="0.25">
      <c r="A38" s="27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3"/>
        <v>0</v>
      </c>
      <c r="G38" s="2"/>
      <c r="H38" s="6"/>
      <c r="I38" s="2"/>
      <c r="J38" s="7">
        <f t="shared" si="24"/>
        <v>0</v>
      </c>
      <c r="K38" s="2"/>
      <c r="L38" s="6">
        <f t="shared" si="25"/>
        <v>0</v>
      </c>
      <c r="M38" s="2"/>
      <c r="N38" s="7">
        <f t="shared" si="26"/>
        <v>0</v>
      </c>
      <c r="O38" s="10"/>
      <c r="P38" s="6"/>
      <c r="Q38" s="2"/>
      <c r="R38" s="7">
        <f t="shared" si="27"/>
        <v>0</v>
      </c>
      <c r="S38" s="2"/>
      <c r="T38" s="6">
        <v>3405.22</v>
      </c>
      <c r="U38" s="2"/>
      <c r="V38" s="7">
        <f t="shared" si="28"/>
        <v>8.9617217352793693E-3</v>
      </c>
      <c r="W38" s="2"/>
      <c r="X38" s="6">
        <f t="shared" si="29"/>
        <v>-3405.22</v>
      </c>
      <c r="Y38" s="2"/>
      <c r="Z38" s="7">
        <f t="shared" si="30"/>
        <v>-1</v>
      </c>
    </row>
    <row r="39" spans="1:26" s="26" customFormat="1" outlineLevel="1" collapsed="1" x14ac:dyDescent="0.25">
      <c r="A39" s="25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56" si="31">IF(D$12=0,0,D39/D$12)</f>
        <v>0</v>
      </c>
      <c r="G39" s="1"/>
      <c r="H39" s="1">
        <f>SUM(OSRRefH22_2x_0)</f>
        <v>0</v>
      </c>
      <c r="I39" s="1"/>
      <c r="J39" s="5">
        <f t="shared" ref="J39:J56" si="32">IF(H$12=0,0,H39/H$12)</f>
        <v>0</v>
      </c>
      <c r="K39" s="1"/>
      <c r="L39" s="1">
        <f t="shared" ref="L39:L56" si="33">+D39-H39</f>
        <v>0</v>
      </c>
      <c r="M39" s="1"/>
      <c r="N39" s="5">
        <f t="shared" ref="N39:N56" si="34">IF(H39=0,0,L39/H39)</f>
        <v>0</v>
      </c>
      <c r="O39" s="12"/>
      <c r="P39" s="1">
        <f>SUM(OSRRefP22_2x_0)</f>
        <v>0</v>
      </c>
      <c r="Q39" s="1"/>
      <c r="R39" s="5">
        <f t="shared" ref="R39:R56" si="35">IF(P$12=0,0,P39/P$12)</f>
        <v>0</v>
      </c>
      <c r="S39" s="1"/>
      <c r="T39" s="1">
        <f>SUM(OSRRefT22_2x_0)</f>
        <v>462.48</v>
      </c>
      <c r="U39" s="1"/>
      <c r="V39" s="5">
        <f t="shared" ref="V39:V56" si="36">IF(T$12=0,0,T39/T$12)</f>
        <v>1.2171363577483988E-3</v>
      </c>
      <c r="W39" s="1"/>
      <c r="X39" s="1">
        <f t="shared" ref="X39:X56" si="37">+P39-T39</f>
        <v>-462.48</v>
      </c>
      <c r="Y39" s="1"/>
      <c r="Z39" s="5">
        <f t="shared" ref="Z39:Z56" si="38">IF(T39=0,0,X39/T39)</f>
        <v>-1</v>
      </c>
    </row>
    <row r="40" spans="1:26" s="23" customFormat="1" hidden="1" outlineLevel="2" x14ac:dyDescent="0.25">
      <c r="A40" s="27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31"/>
        <v>0</v>
      </c>
      <c r="G40" s="2"/>
      <c r="H40" s="6"/>
      <c r="I40" s="2"/>
      <c r="J40" s="7">
        <f t="shared" si="32"/>
        <v>0</v>
      </c>
      <c r="K40" s="2"/>
      <c r="L40" s="6">
        <f t="shared" si="33"/>
        <v>0</v>
      </c>
      <c r="M40" s="2"/>
      <c r="N40" s="7">
        <f t="shared" si="34"/>
        <v>0</v>
      </c>
      <c r="O40" s="10"/>
      <c r="P40" s="6"/>
      <c r="Q40" s="2"/>
      <c r="R40" s="7">
        <f t="shared" si="35"/>
        <v>0</v>
      </c>
      <c r="S40" s="2"/>
      <c r="T40" s="6">
        <v>462.48</v>
      </c>
      <c r="U40" s="2"/>
      <c r="V40" s="7">
        <f t="shared" si="36"/>
        <v>1.2171363577483988E-3</v>
      </c>
      <c r="W40" s="2"/>
      <c r="X40" s="6">
        <f t="shared" si="37"/>
        <v>-462.48</v>
      </c>
      <c r="Y40" s="2"/>
      <c r="Z40" s="7">
        <f t="shared" si="38"/>
        <v>-1</v>
      </c>
    </row>
    <row r="41" spans="1:26" s="26" customFormat="1" outlineLevel="1" collapsed="1" x14ac:dyDescent="0.25">
      <c r="A41" s="25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1"/>
        <v>0</v>
      </c>
      <c r="G41" s="1"/>
      <c r="H41" s="1">
        <f>SUM(OSRRefH22_3x_0)</f>
        <v>0</v>
      </c>
      <c r="I41" s="1"/>
      <c r="J41" s="5">
        <f t="shared" si="32"/>
        <v>0</v>
      </c>
      <c r="K41" s="1"/>
      <c r="L41" s="1">
        <f t="shared" si="33"/>
        <v>0</v>
      </c>
      <c r="M41" s="1"/>
      <c r="N41" s="5">
        <f t="shared" si="34"/>
        <v>0</v>
      </c>
      <c r="O41" s="12"/>
      <c r="P41" s="1">
        <f>SUM(OSRRefP22_3x_0)</f>
        <v>0</v>
      </c>
      <c r="Q41" s="1"/>
      <c r="R41" s="5">
        <f t="shared" si="35"/>
        <v>0</v>
      </c>
      <c r="S41" s="1"/>
      <c r="T41" s="1">
        <f>SUM(OSRRefT22_3x_0)</f>
        <v>-0.24</v>
      </c>
      <c r="U41" s="1"/>
      <c r="V41" s="5">
        <f t="shared" si="36"/>
        <v>-6.3162239634063244E-7</v>
      </c>
      <c r="W41" s="1"/>
      <c r="X41" s="1">
        <f t="shared" si="37"/>
        <v>0.24</v>
      </c>
      <c r="Y41" s="1"/>
      <c r="Z41" s="5">
        <f t="shared" si="38"/>
        <v>-1</v>
      </c>
    </row>
    <row r="42" spans="1:26" s="23" customFormat="1" hidden="1" outlineLevel="2" x14ac:dyDescent="0.25">
      <c r="A42" s="27"/>
      <c r="B42" s="10" t="str">
        <f>CONCATENATE("          ", "6272", " - ", "CASH (OVER/SHORT)")</f>
        <v xml:space="preserve">          6272 - CASH (OVER/SHORT)</v>
      </c>
      <c r="C42" s="10"/>
      <c r="D42" s="6"/>
      <c r="E42" s="2"/>
      <c r="F42" s="7">
        <f t="shared" si="31"/>
        <v>0</v>
      </c>
      <c r="G42" s="2"/>
      <c r="H42" s="6"/>
      <c r="I42" s="2"/>
      <c r="J42" s="7">
        <f t="shared" si="32"/>
        <v>0</v>
      </c>
      <c r="K42" s="2"/>
      <c r="L42" s="6">
        <f t="shared" si="33"/>
        <v>0</v>
      </c>
      <c r="M42" s="2"/>
      <c r="N42" s="7">
        <f t="shared" si="34"/>
        <v>0</v>
      </c>
      <c r="O42" s="10"/>
      <c r="P42" s="6"/>
      <c r="Q42" s="2"/>
      <c r="R42" s="7">
        <f t="shared" si="35"/>
        <v>0</v>
      </c>
      <c r="S42" s="2"/>
      <c r="T42" s="6">
        <v>-0.24</v>
      </c>
      <c r="U42" s="2"/>
      <c r="V42" s="7">
        <f t="shared" si="36"/>
        <v>-6.3162239634063244E-7</v>
      </c>
      <c r="W42" s="2"/>
      <c r="X42" s="6">
        <f t="shared" si="37"/>
        <v>0.24</v>
      </c>
      <c r="Y42" s="2"/>
      <c r="Z42" s="7">
        <f t="shared" si="38"/>
        <v>-1</v>
      </c>
    </row>
    <row r="43" spans="1:26" s="26" customFormat="1" outlineLevel="1" collapsed="1" x14ac:dyDescent="0.25">
      <c r="A43" s="25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1"/>
        <v>0</v>
      </c>
      <c r="G43" s="1"/>
      <c r="H43" s="1">
        <f>SUM(OSRRefH22_4x_0)</f>
        <v>0</v>
      </c>
      <c r="I43" s="1"/>
      <c r="J43" s="5">
        <f t="shared" si="32"/>
        <v>0</v>
      </c>
      <c r="K43" s="1"/>
      <c r="L43" s="1">
        <f t="shared" si="33"/>
        <v>0</v>
      </c>
      <c r="M43" s="1"/>
      <c r="N43" s="5">
        <f t="shared" si="34"/>
        <v>0</v>
      </c>
      <c r="O43" s="12"/>
      <c r="P43" s="1">
        <f>SUM(OSRRefP22_4x_0)</f>
        <v>0</v>
      </c>
      <c r="Q43" s="1"/>
      <c r="R43" s="5">
        <f t="shared" si="35"/>
        <v>0</v>
      </c>
      <c r="S43" s="1"/>
      <c r="T43" s="1">
        <f>SUM(OSRRefT22_4x_0)</f>
        <v>5691.38</v>
      </c>
      <c r="U43" s="1"/>
      <c r="V43" s="5">
        <f t="shared" si="36"/>
        <v>1.4978346142021455E-2</v>
      </c>
      <c r="W43" s="1"/>
      <c r="X43" s="1">
        <f t="shared" si="37"/>
        <v>-5691.38</v>
      </c>
      <c r="Y43" s="1"/>
      <c r="Z43" s="5">
        <f t="shared" si="38"/>
        <v>-1</v>
      </c>
    </row>
    <row r="44" spans="1:26" s="23" customFormat="1" hidden="1" outlineLevel="2" x14ac:dyDescent="0.25">
      <c r="A44" s="27"/>
      <c r="B44" s="10" t="str">
        <f>CONCATENATE("          ", "6381", " - ", "BANK/CREDIT CARD FEES")</f>
        <v xml:space="preserve">          6381 - BANK/CREDIT CARD FEES</v>
      </c>
      <c r="C44" s="10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/>
      <c r="Q44" s="2"/>
      <c r="R44" s="7">
        <f t="shared" si="35"/>
        <v>0</v>
      </c>
      <c r="S44" s="2"/>
      <c r="T44" s="6">
        <v>5691.38</v>
      </c>
      <c r="U44" s="2"/>
      <c r="V44" s="7">
        <f t="shared" si="36"/>
        <v>1.4978346142021455E-2</v>
      </c>
      <c r="W44" s="2"/>
      <c r="X44" s="6">
        <f t="shared" si="37"/>
        <v>-5691.38</v>
      </c>
      <c r="Y44" s="2"/>
      <c r="Z44" s="7">
        <f t="shared" si="38"/>
        <v>-1</v>
      </c>
    </row>
    <row r="45" spans="1:26" s="26" customFormat="1" outlineLevel="1" collapsed="1" x14ac:dyDescent="0.25">
      <c r="A45" s="25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577.36</v>
      </c>
      <c r="E45" s="1"/>
      <c r="F45" s="5">
        <f t="shared" si="31"/>
        <v>0</v>
      </c>
      <c r="G45" s="1"/>
      <c r="H45" s="1">
        <f>SUM(OSRRefH22_5x_0)</f>
        <v>689.04</v>
      </c>
      <c r="I45" s="1"/>
      <c r="J45" s="5">
        <f t="shared" si="32"/>
        <v>0</v>
      </c>
      <c r="K45" s="1"/>
      <c r="L45" s="1">
        <f t="shared" si="33"/>
        <v>-111.67999999999995</v>
      </c>
      <c r="M45" s="1"/>
      <c r="N45" s="5">
        <f t="shared" si="34"/>
        <v>-0.16208057587367924</v>
      </c>
      <c r="O45" s="12"/>
      <c r="P45" s="1">
        <f>SUM(OSRRefP22_5x_0)</f>
        <v>6112.59</v>
      </c>
      <c r="Q45" s="1"/>
      <c r="R45" s="5">
        <f t="shared" si="35"/>
        <v>0</v>
      </c>
      <c r="S45" s="1"/>
      <c r="T45" s="1">
        <f>SUM(OSRRefT22_5x_0)</f>
        <v>3999.9</v>
      </c>
      <c r="U45" s="1"/>
      <c r="V45" s="5">
        <f t="shared" si="36"/>
        <v>1.0526776763012067E-2</v>
      </c>
      <c r="W45" s="1"/>
      <c r="X45" s="1">
        <f t="shared" si="37"/>
        <v>2112.69</v>
      </c>
      <c r="Y45" s="1"/>
      <c r="Z45" s="5">
        <f t="shared" si="38"/>
        <v>0.52818570464261605</v>
      </c>
    </row>
    <row r="46" spans="1:26" s="23" customFormat="1" hidden="1" outlineLevel="2" x14ac:dyDescent="0.25">
      <c r="A46" s="27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577.36</v>
      </c>
      <c r="E46" s="2"/>
      <c r="F46" s="7">
        <f t="shared" si="31"/>
        <v>0</v>
      </c>
      <c r="G46" s="2"/>
      <c r="H46" s="6">
        <v>689.04</v>
      </c>
      <c r="I46" s="2"/>
      <c r="J46" s="7">
        <f t="shared" si="32"/>
        <v>0</v>
      </c>
      <c r="K46" s="2"/>
      <c r="L46" s="6">
        <f t="shared" si="33"/>
        <v>-111.67999999999995</v>
      </c>
      <c r="M46" s="2"/>
      <c r="N46" s="7">
        <f t="shared" si="34"/>
        <v>-0.16208057587367924</v>
      </c>
      <c r="O46" s="10"/>
      <c r="P46" s="6">
        <v>6112.59</v>
      </c>
      <c r="Q46" s="2"/>
      <c r="R46" s="7">
        <f t="shared" si="35"/>
        <v>0</v>
      </c>
      <c r="S46" s="2"/>
      <c r="T46" s="6">
        <v>3999.9</v>
      </c>
      <c r="U46" s="2"/>
      <c r="V46" s="7">
        <f t="shared" si="36"/>
        <v>1.0526776763012067E-2</v>
      </c>
      <c r="W46" s="2"/>
      <c r="X46" s="6">
        <f t="shared" si="37"/>
        <v>2112.69</v>
      </c>
      <c r="Y46" s="2"/>
      <c r="Z46" s="7">
        <f t="shared" si="38"/>
        <v>0.52818570464261605</v>
      </c>
    </row>
    <row r="47" spans="1:26" s="26" customFormat="1" outlineLevel="1" collapsed="1" x14ac:dyDescent="0.25">
      <c r="A47" s="25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si="31"/>
        <v>0</v>
      </c>
      <c r="G47" s="1"/>
      <c r="H47" s="1">
        <f>SUM(OSRRefH22_6x_0)</f>
        <v>0</v>
      </c>
      <c r="I47" s="1"/>
      <c r="J47" s="5">
        <f t="shared" si="32"/>
        <v>0</v>
      </c>
      <c r="K47" s="1"/>
      <c r="L47" s="1">
        <f t="shared" si="33"/>
        <v>0</v>
      </c>
      <c r="M47" s="1"/>
      <c r="N47" s="5">
        <f t="shared" si="34"/>
        <v>0</v>
      </c>
      <c r="O47" s="12"/>
      <c r="P47" s="1">
        <f>SUM(OSRRefP22_6x_0)</f>
        <v>0</v>
      </c>
      <c r="Q47" s="1"/>
      <c r="R47" s="5">
        <f t="shared" si="35"/>
        <v>0</v>
      </c>
      <c r="S47" s="1"/>
      <c r="T47" s="1">
        <f>SUM(OSRRefT22_6x_0)</f>
        <v>60</v>
      </c>
      <c r="U47" s="1"/>
      <c r="V47" s="5">
        <f t="shared" si="36"/>
        <v>1.5790559908515812E-4</v>
      </c>
      <c r="W47" s="1"/>
      <c r="X47" s="1">
        <f t="shared" si="37"/>
        <v>-60</v>
      </c>
      <c r="Y47" s="1"/>
      <c r="Z47" s="5">
        <f t="shared" si="38"/>
        <v>-1</v>
      </c>
    </row>
    <row r="48" spans="1:26" s="23" customFormat="1" hidden="1" outlineLevel="2" x14ac:dyDescent="0.25">
      <c r="A48" s="27"/>
      <c r="B48" s="10" t="str">
        <f>CONCATENATE("          ", "6277", " - ", "EMPLOYEE APPRECIATION")</f>
        <v xml:space="preserve">          6277 - EMPLOYEE APPRECIATION</v>
      </c>
      <c r="C48" s="10"/>
      <c r="D48" s="6"/>
      <c r="E48" s="2"/>
      <c r="F48" s="7">
        <f t="shared" si="31"/>
        <v>0</v>
      </c>
      <c r="G48" s="2"/>
      <c r="H48" s="6"/>
      <c r="I48" s="2"/>
      <c r="J48" s="7">
        <f t="shared" si="32"/>
        <v>0</v>
      </c>
      <c r="K48" s="2"/>
      <c r="L48" s="6">
        <f t="shared" si="33"/>
        <v>0</v>
      </c>
      <c r="M48" s="2"/>
      <c r="N48" s="7">
        <f t="shared" si="34"/>
        <v>0</v>
      </c>
      <c r="O48" s="10"/>
      <c r="P48" s="6"/>
      <c r="Q48" s="2"/>
      <c r="R48" s="7">
        <f t="shared" si="35"/>
        <v>0</v>
      </c>
      <c r="S48" s="2"/>
      <c r="T48" s="6">
        <v>60</v>
      </c>
      <c r="U48" s="2"/>
      <c r="V48" s="7">
        <f t="shared" si="36"/>
        <v>1.5790559908515812E-4</v>
      </c>
      <c r="W48" s="2"/>
      <c r="X48" s="6">
        <f t="shared" si="37"/>
        <v>-60</v>
      </c>
      <c r="Y48" s="2"/>
      <c r="Z48" s="7">
        <f t="shared" si="38"/>
        <v>-1</v>
      </c>
    </row>
    <row r="49" spans="1:26" s="26" customFormat="1" outlineLevel="1" collapsed="1" x14ac:dyDescent="0.25">
      <c r="A49" s="25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0</v>
      </c>
      <c r="E49" s="1"/>
      <c r="F49" s="5">
        <f t="shared" si="31"/>
        <v>0</v>
      </c>
      <c r="G49" s="1"/>
      <c r="H49" s="1">
        <f>SUM(OSRRefH22_7x_0)</f>
        <v>16.239999999999998</v>
      </c>
      <c r="I49" s="1"/>
      <c r="J49" s="5">
        <f t="shared" si="32"/>
        <v>0</v>
      </c>
      <c r="K49" s="1"/>
      <c r="L49" s="1">
        <f t="shared" si="33"/>
        <v>-16.239999999999998</v>
      </c>
      <c r="M49" s="1"/>
      <c r="N49" s="5">
        <f t="shared" si="34"/>
        <v>-1</v>
      </c>
      <c r="O49" s="12"/>
      <c r="P49" s="1">
        <f>SUM(OSRRefP22_7x_0)</f>
        <v>16.239999999999998</v>
      </c>
      <c r="Q49" s="1"/>
      <c r="R49" s="5">
        <f t="shared" si="35"/>
        <v>0</v>
      </c>
      <c r="S49" s="1"/>
      <c r="T49" s="1">
        <f>SUM(OSRRefT22_7x_0)</f>
        <v>821.52</v>
      </c>
      <c r="U49" s="1"/>
      <c r="V49" s="5">
        <f t="shared" si="36"/>
        <v>2.1620434626739848E-3</v>
      </c>
      <c r="W49" s="1"/>
      <c r="X49" s="1">
        <f t="shared" si="37"/>
        <v>-805.28</v>
      </c>
      <c r="Y49" s="1"/>
      <c r="Z49" s="5">
        <f t="shared" si="38"/>
        <v>-0.98023176550783908</v>
      </c>
    </row>
    <row r="50" spans="1:26" s="23" customFormat="1" hidden="1" outlineLevel="2" x14ac:dyDescent="0.25">
      <c r="A50" s="27"/>
      <c r="B50" s="10" t="str">
        <f>CONCATENATE("          ", "6351", " - ", "EQUIPMENT RENTAL")</f>
        <v xml:space="preserve">          6351 - EQUIPMENT RENTAL</v>
      </c>
      <c r="C50" s="10"/>
      <c r="D50" s="6"/>
      <c r="E50" s="2"/>
      <c r="F50" s="7">
        <f t="shared" si="31"/>
        <v>0</v>
      </c>
      <c r="G50" s="2"/>
      <c r="H50" s="6">
        <v>16.239999999999998</v>
      </c>
      <c r="I50" s="2"/>
      <c r="J50" s="7">
        <f t="shared" si="32"/>
        <v>0</v>
      </c>
      <c r="K50" s="2"/>
      <c r="L50" s="6">
        <f t="shared" si="33"/>
        <v>-16.239999999999998</v>
      </c>
      <c r="M50" s="2"/>
      <c r="N50" s="7">
        <f t="shared" si="34"/>
        <v>-1</v>
      </c>
      <c r="O50" s="10"/>
      <c r="P50" s="6">
        <v>16.239999999999998</v>
      </c>
      <c r="Q50" s="2"/>
      <c r="R50" s="7">
        <f t="shared" si="35"/>
        <v>0</v>
      </c>
      <c r="S50" s="2"/>
      <c r="T50" s="6">
        <v>821.52</v>
      </c>
      <c r="U50" s="2"/>
      <c r="V50" s="7">
        <f t="shared" si="36"/>
        <v>2.1620434626739848E-3</v>
      </c>
      <c r="W50" s="2"/>
      <c r="X50" s="6">
        <f t="shared" si="37"/>
        <v>-805.28</v>
      </c>
      <c r="Y50" s="2"/>
      <c r="Z50" s="7">
        <f t="shared" si="38"/>
        <v>-0.98023176550783908</v>
      </c>
    </row>
    <row r="51" spans="1:26" s="26" customFormat="1" outlineLevel="1" collapsed="1" x14ac:dyDescent="0.25">
      <c r="A51" s="25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1"/>
        <v>0</v>
      </c>
      <c r="G51" s="1"/>
      <c r="H51" s="1">
        <f>SUM(OSRRefH22_8x_0)</f>
        <v>0</v>
      </c>
      <c r="I51" s="1"/>
      <c r="J51" s="5">
        <f t="shared" si="32"/>
        <v>0</v>
      </c>
      <c r="K51" s="1"/>
      <c r="L51" s="1">
        <f t="shared" si="33"/>
        <v>0</v>
      </c>
      <c r="M51" s="1"/>
      <c r="N51" s="5">
        <f t="shared" si="34"/>
        <v>0</v>
      </c>
      <c r="O51" s="12"/>
      <c r="P51" s="1">
        <f>SUM(OSRRefP22_8x_0)</f>
        <v>0</v>
      </c>
      <c r="Q51" s="1"/>
      <c r="R51" s="5">
        <f t="shared" si="35"/>
        <v>0</v>
      </c>
      <c r="S51" s="1"/>
      <c r="T51" s="1">
        <f>SUM(OSRRefT22_8x_0)</f>
        <v>2898.74</v>
      </c>
      <c r="U51" s="1"/>
      <c r="V51" s="5">
        <f t="shared" si="36"/>
        <v>7.6287879382018536E-3</v>
      </c>
      <c r="W51" s="1"/>
      <c r="X51" s="1">
        <f t="shared" si="37"/>
        <v>-2898.74</v>
      </c>
      <c r="Y51" s="1"/>
      <c r="Z51" s="5">
        <f t="shared" si="38"/>
        <v>-1</v>
      </c>
    </row>
    <row r="52" spans="1:26" s="23" customFormat="1" hidden="1" outlineLevel="2" x14ac:dyDescent="0.25">
      <c r="A52" s="27"/>
      <c r="B52" s="10" t="str">
        <f>CONCATENATE("          ", "6279", " - ", "GENERAL EXPENSE")</f>
        <v xml:space="preserve">          6279 - GENERAL EXPENSE</v>
      </c>
      <c r="C52" s="10"/>
      <c r="D52" s="6"/>
      <c r="E52" s="2"/>
      <c r="F52" s="7">
        <f t="shared" si="31"/>
        <v>0</v>
      </c>
      <c r="G52" s="2"/>
      <c r="H52" s="6"/>
      <c r="I52" s="2"/>
      <c r="J52" s="7">
        <f t="shared" si="32"/>
        <v>0</v>
      </c>
      <c r="K52" s="2"/>
      <c r="L52" s="6">
        <f t="shared" si="33"/>
        <v>0</v>
      </c>
      <c r="M52" s="2"/>
      <c r="N52" s="7">
        <f t="shared" si="34"/>
        <v>0</v>
      </c>
      <c r="O52" s="10"/>
      <c r="P52" s="6"/>
      <c r="Q52" s="2"/>
      <c r="R52" s="7">
        <f t="shared" si="35"/>
        <v>0</v>
      </c>
      <c r="S52" s="2"/>
      <c r="T52" s="6">
        <v>2898.74</v>
      </c>
      <c r="U52" s="2"/>
      <c r="V52" s="7">
        <f t="shared" si="36"/>
        <v>7.6287879382018536E-3</v>
      </c>
      <c r="W52" s="2"/>
      <c r="X52" s="6">
        <f t="shared" si="37"/>
        <v>-2898.74</v>
      </c>
      <c r="Y52" s="2"/>
      <c r="Z52" s="7">
        <f t="shared" si="38"/>
        <v>-1</v>
      </c>
    </row>
    <row r="53" spans="1:26" s="26" customFormat="1" outlineLevel="1" collapsed="1" x14ac:dyDescent="0.25">
      <c r="A53" s="25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SUM(OSRRefD22_9x_0)</f>
        <v>0</v>
      </c>
      <c r="E53" s="1"/>
      <c r="F53" s="5">
        <f t="shared" si="31"/>
        <v>0</v>
      </c>
      <c r="G53" s="1"/>
      <c r="H53" s="1">
        <f>SUM(OSRRefH22_9x_0)</f>
        <v>0</v>
      </c>
      <c r="I53" s="1"/>
      <c r="J53" s="5">
        <f t="shared" si="32"/>
        <v>0</v>
      </c>
      <c r="K53" s="1"/>
      <c r="L53" s="1">
        <f t="shared" si="33"/>
        <v>0</v>
      </c>
      <c r="M53" s="1"/>
      <c r="N53" s="5">
        <f t="shared" si="34"/>
        <v>0</v>
      </c>
      <c r="O53" s="12"/>
      <c r="P53" s="1">
        <f>SUM(OSRRefP22_9x_0)</f>
        <v>1677.13</v>
      </c>
      <c r="Q53" s="1"/>
      <c r="R53" s="5">
        <f t="shared" si="35"/>
        <v>0</v>
      </c>
      <c r="S53" s="1"/>
      <c r="T53" s="1">
        <f>SUM(OSRRefT22_9x_0)</f>
        <v>5456.32</v>
      </c>
      <c r="U53" s="1"/>
      <c r="V53" s="5">
        <f t="shared" si="36"/>
        <v>1.4359724640005499E-2</v>
      </c>
      <c r="W53" s="1"/>
      <c r="X53" s="1">
        <f t="shared" si="37"/>
        <v>-3779.1899999999996</v>
      </c>
      <c r="Y53" s="1"/>
      <c r="Z53" s="5">
        <f t="shared" si="38"/>
        <v>-0.69262616562078472</v>
      </c>
    </row>
    <row r="54" spans="1:26" s="23" customFormat="1" hidden="1" outlineLevel="2" x14ac:dyDescent="0.25">
      <c r="A54" s="27"/>
      <c r="B54" s="10" t="str">
        <f>CONCATENATE("          ", "6371", " - ", "COMPUTER SOFTWARE MAINTENANCE")</f>
        <v xml:space="preserve">          6371 - COMPUTER SOFTWARE MAINTENANCE</v>
      </c>
      <c r="C54" s="10"/>
      <c r="D54" s="6"/>
      <c r="E54" s="2"/>
      <c r="F54" s="7">
        <f t="shared" si="31"/>
        <v>0</v>
      </c>
      <c r="G54" s="2"/>
      <c r="H54" s="6"/>
      <c r="I54" s="2"/>
      <c r="J54" s="7">
        <f t="shared" si="32"/>
        <v>0</v>
      </c>
      <c r="K54" s="2"/>
      <c r="L54" s="6">
        <f t="shared" si="33"/>
        <v>0</v>
      </c>
      <c r="M54" s="2"/>
      <c r="N54" s="7">
        <f t="shared" si="34"/>
        <v>0</v>
      </c>
      <c r="O54" s="10"/>
      <c r="P54" s="6"/>
      <c r="Q54" s="2"/>
      <c r="R54" s="7">
        <f t="shared" si="35"/>
        <v>0</v>
      </c>
      <c r="S54" s="2"/>
      <c r="T54" s="6">
        <v>0</v>
      </c>
      <c r="U54" s="2"/>
      <c r="V54" s="7">
        <f t="shared" si="36"/>
        <v>0</v>
      </c>
      <c r="W54" s="2"/>
      <c r="X54" s="6">
        <f t="shared" si="37"/>
        <v>0</v>
      </c>
      <c r="Y54" s="2"/>
      <c r="Z54" s="7">
        <f t="shared" si="38"/>
        <v>0</v>
      </c>
    </row>
    <row r="55" spans="1:26" s="23" customFormat="1" hidden="1" outlineLevel="2" x14ac:dyDescent="0.25">
      <c r="A55" s="27"/>
      <c r="B55" s="10" t="str">
        <f>CONCATENATE("          ", "6373", " - ", "MAINTENANCE CONTRACTS")</f>
        <v xml:space="preserve">          6373 - MAINTENANCE CONTRACTS</v>
      </c>
      <c r="C55" s="10"/>
      <c r="D55" s="6"/>
      <c r="E55" s="2"/>
      <c r="F55" s="7">
        <f t="shared" si="31"/>
        <v>0</v>
      </c>
      <c r="G55" s="2"/>
      <c r="H55" s="6"/>
      <c r="I55" s="2"/>
      <c r="J55" s="7">
        <f t="shared" si="32"/>
        <v>0</v>
      </c>
      <c r="K55" s="2"/>
      <c r="L55" s="6">
        <f t="shared" si="33"/>
        <v>0</v>
      </c>
      <c r="M55" s="2"/>
      <c r="N55" s="7">
        <f t="shared" si="34"/>
        <v>0</v>
      </c>
      <c r="O55" s="10"/>
      <c r="P55" s="6">
        <v>339</v>
      </c>
      <c r="Q55" s="2"/>
      <c r="R55" s="7">
        <f t="shared" si="35"/>
        <v>0</v>
      </c>
      <c r="S55" s="2"/>
      <c r="T55" s="6">
        <v>1131.8800000000001</v>
      </c>
      <c r="U55" s="2"/>
      <c r="V55" s="7">
        <f t="shared" si="36"/>
        <v>2.9788364915418132E-3</v>
      </c>
      <c r="W55" s="2"/>
      <c r="X55" s="6">
        <f t="shared" si="37"/>
        <v>-792.88000000000011</v>
      </c>
      <c r="Y55" s="2"/>
      <c r="Z55" s="7">
        <f t="shared" si="38"/>
        <v>-0.70049828603738917</v>
      </c>
    </row>
    <row r="56" spans="1:26" s="23" customFormat="1" hidden="1" outlineLevel="2" x14ac:dyDescent="0.25">
      <c r="A56" s="27"/>
      <c r="B56" s="10" t="str">
        <f>CONCATENATE("          ", "6375", " - ", "OUTSIDE REPAIRS &amp; MAINTENANCE")</f>
        <v xml:space="preserve">          6375 - OUTSIDE REPAIRS &amp; MAINTENANCE</v>
      </c>
      <c r="C56" s="10"/>
      <c r="D56" s="6"/>
      <c r="E56" s="2"/>
      <c r="F56" s="7">
        <f t="shared" si="31"/>
        <v>0</v>
      </c>
      <c r="G56" s="2"/>
      <c r="H56" s="6"/>
      <c r="I56" s="2"/>
      <c r="J56" s="7">
        <f t="shared" si="32"/>
        <v>0</v>
      </c>
      <c r="K56" s="2"/>
      <c r="L56" s="6">
        <f t="shared" si="33"/>
        <v>0</v>
      </c>
      <c r="M56" s="2"/>
      <c r="N56" s="7">
        <f t="shared" si="34"/>
        <v>0</v>
      </c>
      <c r="O56" s="10"/>
      <c r="P56" s="6">
        <v>1338.13</v>
      </c>
      <c r="Q56" s="2"/>
      <c r="R56" s="7">
        <f t="shared" si="35"/>
        <v>0</v>
      </c>
      <c r="S56" s="2"/>
      <c r="T56" s="6">
        <v>4324.4399999999996</v>
      </c>
      <c r="U56" s="2"/>
      <c r="V56" s="7">
        <f t="shared" si="36"/>
        <v>1.1380888148463686E-2</v>
      </c>
      <c r="W56" s="2"/>
      <c r="X56" s="6">
        <f t="shared" si="37"/>
        <v>-2986.3099999999995</v>
      </c>
      <c r="Y56" s="2"/>
      <c r="Z56" s="7">
        <f t="shared" si="38"/>
        <v>-0.69056571486712726</v>
      </c>
    </row>
    <row r="57" spans="1:26" s="26" customFormat="1" outlineLevel="1" collapsed="1" x14ac:dyDescent="0.25">
      <c r="A57" s="25"/>
      <c r="B57" s="12" t="str">
        <f>CONCATENATE("     ","Services                                          ")</f>
        <v xml:space="preserve">     Services                                          </v>
      </c>
      <c r="C57" s="12"/>
      <c r="D57" s="1">
        <f>SUM(OSRRefD22_10x_0)</f>
        <v>0</v>
      </c>
      <c r="E57" s="1"/>
      <c r="F57" s="5">
        <f t="shared" ref="F57:F60" si="39">IF(D$12=0,0,D57/D$12)</f>
        <v>0</v>
      </c>
      <c r="G57" s="1"/>
      <c r="H57" s="1">
        <f>SUM(OSRRefH22_10x_0)</f>
        <v>125.9</v>
      </c>
      <c r="I57" s="1"/>
      <c r="J57" s="5">
        <f t="shared" ref="J57:J60" si="40">IF(H$12=0,0,H57/H$12)</f>
        <v>0</v>
      </c>
      <c r="K57" s="1"/>
      <c r="L57" s="1">
        <f t="shared" ref="L57:L60" si="41">+D57-H57</f>
        <v>-125.9</v>
      </c>
      <c r="M57" s="1"/>
      <c r="N57" s="5">
        <f t="shared" ref="N57:N60" si="42">IF(H57=0,0,L57/H57)</f>
        <v>-1</v>
      </c>
      <c r="O57" s="12"/>
      <c r="P57" s="1">
        <f>SUM(OSRRefP22_10x_0)</f>
        <v>320.58</v>
      </c>
      <c r="Q57" s="1"/>
      <c r="R57" s="5">
        <f t="shared" ref="R57:R60" si="43">IF(P$12=0,0,P57/P$12)</f>
        <v>0</v>
      </c>
      <c r="S57" s="1"/>
      <c r="T57" s="1">
        <f>SUM(OSRRefT22_10x_0)</f>
        <v>19714.809999999998</v>
      </c>
      <c r="U57" s="1"/>
      <c r="V57" s="5">
        <f t="shared" ref="V57:V60" si="44">IF(T$12=0,0,T57/T$12)</f>
        <v>5.18846480650011E-2</v>
      </c>
      <c r="W57" s="1"/>
      <c r="X57" s="1">
        <f t="shared" ref="X57:X60" si="45">+P57-T57</f>
        <v>-19394.229999999996</v>
      </c>
      <c r="Y57" s="1"/>
      <c r="Z57" s="5">
        <f t="shared" ref="Z57:Z60" si="46">IF(T57=0,0,X57/T57)</f>
        <v>-0.98373912809710051</v>
      </c>
    </row>
    <row r="58" spans="1:26" s="23" customFormat="1" hidden="1" outlineLevel="2" x14ac:dyDescent="0.25">
      <c r="A58" s="27"/>
      <c r="B58" s="10" t="str">
        <f>CONCATENATE("          ", "6283", " - ", "PLANT SERVICE")</f>
        <v xml:space="preserve">          6283 - PLANT SERVICE</v>
      </c>
      <c r="C58" s="10"/>
      <c r="D58" s="6"/>
      <c r="E58" s="2"/>
      <c r="F58" s="7">
        <f t="shared" si="39"/>
        <v>0</v>
      </c>
      <c r="G58" s="2"/>
      <c r="H58" s="6">
        <v>125.9</v>
      </c>
      <c r="I58" s="2"/>
      <c r="J58" s="7">
        <f t="shared" si="40"/>
        <v>0</v>
      </c>
      <c r="K58" s="2"/>
      <c r="L58" s="6">
        <f t="shared" si="41"/>
        <v>-125.9</v>
      </c>
      <c r="M58" s="2"/>
      <c r="N58" s="7">
        <f t="shared" si="42"/>
        <v>-1</v>
      </c>
      <c r="O58" s="10"/>
      <c r="P58" s="6"/>
      <c r="Q58" s="2"/>
      <c r="R58" s="7">
        <f t="shared" si="43"/>
        <v>0</v>
      </c>
      <c r="S58" s="2"/>
      <c r="T58" s="6">
        <v>566.54999999999995</v>
      </c>
      <c r="U58" s="2"/>
      <c r="V58" s="7">
        <f t="shared" si="44"/>
        <v>1.4910236193616056E-3</v>
      </c>
      <c r="W58" s="2"/>
      <c r="X58" s="6">
        <f t="shared" si="45"/>
        <v>-566.54999999999995</v>
      </c>
      <c r="Y58" s="2"/>
      <c r="Z58" s="7">
        <f t="shared" si="46"/>
        <v>-1</v>
      </c>
    </row>
    <row r="59" spans="1:26" s="23" customFormat="1" hidden="1" outlineLevel="2" x14ac:dyDescent="0.25">
      <c r="A59" s="27"/>
      <c r="B59" s="10" t="str">
        <f>CONCATENATE("          ", "6285", " - ", "JANITORIAL SERVICES")</f>
        <v xml:space="preserve">          6285 - JANITORIAL SERVICES</v>
      </c>
      <c r="C59" s="10"/>
      <c r="D59" s="6"/>
      <c r="E59" s="2"/>
      <c r="F59" s="7">
        <f t="shared" si="39"/>
        <v>0</v>
      </c>
      <c r="G59" s="2"/>
      <c r="H59" s="6"/>
      <c r="I59" s="2"/>
      <c r="J59" s="7">
        <f t="shared" si="40"/>
        <v>0</v>
      </c>
      <c r="K59" s="2"/>
      <c r="L59" s="6">
        <f t="shared" si="41"/>
        <v>0</v>
      </c>
      <c r="M59" s="2"/>
      <c r="N59" s="7">
        <f t="shared" si="42"/>
        <v>0</v>
      </c>
      <c r="O59" s="10"/>
      <c r="P59" s="6"/>
      <c r="Q59" s="2"/>
      <c r="R59" s="7">
        <f t="shared" si="43"/>
        <v>0</v>
      </c>
      <c r="S59" s="2"/>
      <c r="T59" s="6">
        <v>517.04999999999995</v>
      </c>
      <c r="U59" s="2"/>
      <c r="V59" s="7">
        <f t="shared" si="44"/>
        <v>1.3607515001163501E-3</v>
      </c>
      <c r="W59" s="2"/>
      <c r="X59" s="6">
        <f t="shared" si="45"/>
        <v>-517.04999999999995</v>
      </c>
      <c r="Y59" s="2"/>
      <c r="Z59" s="7">
        <f t="shared" si="46"/>
        <v>-1</v>
      </c>
    </row>
    <row r="60" spans="1:26" s="23" customFormat="1" hidden="1" outlineLevel="2" x14ac:dyDescent="0.25">
      <c r="A60" s="27"/>
      <c r="B60" s="10" t="str">
        <f>CONCATENATE("          ", "6286", " - ", "LAUNDRY EXPENSE")</f>
        <v xml:space="preserve">          6286 - LAUNDRY EXPENSE</v>
      </c>
      <c r="C60" s="10"/>
      <c r="D60" s="6"/>
      <c r="E60" s="2"/>
      <c r="F60" s="7">
        <f t="shared" si="39"/>
        <v>0</v>
      </c>
      <c r="G60" s="2"/>
      <c r="H60" s="6"/>
      <c r="I60" s="2"/>
      <c r="J60" s="7">
        <f t="shared" si="40"/>
        <v>0</v>
      </c>
      <c r="K60" s="2"/>
      <c r="L60" s="6">
        <f t="shared" si="41"/>
        <v>0</v>
      </c>
      <c r="M60" s="2"/>
      <c r="N60" s="7">
        <f t="shared" si="42"/>
        <v>0</v>
      </c>
      <c r="O60" s="10"/>
      <c r="P60" s="6">
        <v>320.58</v>
      </c>
      <c r="Q60" s="2"/>
      <c r="R60" s="7">
        <f t="shared" si="43"/>
        <v>0</v>
      </c>
      <c r="S60" s="2"/>
      <c r="T60" s="6">
        <v>18631.21</v>
      </c>
      <c r="U60" s="2"/>
      <c r="V60" s="7">
        <f t="shared" si="44"/>
        <v>4.9032872945523144E-2</v>
      </c>
      <c r="W60" s="2"/>
      <c r="X60" s="6">
        <f t="shared" si="45"/>
        <v>-18310.629999999997</v>
      </c>
      <c r="Y60" s="2"/>
      <c r="Z60" s="7">
        <f t="shared" si="46"/>
        <v>-0.98279338808375827</v>
      </c>
    </row>
    <row r="61" spans="1:26" s="26" customFormat="1" outlineLevel="1" collapsed="1" x14ac:dyDescent="0.25">
      <c r="A61" s="25"/>
      <c r="B61" s="12" t="str">
        <f>CONCATENATE("     ","Supplies                                          ")</f>
        <v xml:space="preserve">     Supplies                                          </v>
      </c>
      <c r="C61" s="12"/>
      <c r="D61" s="1">
        <f>SUM(OSRRefD22_11x_0)</f>
        <v>0</v>
      </c>
      <c r="E61" s="1"/>
      <c r="F61" s="5">
        <f t="shared" ref="F61:F67" si="47">IF(D$12=0,0,D61/D$12)</f>
        <v>0</v>
      </c>
      <c r="G61" s="1"/>
      <c r="H61" s="1">
        <f>SUM(OSRRefH22_11x_0)</f>
        <v>206.59999999999997</v>
      </c>
      <c r="I61" s="1"/>
      <c r="J61" s="5">
        <f t="shared" ref="J61:J67" si="48">IF(H$12=0,0,H61/H$12)</f>
        <v>0</v>
      </c>
      <c r="K61" s="1"/>
      <c r="L61" s="1">
        <f t="shared" ref="L61:L67" si="49">+D61-H61</f>
        <v>-206.59999999999997</v>
      </c>
      <c r="M61" s="1"/>
      <c r="N61" s="5">
        <f t="shared" ref="N61:N67" si="50">IF(H61=0,0,L61/H61)</f>
        <v>-1</v>
      </c>
      <c r="O61" s="12"/>
      <c r="P61" s="1">
        <f>SUM(OSRRefP22_11x_0)</f>
        <v>0</v>
      </c>
      <c r="Q61" s="1"/>
      <c r="R61" s="5">
        <f t="shared" ref="R61:R67" si="51">IF(P$12=0,0,P61/P$12)</f>
        <v>0</v>
      </c>
      <c r="S61" s="1"/>
      <c r="T61" s="1">
        <f>SUM(OSRRefT22_11x_0)</f>
        <v>12484.019999999999</v>
      </c>
      <c r="U61" s="1"/>
      <c r="V61" s="5">
        <f t="shared" ref="V61:V67" si="52">IF(T$12=0,0,T61/T$12)</f>
        <v>3.2854944284851591E-2</v>
      </c>
      <c r="W61" s="1"/>
      <c r="X61" s="1">
        <f t="shared" ref="X61:X67" si="53">+P61-T61</f>
        <v>-12484.019999999999</v>
      </c>
      <c r="Y61" s="1"/>
      <c r="Z61" s="5">
        <f t="shared" ref="Z61:Z67" si="54">IF(T61=0,0,X61/T61)</f>
        <v>-1</v>
      </c>
    </row>
    <row r="62" spans="1:26" s="23" customFormat="1" hidden="1" outlineLevel="2" x14ac:dyDescent="0.25">
      <c r="A62" s="27"/>
      <c r="B62" s="10" t="str">
        <f>CONCATENATE("          ", "6234", " - ", "EXPENDABLE SUPPLIES &amp; EQUIPMEN")</f>
        <v xml:space="preserve">          6234 - EXPENDABLE SUPPLIES &amp; EQUIPMEN</v>
      </c>
      <c r="C62" s="10"/>
      <c r="D62" s="6"/>
      <c r="E62" s="2"/>
      <c r="F62" s="7">
        <f t="shared" si="47"/>
        <v>0</v>
      </c>
      <c r="G62" s="2"/>
      <c r="H62" s="6">
        <v>142.07</v>
      </c>
      <c r="I62" s="2"/>
      <c r="J62" s="7">
        <f t="shared" si="48"/>
        <v>0</v>
      </c>
      <c r="K62" s="2"/>
      <c r="L62" s="6">
        <f t="shared" si="49"/>
        <v>-142.07</v>
      </c>
      <c r="M62" s="2"/>
      <c r="N62" s="7">
        <f t="shared" si="50"/>
        <v>-1</v>
      </c>
      <c r="O62" s="10"/>
      <c r="P62" s="6"/>
      <c r="Q62" s="2"/>
      <c r="R62" s="7">
        <f t="shared" si="51"/>
        <v>0</v>
      </c>
      <c r="S62" s="2"/>
      <c r="T62" s="6">
        <v>1025.0999999999999</v>
      </c>
      <c r="U62" s="2"/>
      <c r="V62" s="7">
        <f t="shared" si="52"/>
        <v>2.6978171603699265E-3</v>
      </c>
      <c r="W62" s="2"/>
      <c r="X62" s="6">
        <f t="shared" si="53"/>
        <v>-1025.0999999999999</v>
      </c>
      <c r="Y62" s="2"/>
      <c r="Z62" s="7">
        <f t="shared" si="54"/>
        <v>-1</v>
      </c>
    </row>
    <row r="63" spans="1:26" s="23" customFormat="1" hidden="1" outlineLevel="2" x14ac:dyDescent="0.25">
      <c r="A63" s="27"/>
      <c r="B63" s="10" t="str">
        <f>CONCATENATE("          ", "6239", " - ", "KITCHEN SUPPLIES")</f>
        <v xml:space="preserve">          6239 - KITCHEN SUPPLIES</v>
      </c>
      <c r="C63" s="10"/>
      <c r="D63" s="6"/>
      <c r="E63" s="2"/>
      <c r="F63" s="7">
        <f t="shared" si="47"/>
        <v>0</v>
      </c>
      <c r="G63" s="2"/>
      <c r="H63" s="6"/>
      <c r="I63" s="2"/>
      <c r="J63" s="7">
        <f t="shared" si="48"/>
        <v>0</v>
      </c>
      <c r="K63" s="2"/>
      <c r="L63" s="6">
        <f t="shared" si="49"/>
        <v>0</v>
      </c>
      <c r="M63" s="2"/>
      <c r="N63" s="7">
        <f t="shared" si="50"/>
        <v>0</v>
      </c>
      <c r="O63" s="10"/>
      <c r="P63" s="6"/>
      <c r="Q63" s="2"/>
      <c r="R63" s="7">
        <f t="shared" si="51"/>
        <v>0</v>
      </c>
      <c r="S63" s="2"/>
      <c r="T63" s="6">
        <v>3652.68</v>
      </c>
      <c r="U63" s="2"/>
      <c r="V63" s="7">
        <f t="shared" si="52"/>
        <v>9.6129770611062555E-3</v>
      </c>
      <c r="W63" s="2"/>
      <c r="X63" s="6">
        <f t="shared" si="53"/>
        <v>-3652.68</v>
      </c>
      <c r="Y63" s="2"/>
      <c r="Z63" s="7">
        <f t="shared" si="54"/>
        <v>-1</v>
      </c>
    </row>
    <row r="64" spans="1:26" s="23" customFormat="1" hidden="1" outlineLevel="2" x14ac:dyDescent="0.25">
      <c r="A64" s="27"/>
      <c r="B64" s="10" t="str">
        <f>CONCATENATE("          ", "6241", " - ", "OFFICE EXPENSE")</f>
        <v xml:space="preserve">          6241 - OFFICE EXPENSE</v>
      </c>
      <c r="C64" s="10"/>
      <c r="D64" s="6"/>
      <c r="E64" s="2"/>
      <c r="F64" s="7">
        <f t="shared" si="47"/>
        <v>0</v>
      </c>
      <c r="G64" s="2"/>
      <c r="H64" s="6">
        <v>48.89</v>
      </c>
      <c r="I64" s="2"/>
      <c r="J64" s="7">
        <f t="shared" si="48"/>
        <v>0</v>
      </c>
      <c r="K64" s="2"/>
      <c r="L64" s="6">
        <f t="shared" si="49"/>
        <v>-48.89</v>
      </c>
      <c r="M64" s="2"/>
      <c r="N64" s="7">
        <f t="shared" si="50"/>
        <v>-1</v>
      </c>
      <c r="O64" s="10"/>
      <c r="P64" s="6"/>
      <c r="Q64" s="2"/>
      <c r="R64" s="7">
        <f t="shared" si="51"/>
        <v>0</v>
      </c>
      <c r="S64" s="2"/>
      <c r="T64" s="6">
        <v>786.78</v>
      </c>
      <c r="U64" s="2"/>
      <c r="V64" s="7">
        <f t="shared" si="52"/>
        <v>2.0706161208036786E-3</v>
      </c>
      <c r="W64" s="2"/>
      <c r="X64" s="6">
        <f t="shared" si="53"/>
        <v>-786.78</v>
      </c>
      <c r="Y64" s="2"/>
      <c r="Z64" s="7">
        <f t="shared" si="54"/>
        <v>-1</v>
      </c>
    </row>
    <row r="65" spans="1:26" s="23" customFormat="1" hidden="1" outlineLevel="2" x14ac:dyDescent="0.25">
      <c r="A65" s="27"/>
      <c r="B65" s="10" t="str">
        <f>CONCATENATE("          ", "6243", " - ", "PAPER SUPPLIES")</f>
        <v xml:space="preserve">          6243 - PAPER SUPPLIES</v>
      </c>
      <c r="C65" s="10"/>
      <c r="D65" s="6"/>
      <c r="E65" s="2"/>
      <c r="F65" s="7">
        <f t="shared" si="47"/>
        <v>0</v>
      </c>
      <c r="G65" s="2"/>
      <c r="H65" s="6"/>
      <c r="I65" s="2"/>
      <c r="J65" s="7">
        <f t="shared" si="48"/>
        <v>0</v>
      </c>
      <c r="K65" s="2"/>
      <c r="L65" s="6">
        <f t="shared" si="49"/>
        <v>0</v>
      </c>
      <c r="M65" s="2"/>
      <c r="N65" s="7">
        <f t="shared" si="50"/>
        <v>0</v>
      </c>
      <c r="O65" s="10"/>
      <c r="P65" s="6"/>
      <c r="Q65" s="2"/>
      <c r="R65" s="7">
        <f t="shared" si="51"/>
        <v>0</v>
      </c>
      <c r="S65" s="2"/>
      <c r="T65" s="6">
        <v>5217.22</v>
      </c>
      <c r="U65" s="2"/>
      <c r="V65" s="7">
        <f t="shared" si="52"/>
        <v>1.3730470827651145E-2</v>
      </c>
      <c r="W65" s="2"/>
      <c r="X65" s="6">
        <f t="shared" si="53"/>
        <v>-5217.22</v>
      </c>
      <c r="Y65" s="2"/>
      <c r="Z65" s="7">
        <f t="shared" si="54"/>
        <v>-1</v>
      </c>
    </row>
    <row r="66" spans="1:26" s="23" customFormat="1" hidden="1" outlineLevel="2" x14ac:dyDescent="0.25">
      <c r="A66" s="27"/>
      <c r="B66" s="10" t="str">
        <f>CONCATENATE("          ", "6247", " - ", "STORE SUPPLIES")</f>
        <v xml:space="preserve">          6247 - STORE SUPPLIES</v>
      </c>
      <c r="C66" s="10"/>
      <c r="D66" s="6"/>
      <c r="E66" s="2"/>
      <c r="F66" s="7">
        <f t="shared" si="47"/>
        <v>0</v>
      </c>
      <c r="G66" s="2"/>
      <c r="H66" s="6">
        <v>15.64</v>
      </c>
      <c r="I66" s="2"/>
      <c r="J66" s="7">
        <f t="shared" si="48"/>
        <v>0</v>
      </c>
      <c r="K66" s="2"/>
      <c r="L66" s="6">
        <f t="shared" si="49"/>
        <v>-15.64</v>
      </c>
      <c r="M66" s="2"/>
      <c r="N66" s="7">
        <f t="shared" si="50"/>
        <v>-1</v>
      </c>
      <c r="O66" s="10"/>
      <c r="P66" s="6"/>
      <c r="Q66" s="2"/>
      <c r="R66" s="7">
        <f t="shared" si="51"/>
        <v>0</v>
      </c>
      <c r="S66" s="2"/>
      <c r="T66" s="6">
        <v>509.58</v>
      </c>
      <c r="U66" s="2"/>
      <c r="V66" s="7">
        <f t="shared" si="52"/>
        <v>1.3410922530302479E-3</v>
      </c>
      <c r="W66" s="2"/>
      <c r="X66" s="6">
        <f t="shared" si="53"/>
        <v>-509.58</v>
      </c>
      <c r="Y66" s="2"/>
      <c r="Z66" s="7">
        <f t="shared" si="54"/>
        <v>-1</v>
      </c>
    </row>
    <row r="67" spans="1:26" s="23" customFormat="1" hidden="1" outlineLevel="2" x14ac:dyDescent="0.25">
      <c r="A67" s="27"/>
      <c r="B67" s="10" t="str">
        <f>CONCATENATE("          ", "6248", " - ", "UNIFORMS")</f>
        <v xml:space="preserve">          6248 - UNIFORMS</v>
      </c>
      <c r="C67" s="10"/>
      <c r="D67" s="6"/>
      <c r="E67" s="2"/>
      <c r="F67" s="7">
        <f t="shared" si="47"/>
        <v>0</v>
      </c>
      <c r="G67" s="2"/>
      <c r="H67" s="6"/>
      <c r="I67" s="2"/>
      <c r="J67" s="7">
        <f t="shared" si="48"/>
        <v>0</v>
      </c>
      <c r="K67" s="2"/>
      <c r="L67" s="6">
        <f t="shared" si="49"/>
        <v>0</v>
      </c>
      <c r="M67" s="2"/>
      <c r="N67" s="7">
        <f t="shared" si="50"/>
        <v>0</v>
      </c>
      <c r="O67" s="10"/>
      <c r="P67" s="6"/>
      <c r="Q67" s="2"/>
      <c r="R67" s="7">
        <f t="shared" si="51"/>
        <v>0</v>
      </c>
      <c r="S67" s="2"/>
      <c r="T67" s="6">
        <v>1292.6600000000001</v>
      </c>
      <c r="U67" s="2"/>
      <c r="V67" s="7">
        <f t="shared" si="52"/>
        <v>3.4019708618903419E-3</v>
      </c>
      <c r="W67" s="2"/>
      <c r="X67" s="6">
        <f t="shared" si="53"/>
        <v>-1292.6600000000001</v>
      </c>
      <c r="Y67" s="2"/>
      <c r="Z67" s="7">
        <f t="shared" si="54"/>
        <v>-1</v>
      </c>
    </row>
    <row r="68" spans="1:26" s="26" customFormat="1" outlineLevel="1" collapsed="1" x14ac:dyDescent="0.25">
      <c r="A68" s="25"/>
      <c r="B68" s="12" t="str">
        <f>CONCATENATE("     ","Telephone/Data Lines                              ")</f>
        <v xml:space="preserve">     Telephone/Data Lines                              </v>
      </c>
      <c r="C68" s="12"/>
      <c r="D68" s="1">
        <f>SUM(OSRRefD22_12x_0)</f>
        <v>36</v>
      </c>
      <c r="E68" s="1"/>
      <c r="F68" s="5">
        <f t="shared" ref="F68:F71" si="55">IF(D$12=0,0,D68/D$12)</f>
        <v>0</v>
      </c>
      <c r="G68" s="1"/>
      <c r="H68" s="1">
        <f>SUM(OSRRefH22_12x_0)</f>
        <v>182.97</v>
      </c>
      <c r="I68" s="1"/>
      <c r="J68" s="5">
        <f t="shared" ref="J68:J71" si="56">IF(H$12=0,0,H68/H$12)</f>
        <v>0</v>
      </c>
      <c r="K68" s="1"/>
      <c r="L68" s="1">
        <f t="shared" ref="L68:L71" si="57">+D68-H68</f>
        <v>-146.97</v>
      </c>
      <c r="M68" s="1"/>
      <c r="N68" s="5">
        <f t="shared" ref="N68:N71" si="58">IF(H68=0,0,L68/H68)</f>
        <v>-0.80324643384161343</v>
      </c>
      <c r="O68" s="12"/>
      <c r="P68" s="1">
        <f>SUM(OSRRefP22_12x_0)</f>
        <v>437.03</v>
      </c>
      <c r="Q68" s="1"/>
      <c r="R68" s="5">
        <f t="shared" ref="R68:R71" si="59">IF(P$12=0,0,P68/P$12)</f>
        <v>0</v>
      </c>
      <c r="S68" s="1"/>
      <c r="T68" s="1">
        <f>SUM(OSRRefT22_12x_0)</f>
        <v>1993.98</v>
      </c>
      <c r="U68" s="1"/>
      <c r="V68" s="5">
        <f t="shared" ref="V68:V71" si="60">IF(T$12=0,0,T68/T$12)</f>
        <v>5.2476767743970601E-3</v>
      </c>
      <c r="W68" s="1"/>
      <c r="X68" s="1">
        <f t="shared" ref="X68:X71" si="61">+P68-T68</f>
        <v>-1556.95</v>
      </c>
      <c r="Y68" s="1"/>
      <c r="Z68" s="5">
        <f t="shared" ref="Z68:Z71" si="62">IF(T68=0,0,X68/T68)</f>
        <v>-0.7808252841051565</v>
      </c>
    </row>
    <row r="69" spans="1:26" s="23" customFormat="1" hidden="1" outlineLevel="2" x14ac:dyDescent="0.25">
      <c r="A69" s="27"/>
      <c r="B69" s="10" t="str">
        <f>CONCATENATE("          ", "6309", " - ", "TELEPHONE")</f>
        <v xml:space="preserve">          6309 - TELEPHONE</v>
      </c>
      <c r="C69" s="10"/>
      <c r="D69" s="6">
        <v>36</v>
      </c>
      <c r="E69" s="2"/>
      <c r="F69" s="7">
        <f t="shared" si="55"/>
        <v>0</v>
      </c>
      <c r="G69" s="2"/>
      <c r="H69" s="6">
        <v>182.97</v>
      </c>
      <c r="I69" s="2"/>
      <c r="J69" s="7">
        <f t="shared" si="56"/>
        <v>0</v>
      </c>
      <c r="K69" s="2"/>
      <c r="L69" s="6">
        <f t="shared" si="57"/>
        <v>-146.97</v>
      </c>
      <c r="M69" s="2"/>
      <c r="N69" s="7">
        <f t="shared" si="58"/>
        <v>-0.80324643384161343</v>
      </c>
      <c r="O69" s="10"/>
      <c r="P69" s="6">
        <v>437.03</v>
      </c>
      <c r="Q69" s="2"/>
      <c r="R69" s="7">
        <f t="shared" si="59"/>
        <v>0</v>
      </c>
      <c r="S69" s="2"/>
      <c r="T69" s="6">
        <v>1993.98</v>
      </c>
      <c r="U69" s="2"/>
      <c r="V69" s="7">
        <f t="shared" si="60"/>
        <v>5.2476767743970601E-3</v>
      </c>
      <c r="W69" s="2"/>
      <c r="X69" s="6">
        <f t="shared" si="61"/>
        <v>-1556.95</v>
      </c>
      <c r="Y69" s="2"/>
      <c r="Z69" s="7">
        <f t="shared" si="62"/>
        <v>-0.7808252841051565</v>
      </c>
    </row>
    <row r="70" spans="1:26" s="26" customFormat="1" outlineLevel="1" collapsed="1" x14ac:dyDescent="0.25">
      <c r="A70" s="25"/>
      <c r="B70" s="12" t="str">
        <f>CONCATENATE("     ","Training                                          ")</f>
        <v xml:space="preserve">     Training                                          </v>
      </c>
      <c r="C70" s="12"/>
      <c r="D70" s="1">
        <f>SUM(OSRRefD22_13x_0)</f>
        <v>0</v>
      </c>
      <c r="E70" s="1"/>
      <c r="F70" s="5">
        <f t="shared" si="55"/>
        <v>0</v>
      </c>
      <c r="G70" s="1"/>
      <c r="H70" s="1">
        <f>SUM(OSRRefH22_13x_0)</f>
        <v>0</v>
      </c>
      <c r="I70" s="1"/>
      <c r="J70" s="5">
        <f t="shared" si="56"/>
        <v>0</v>
      </c>
      <c r="K70" s="1"/>
      <c r="L70" s="1">
        <f t="shared" si="57"/>
        <v>0</v>
      </c>
      <c r="M70" s="1"/>
      <c r="N70" s="5">
        <f t="shared" si="58"/>
        <v>0</v>
      </c>
      <c r="O70" s="12"/>
      <c r="P70" s="1">
        <f>SUM(OSRRefP22_13x_0)</f>
        <v>0</v>
      </c>
      <c r="Q70" s="1"/>
      <c r="R70" s="5">
        <f t="shared" si="59"/>
        <v>0</v>
      </c>
      <c r="S70" s="1"/>
      <c r="T70" s="1">
        <f>SUM(OSRRefT22_13x_0)</f>
        <v>175</v>
      </c>
      <c r="U70" s="1"/>
      <c r="V70" s="5">
        <f t="shared" si="60"/>
        <v>4.605579973317112E-4</v>
      </c>
      <c r="W70" s="1"/>
      <c r="X70" s="1">
        <f t="shared" si="61"/>
        <v>-175</v>
      </c>
      <c r="Y70" s="1"/>
      <c r="Z70" s="5">
        <f t="shared" si="62"/>
        <v>-1</v>
      </c>
    </row>
    <row r="71" spans="1:26" s="23" customFormat="1" hidden="1" outlineLevel="2" x14ac:dyDescent="0.25">
      <c r="A71" s="27"/>
      <c r="B71" s="10" t="str">
        <f>CONCATENATE("          ", "6376", " - ", "TRAINING")</f>
        <v xml:space="preserve">          6376 - TRAINING</v>
      </c>
      <c r="C71" s="10"/>
      <c r="D71" s="6"/>
      <c r="E71" s="2"/>
      <c r="F71" s="7">
        <f t="shared" si="55"/>
        <v>0</v>
      </c>
      <c r="G71" s="2"/>
      <c r="H71" s="6"/>
      <c r="I71" s="2"/>
      <c r="J71" s="7">
        <f t="shared" si="56"/>
        <v>0</v>
      </c>
      <c r="K71" s="2"/>
      <c r="L71" s="6">
        <f t="shared" si="57"/>
        <v>0</v>
      </c>
      <c r="M71" s="2"/>
      <c r="N71" s="7">
        <f t="shared" si="58"/>
        <v>0</v>
      </c>
      <c r="O71" s="10"/>
      <c r="P71" s="6"/>
      <c r="Q71" s="2"/>
      <c r="R71" s="7">
        <f t="shared" si="59"/>
        <v>0</v>
      </c>
      <c r="S71" s="2"/>
      <c r="T71" s="6">
        <v>175</v>
      </c>
      <c r="U71" s="2"/>
      <c r="V71" s="7">
        <f t="shared" si="60"/>
        <v>4.605579973317112E-4</v>
      </c>
      <c r="W71" s="2"/>
      <c r="X71" s="6">
        <f t="shared" si="61"/>
        <v>-175</v>
      </c>
      <c r="Y71" s="2"/>
      <c r="Z71" s="7">
        <f t="shared" si="62"/>
        <v>-1</v>
      </c>
    </row>
    <row r="72" spans="1:26" s="62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4" customFormat="1" x14ac:dyDescent="0.25">
      <c r="A73" s="11"/>
      <c r="B73" s="28" t="s">
        <v>292</v>
      </c>
      <c r="C73" s="11"/>
      <c r="D73" s="4">
        <f>SUM(0)</f>
        <v>0</v>
      </c>
      <c r="E73" s="4"/>
      <c r="F73" s="13">
        <f>IF(D$12=0,0,D73/D$12)</f>
        <v>0</v>
      </c>
      <c r="G73" s="4"/>
      <c r="H73" s="4">
        <f>SUM(0)</f>
        <v>0</v>
      </c>
      <c r="I73" s="4"/>
      <c r="J73" s="13">
        <f>IF(H$12=0,0,H73/H$12)</f>
        <v>0</v>
      </c>
      <c r="K73" s="4"/>
      <c r="L73" s="4">
        <f>+D73-H73</f>
        <v>0</v>
      </c>
      <c r="M73" s="4"/>
      <c r="N73" s="13">
        <f>IF(H73=0,0,L73/H73)</f>
        <v>0</v>
      </c>
      <c r="O73" s="11"/>
      <c r="P73" s="4">
        <f>SUM(0)</f>
        <v>0</v>
      </c>
      <c r="Q73" s="4"/>
      <c r="R73" s="13">
        <f>IF(P$12=0,0,P73/P$12)</f>
        <v>0</v>
      </c>
      <c r="S73" s="4"/>
      <c r="T73" s="4">
        <f>SUM(0)</f>
        <v>0</v>
      </c>
      <c r="U73" s="4"/>
      <c r="V73" s="13">
        <f>IF(T$12=0,0,T73/T$12)</f>
        <v>0</v>
      </c>
      <c r="W73" s="4"/>
      <c r="X73" s="4">
        <f>+P73-T73</f>
        <v>0</v>
      </c>
      <c r="Y73" s="4"/>
      <c r="Z73" s="13">
        <f>IF(T73=0,0,X73/T73)</f>
        <v>0</v>
      </c>
    </row>
    <row r="74" spans="1:26" x14ac:dyDescent="0.25">
      <c r="A74" s="9"/>
      <c r="B74" s="11"/>
      <c r="C74" s="11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1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x14ac:dyDescent="0.25">
      <c r="A75" s="11"/>
      <c r="B75" s="29" t="s">
        <v>276</v>
      </c>
      <c r="C75" s="29"/>
      <c r="D75" s="20">
        <f>+D20-D22+D73</f>
        <v>-613.36</v>
      </c>
      <c r="E75" s="14"/>
      <c r="F75" s="22">
        <f>IF(D$12=0,0,D75/D$12)</f>
        <v>0</v>
      </c>
      <c r="G75" s="14"/>
      <c r="H75" s="20">
        <f>+H20-H22+H73</f>
        <v>-6918.03</v>
      </c>
      <c r="I75" s="14"/>
      <c r="J75" s="22">
        <f>IF(H$12=0,0,H75/H$12)</f>
        <v>0</v>
      </c>
      <c r="K75" s="16"/>
      <c r="L75" s="20">
        <f>+D75-H75</f>
        <v>6304.67</v>
      </c>
      <c r="M75" s="16"/>
      <c r="N75" s="22">
        <f>IF(H75=0,0,L75/H75)</f>
        <v>-0.91133892162942343</v>
      </c>
      <c r="O75" s="28"/>
      <c r="P75" s="20">
        <f>+P20-P22+P73</f>
        <v>-8563.57</v>
      </c>
      <c r="Q75" s="14"/>
      <c r="R75" s="22">
        <f>IF(P$12=0,0,P75/P$12)</f>
        <v>0</v>
      </c>
      <c r="S75" s="14"/>
      <c r="T75" s="20">
        <f>+T20-T22+T73</f>
        <v>-162178.88999999996</v>
      </c>
      <c r="U75" s="14"/>
      <c r="V75" s="22">
        <f>IF(T$12=0,0,T75/T$12)</f>
        <v>-0.42681591307359923</v>
      </c>
      <c r="W75" s="16"/>
      <c r="X75" s="20">
        <f>+P75-T75</f>
        <v>153615.31999999995</v>
      </c>
      <c r="Y75" s="16"/>
      <c r="Z75" s="22">
        <f>IF(T75=0,0,X75/T75)</f>
        <v>-0.94719676525101382</v>
      </c>
    </row>
    <row r="76" spans="1:26" x14ac:dyDescent="0.25">
      <c r="A76" s="9"/>
      <c r="B76" s="11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x14ac:dyDescent="0.25">
      <c r="A77" s="51"/>
      <c r="B77" s="11" t="s">
        <v>127</v>
      </c>
      <c r="C77" s="11"/>
      <c r="D77" s="4"/>
      <c r="E77" s="4"/>
      <c r="F77" s="13">
        <f>IF(D$12=0,0,D77/D$12)</f>
        <v>0</v>
      </c>
      <c r="G77" s="4"/>
      <c r="H77" s="4">
        <v>2428.19</v>
      </c>
      <c r="I77" s="4"/>
      <c r="J77" s="13">
        <f>IF(H$12=0,0,H77/H$12)</f>
        <v>0</v>
      </c>
      <c r="K77" s="4"/>
      <c r="L77" s="4">
        <f>+D77-H77</f>
        <v>-2428.19</v>
      </c>
      <c r="M77" s="4"/>
      <c r="N77" s="13">
        <f>IF(H77=0,0,L77/H77)</f>
        <v>-1</v>
      </c>
      <c r="O77" s="11"/>
      <c r="P77" s="4"/>
      <c r="Q77" s="4"/>
      <c r="R77" s="13">
        <f>IF(P$12=0,0,P77/P$12)</f>
        <v>0</v>
      </c>
      <c r="S77" s="4"/>
      <c r="T77" s="4">
        <v>43143.31</v>
      </c>
      <c r="U77" s="4"/>
      <c r="V77" s="13">
        <f>IF(T$12=0,0,T77/T$12)</f>
        <v>0.11354283686777822</v>
      </c>
      <c r="W77" s="4"/>
      <c r="X77" s="4">
        <f>+P77-T77</f>
        <v>-43143.31</v>
      </c>
      <c r="Y77" s="4"/>
      <c r="Z77" s="13">
        <f>IF(T77=0,0,X77/T77)</f>
        <v>-1</v>
      </c>
    </row>
    <row r="78" spans="1:26" x14ac:dyDescent="0.25">
      <c r="A78" s="9"/>
      <c r="B78" s="11"/>
      <c r="C78" s="11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1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4" customFormat="1" ht="15.75" thickBot="1" x14ac:dyDescent="0.3">
      <c r="A79" s="11"/>
      <c r="B79" s="29" t="s">
        <v>125</v>
      </c>
      <c r="C79" s="29"/>
      <c r="D79" s="30">
        <f>+D75-D77</f>
        <v>-613.36</v>
      </c>
      <c r="E79" s="14"/>
      <c r="F79" s="34">
        <f>IF(D$12=0,0,D79/D$12)</f>
        <v>0</v>
      </c>
      <c r="G79" s="14"/>
      <c r="H79" s="30">
        <f>+H75-H77</f>
        <v>-9346.2199999999993</v>
      </c>
      <c r="I79" s="14"/>
      <c r="J79" s="34">
        <f>IF(H$12=0,0,H79/H$12)</f>
        <v>0</v>
      </c>
      <c r="K79" s="16"/>
      <c r="L79" s="30">
        <f>D79-H79</f>
        <v>8732.8599999999988</v>
      </c>
      <c r="M79" s="16"/>
      <c r="N79" s="34">
        <f>IF(H79=0,0,L79/H79)</f>
        <v>-0.93437346863223847</v>
      </c>
      <c r="O79" s="28"/>
      <c r="P79" s="30">
        <f>+P75-P77</f>
        <v>-8563.57</v>
      </c>
      <c r="Q79" s="14"/>
      <c r="R79" s="34">
        <f>IF(P$12=0,0,P79/P$12)</f>
        <v>0</v>
      </c>
      <c r="S79" s="14"/>
      <c r="T79" s="30">
        <f>+T75-T77</f>
        <v>-205322.19999999995</v>
      </c>
      <c r="U79" s="14"/>
      <c r="V79" s="34">
        <f>IF(T$12=0,0,T79/T$12)</f>
        <v>-0.54035874994137745</v>
      </c>
      <c r="W79" s="16"/>
      <c r="X79" s="30">
        <f>P79-T79</f>
        <v>196758.62999999995</v>
      </c>
      <c r="Y79" s="16"/>
      <c r="Z79" s="34">
        <f>IF(T79=0,0,X79/T79)</f>
        <v>-0.95829204050998862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4" customFormat="1" ht="15.75" thickBot="1" x14ac:dyDescent="0.3">
      <c r="A82" s="11"/>
      <c r="B82" s="29" t="s">
        <v>293</v>
      </c>
      <c r="C82" s="29"/>
      <c r="D82" s="32">
        <f>SUM(D79:D81)</f>
        <v>-613.36</v>
      </c>
      <c r="E82" s="14"/>
      <c r="F82" s="35">
        <f>IF(D$12=0,0,D82/D$12)</f>
        <v>0</v>
      </c>
      <c r="G82" s="14"/>
      <c r="H82" s="32">
        <f>SUM(H79:H81)</f>
        <v>-9346.2199999999993</v>
      </c>
      <c r="I82" s="14"/>
      <c r="J82" s="35">
        <f>IF(H$12=0,0,H82/H$12)</f>
        <v>0</v>
      </c>
      <c r="K82" s="16"/>
      <c r="L82" s="32">
        <f>+D82-H82</f>
        <v>8732.8599999999988</v>
      </c>
      <c r="M82" s="16"/>
      <c r="N82" s="35">
        <f>IF(H82=0,0,L82/H82)</f>
        <v>-0.93437346863223847</v>
      </c>
      <c r="O82" s="28"/>
      <c r="P82" s="32">
        <f>SUM(P79:P81)</f>
        <v>-8563.57</v>
      </c>
      <c r="Q82" s="14"/>
      <c r="R82" s="35">
        <f>IF(P$12=0,0,P82/P$12)</f>
        <v>0</v>
      </c>
      <c r="S82" s="14"/>
      <c r="T82" s="32">
        <f>SUM(T79:T81)</f>
        <v>-205322.19999999995</v>
      </c>
      <c r="U82" s="14"/>
      <c r="V82" s="35">
        <f>IF(T$12=0,0,T82/T$12)</f>
        <v>-0.54035874994137745</v>
      </c>
      <c r="W82" s="16"/>
      <c r="X82" s="32">
        <f>+P82-T82</f>
        <v>196758.62999999995</v>
      </c>
      <c r="Y82" s="16"/>
      <c r="Z82" s="35">
        <f>IF(T82=0,0,X82/T82)</f>
        <v>-0.95829204050998862</v>
      </c>
    </row>
    <row r="83" spans="1:26" ht="15.75" thickTop="1" x14ac:dyDescent="0.25">
      <c r="A83" s="9"/>
      <c r="C83" s="9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25">
      <c r="A84" s="9"/>
      <c r="B84" s="59">
        <v>44330.00886898148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52" t="s">
        <v>56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55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","413", " - ", "Beach Walk")</f>
        <v>Department 413 - Beach Walk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255048.55</v>
      </c>
      <c r="U12" s="4"/>
      <c r="V12" s="13"/>
      <c r="W12" s="4"/>
      <c r="X12" s="4">
        <f t="shared" ref="X12:X14" si="2">+P12-T12</f>
        <v>-255048.55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--57510.69</f>
        <v>57510.69</v>
      </c>
      <c r="U13" s="2"/>
      <c r="V13" s="19"/>
      <c r="W13" s="2"/>
      <c r="X13" s="2">
        <f t="shared" si="2"/>
        <v>-57510.69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--197537.86</f>
        <v>197537.86</v>
      </c>
      <c r="U14" s="2"/>
      <c r="V14" s="19"/>
      <c r="W14" s="2"/>
      <c r="X14" s="2">
        <f t="shared" si="2"/>
        <v>-197537.86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9325</v>
      </c>
      <c r="I16" s="4"/>
      <c r="J16" s="13">
        <f t="shared" ref="J16:J18" si="8">IF(H$12=0,0,H16/H$12)</f>
        <v>0</v>
      </c>
      <c r="K16" s="4"/>
      <c r="L16" s="4">
        <f t="shared" ref="L16:L18" si="9">+D16-H16</f>
        <v>-9325</v>
      </c>
      <c r="M16" s="4"/>
      <c r="N16" s="13">
        <f t="shared" ref="N16:N18" si="10">IF(H16=0,0,L16/H16)</f>
        <v>-1</v>
      </c>
      <c r="O16" s="11"/>
      <c r="P16" s="4">
        <f>SUM(OSRRefP16x_0)</f>
        <v>0</v>
      </c>
      <c r="Q16" s="4"/>
      <c r="R16" s="13">
        <f t="shared" ref="R16:R18" si="11">IF(P$12=0,0,P16/P$12)</f>
        <v>0</v>
      </c>
      <c r="S16" s="4"/>
      <c r="T16" s="4">
        <f>SUM(OSRRefT16x_0)</f>
        <v>92282.46</v>
      </c>
      <c r="U16" s="4"/>
      <c r="V16" s="13">
        <f t="shared" ref="V16:V18" si="12">IF(T$12=0,0,T16/T$12)</f>
        <v>0.36182311171735737</v>
      </c>
      <c r="W16" s="4"/>
      <c r="X16" s="4">
        <f t="shared" ref="X16:X18" si="13">+P16-T16</f>
        <v>-92282.46</v>
      </c>
      <c r="Y16" s="4"/>
      <c r="Z16" s="13">
        <f t="shared" ref="Z16:Z18" si="14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0"/>
      <c r="P17" s="2"/>
      <c r="Q17" s="2"/>
      <c r="R17" s="19">
        <f t="shared" si="11"/>
        <v>0</v>
      </c>
      <c r="S17" s="2"/>
      <c r="T17" s="2">
        <v>90960.52</v>
      </c>
      <c r="U17" s="2"/>
      <c r="V17" s="19">
        <f t="shared" si="12"/>
        <v>0.35664002010597595</v>
      </c>
      <c r="W17" s="2"/>
      <c r="X17" s="2">
        <f t="shared" si="13"/>
        <v>-90960.52</v>
      </c>
      <c r="Y17" s="2"/>
      <c r="Z17" s="19">
        <f t="shared" si="14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>
        <v>9325</v>
      </c>
      <c r="I18" s="2"/>
      <c r="J18" s="19">
        <f t="shared" si="8"/>
        <v>0</v>
      </c>
      <c r="K18" s="2"/>
      <c r="L18" s="2">
        <f t="shared" si="9"/>
        <v>-9325</v>
      </c>
      <c r="M18" s="2"/>
      <c r="N18" s="19">
        <f t="shared" si="10"/>
        <v>-1</v>
      </c>
      <c r="O18" s="10"/>
      <c r="P18" s="2"/>
      <c r="Q18" s="2"/>
      <c r="R18" s="19">
        <f t="shared" si="11"/>
        <v>0</v>
      </c>
      <c r="S18" s="2"/>
      <c r="T18" s="2">
        <v>1321.94</v>
      </c>
      <c r="U18" s="2"/>
      <c r="V18" s="19">
        <f t="shared" si="12"/>
        <v>5.183091611381441E-3</v>
      </c>
      <c r="W18" s="2"/>
      <c r="X18" s="2">
        <f t="shared" si="13"/>
        <v>-1321.94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-9325</v>
      </c>
      <c r="I20" s="14"/>
      <c r="J20" s="22">
        <f>IF(H$12=0,0,H20/H$12)</f>
        <v>0</v>
      </c>
      <c r="K20" s="16"/>
      <c r="L20" s="20">
        <f>+D20-H20</f>
        <v>9325</v>
      </c>
      <c r="M20" s="16"/>
      <c r="N20" s="22">
        <f>IF(H20=0,0,L20/H20)</f>
        <v>-1</v>
      </c>
      <c r="O20" s="28"/>
      <c r="P20" s="20">
        <f>P12-P16</f>
        <v>0</v>
      </c>
      <c r="Q20" s="14"/>
      <c r="R20" s="22">
        <f>IF(P$12=0,0,P20/P$12)</f>
        <v>0</v>
      </c>
      <c r="S20" s="14"/>
      <c r="T20" s="20">
        <f>T12-T16</f>
        <v>162766.08999999997</v>
      </c>
      <c r="U20" s="14"/>
      <c r="V20" s="22">
        <f>IF(T$12=0,0,T20/T$12)</f>
        <v>0.63817688828264252</v>
      </c>
      <c r="W20" s="16"/>
      <c r="X20" s="20">
        <f>+P20-T20</f>
        <v>-162766.08999999997</v>
      </c>
      <c r="Y20" s="16"/>
      <c r="Z20" s="22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58.03</v>
      </c>
      <c r="E22" s="21"/>
      <c r="F22" s="31">
        <f t="shared" ref="F22:F31" si="15">IF(D$12=0,0,D22/D$12)</f>
        <v>0</v>
      </c>
      <c r="G22" s="21"/>
      <c r="H22" s="21">
        <f>SUM(OSRRefH22x_0)</f>
        <v>4817.079999999999</v>
      </c>
      <c r="I22" s="21"/>
      <c r="J22" s="31">
        <f t="shared" ref="J22:J31" si="16">IF(H$12=0,0,H22/H$12)</f>
        <v>0</v>
      </c>
      <c r="K22" s="4"/>
      <c r="L22" s="21">
        <f t="shared" ref="L22:L31" si="17">+D22-H22</f>
        <v>-4759.0499999999993</v>
      </c>
      <c r="M22" s="4"/>
      <c r="N22" s="31">
        <f t="shared" ref="N22:N31" si="18">IF(H22=0,0,L22/H22)</f>
        <v>-0.98795328290167495</v>
      </c>
      <c r="O22" s="11"/>
      <c r="P22" s="21">
        <f>SUM(OSRRefP22x_0)</f>
        <v>5245.38</v>
      </c>
      <c r="Q22" s="21"/>
      <c r="R22" s="31">
        <f t="shared" ref="R22:R31" si="19">IF(P$12=0,0,P22/P$12)</f>
        <v>0</v>
      </c>
      <c r="S22" s="21"/>
      <c r="T22" s="21">
        <f>SUM(OSRRefT22x_0)</f>
        <v>188843.53999999995</v>
      </c>
      <c r="U22" s="21"/>
      <c r="V22" s="31">
        <f t="shared" ref="V22:V31" si="20">IF(T$12=0,0,T22/T$12)</f>
        <v>0.74042193143227031</v>
      </c>
      <c r="W22" s="4"/>
      <c r="X22" s="21">
        <f t="shared" ref="X22:X31" si="21">+P22-T22</f>
        <v>-183598.15999999995</v>
      </c>
      <c r="Y22" s="4"/>
      <c r="Z22" s="31">
        <f t="shared" ref="Z22:Z31" si="22">IF(T22=0,0,X22/T22)</f>
        <v>-0.97222367257042519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2720.6</v>
      </c>
      <c r="I23" s="1"/>
      <c r="J23" s="5">
        <f t="shared" si="16"/>
        <v>0</v>
      </c>
      <c r="K23" s="1"/>
      <c r="L23" s="1">
        <f t="shared" si="17"/>
        <v>-2720.6</v>
      </c>
      <c r="M23" s="1"/>
      <c r="N23" s="5">
        <f t="shared" si="18"/>
        <v>-1</v>
      </c>
      <c r="O23" s="12"/>
      <c r="P23" s="1">
        <f>SUM(OSRRefP22_0x_0)</f>
        <v>1493.43</v>
      </c>
      <c r="Q23" s="1"/>
      <c r="R23" s="5">
        <f t="shared" si="19"/>
        <v>0</v>
      </c>
      <c r="S23" s="1"/>
      <c r="T23" s="1">
        <f>SUM(OSRRefT22_0x_0)</f>
        <v>35281.060000000005</v>
      </c>
      <c r="U23" s="1"/>
      <c r="V23" s="5">
        <f t="shared" si="20"/>
        <v>0.1383307609472785</v>
      </c>
      <c r="W23" s="1"/>
      <c r="X23" s="1">
        <f t="shared" si="21"/>
        <v>-33787.630000000005</v>
      </c>
      <c r="Y23" s="1"/>
      <c r="Z23" s="5">
        <f t="shared" si="22"/>
        <v>-0.95767048949209577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>
        <v>605.75</v>
      </c>
      <c r="I24" s="2"/>
      <c r="J24" s="7">
        <f t="shared" si="16"/>
        <v>0</v>
      </c>
      <c r="K24" s="2"/>
      <c r="L24" s="6">
        <f t="shared" si="17"/>
        <v>-605.75</v>
      </c>
      <c r="M24" s="2"/>
      <c r="N24" s="7">
        <f t="shared" si="18"/>
        <v>-1</v>
      </c>
      <c r="O24" s="10"/>
      <c r="P24" s="6">
        <v>191.51</v>
      </c>
      <c r="Q24" s="2"/>
      <c r="R24" s="7">
        <f t="shared" si="19"/>
        <v>0</v>
      </c>
      <c r="S24" s="2"/>
      <c r="T24" s="6">
        <v>6915.76</v>
      </c>
      <c r="U24" s="2"/>
      <c r="V24" s="7">
        <f t="shared" si="20"/>
        <v>2.711546487913772E-2</v>
      </c>
      <c r="W24" s="2"/>
      <c r="X24" s="6">
        <f t="shared" si="21"/>
        <v>-6724.25</v>
      </c>
      <c r="Y24" s="2"/>
      <c r="Z24" s="7">
        <f t="shared" si="22"/>
        <v>-0.97230817726468233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>
        <v>241.25</v>
      </c>
      <c r="I25" s="2"/>
      <c r="J25" s="7">
        <f t="shared" si="16"/>
        <v>0</v>
      </c>
      <c r="K25" s="2"/>
      <c r="L25" s="6">
        <f t="shared" si="17"/>
        <v>-241.25</v>
      </c>
      <c r="M25" s="2"/>
      <c r="N25" s="7">
        <f t="shared" si="18"/>
        <v>-1</v>
      </c>
      <c r="O25" s="10"/>
      <c r="P25" s="6"/>
      <c r="Q25" s="2"/>
      <c r="R25" s="7">
        <f t="shared" si="19"/>
        <v>0</v>
      </c>
      <c r="S25" s="2"/>
      <c r="T25" s="6">
        <v>4287.18</v>
      </c>
      <c r="U25" s="2"/>
      <c r="V25" s="7">
        <f t="shared" si="20"/>
        <v>1.6809270235019963E-2</v>
      </c>
      <c r="W25" s="2"/>
      <c r="X25" s="6">
        <f t="shared" si="21"/>
        <v>-4287.18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>
        <v>718.51</v>
      </c>
      <c r="I26" s="2"/>
      <c r="J26" s="7">
        <f t="shared" si="16"/>
        <v>0</v>
      </c>
      <c r="K26" s="2"/>
      <c r="L26" s="6">
        <f t="shared" si="17"/>
        <v>-718.51</v>
      </c>
      <c r="M26" s="2"/>
      <c r="N26" s="7">
        <f t="shared" si="18"/>
        <v>-1</v>
      </c>
      <c r="O26" s="10"/>
      <c r="P26" s="6">
        <v>718.51</v>
      </c>
      <c r="Q26" s="2"/>
      <c r="R26" s="7">
        <f t="shared" si="19"/>
        <v>0</v>
      </c>
      <c r="S26" s="2"/>
      <c r="T26" s="6">
        <v>12581.36</v>
      </c>
      <c r="U26" s="2"/>
      <c r="V26" s="7">
        <f t="shared" si="20"/>
        <v>4.9329274759648704E-2</v>
      </c>
      <c r="W26" s="2"/>
      <c r="X26" s="6">
        <f t="shared" si="21"/>
        <v>-11862.85</v>
      </c>
      <c r="Y26" s="2"/>
      <c r="Z26" s="7">
        <f t="shared" si="22"/>
        <v>-0.94289091163435435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>
        <v>16.170000000000002</v>
      </c>
      <c r="I27" s="2"/>
      <c r="J27" s="7">
        <f t="shared" si="16"/>
        <v>0</v>
      </c>
      <c r="K27" s="2"/>
      <c r="L27" s="6">
        <f t="shared" si="17"/>
        <v>-16.170000000000002</v>
      </c>
      <c r="M27" s="2"/>
      <c r="N27" s="7">
        <f t="shared" si="18"/>
        <v>-1</v>
      </c>
      <c r="O27" s="10"/>
      <c r="P27" s="6"/>
      <c r="Q27" s="2"/>
      <c r="R27" s="7">
        <f t="shared" si="19"/>
        <v>0</v>
      </c>
      <c r="S27" s="2"/>
      <c r="T27" s="6">
        <v>337.12</v>
      </c>
      <c r="U27" s="2"/>
      <c r="V27" s="7">
        <f t="shared" si="20"/>
        <v>1.3217875577022492E-3</v>
      </c>
      <c r="W27" s="2"/>
      <c r="X27" s="6">
        <f t="shared" si="21"/>
        <v>-337.12</v>
      </c>
      <c r="Y27" s="2"/>
      <c r="Z27" s="7">
        <f t="shared" si="22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>
        <v>340.69</v>
      </c>
      <c r="I28" s="2"/>
      <c r="J28" s="7">
        <f t="shared" si="16"/>
        <v>0</v>
      </c>
      <c r="K28" s="2"/>
      <c r="L28" s="6">
        <f t="shared" si="17"/>
        <v>-340.69</v>
      </c>
      <c r="M28" s="2"/>
      <c r="N28" s="7">
        <f t="shared" si="18"/>
        <v>-1</v>
      </c>
      <c r="O28" s="10"/>
      <c r="P28" s="6">
        <v>377.03</v>
      </c>
      <c r="Q28" s="2"/>
      <c r="R28" s="7">
        <f t="shared" si="19"/>
        <v>0</v>
      </c>
      <c r="S28" s="2"/>
      <c r="T28" s="6">
        <v>3449.72</v>
      </c>
      <c r="U28" s="2"/>
      <c r="V28" s="7">
        <f t="shared" si="20"/>
        <v>1.3525738530958125E-2</v>
      </c>
      <c r="W28" s="2"/>
      <c r="X28" s="6">
        <f t="shared" si="21"/>
        <v>-3072.6899999999996</v>
      </c>
      <c r="Y28" s="2"/>
      <c r="Z28" s="7">
        <f t="shared" si="22"/>
        <v>-0.89070707187829734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>
        <v>334.03</v>
      </c>
      <c r="I29" s="2"/>
      <c r="J29" s="7">
        <f t="shared" si="16"/>
        <v>0</v>
      </c>
      <c r="K29" s="2"/>
      <c r="L29" s="6">
        <f t="shared" si="17"/>
        <v>-334.03</v>
      </c>
      <c r="M29" s="2"/>
      <c r="N29" s="7">
        <f t="shared" si="18"/>
        <v>-1</v>
      </c>
      <c r="O29" s="10"/>
      <c r="P29" s="6">
        <v>93.89</v>
      </c>
      <c r="Q29" s="2"/>
      <c r="R29" s="7">
        <f t="shared" si="19"/>
        <v>0</v>
      </c>
      <c r="S29" s="2"/>
      <c r="T29" s="6">
        <v>3236.94</v>
      </c>
      <c r="U29" s="2"/>
      <c r="V29" s="7">
        <f t="shared" si="20"/>
        <v>1.269146599735619E-2</v>
      </c>
      <c r="W29" s="2"/>
      <c r="X29" s="6">
        <f t="shared" si="21"/>
        <v>-3143.05</v>
      </c>
      <c r="Y29" s="2"/>
      <c r="Z29" s="7">
        <f t="shared" si="22"/>
        <v>-0.97099421058159874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>
        <v>400.2</v>
      </c>
      <c r="I30" s="2"/>
      <c r="J30" s="7">
        <f t="shared" si="16"/>
        <v>0</v>
      </c>
      <c r="K30" s="2"/>
      <c r="L30" s="6">
        <f t="shared" si="17"/>
        <v>-400.2</v>
      </c>
      <c r="M30" s="2"/>
      <c r="N30" s="7">
        <f t="shared" si="18"/>
        <v>-1</v>
      </c>
      <c r="O30" s="10"/>
      <c r="P30" s="6">
        <v>112.49</v>
      </c>
      <c r="Q30" s="2"/>
      <c r="R30" s="7">
        <f t="shared" si="19"/>
        <v>0</v>
      </c>
      <c r="S30" s="2"/>
      <c r="T30" s="6">
        <v>3292.86</v>
      </c>
      <c r="U30" s="2"/>
      <c r="V30" s="7">
        <f t="shared" si="20"/>
        <v>1.291071837107092E-2</v>
      </c>
      <c r="W30" s="2"/>
      <c r="X30" s="6">
        <f t="shared" si="21"/>
        <v>-3180.3700000000003</v>
      </c>
      <c r="Y30" s="2"/>
      <c r="Z30" s="7">
        <f t="shared" si="22"/>
        <v>-0.96583820751565519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>
        <v>64</v>
      </c>
      <c r="I31" s="2"/>
      <c r="J31" s="7">
        <f t="shared" si="16"/>
        <v>0</v>
      </c>
      <c r="K31" s="2"/>
      <c r="L31" s="6">
        <f t="shared" si="17"/>
        <v>-64</v>
      </c>
      <c r="M31" s="2"/>
      <c r="N31" s="7">
        <f t="shared" si="18"/>
        <v>-1</v>
      </c>
      <c r="O31" s="10"/>
      <c r="P31" s="6"/>
      <c r="Q31" s="2"/>
      <c r="R31" s="7">
        <f t="shared" si="19"/>
        <v>0</v>
      </c>
      <c r="S31" s="2"/>
      <c r="T31" s="6">
        <v>1180.1199999999999</v>
      </c>
      <c r="U31" s="2"/>
      <c r="V31" s="7">
        <f t="shared" si="20"/>
        <v>4.6270406163846055E-3</v>
      </c>
      <c r="W31" s="2"/>
      <c r="X31" s="6">
        <f t="shared" si="21"/>
        <v>-1180.1199999999999</v>
      </c>
      <c r="Y31" s="2"/>
      <c r="Z31" s="7">
        <f t="shared" si="22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7" si="23">IF(D$12=0,0,D32/D$12)</f>
        <v>0</v>
      </c>
      <c r="G32" s="1"/>
      <c r="H32" s="1">
        <f>SUM(OSRRefH22_1x_0)</f>
        <v>1785.26</v>
      </c>
      <c r="I32" s="1"/>
      <c r="J32" s="5">
        <f t="shared" ref="J32:J37" si="24">IF(H$12=0,0,H32/H$12)</f>
        <v>0</v>
      </c>
      <c r="K32" s="1"/>
      <c r="L32" s="1">
        <f t="shared" ref="L32:L37" si="25">+D32-H32</f>
        <v>-1785.26</v>
      </c>
      <c r="M32" s="1"/>
      <c r="N32" s="5">
        <f t="shared" ref="N32:N37" si="26">IF(H32=0,0,L32/H32)</f>
        <v>-1</v>
      </c>
      <c r="O32" s="12"/>
      <c r="P32" s="1">
        <f>SUM(OSRRefP22_1x_0)</f>
        <v>2259.48</v>
      </c>
      <c r="Q32" s="1"/>
      <c r="R32" s="5">
        <f t="shared" ref="R32:R37" si="27">IF(P$12=0,0,P32/P$12)</f>
        <v>0</v>
      </c>
      <c r="S32" s="1"/>
      <c r="T32" s="1">
        <f>SUM(OSRRefT22_1x_0)</f>
        <v>118718.44</v>
      </c>
      <c r="U32" s="1"/>
      <c r="V32" s="5">
        <f t="shared" ref="V32:V37" si="28">IF(T$12=0,0,T32/T$12)</f>
        <v>0.46547388722656924</v>
      </c>
      <c r="W32" s="1"/>
      <c r="X32" s="1">
        <f t="shared" ref="X32:X37" si="29">+P32-T32</f>
        <v>-116458.96</v>
      </c>
      <c r="Y32" s="1"/>
      <c r="Z32" s="5">
        <f t="shared" ref="Z32:Z37" si="30">IF(T32=0,0,X32/T32)</f>
        <v>-0.98096774182679625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>
        <v>1581.26</v>
      </c>
      <c r="I33" s="2"/>
      <c r="J33" s="7">
        <f t="shared" si="24"/>
        <v>0</v>
      </c>
      <c r="K33" s="2"/>
      <c r="L33" s="6">
        <f t="shared" si="25"/>
        <v>-1581.26</v>
      </c>
      <c r="M33" s="2"/>
      <c r="N33" s="7">
        <f t="shared" si="26"/>
        <v>-1</v>
      </c>
      <c r="O33" s="10"/>
      <c r="P33" s="6">
        <v>2259.48</v>
      </c>
      <c r="Q33" s="2"/>
      <c r="R33" s="7">
        <f t="shared" si="27"/>
        <v>0</v>
      </c>
      <c r="S33" s="2"/>
      <c r="T33" s="6">
        <v>45271.62</v>
      </c>
      <c r="U33" s="2"/>
      <c r="V33" s="7">
        <f t="shared" si="28"/>
        <v>0.17750196972301943</v>
      </c>
      <c r="W33" s="2"/>
      <c r="X33" s="6">
        <f t="shared" si="29"/>
        <v>-43012.14</v>
      </c>
      <c r="Y33" s="2"/>
      <c r="Z33" s="7">
        <f t="shared" si="30"/>
        <v>-0.95009058655289991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3"/>
        <v>0</v>
      </c>
      <c r="G34" s="2"/>
      <c r="H34" s="6">
        <v>408</v>
      </c>
      <c r="I34" s="2"/>
      <c r="J34" s="7">
        <f t="shared" si="24"/>
        <v>0</v>
      </c>
      <c r="K34" s="2"/>
      <c r="L34" s="6">
        <f t="shared" si="25"/>
        <v>-408</v>
      </c>
      <c r="M34" s="2"/>
      <c r="N34" s="7">
        <f t="shared" si="26"/>
        <v>-1</v>
      </c>
      <c r="O34" s="10"/>
      <c r="P34" s="6"/>
      <c r="Q34" s="2"/>
      <c r="R34" s="7">
        <f t="shared" si="27"/>
        <v>0</v>
      </c>
      <c r="S34" s="2"/>
      <c r="T34" s="6">
        <v>2483.52</v>
      </c>
      <c r="U34" s="2"/>
      <c r="V34" s="7">
        <f t="shared" si="28"/>
        <v>9.7374401854078366E-3</v>
      </c>
      <c r="W34" s="2"/>
      <c r="X34" s="6">
        <f t="shared" si="29"/>
        <v>-2483.52</v>
      </c>
      <c r="Y34" s="2"/>
      <c r="Z34" s="7">
        <f t="shared" si="30"/>
        <v>-1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29725.46</v>
      </c>
      <c r="U35" s="2"/>
      <c r="V35" s="7">
        <f t="shared" si="28"/>
        <v>0.116548241501471</v>
      </c>
      <c r="W35" s="2"/>
      <c r="X35" s="6">
        <f t="shared" si="29"/>
        <v>-29725.46</v>
      </c>
      <c r="Y35" s="2"/>
      <c r="Z35" s="7">
        <f t="shared" si="30"/>
        <v>-1</v>
      </c>
    </row>
    <row r="36" spans="1:26" s="23" customFormat="1" hidden="1" outlineLevel="2" x14ac:dyDescent="0.25">
      <c r="A36" s="27"/>
      <c r="B36" s="10" t="str">
        <f>CONCATENATE("          ", "6007", " - ", "STUDENT HOURLY")</f>
        <v xml:space="preserve">          6007 - STUDENT HOURLY</v>
      </c>
      <c r="C36" s="10"/>
      <c r="D36" s="6"/>
      <c r="E36" s="2"/>
      <c r="F36" s="7">
        <f t="shared" si="23"/>
        <v>0</v>
      </c>
      <c r="G36" s="2"/>
      <c r="H36" s="6">
        <v>-204</v>
      </c>
      <c r="I36" s="2"/>
      <c r="J36" s="7">
        <f t="shared" si="24"/>
        <v>0</v>
      </c>
      <c r="K36" s="2"/>
      <c r="L36" s="6">
        <f t="shared" si="25"/>
        <v>204</v>
      </c>
      <c r="M36" s="2"/>
      <c r="N36" s="7">
        <f t="shared" si="26"/>
        <v>-1</v>
      </c>
      <c r="O36" s="10"/>
      <c r="P36" s="6"/>
      <c r="Q36" s="2"/>
      <c r="R36" s="7">
        <f t="shared" si="27"/>
        <v>0</v>
      </c>
      <c r="S36" s="2"/>
      <c r="T36" s="6">
        <v>36868.25</v>
      </c>
      <c r="U36" s="2"/>
      <c r="V36" s="7">
        <f t="shared" si="28"/>
        <v>0.14455385062961543</v>
      </c>
      <c r="W36" s="2"/>
      <c r="X36" s="6">
        <f t="shared" si="29"/>
        <v>-36868.25</v>
      </c>
      <c r="Y36" s="2"/>
      <c r="Z36" s="7">
        <f t="shared" si="30"/>
        <v>-1</v>
      </c>
    </row>
    <row r="37" spans="1:26" s="23" customFormat="1" hidden="1" outlineLevel="2" x14ac:dyDescent="0.25">
      <c r="A37" s="27"/>
      <c r="B37" s="10" t="str">
        <f>CONCATENATE("          ", "6008", " - ", "STUDENT HOURLY-FICA EXEMPT")</f>
        <v xml:space="preserve">          6008 - STUDENT HOURLY-FICA EXEMPT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4369.59</v>
      </c>
      <c r="U37" s="2"/>
      <c r="V37" s="7">
        <f t="shared" si="28"/>
        <v>1.7132385187055565E-2</v>
      </c>
      <c r="W37" s="2"/>
      <c r="X37" s="6">
        <f t="shared" si="29"/>
        <v>-4369.59</v>
      </c>
      <c r="Y37" s="2"/>
      <c r="Z37" s="7">
        <f t="shared" si="30"/>
        <v>-1</v>
      </c>
    </row>
    <row r="38" spans="1:26" s="26" customFormat="1" outlineLevel="1" collapsed="1" x14ac:dyDescent="0.25">
      <c r="A38" s="25"/>
      <c r="B38" s="12" t="str">
        <f>CONCATENATE("     ","Advertising/Promo                                 ")</f>
        <v xml:space="preserve">     Advertising/Promo                                 </v>
      </c>
      <c r="C38" s="12"/>
      <c r="D38" s="1">
        <f>SUM(OSRRefD22_2x_0)</f>
        <v>0</v>
      </c>
      <c r="E38" s="1"/>
      <c r="F38" s="5">
        <f t="shared" ref="F38:F51" si="31">IF(D$12=0,0,D38/D$12)</f>
        <v>0</v>
      </c>
      <c r="G38" s="1"/>
      <c r="H38" s="1">
        <f>SUM(OSRRefH22_2x_0)</f>
        <v>0</v>
      </c>
      <c r="I38" s="1"/>
      <c r="J38" s="5">
        <f t="shared" ref="J38:J51" si="32">IF(H$12=0,0,H38/H$12)</f>
        <v>0</v>
      </c>
      <c r="K38" s="1"/>
      <c r="L38" s="1">
        <f t="shared" ref="L38:L51" si="33">+D38-H38</f>
        <v>0</v>
      </c>
      <c r="M38" s="1"/>
      <c r="N38" s="5">
        <f t="shared" ref="N38:N51" si="34">IF(H38=0,0,L38/H38)</f>
        <v>0</v>
      </c>
      <c r="O38" s="12"/>
      <c r="P38" s="1">
        <f>SUM(OSRRefP22_2x_0)</f>
        <v>0</v>
      </c>
      <c r="Q38" s="1"/>
      <c r="R38" s="5">
        <f t="shared" ref="R38:R51" si="35">IF(P$12=0,0,P38/P$12)</f>
        <v>0</v>
      </c>
      <c r="S38" s="1"/>
      <c r="T38" s="1">
        <f>SUM(OSRRefT22_2x_0)</f>
        <v>2599.63</v>
      </c>
      <c r="U38" s="1"/>
      <c r="V38" s="5">
        <f t="shared" ref="V38:V51" si="36">IF(T$12=0,0,T38/T$12)</f>
        <v>1.0192686843348061E-2</v>
      </c>
      <c r="W38" s="1"/>
      <c r="X38" s="1">
        <f t="shared" ref="X38:X51" si="37">+P38-T38</f>
        <v>-2599.63</v>
      </c>
      <c r="Y38" s="1"/>
      <c r="Z38" s="5">
        <f t="shared" ref="Z38:Z51" si="38">IF(T38=0,0,X38/T38)</f>
        <v>-1</v>
      </c>
    </row>
    <row r="39" spans="1:26" s="23" customFormat="1" hidden="1" outlineLevel="2" x14ac:dyDescent="0.25">
      <c r="A39" s="27"/>
      <c r="B39" s="10" t="str">
        <f>CONCATENATE("          ", "6362", " - ", "ADVERTISING EXPENSE")</f>
        <v xml:space="preserve">          6362 - ADVERTISING EXPENSE</v>
      </c>
      <c r="C39" s="10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/>
      <c r="Q39" s="2"/>
      <c r="R39" s="7">
        <f t="shared" si="35"/>
        <v>0</v>
      </c>
      <c r="S39" s="2"/>
      <c r="T39" s="6">
        <v>2599.63</v>
      </c>
      <c r="U39" s="2"/>
      <c r="V39" s="7">
        <f t="shared" si="36"/>
        <v>1.0192686843348061E-2</v>
      </c>
      <c r="W39" s="2"/>
      <c r="X39" s="6">
        <f t="shared" si="37"/>
        <v>-2599.63</v>
      </c>
      <c r="Y39" s="2"/>
      <c r="Z39" s="7">
        <f t="shared" si="38"/>
        <v>-1</v>
      </c>
    </row>
    <row r="40" spans="1:26" s="26" customFormat="1" outlineLevel="1" collapsed="1" x14ac:dyDescent="0.25">
      <c r="A40" s="25"/>
      <c r="B40" s="12" t="str">
        <f>CONCATENATE("     ","Bad Debts/Over/Short                              ")</f>
        <v xml:space="preserve">     Bad Debts/Over/Short                              </v>
      </c>
      <c r="C40" s="12"/>
      <c r="D40" s="1">
        <f>SUM(OSRRefD22_3x_0)</f>
        <v>0</v>
      </c>
      <c r="E40" s="1"/>
      <c r="F40" s="5">
        <f t="shared" si="31"/>
        <v>0</v>
      </c>
      <c r="G40" s="1"/>
      <c r="H40" s="1">
        <f>SUM(OSRRefH22_3x_0)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SUM(OSRRefP22_3x_0)</f>
        <v>0</v>
      </c>
      <c r="Q40" s="1"/>
      <c r="R40" s="5">
        <f t="shared" si="35"/>
        <v>0</v>
      </c>
      <c r="S40" s="1"/>
      <c r="T40" s="1">
        <f>SUM(OSRRefT22_3x_0)</f>
        <v>-48.26</v>
      </c>
      <c r="U40" s="1"/>
      <c r="V40" s="5">
        <f t="shared" si="36"/>
        <v>-1.8921887617083101E-4</v>
      </c>
      <c r="W40" s="1"/>
      <c r="X40" s="1">
        <f t="shared" si="37"/>
        <v>48.26</v>
      </c>
      <c r="Y40" s="1"/>
      <c r="Z40" s="5">
        <f t="shared" si="38"/>
        <v>-1</v>
      </c>
    </row>
    <row r="41" spans="1:26" s="23" customFormat="1" hidden="1" outlineLevel="2" x14ac:dyDescent="0.25">
      <c r="A41" s="27"/>
      <c r="B41" s="10" t="str">
        <f>CONCATENATE("          ", "6272", " - ", "CASH (OVER/SHORT)")</f>
        <v xml:space="preserve">          6272 - CASH (OVER/SHORT)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-48.26</v>
      </c>
      <c r="U41" s="2"/>
      <c r="V41" s="7">
        <f t="shared" si="36"/>
        <v>-1.8921887617083101E-4</v>
      </c>
      <c r="W41" s="2"/>
      <c r="X41" s="6">
        <f t="shared" si="37"/>
        <v>48.26</v>
      </c>
      <c r="Y41" s="2"/>
      <c r="Z41" s="7">
        <f t="shared" si="38"/>
        <v>-1</v>
      </c>
    </row>
    <row r="42" spans="1:26" s="26" customFormat="1" outlineLevel="1" collapsed="1" x14ac:dyDescent="0.25">
      <c r="A42" s="25"/>
      <c r="B42" s="12" t="str">
        <f>CONCATENATE("     ","Bank/card Fees                                    ")</f>
        <v xml:space="preserve">     Bank/card Fees                                    </v>
      </c>
      <c r="C42" s="12"/>
      <c r="D42" s="1">
        <f>SUM(OSRRefD22_4x_0)</f>
        <v>0</v>
      </c>
      <c r="E42" s="1"/>
      <c r="F42" s="5">
        <f t="shared" si="31"/>
        <v>0</v>
      </c>
      <c r="G42" s="1"/>
      <c r="H42" s="1">
        <f>SUM(OSRRefH22_4x_0)</f>
        <v>182.15</v>
      </c>
      <c r="I42" s="1"/>
      <c r="J42" s="5">
        <f t="shared" si="32"/>
        <v>0</v>
      </c>
      <c r="K42" s="1"/>
      <c r="L42" s="1">
        <f t="shared" si="33"/>
        <v>-182.15</v>
      </c>
      <c r="M42" s="1"/>
      <c r="N42" s="5">
        <f t="shared" si="34"/>
        <v>-1</v>
      </c>
      <c r="O42" s="12"/>
      <c r="P42" s="1">
        <f>SUM(OSRRefP22_4x_0)</f>
        <v>0</v>
      </c>
      <c r="Q42" s="1"/>
      <c r="R42" s="5">
        <f t="shared" si="35"/>
        <v>0</v>
      </c>
      <c r="S42" s="1"/>
      <c r="T42" s="1">
        <f>SUM(OSRRefT22_4x_0)</f>
        <v>10000.31</v>
      </c>
      <c r="U42" s="1"/>
      <c r="V42" s="5">
        <f t="shared" si="36"/>
        <v>3.9209436791544199E-2</v>
      </c>
      <c r="W42" s="1"/>
      <c r="X42" s="1">
        <f t="shared" si="37"/>
        <v>-10000.31</v>
      </c>
      <c r="Y42" s="1"/>
      <c r="Z42" s="5">
        <f t="shared" si="38"/>
        <v>-1</v>
      </c>
    </row>
    <row r="43" spans="1:26" s="23" customFormat="1" hidden="1" outlineLevel="2" x14ac:dyDescent="0.25">
      <c r="A43" s="27"/>
      <c r="B43" s="10" t="str">
        <f>CONCATENATE("          ", "6381", " - ", "BANK/CREDIT CARD FEES")</f>
        <v xml:space="preserve">          6381 - BANK/CREDIT CARD FEES</v>
      </c>
      <c r="C43" s="10"/>
      <c r="D43" s="6"/>
      <c r="E43" s="2"/>
      <c r="F43" s="7">
        <f t="shared" si="31"/>
        <v>0</v>
      </c>
      <c r="G43" s="2"/>
      <c r="H43" s="6">
        <v>182.15</v>
      </c>
      <c r="I43" s="2"/>
      <c r="J43" s="7">
        <f t="shared" si="32"/>
        <v>0</v>
      </c>
      <c r="K43" s="2"/>
      <c r="L43" s="6">
        <f t="shared" si="33"/>
        <v>-182.15</v>
      </c>
      <c r="M43" s="2"/>
      <c r="N43" s="7">
        <f t="shared" si="34"/>
        <v>-1</v>
      </c>
      <c r="O43" s="10"/>
      <c r="P43" s="6"/>
      <c r="Q43" s="2"/>
      <c r="R43" s="7">
        <f t="shared" si="35"/>
        <v>0</v>
      </c>
      <c r="S43" s="2"/>
      <c r="T43" s="6">
        <v>10000.31</v>
      </c>
      <c r="U43" s="2"/>
      <c r="V43" s="7">
        <f t="shared" si="36"/>
        <v>3.9209436791544199E-2</v>
      </c>
      <c r="W43" s="2"/>
      <c r="X43" s="6">
        <f t="shared" si="37"/>
        <v>-10000.31</v>
      </c>
      <c r="Y43" s="2"/>
      <c r="Z43" s="7">
        <f t="shared" si="38"/>
        <v>-1</v>
      </c>
    </row>
    <row r="44" spans="1:26" s="26" customFormat="1" outlineLevel="1" collapsed="1" x14ac:dyDescent="0.25">
      <c r="A44" s="25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SUM(OSRRefD22_5x_0)</f>
        <v>58.03</v>
      </c>
      <c r="E44" s="1"/>
      <c r="F44" s="5">
        <f t="shared" si="31"/>
        <v>0</v>
      </c>
      <c r="G44" s="1"/>
      <c r="H44" s="1">
        <f>SUM(OSRRefH22_5x_0)</f>
        <v>58.07</v>
      </c>
      <c r="I44" s="1"/>
      <c r="J44" s="5">
        <f t="shared" si="32"/>
        <v>0</v>
      </c>
      <c r="K44" s="1"/>
      <c r="L44" s="1">
        <f t="shared" si="33"/>
        <v>-3.9999999999999147E-2</v>
      </c>
      <c r="M44" s="1"/>
      <c r="N44" s="5">
        <f t="shared" si="34"/>
        <v>-6.8882383330461767E-4</v>
      </c>
      <c r="O44" s="12"/>
      <c r="P44" s="1">
        <f>SUM(OSRRefP22_5x_0)</f>
        <v>580.29999999999995</v>
      </c>
      <c r="Q44" s="1"/>
      <c r="R44" s="5">
        <f t="shared" si="35"/>
        <v>0</v>
      </c>
      <c r="S44" s="1"/>
      <c r="T44" s="1">
        <f>SUM(OSRRefT22_5x_0)</f>
        <v>5729.96</v>
      </c>
      <c r="U44" s="1"/>
      <c r="V44" s="5">
        <f t="shared" si="36"/>
        <v>2.2466153993033876E-2</v>
      </c>
      <c r="W44" s="1"/>
      <c r="X44" s="1">
        <f t="shared" si="37"/>
        <v>-5149.66</v>
      </c>
      <c r="Y44" s="1"/>
      <c r="Z44" s="5">
        <f t="shared" si="38"/>
        <v>-0.89872529651166844</v>
      </c>
    </row>
    <row r="45" spans="1:26" s="23" customFormat="1" hidden="1" outlineLevel="2" x14ac:dyDescent="0.25">
      <c r="A45" s="27"/>
      <c r="B45" s="10" t="str">
        <f>CONCATENATE("          ", "6322", " - ", "EQUIPMENT DEPRECIATION EXPENSE")</f>
        <v xml:space="preserve">          6322 - EQUIPMENT DEPRECIATION EXPENSE</v>
      </c>
      <c r="C45" s="10"/>
      <c r="D45" s="6">
        <v>58.03</v>
      </c>
      <c r="E45" s="2"/>
      <c r="F45" s="7">
        <f t="shared" si="31"/>
        <v>0</v>
      </c>
      <c r="G45" s="2"/>
      <c r="H45" s="6">
        <v>58.07</v>
      </c>
      <c r="I45" s="2"/>
      <c r="J45" s="7">
        <f t="shared" si="32"/>
        <v>0</v>
      </c>
      <c r="K45" s="2"/>
      <c r="L45" s="6">
        <f t="shared" si="33"/>
        <v>-3.9999999999999147E-2</v>
      </c>
      <c r="M45" s="2"/>
      <c r="N45" s="7">
        <f t="shared" si="34"/>
        <v>-6.8882383330461767E-4</v>
      </c>
      <c r="O45" s="10"/>
      <c r="P45" s="6">
        <v>580.29999999999995</v>
      </c>
      <c r="Q45" s="2"/>
      <c r="R45" s="7">
        <f t="shared" si="35"/>
        <v>0</v>
      </c>
      <c r="S45" s="2"/>
      <c r="T45" s="6">
        <v>5729.96</v>
      </c>
      <c r="U45" s="2"/>
      <c r="V45" s="7">
        <f t="shared" si="36"/>
        <v>2.2466153993033876E-2</v>
      </c>
      <c r="W45" s="2"/>
      <c r="X45" s="6">
        <f t="shared" si="37"/>
        <v>-5149.66</v>
      </c>
      <c r="Y45" s="2"/>
      <c r="Z45" s="7">
        <f t="shared" si="38"/>
        <v>-0.89872529651166844</v>
      </c>
    </row>
    <row r="46" spans="1:26" s="26" customFormat="1" outlineLevel="1" collapsed="1" x14ac:dyDescent="0.25">
      <c r="A46" s="25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SUM(OSRRefD22_6x_0)</f>
        <v>0</v>
      </c>
      <c r="E46" s="1"/>
      <c r="F46" s="5">
        <f t="shared" si="31"/>
        <v>0</v>
      </c>
      <c r="G46" s="1"/>
      <c r="H46" s="1">
        <f>SUM(OSRRefH22_6x_0)</f>
        <v>0</v>
      </c>
      <c r="I46" s="1"/>
      <c r="J46" s="5">
        <f t="shared" si="32"/>
        <v>0</v>
      </c>
      <c r="K46" s="1"/>
      <c r="L46" s="1">
        <f t="shared" si="33"/>
        <v>0</v>
      </c>
      <c r="M46" s="1"/>
      <c r="N46" s="5">
        <f t="shared" si="34"/>
        <v>0</v>
      </c>
      <c r="O46" s="12"/>
      <c r="P46" s="1">
        <f>SUM(OSRRefP22_6x_0)</f>
        <v>0</v>
      </c>
      <c r="Q46" s="1"/>
      <c r="R46" s="5">
        <f t="shared" si="35"/>
        <v>0</v>
      </c>
      <c r="S46" s="1"/>
      <c r="T46" s="1">
        <f>SUM(OSRRefT22_6x_0)</f>
        <v>901.75</v>
      </c>
      <c r="U46" s="1"/>
      <c r="V46" s="5">
        <f t="shared" si="36"/>
        <v>3.535601359035368E-3</v>
      </c>
      <c r="W46" s="1"/>
      <c r="X46" s="1">
        <f t="shared" si="37"/>
        <v>-901.75</v>
      </c>
      <c r="Y46" s="1"/>
      <c r="Z46" s="5">
        <f t="shared" si="38"/>
        <v>-1</v>
      </c>
    </row>
    <row r="47" spans="1:26" s="23" customFormat="1" hidden="1" outlineLevel="2" x14ac:dyDescent="0.25">
      <c r="A47" s="27"/>
      <c r="B47" s="10" t="str">
        <f>CONCATENATE("          ", "6279", " - ", "GENERAL EXPENSE")</f>
        <v xml:space="preserve">          6279 - GENERAL EXPENSE</v>
      </c>
      <c r="C47" s="10"/>
      <c r="D47" s="6"/>
      <c r="E47" s="2"/>
      <c r="F47" s="7">
        <f t="shared" si="31"/>
        <v>0</v>
      </c>
      <c r="G47" s="2"/>
      <c r="H47" s="6"/>
      <c r="I47" s="2"/>
      <c r="J47" s="7">
        <f t="shared" si="32"/>
        <v>0</v>
      </c>
      <c r="K47" s="2"/>
      <c r="L47" s="6">
        <f t="shared" si="33"/>
        <v>0</v>
      </c>
      <c r="M47" s="2"/>
      <c r="N47" s="7">
        <f t="shared" si="34"/>
        <v>0</v>
      </c>
      <c r="O47" s="10"/>
      <c r="P47" s="6"/>
      <c r="Q47" s="2"/>
      <c r="R47" s="7">
        <f t="shared" si="35"/>
        <v>0</v>
      </c>
      <c r="S47" s="2"/>
      <c r="T47" s="6">
        <v>901.75</v>
      </c>
      <c r="U47" s="2"/>
      <c r="V47" s="7">
        <f t="shared" si="36"/>
        <v>3.535601359035368E-3</v>
      </c>
      <c r="W47" s="2"/>
      <c r="X47" s="6">
        <f t="shared" si="37"/>
        <v>-901.75</v>
      </c>
      <c r="Y47" s="2"/>
      <c r="Z47" s="7">
        <f t="shared" si="38"/>
        <v>-1</v>
      </c>
    </row>
    <row r="48" spans="1:26" s="26" customFormat="1" outlineLevel="1" collapsed="1" x14ac:dyDescent="0.25">
      <c r="A48" s="25"/>
      <c r="B48" s="12" t="str">
        <f>CONCATENATE("     ","Repair and Maintenance                            ")</f>
        <v xml:space="preserve">     Repair and Maintenance                            </v>
      </c>
      <c r="C48" s="12"/>
      <c r="D48" s="1">
        <f>SUM(OSRRefD22_7x_0)</f>
        <v>0</v>
      </c>
      <c r="E48" s="1"/>
      <c r="F48" s="5">
        <f t="shared" si="31"/>
        <v>0</v>
      </c>
      <c r="G48" s="1"/>
      <c r="H48" s="1">
        <f>SUM(OSRRefH22_7x_0)</f>
        <v>0</v>
      </c>
      <c r="I48" s="1"/>
      <c r="J48" s="5">
        <f t="shared" si="32"/>
        <v>0</v>
      </c>
      <c r="K48" s="1"/>
      <c r="L48" s="1">
        <f t="shared" si="33"/>
        <v>0</v>
      </c>
      <c r="M48" s="1"/>
      <c r="N48" s="5">
        <f t="shared" si="34"/>
        <v>0</v>
      </c>
      <c r="O48" s="12"/>
      <c r="P48" s="1">
        <f>SUM(OSRRefP22_7x_0)</f>
        <v>575.85</v>
      </c>
      <c r="Q48" s="1"/>
      <c r="R48" s="5">
        <f t="shared" si="35"/>
        <v>0</v>
      </c>
      <c r="S48" s="1"/>
      <c r="T48" s="1">
        <f>SUM(OSRRefT22_7x_0)</f>
        <v>8877.11</v>
      </c>
      <c r="U48" s="1"/>
      <c r="V48" s="5">
        <f t="shared" si="36"/>
        <v>3.4805569371007997E-2</v>
      </c>
      <c r="W48" s="1"/>
      <c r="X48" s="1">
        <f t="shared" si="37"/>
        <v>-8301.26</v>
      </c>
      <c r="Y48" s="1"/>
      <c r="Z48" s="5">
        <f t="shared" si="38"/>
        <v>-0.93513091535420867</v>
      </c>
    </row>
    <row r="49" spans="1:26" s="23" customFormat="1" hidden="1" outlineLevel="2" x14ac:dyDescent="0.25">
      <c r="A49" s="27"/>
      <c r="B49" s="10" t="str">
        <f>CONCATENATE("          ", "6371", " - ", "COMPUTER SOFTWARE MAINTENANCE")</f>
        <v xml:space="preserve">          6371 - COMPUTER SOFTWARE MAINTENANCE</v>
      </c>
      <c r="C49" s="10"/>
      <c r="D49" s="6"/>
      <c r="E49" s="2"/>
      <c r="F49" s="7">
        <f t="shared" si="31"/>
        <v>0</v>
      </c>
      <c r="G49" s="2"/>
      <c r="H49" s="6"/>
      <c r="I49" s="2"/>
      <c r="J49" s="7">
        <f t="shared" si="32"/>
        <v>0</v>
      </c>
      <c r="K49" s="2"/>
      <c r="L49" s="6">
        <f t="shared" si="33"/>
        <v>0</v>
      </c>
      <c r="M49" s="2"/>
      <c r="N49" s="7">
        <f t="shared" si="34"/>
        <v>0</v>
      </c>
      <c r="O49" s="10"/>
      <c r="P49" s="6"/>
      <c r="Q49" s="2"/>
      <c r="R49" s="7">
        <f t="shared" si="35"/>
        <v>0</v>
      </c>
      <c r="S49" s="2"/>
      <c r="T49" s="6">
        <v>874.62</v>
      </c>
      <c r="U49" s="2"/>
      <c r="V49" s="7">
        <f t="shared" si="36"/>
        <v>3.4292294545489477E-3</v>
      </c>
      <c r="W49" s="2"/>
      <c r="X49" s="6">
        <f t="shared" si="37"/>
        <v>-874.62</v>
      </c>
      <c r="Y49" s="2"/>
      <c r="Z49" s="7">
        <f t="shared" si="38"/>
        <v>-1</v>
      </c>
    </row>
    <row r="50" spans="1:26" s="23" customFormat="1" hidden="1" outlineLevel="2" x14ac:dyDescent="0.25">
      <c r="A50" s="27"/>
      <c r="B50" s="10" t="str">
        <f>CONCATENATE("          ", "6373", " - ", "MAINTENANCE CONTRACTS")</f>
        <v xml:space="preserve">          6373 - MAINTENANCE CONTRACTS</v>
      </c>
      <c r="C50" s="10"/>
      <c r="D50" s="6"/>
      <c r="E50" s="2"/>
      <c r="F50" s="7">
        <f t="shared" si="31"/>
        <v>0</v>
      </c>
      <c r="G50" s="2"/>
      <c r="H50" s="6"/>
      <c r="I50" s="2"/>
      <c r="J50" s="7">
        <f t="shared" si="32"/>
        <v>0</v>
      </c>
      <c r="K50" s="2"/>
      <c r="L50" s="6">
        <f t="shared" si="33"/>
        <v>0</v>
      </c>
      <c r="M50" s="2"/>
      <c r="N50" s="7">
        <f t="shared" si="34"/>
        <v>0</v>
      </c>
      <c r="O50" s="10"/>
      <c r="P50" s="6">
        <v>575.85</v>
      </c>
      <c r="Q50" s="2"/>
      <c r="R50" s="7">
        <f t="shared" si="35"/>
        <v>0</v>
      </c>
      <c r="S50" s="2"/>
      <c r="T50" s="6">
        <v>1031.97</v>
      </c>
      <c r="U50" s="2"/>
      <c r="V50" s="7">
        <f t="shared" si="36"/>
        <v>4.0461708172816512E-3</v>
      </c>
      <c r="W50" s="2"/>
      <c r="X50" s="6">
        <f t="shared" si="37"/>
        <v>-456.12</v>
      </c>
      <c r="Y50" s="2"/>
      <c r="Z50" s="7">
        <f t="shared" si="38"/>
        <v>-0.44198959272071864</v>
      </c>
    </row>
    <row r="51" spans="1:26" s="23" customFormat="1" hidden="1" outlineLevel="2" x14ac:dyDescent="0.25">
      <c r="A51" s="27"/>
      <c r="B51" s="10" t="str">
        <f>CONCATENATE("          ", "6375", " - ", "OUTSIDE REPAIRS &amp; MAINTENANCE")</f>
        <v xml:space="preserve">          6375 - OUTSIDE REPAIRS &amp; MAINTENANCE</v>
      </c>
      <c r="C51" s="10"/>
      <c r="D51" s="6"/>
      <c r="E51" s="2"/>
      <c r="F51" s="7">
        <f t="shared" si="31"/>
        <v>0</v>
      </c>
      <c r="G51" s="2"/>
      <c r="H51" s="6"/>
      <c r="I51" s="2"/>
      <c r="J51" s="7">
        <f t="shared" si="32"/>
        <v>0</v>
      </c>
      <c r="K51" s="2"/>
      <c r="L51" s="6">
        <f t="shared" si="33"/>
        <v>0</v>
      </c>
      <c r="M51" s="2"/>
      <c r="N51" s="7">
        <f t="shared" si="34"/>
        <v>0</v>
      </c>
      <c r="O51" s="10"/>
      <c r="P51" s="6"/>
      <c r="Q51" s="2"/>
      <c r="R51" s="7">
        <f t="shared" si="35"/>
        <v>0</v>
      </c>
      <c r="S51" s="2"/>
      <c r="T51" s="6">
        <v>6970.52</v>
      </c>
      <c r="U51" s="2"/>
      <c r="V51" s="7">
        <f t="shared" si="36"/>
        <v>2.7330169099177393E-2</v>
      </c>
      <c r="W51" s="2"/>
      <c r="X51" s="6">
        <f t="shared" si="37"/>
        <v>-6970.52</v>
      </c>
      <c r="Y51" s="2"/>
      <c r="Z51" s="7">
        <f t="shared" si="38"/>
        <v>-1</v>
      </c>
    </row>
    <row r="52" spans="1:26" s="26" customFormat="1" outlineLevel="1" collapsed="1" x14ac:dyDescent="0.25">
      <c r="A52" s="25"/>
      <c r="B52" s="12" t="str">
        <f>CONCATENATE("     ","Services                                          ")</f>
        <v xml:space="preserve">     Services                                          </v>
      </c>
      <c r="C52" s="12"/>
      <c r="D52" s="1">
        <f>SUM(OSRRefD22_8x_0)</f>
        <v>0</v>
      </c>
      <c r="E52" s="1"/>
      <c r="F52" s="5">
        <f t="shared" ref="F52:F55" si="39">IF(D$12=0,0,D52/D$12)</f>
        <v>0</v>
      </c>
      <c r="G52" s="1"/>
      <c r="H52" s="1">
        <f>SUM(OSRRefH22_8x_0)</f>
        <v>0</v>
      </c>
      <c r="I52" s="1"/>
      <c r="J52" s="5">
        <f t="shared" ref="J52:J55" si="40">IF(H$12=0,0,H52/H$12)</f>
        <v>0</v>
      </c>
      <c r="K52" s="1"/>
      <c r="L52" s="1">
        <f t="shared" ref="L52:L55" si="41">+D52-H52</f>
        <v>0</v>
      </c>
      <c r="M52" s="1"/>
      <c r="N52" s="5">
        <f t="shared" ref="N52:N55" si="42">IF(H52=0,0,L52/H52)</f>
        <v>0</v>
      </c>
      <c r="O52" s="12"/>
      <c r="P52" s="1">
        <f>SUM(OSRRefP22_8x_0)</f>
        <v>286.62</v>
      </c>
      <c r="Q52" s="1"/>
      <c r="R52" s="5">
        <f t="shared" ref="R52:R55" si="43">IF(P$12=0,0,P52/P$12)</f>
        <v>0</v>
      </c>
      <c r="S52" s="1"/>
      <c r="T52" s="1">
        <f>SUM(OSRRefT22_8x_0)</f>
        <v>1368.82</v>
      </c>
      <c r="U52" s="1"/>
      <c r="V52" s="5">
        <f t="shared" ref="V52:V55" si="44">IF(T$12=0,0,T52/T$12)</f>
        <v>5.3668997530078094E-3</v>
      </c>
      <c r="W52" s="1"/>
      <c r="X52" s="1">
        <f t="shared" ref="X52:X55" si="45">+P52-T52</f>
        <v>-1082.1999999999998</v>
      </c>
      <c r="Y52" s="1"/>
      <c r="Z52" s="5">
        <f t="shared" ref="Z52:Z55" si="46">IF(T52=0,0,X52/T52)</f>
        <v>-0.79060796890752605</v>
      </c>
    </row>
    <row r="53" spans="1:26" s="23" customFormat="1" hidden="1" outlineLevel="2" x14ac:dyDescent="0.25">
      <c r="A53" s="27"/>
      <c r="B53" s="10" t="str">
        <f>CONCATENATE("          ", "6282", " - ", "JANITORIAL/EXTERMINATOR EXPENS")</f>
        <v xml:space="preserve">          6282 - JANITORIAL/EXTERMINATOR EXPENS</v>
      </c>
      <c r="C53" s="10"/>
      <c r="D53" s="6"/>
      <c r="E53" s="2"/>
      <c r="F53" s="7">
        <f t="shared" si="39"/>
        <v>0</v>
      </c>
      <c r="G53" s="2"/>
      <c r="H53" s="6"/>
      <c r="I53" s="2"/>
      <c r="J53" s="7">
        <f t="shared" si="40"/>
        <v>0</v>
      </c>
      <c r="K53" s="2"/>
      <c r="L53" s="6">
        <f t="shared" si="41"/>
        <v>0</v>
      </c>
      <c r="M53" s="2"/>
      <c r="N53" s="7">
        <f t="shared" si="42"/>
        <v>0</v>
      </c>
      <c r="O53" s="10"/>
      <c r="P53" s="6">
        <v>286.62</v>
      </c>
      <c r="Q53" s="2"/>
      <c r="R53" s="7">
        <f t="shared" si="43"/>
        <v>0</v>
      </c>
      <c r="S53" s="2"/>
      <c r="T53" s="6"/>
      <c r="U53" s="2"/>
      <c r="V53" s="7">
        <f t="shared" si="44"/>
        <v>0</v>
      </c>
      <c r="W53" s="2"/>
      <c r="X53" s="6">
        <f t="shared" si="45"/>
        <v>286.62</v>
      </c>
      <c r="Y53" s="2"/>
      <c r="Z53" s="7">
        <f t="shared" si="46"/>
        <v>0</v>
      </c>
    </row>
    <row r="54" spans="1:26" s="23" customFormat="1" hidden="1" outlineLevel="2" x14ac:dyDescent="0.25">
      <c r="A54" s="27"/>
      <c r="B54" s="10" t="str">
        <f>CONCATENATE("          ", "6285", " - ", "JANITORIAL SERVICES")</f>
        <v xml:space="preserve">          6285 - JANITORIAL SERVICES</v>
      </c>
      <c r="C54" s="10"/>
      <c r="D54" s="6"/>
      <c r="E54" s="2"/>
      <c r="F54" s="7">
        <f t="shared" si="39"/>
        <v>0</v>
      </c>
      <c r="G54" s="2"/>
      <c r="H54" s="6"/>
      <c r="I54" s="2"/>
      <c r="J54" s="7">
        <f t="shared" si="40"/>
        <v>0</v>
      </c>
      <c r="K54" s="2"/>
      <c r="L54" s="6">
        <f t="shared" si="41"/>
        <v>0</v>
      </c>
      <c r="M54" s="2"/>
      <c r="N54" s="7">
        <f t="shared" si="42"/>
        <v>0</v>
      </c>
      <c r="O54" s="10"/>
      <c r="P54" s="6"/>
      <c r="Q54" s="2"/>
      <c r="R54" s="7">
        <f t="shared" si="43"/>
        <v>0</v>
      </c>
      <c r="S54" s="2"/>
      <c r="T54" s="6">
        <v>712.8</v>
      </c>
      <c r="U54" s="2"/>
      <c r="V54" s="7">
        <f t="shared" si="44"/>
        <v>2.7947620168787472E-3</v>
      </c>
      <c r="W54" s="2"/>
      <c r="X54" s="6">
        <f t="shared" si="45"/>
        <v>-712.8</v>
      </c>
      <c r="Y54" s="2"/>
      <c r="Z54" s="7">
        <f t="shared" si="46"/>
        <v>-1</v>
      </c>
    </row>
    <row r="55" spans="1:26" s="23" customFormat="1" hidden="1" outlineLevel="2" x14ac:dyDescent="0.25">
      <c r="A55" s="27"/>
      <c r="B55" s="10" t="str">
        <f>CONCATENATE("          ", "6286", " - ", "LAUNDRY EXPENSE")</f>
        <v xml:space="preserve">          6286 - LAUNDRY EXPENSE</v>
      </c>
      <c r="C55" s="10"/>
      <c r="D55" s="6"/>
      <c r="E55" s="2"/>
      <c r="F55" s="7">
        <f t="shared" si="39"/>
        <v>0</v>
      </c>
      <c r="G55" s="2"/>
      <c r="H55" s="6"/>
      <c r="I55" s="2"/>
      <c r="J55" s="7">
        <f t="shared" si="40"/>
        <v>0</v>
      </c>
      <c r="K55" s="2"/>
      <c r="L55" s="6">
        <f t="shared" si="41"/>
        <v>0</v>
      </c>
      <c r="M55" s="2"/>
      <c r="N55" s="7">
        <f t="shared" si="42"/>
        <v>0</v>
      </c>
      <c r="O55" s="10"/>
      <c r="P55" s="6"/>
      <c r="Q55" s="2"/>
      <c r="R55" s="7">
        <f t="shared" si="43"/>
        <v>0</v>
      </c>
      <c r="S55" s="2"/>
      <c r="T55" s="6">
        <v>656.02</v>
      </c>
      <c r="U55" s="2"/>
      <c r="V55" s="7">
        <f t="shared" si="44"/>
        <v>2.5721377361290626E-3</v>
      </c>
      <c r="W55" s="2"/>
      <c r="X55" s="6">
        <f t="shared" si="45"/>
        <v>-656.02</v>
      </c>
      <c r="Y55" s="2"/>
      <c r="Z55" s="7">
        <f t="shared" si="46"/>
        <v>-1</v>
      </c>
    </row>
    <row r="56" spans="1:26" s="26" customFormat="1" outlineLevel="1" collapsed="1" x14ac:dyDescent="0.25">
      <c r="A56" s="25"/>
      <c r="B56" s="12" t="str">
        <f>CONCATENATE("     ","Supplies                                          ")</f>
        <v xml:space="preserve">     Supplies                                          </v>
      </c>
      <c r="C56" s="12"/>
      <c r="D56" s="1">
        <f>SUM(OSRRefD22_9x_0)</f>
        <v>0</v>
      </c>
      <c r="E56" s="1"/>
      <c r="F56" s="5">
        <f t="shared" ref="F56:F62" si="47">IF(D$12=0,0,D56/D$12)</f>
        <v>0</v>
      </c>
      <c r="G56" s="1"/>
      <c r="H56" s="1">
        <f>SUM(OSRRefH22_9x_0)</f>
        <v>0</v>
      </c>
      <c r="I56" s="1"/>
      <c r="J56" s="5">
        <f t="shared" ref="J56:J62" si="48">IF(H$12=0,0,H56/H$12)</f>
        <v>0</v>
      </c>
      <c r="K56" s="1"/>
      <c r="L56" s="1">
        <f t="shared" ref="L56:L62" si="49">+D56-H56</f>
        <v>0</v>
      </c>
      <c r="M56" s="1"/>
      <c r="N56" s="5">
        <f t="shared" ref="N56:N62" si="50">IF(H56=0,0,L56/H56)</f>
        <v>0</v>
      </c>
      <c r="O56" s="12"/>
      <c r="P56" s="1">
        <f>SUM(OSRRefP22_9x_0)</f>
        <v>0</v>
      </c>
      <c r="Q56" s="1"/>
      <c r="R56" s="5">
        <f t="shared" ref="R56:R62" si="51">IF(P$12=0,0,P56/P$12)</f>
        <v>0</v>
      </c>
      <c r="S56" s="1"/>
      <c r="T56" s="1">
        <f>SUM(OSRRefT22_9x_0)</f>
        <v>4596.26</v>
      </c>
      <c r="U56" s="1"/>
      <c r="V56" s="5">
        <f t="shared" ref="V56:V62" si="52">IF(T$12=0,0,T56/T$12)</f>
        <v>1.8021117940094152E-2</v>
      </c>
      <c r="W56" s="1"/>
      <c r="X56" s="1">
        <f t="shared" ref="X56:X62" si="53">+P56-T56</f>
        <v>-4596.26</v>
      </c>
      <c r="Y56" s="1"/>
      <c r="Z56" s="5">
        <f t="shared" ref="Z56:Z62" si="54">IF(T56=0,0,X56/T56)</f>
        <v>-1</v>
      </c>
    </row>
    <row r="57" spans="1:26" s="23" customFormat="1" hidden="1" outlineLevel="2" x14ac:dyDescent="0.25">
      <c r="A57" s="27"/>
      <c r="B57" s="10" t="str">
        <f>CONCATENATE("          ", "6239", " - ", "KITCHEN SUPPLIES")</f>
        <v xml:space="preserve">          6239 - KITCHEN SUPPLIES</v>
      </c>
      <c r="C57" s="10"/>
      <c r="D57" s="6"/>
      <c r="E57" s="2"/>
      <c r="F57" s="7">
        <f t="shared" si="47"/>
        <v>0</v>
      </c>
      <c r="G57" s="2"/>
      <c r="H57" s="6"/>
      <c r="I57" s="2"/>
      <c r="J57" s="7">
        <f t="shared" si="48"/>
        <v>0</v>
      </c>
      <c r="K57" s="2"/>
      <c r="L57" s="6">
        <f t="shared" si="49"/>
        <v>0</v>
      </c>
      <c r="M57" s="2"/>
      <c r="N57" s="7">
        <f t="shared" si="50"/>
        <v>0</v>
      </c>
      <c r="O57" s="10"/>
      <c r="P57" s="6"/>
      <c r="Q57" s="2"/>
      <c r="R57" s="7">
        <f t="shared" si="51"/>
        <v>0</v>
      </c>
      <c r="S57" s="2"/>
      <c r="T57" s="6">
        <v>960.31</v>
      </c>
      <c r="U57" s="2"/>
      <c r="V57" s="7">
        <f t="shared" si="52"/>
        <v>3.7652047031829822E-3</v>
      </c>
      <c r="W57" s="2"/>
      <c r="X57" s="6">
        <f t="shared" si="53"/>
        <v>-960.31</v>
      </c>
      <c r="Y57" s="2"/>
      <c r="Z57" s="7">
        <f t="shared" si="54"/>
        <v>-1</v>
      </c>
    </row>
    <row r="58" spans="1:26" s="23" customFormat="1" hidden="1" outlineLevel="2" x14ac:dyDescent="0.25">
      <c r="A58" s="27"/>
      <c r="B58" s="10" t="str">
        <f>CONCATENATE("          ", "6241", " - ", "OFFICE EXPENSE")</f>
        <v xml:space="preserve">          6241 - OFFICE EXPENSE</v>
      </c>
      <c r="C58" s="10"/>
      <c r="D58" s="6"/>
      <c r="E58" s="2"/>
      <c r="F58" s="7">
        <f t="shared" si="47"/>
        <v>0</v>
      </c>
      <c r="G58" s="2"/>
      <c r="H58" s="6"/>
      <c r="I58" s="2"/>
      <c r="J58" s="7">
        <f t="shared" si="48"/>
        <v>0</v>
      </c>
      <c r="K58" s="2"/>
      <c r="L58" s="6">
        <f t="shared" si="49"/>
        <v>0</v>
      </c>
      <c r="M58" s="2"/>
      <c r="N58" s="7">
        <f t="shared" si="50"/>
        <v>0</v>
      </c>
      <c r="O58" s="10"/>
      <c r="P58" s="6"/>
      <c r="Q58" s="2"/>
      <c r="R58" s="7">
        <f t="shared" si="51"/>
        <v>0</v>
      </c>
      <c r="S58" s="2"/>
      <c r="T58" s="6">
        <v>1153.24</v>
      </c>
      <c r="U58" s="2"/>
      <c r="V58" s="7">
        <f t="shared" si="52"/>
        <v>4.5216489174316025E-3</v>
      </c>
      <c r="W58" s="2"/>
      <c r="X58" s="6">
        <f t="shared" si="53"/>
        <v>-1153.24</v>
      </c>
      <c r="Y58" s="2"/>
      <c r="Z58" s="7">
        <f t="shared" si="54"/>
        <v>-1</v>
      </c>
    </row>
    <row r="59" spans="1:26" s="23" customFormat="1" hidden="1" outlineLevel="2" x14ac:dyDescent="0.25">
      <c r="A59" s="27"/>
      <c r="B59" s="10" t="str">
        <f>CONCATENATE("          ", "6243", " - ", "PAPER SUPPLIES")</f>
        <v xml:space="preserve">          6243 - PAPER SUPPLIES</v>
      </c>
      <c r="C59" s="10"/>
      <c r="D59" s="6"/>
      <c r="E59" s="2"/>
      <c r="F59" s="7">
        <f t="shared" si="47"/>
        <v>0</v>
      </c>
      <c r="G59" s="2"/>
      <c r="H59" s="6"/>
      <c r="I59" s="2"/>
      <c r="J59" s="7">
        <f t="shared" si="48"/>
        <v>0</v>
      </c>
      <c r="K59" s="2"/>
      <c r="L59" s="6">
        <f t="shared" si="49"/>
        <v>0</v>
      </c>
      <c r="M59" s="2"/>
      <c r="N59" s="7">
        <f t="shared" si="50"/>
        <v>0</v>
      </c>
      <c r="O59" s="10"/>
      <c r="P59" s="6"/>
      <c r="Q59" s="2"/>
      <c r="R59" s="7">
        <f t="shared" si="51"/>
        <v>0</v>
      </c>
      <c r="S59" s="2"/>
      <c r="T59" s="6">
        <v>1490.35</v>
      </c>
      <c r="U59" s="2"/>
      <c r="V59" s="7">
        <f t="shared" si="52"/>
        <v>5.8433972669125148E-3</v>
      </c>
      <c r="W59" s="2"/>
      <c r="X59" s="6">
        <f t="shared" si="53"/>
        <v>-1490.35</v>
      </c>
      <c r="Y59" s="2"/>
      <c r="Z59" s="7">
        <f t="shared" si="54"/>
        <v>-1</v>
      </c>
    </row>
    <row r="60" spans="1:26" s="23" customFormat="1" hidden="1" outlineLevel="2" x14ac:dyDescent="0.25">
      <c r="A60" s="27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47"/>
        <v>0</v>
      </c>
      <c r="G60" s="2"/>
      <c r="H60" s="6"/>
      <c r="I60" s="2"/>
      <c r="J60" s="7">
        <f t="shared" si="48"/>
        <v>0</v>
      </c>
      <c r="K60" s="2"/>
      <c r="L60" s="6">
        <f t="shared" si="49"/>
        <v>0</v>
      </c>
      <c r="M60" s="2"/>
      <c r="N60" s="7">
        <f t="shared" si="50"/>
        <v>0</v>
      </c>
      <c r="O60" s="10"/>
      <c r="P60" s="6"/>
      <c r="Q60" s="2"/>
      <c r="R60" s="7">
        <f t="shared" si="51"/>
        <v>0</v>
      </c>
      <c r="S60" s="2"/>
      <c r="T60" s="6">
        <v>244.39</v>
      </c>
      <c r="U60" s="2"/>
      <c r="V60" s="7">
        <f t="shared" si="52"/>
        <v>9.5820972124719002E-4</v>
      </c>
      <c r="W60" s="2"/>
      <c r="X60" s="6">
        <f t="shared" si="53"/>
        <v>-244.39</v>
      </c>
      <c r="Y60" s="2"/>
      <c r="Z60" s="7">
        <f t="shared" si="54"/>
        <v>-1</v>
      </c>
    </row>
    <row r="61" spans="1:26" s="23" customFormat="1" hidden="1" outlineLevel="2" x14ac:dyDescent="0.25">
      <c r="A61" s="27"/>
      <c r="B61" s="10" t="str">
        <f>CONCATENATE("          ", "6247", " - ", "STORE SUPPLIES")</f>
        <v xml:space="preserve">          6247 - STORE SUPPLIES</v>
      </c>
      <c r="C61" s="10"/>
      <c r="D61" s="6"/>
      <c r="E61" s="2"/>
      <c r="F61" s="7">
        <f t="shared" si="47"/>
        <v>0</v>
      </c>
      <c r="G61" s="2"/>
      <c r="H61" s="6"/>
      <c r="I61" s="2"/>
      <c r="J61" s="7">
        <f t="shared" si="48"/>
        <v>0</v>
      </c>
      <c r="K61" s="2"/>
      <c r="L61" s="6">
        <f t="shared" si="49"/>
        <v>0</v>
      </c>
      <c r="M61" s="2"/>
      <c r="N61" s="7">
        <f t="shared" si="50"/>
        <v>0</v>
      </c>
      <c r="O61" s="10"/>
      <c r="P61" s="6"/>
      <c r="Q61" s="2"/>
      <c r="R61" s="7">
        <f t="shared" si="51"/>
        <v>0</v>
      </c>
      <c r="S61" s="2"/>
      <c r="T61" s="6">
        <v>42.98</v>
      </c>
      <c r="U61" s="2"/>
      <c r="V61" s="7">
        <f t="shared" si="52"/>
        <v>1.685169353050625E-4</v>
      </c>
      <c r="W61" s="2"/>
      <c r="X61" s="6">
        <f t="shared" si="53"/>
        <v>-42.98</v>
      </c>
      <c r="Y61" s="2"/>
      <c r="Z61" s="7">
        <f t="shared" si="54"/>
        <v>-1</v>
      </c>
    </row>
    <row r="62" spans="1:26" s="23" customFormat="1" hidden="1" outlineLevel="2" x14ac:dyDescent="0.25">
      <c r="A62" s="27"/>
      <c r="B62" s="10" t="str">
        <f>CONCATENATE("          ", "6248", " - ", "UNIFORMS")</f>
        <v xml:space="preserve">          6248 - UNIFORMS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/>
      <c r="Q62" s="2"/>
      <c r="R62" s="7">
        <f t="shared" si="51"/>
        <v>0</v>
      </c>
      <c r="S62" s="2"/>
      <c r="T62" s="6">
        <v>704.99</v>
      </c>
      <c r="U62" s="2"/>
      <c r="V62" s="7">
        <f t="shared" si="52"/>
        <v>2.7641403960147982E-3</v>
      </c>
      <c r="W62" s="2"/>
      <c r="X62" s="6">
        <f t="shared" si="53"/>
        <v>-704.99</v>
      </c>
      <c r="Y62" s="2"/>
      <c r="Z62" s="7">
        <f t="shared" si="54"/>
        <v>-1</v>
      </c>
    </row>
    <row r="63" spans="1:26" s="26" customFormat="1" outlineLevel="1" collapsed="1" x14ac:dyDescent="0.25">
      <c r="A63" s="25"/>
      <c r="B63" s="12" t="str">
        <f>CONCATENATE("     ","Telephone/Data Lines                              ")</f>
        <v xml:space="preserve">     Telephone/Data Lines                              </v>
      </c>
      <c r="C63" s="12"/>
      <c r="D63" s="1">
        <f>SUM(OSRRefD22_10x_0)</f>
        <v>0</v>
      </c>
      <c r="E63" s="1"/>
      <c r="F63" s="5">
        <f t="shared" ref="F63:F66" si="55">IF(D$12=0,0,D63/D$12)</f>
        <v>0</v>
      </c>
      <c r="G63" s="1"/>
      <c r="H63" s="1">
        <f>SUM(OSRRefH22_10x_0)</f>
        <v>71</v>
      </c>
      <c r="I63" s="1"/>
      <c r="J63" s="5">
        <f t="shared" ref="J63:J66" si="56">IF(H$12=0,0,H63/H$12)</f>
        <v>0</v>
      </c>
      <c r="K63" s="1"/>
      <c r="L63" s="1">
        <f t="shared" ref="L63:L66" si="57">+D63-H63</f>
        <v>-71</v>
      </c>
      <c r="M63" s="1"/>
      <c r="N63" s="5">
        <f t="shared" ref="N63:N66" si="58">IF(H63=0,0,L63/H63)</f>
        <v>-1</v>
      </c>
      <c r="O63" s="12"/>
      <c r="P63" s="1">
        <f>SUM(OSRRefP22_10x_0)</f>
        <v>49.7</v>
      </c>
      <c r="Q63" s="1"/>
      <c r="R63" s="5">
        <f t="shared" ref="R63:R66" si="59">IF(P$12=0,0,P63/P$12)</f>
        <v>0</v>
      </c>
      <c r="S63" s="1"/>
      <c r="T63" s="1">
        <f>SUM(OSRRefT22_10x_0)</f>
        <v>765.96</v>
      </c>
      <c r="U63" s="1"/>
      <c r="V63" s="5">
        <f t="shared" ref="V63:V66" si="60">IF(T$12=0,0,T63/T$12)</f>
        <v>3.0031929215045532E-3</v>
      </c>
      <c r="W63" s="1"/>
      <c r="X63" s="1">
        <f t="shared" ref="X63:X66" si="61">+P63-T63</f>
        <v>-716.26</v>
      </c>
      <c r="Y63" s="1"/>
      <c r="Z63" s="5">
        <f t="shared" ref="Z63:Z66" si="62">IF(T63=0,0,X63/T63)</f>
        <v>-0.93511410517520488</v>
      </c>
    </row>
    <row r="64" spans="1:26" s="23" customFormat="1" hidden="1" outlineLevel="2" x14ac:dyDescent="0.25">
      <c r="A64" s="27"/>
      <c r="B64" s="10" t="str">
        <f>CONCATENATE("          ", "6309", " - ", "TELEPHONE")</f>
        <v xml:space="preserve">          6309 - TELEPHONE</v>
      </c>
      <c r="C64" s="10"/>
      <c r="D64" s="6"/>
      <c r="E64" s="2"/>
      <c r="F64" s="7">
        <f t="shared" si="55"/>
        <v>0</v>
      </c>
      <c r="G64" s="2"/>
      <c r="H64" s="6">
        <v>71</v>
      </c>
      <c r="I64" s="2"/>
      <c r="J64" s="7">
        <f t="shared" si="56"/>
        <v>0</v>
      </c>
      <c r="K64" s="2"/>
      <c r="L64" s="6">
        <f t="shared" si="57"/>
        <v>-71</v>
      </c>
      <c r="M64" s="2"/>
      <c r="N64" s="7">
        <f t="shared" si="58"/>
        <v>-1</v>
      </c>
      <c r="O64" s="10"/>
      <c r="P64" s="6">
        <v>49.7</v>
      </c>
      <c r="Q64" s="2"/>
      <c r="R64" s="7">
        <f t="shared" si="59"/>
        <v>0</v>
      </c>
      <c r="S64" s="2"/>
      <c r="T64" s="6">
        <v>765.96</v>
      </c>
      <c r="U64" s="2"/>
      <c r="V64" s="7">
        <f t="shared" si="60"/>
        <v>3.0031929215045532E-3</v>
      </c>
      <c r="W64" s="2"/>
      <c r="X64" s="6">
        <f t="shared" si="61"/>
        <v>-716.26</v>
      </c>
      <c r="Y64" s="2"/>
      <c r="Z64" s="7">
        <f t="shared" si="62"/>
        <v>-0.93511410517520488</v>
      </c>
    </row>
    <row r="65" spans="1:26" s="26" customFormat="1" outlineLevel="1" collapsed="1" x14ac:dyDescent="0.25">
      <c r="A65" s="25"/>
      <c r="B65" s="12" t="str">
        <f>CONCATENATE("     ","Training                                          ")</f>
        <v xml:space="preserve">     Training                                          </v>
      </c>
      <c r="C65" s="12"/>
      <c r="D65" s="1">
        <f>SUM(OSRRefD22_11x_0)</f>
        <v>0</v>
      </c>
      <c r="E65" s="1"/>
      <c r="F65" s="5">
        <f t="shared" si="55"/>
        <v>0</v>
      </c>
      <c r="G65" s="1"/>
      <c r="H65" s="1">
        <f>SUM(OSRRefH22_11x_0)</f>
        <v>0</v>
      </c>
      <c r="I65" s="1"/>
      <c r="J65" s="5">
        <f t="shared" si="56"/>
        <v>0</v>
      </c>
      <c r="K65" s="1"/>
      <c r="L65" s="1">
        <f t="shared" si="57"/>
        <v>0</v>
      </c>
      <c r="M65" s="1"/>
      <c r="N65" s="5">
        <f t="shared" si="58"/>
        <v>0</v>
      </c>
      <c r="O65" s="12"/>
      <c r="P65" s="1">
        <f>SUM(OSRRefP22_11x_0)</f>
        <v>0</v>
      </c>
      <c r="Q65" s="1"/>
      <c r="R65" s="5">
        <f t="shared" si="59"/>
        <v>0</v>
      </c>
      <c r="S65" s="1"/>
      <c r="T65" s="1">
        <f>SUM(OSRRefT22_11x_0)</f>
        <v>52.5</v>
      </c>
      <c r="U65" s="1"/>
      <c r="V65" s="5">
        <f t="shared" si="60"/>
        <v>2.058431620175845E-4</v>
      </c>
      <c r="W65" s="1"/>
      <c r="X65" s="1">
        <f t="shared" si="61"/>
        <v>-52.5</v>
      </c>
      <c r="Y65" s="1"/>
      <c r="Z65" s="5">
        <f t="shared" si="62"/>
        <v>-1</v>
      </c>
    </row>
    <row r="66" spans="1:26" s="23" customFormat="1" hidden="1" outlineLevel="2" x14ac:dyDescent="0.25">
      <c r="A66" s="27"/>
      <c r="B66" s="10" t="str">
        <f>CONCATENATE("          ", "6376", " - ", "TRAINING")</f>
        <v xml:space="preserve">          6376 - TRAINING</v>
      </c>
      <c r="C66" s="10"/>
      <c r="D66" s="6"/>
      <c r="E66" s="2"/>
      <c r="F66" s="7">
        <f t="shared" si="55"/>
        <v>0</v>
      </c>
      <c r="G66" s="2"/>
      <c r="H66" s="6"/>
      <c r="I66" s="2"/>
      <c r="J66" s="7">
        <f t="shared" si="56"/>
        <v>0</v>
      </c>
      <c r="K66" s="2"/>
      <c r="L66" s="6">
        <f t="shared" si="57"/>
        <v>0</v>
      </c>
      <c r="M66" s="2"/>
      <c r="N66" s="7">
        <f t="shared" si="58"/>
        <v>0</v>
      </c>
      <c r="O66" s="10"/>
      <c r="P66" s="6"/>
      <c r="Q66" s="2"/>
      <c r="R66" s="7">
        <f t="shared" si="59"/>
        <v>0</v>
      </c>
      <c r="S66" s="2"/>
      <c r="T66" s="6">
        <v>52.5</v>
      </c>
      <c r="U66" s="2"/>
      <c r="V66" s="7">
        <f t="shared" si="60"/>
        <v>2.058431620175845E-4</v>
      </c>
      <c r="W66" s="2"/>
      <c r="X66" s="6">
        <f t="shared" si="61"/>
        <v>-52.5</v>
      </c>
      <c r="Y66" s="2"/>
      <c r="Z66" s="7">
        <f t="shared" si="62"/>
        <v>-1</v>
      </c>
    </row>
    <row r="67" spans="1:26" s="62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4" customFormat="1" collapsed="1" x14ac:dyDescent="0.25">
      <c r="A68" s="11"/>
      <c r="B68" s="28" t="s">
        <v>292</v>
      </c>
      <c r="C68" s="11"/>
      <c r="D68" s="4">
        <f>SUM(OSRRefD25x_0)</f>
        <v>0</v>
      </c>
      <c r="E68" s="4"/>
      <c r="F68" s="13">
        <f t="shared" ref="F68:F69" si="63">IF(D$12=0,0,D68/D$12)</f>
        <v>0</v>
      </c>
      <c r="G68" s="4"/>
      <c r="H68" s="4">
        <f>SUM(OSRRefH25x_0)</f>
        <v>0</v>
      </c>
      <c r="I68" s="4"/>
      <c r="J68" s="13">
        <f t="shared" ref="J68:J69" si="64">IF(H$12=0,0,H68/H$12)</f>
        <v>0</v>
      </c>
      <c r="K68" s="4"/>
      <c r="L68" s="4">
        <f t="shared" ref="L68:L69" si="65">+D68-H68</f>
        <v>0</v>
      </c>
      <c r="M68" s="4"/>
      <c r="N68" s="13">
        <f t="shared" ref="N68:N69" si="66">IF(H68=0,0,L68/H68)</f>
        <v>0</v>
      </c>
      <c r="O68" s="11"/>
      <c r="P68" s="4">
        <f>SUM(OSRRefP25x_0)</f>
        <v>0</v>
      </c>
      <c r="Q68" s="4"/>
      <c r="R68" s="13">
        <f t="shared" ref="R68:R69" si="67">IF(P$12=0,0,P68/P$12)</f>
        <v>0</v>
      </c>
      <c r="S68" s="4"/>
      <c r="T68" s="4">
        <f>SUM(OSRRefT25x_0)</f>
        <v>507</v>
      </c>
      <c r="U68" s="4"/>
      <c r="V68" s="13">
        <f t="shared" ref="V68:V69" si="68">IF(T$12=0,0,T68/T$12)</f>
        <v>1.9878568217698159E-3</v>
      </c>
      <c r="W68" s="4"/>
      <c r="X68" s="4">
        <f t="shared" ref="X68:X69" si="69">+P68-T68</f>
        <v>-507</v>
      </c>
      <c r="Y68" s="4"/>
      <c r="Z68" s="13">
        <f t="shared" ref="Z68:Z69" si="70">IF(T68=0,0,X68/T68)</f>
        <v>-1</v>
      </c>
    </row>
    <row r="69" spans="1:26" s="23" customFormat="1" hidden="1" outlineLevel="1" x14ac:dyDescent="0.25">
      <c r="A69" s="44"/>
      <c r="B69" s="10" t="str">
        <f>CONCATENATE("          ", "9150", " - ", "MISC. INCOME")</f>
        <v xml:space="preserve">          9150 - MISC. INCOME</v>
      </c>
      <c r="C69" s="10"/>
      <c r="D69" s="2">
        <f>0</f>
        <v>0</v>
      </c>
      <c r="E69" s="2"/>
      <c r="F69" s="19">
        <f t="shared" si="63"/>
        <v>0</v>
      </c>
      <c r="G69" s="2"/>
      <c r="H69" s="2">
        <f>0</f>
        <v>0</v>
      </c>
      <c r="I69" s="2"/>
      <c r="J69" s="19">
        <f t="shared" si="64"/>
        <v>0</v>
      </c>
      <c r="K69" s="2"/>
      <c r="L69" s="2">
        <f t="shared" si="65"/>
        <v>0</v>
      </c>
      <c r="M69" s="2"/>
      <c r="N69" s="19">
        <f t="shared" si="66"/>
        <v>0</v>
      </c>
      <c r="O69" s="10"/>
      <c r="P69" s="2">
        <f>0</f>
        <v>0</v>
      </c>
      <c r="Q69" s="2"/>
      <c r="R69" s="19">
        <f t="shared" si="67"/>
        <v>0</v>
      </c>
      <c r="S69" s="2"/>
      <c r="T69" s="2">
        <f>--507</f>
        <v>507</v>
      </c>
      <c r="U69" s="2"/>
      <c r="V69" s="19">
        <f t="shared" si="68"/>
        <v>1.9878568217698159E-3</v>
      </c>
      <c r="W69" s="2"/>
      <c r="X69" s="2">
        <f t="shared" si="69"/>
        <v>-507</v>
      </c>
      <c r="Y69" s="2"/>
      <c r="Z69" s="19">
        <f t="shared" si="70"/>
        <v>-1</v>
      </c>
    </row>
    <row r="70" spans="1:26" x14ac:dyDescent="0.25">
      <c r="A70" s="9"/>
      <c r="B70" s="11"/>
      <c r="C70" s="11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1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4" customFormat="1" x14ac:dyDescent="0.25">
      <c r="A71" s="11"/>
      <c r="B71" s="29" t="s">
        <v>276</v>
      </c>
      <c r="C71" s="29"/>
      <c r="D71" s="20">
        <f>+D20-D22+D68</f>
        <v>-58.03</v>
      </c>
      <c r="E71" s="14"/>
      <c r="F71" s="22">
        <f>IF(D$12=0,0,D71/D$12)</f>
        <v>0</v>
      </c>
      <c r="G71" s="14"/>
      <c r="H71" s="20">
        <f>+H20-H22+H68</f>
        <v>-14142.079999999998</v>
      </c>
      <c r="I71" s="14"/>
      <c r="J71" s="22">
        <f>IF(H$12=0,0,H71/H$12)</f>
        <v>0</v>
      </c>
      <c r="K71" s="16"/>
      <c r="L71" s="20">
        <f>+D71-H71</f>
        <v>14084.049999999997</v>
      </c>
      <c r="M71" s="16"/>
      <c r="N71" s="22">
        <f>IF(H71=0,0,L71/H71)</f>
        <v>-0.99589664320948545</v>
      </c>
      <c r="O71" s="28"/>
      <c r="P71" s="20">
        <f>+P20-P22+P68</f>
        <v>-5245.38</v>
      </c>
      <c r="Q71" s="14"/>
      <c r="R71" s="22">
        <f>IF(P$12=0,0,P71/P$12)</f>
        <v>0</v>
      </c>
      <c r="S71" s="14"/>
      <c r="T71" s="20">
        <f>+T20-T22+T68</f>
        <v>-25570.449999999983</v>
      </c>
      <c r="U71" s="14"/>
      <c r="V71" s="22">
        <f>IF(T$12=0,0,T71/T$12)</f>
        <v>-0.10025718632785791</v>
      </c>
      <c r="W71" s="16"/>
      <c r="X71" s="20">
        <f>+P71-T71</f>
        <v>20325.069999999982</v>
      </c>
      <c r="Y71" s="16"/>
      <c r="Z71" s="22">
        <f>IF(T71=0,0,X71/T71)</f>
        <v>-0.79486555770430301</v>
      </c>
    </row>
    <row r="72" spans="1:26" x14ac:dyDescent="0.25">
      <c r="A72" s="9"/>
      <c r="B72" s="11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x14ac:dyDescent="0.25">
      <c r="A73" s="51"/>
      <c r="B73" s="11" t="s">
        <v>127</v>
      </c>
      <c r="C73" s="11"/>
      <c r="D73" s="4"/>
      <c r="E73" s="4"/>
      <c r="F73" s="13">
        <f>IF(D$12=0,0,D73/D$12)</f>
        <v>0</v>
      </c>
      <c r="G73" s="4"/>
      <c r="H73" s="4">
        <v>1629.87</v>
      </c>
      <c r="I73" s="4"/>
      <c r="J73" s="13">
        <f>IF(H$12=0,0,H73/H$12)</f>
        <v>0</v>
      </c>
      <c r="K73" s="4"/>
      <c r="L73" s="4">
        <f>+D73-H73</f>
        <v>-1629.87</v>
      </c>
      <c r="M73" s="4"/>
      <c r="N73" s="13">
        <f>IF(H73=0,0,L73/H73)</f>
        <v>-1</v>
      </c>
      <c r="O73" s="11"/>
      <c r="P73" s="4"/>
      <c r="Q73" s="4"/>
      <c r="R73" s="13">
        <f>IF(P$12=0,0,P73/P$12)</f>
        <v>0</v>
      </c>
      <c r="S73" s="4"/>
      <c r="T73" s="4">
        <v>28958.94</v>
      </c>
      <c r="U73" s="4"/>
      <c r="V73" s="13">
        <f>IF(T$12=0,0,T73/T$12)</f>
        <v>0.11354285291957159</v>
      </c>
      <c r="W73" s="4"/>
      <c r="X73" s="4">
        <f>+P73-T73</f>
        <v>-28958.94</v>
      </c>
      <c r="Y73" s="4"/>
      <c r="Z73" s="13">
        <f>IF(T73=0,0,X73/T73)</f>
        <v>-1</v>
      </c>
    </row>
    <row r="74" spans="1:26" x14ac:dyDescent="0.25">
      <c r="A74" s="9"/>
      <c r="B74" s="11"/>
      <c r="C74" s="11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1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4" customFormat="1" ht="15.75" thickBot="1" x14ac:dyDescent="0.3">
      <c r="A75" s="11"/>
      <c r="B75" s="29" t="s">
        <v>125</v>
      </c>
      <c r="C75" s="29"/>
      <c r="D75" s="30">
        <f>+D71-D73</f>
        <v>-58.03</v>
      </c>
      <c r="E75" s="14"/>
      <c r="F75" s="34">
        <f>IF(D$12=0,0,D75/D$12)</f>
        <v>0</v>
      </c>
      <c r="G75" s="14"/>
      <c r="H75" s="30">
        <f>+H71-H73</f>
        <v>-15771.949999999997</v>
      </c>
      <c r="I75" s="14"/>
      <c r="J75" s="34">
        <f>IF(H$12=0,0,H75/H$12)</f>
        <v>0</v>
      </c>
      <c r="K75" s="16"/>
      <c r="L75" s="30">
        <f>D75-H75</f>
        <v>15713.919999999996</v>
      </c>
      <c r="M75" s="16"/>
      <c r="N75" s="34">
        <f>IF(H75=0,0,L75/H75)</f>
        <v>-0.9963206832382806</v>
      </c>
      <c r="O75" s="28"/>
      <c r="P75" s="30">
        <f>+P71-P73</f>
        <v>-5245.38</v>
      </c>
      <c r="Q75" s="14"/>
      <c r="R75" s="34">
        <f>IF(P$12=0,0,P75/P$12)</f>
        <v>0</v>
      </c>
      <c r="S75" s="14"/>
      <c r="T75" s="30">
        <f>+T71-T73</f>
        <v>-54529.389999999985</v>
      </c>
      <c r="U75" s="14"/>
      <c r="V75" s="34">
        <f>IF(T$12=0,0,T75/T$12)</f>
        <v>-0.21380003924742952</v>
      </c>
      <c r="W75" s="16"/>
      <c r="X75" s="30">
        <f>P75-T75</f>
        <v>49284.009999999987</v>
      </c>
      <c r="Y75" s="16"/>
      <c r="Z75" s="34">
        <f>IF(T75=0,0,X75/T75)</f>
        <v>-0.9038063693725531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4" customFormat="1" ht="15.75" thickBot="1" x14ac:dyDescent="0.3">
      <c r="A78" s="11"/>
      <c r="B78" s="29" t="s">
        <v>293</v>
      </c>
      <c r="C78" s="29"/>
      <c r="D78" s="32">
        <f>SUM(D75:D77)</f>
        <v>-58.03</v>
      </c>
      <c r="E78" s="14"/>
      <c r="F78" s="35">
        <f>IF(D$12=0,0,D78/D$12)</f>
        <v>0</v>
      </c>
      <c r="G78" s="14"/>
      <c r="H78" s="32">
        <f>SUM(H75:H77)</f>
        <v>-15771.949999999997</v>
      </c>
      <c r="I78" s="14"/>
      <c r="J78" s="35">
        <f>IF(H$12=0,0,H78/H$12)</f>
        <v>0</v>
      </c>
      <c r="K78" s="16"/>
      <c r="L78" s="32">
        <f>+D78-H78</f>
        <v>15713.919999999996</v>
      </c>
      <c r="M78" s="16"/>
      <c r="N78" s="35">
        <f>IF(H78=0,0,L78/H78)</f>
        <v>-0.9963206832382806</v>
      </c>
      <c r="O78" s="28"/>
      <c r="P78" s="32">
        <f>SUM(P75:P77)</f>
        <v>-5245.38</v>
      </c>
      <c r="Q78" s="14"/>
      <c r="R78" s="35">
        <f>IF(P$12=0,0,P78/P$12)</f>
        <v>0</v>
      </c>
      <c r="S78" s="14"/>
      <c r="T78" s="32">
        <f>SUM(T75:T77)</f>
        <v>-54529.389999999985</v>
      </c>
      <c r="U78" s="14"/>
      <c r="V78" s="35">
        <f>IF(T$12=0,0,T78/T$12)</f>
        <v>-0.21380003924742952</v>
      </c>
      <c r="W78" s="16"/>
      <c r="X78" s="32">
        <f>+P78-T78</f>
        <v>49284.009999999987</v>
      </c>
      <c r="Y78" s="16"/>
      <c r="Z78" s="35">
        <f>IF(T78=0,0,X78/T78)</f>
        <v>-0.9038063693725531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9">
        <v>44330.00886898148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2" t="s">
        <v>56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5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","414", " - ", "Starbucks UDP")</f>
        <v>Department 414 - Starbucks UDP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974.91</v>
      </c>
      <c r="Q12" s="4"/>
      <c r="R12" s="13"/>
      <c r="S12" s="4"/>
      <c r="T12" s="4">
        <f>SUM(OSRRefT13x_0)</f>
        <v>591931.24</v>
      </c>
      <c r="U12" s="4"/>
      <c r="V12" s="13"/>
      <c r="W12" s="4"/>
      <c r="X12" s="4">
        <f t="shared" ref="X12:X14" si="2">+P12-T12</f>
        <v>-590956.32999999996</v>
      </c>
      <c r="Y12" s="4"/>
      <c r="Z12" s="13">
        <f t="shared" ref="Z12:Z14" si="3">IF(T12=0,0,X12/T12)</f>
        <v>-0.99835300127089077</v>
      </c>
    </row>
    <row r="13" spans="1:26" s="23" customFormat="1" hidden="1" outlineLevel="1" x14ac:dyDescent="0.25">
      <c r="A13" s="44"/>
      <c r="B13" s="10" t="str">
        <f>CONCATENATE("          ", "4058", " - ", "TAXABLE SALES-FOOD")</f>
        <v xml:space="preserve">          4058 -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>--974.91</f>
        <v>974.91</v>
      </c>
      <c r="Q13" s="2"/>
      <c r="R13" s="19"/>
      <c r="S13" s="2"/>
      <c r="T13" s="2">
        <f>--117077.57</f>
        <v>117077.57</v>
      </c>
      <c r="U13" s="2"/>
      <c r="V13" s="19"/>
      <c r="W13" s="2"/>
      <c r="X13" s="2">
        <f t="shared" si="2"/>
        <v>-116102.66</v>
      </c>
      <c r="Y13" s="2"/>
      <c r="Z13" s="19">
        <f t="shared" si="3"/>
        <v>-0.99167295665600164</v>
      </c>
    </row>
    <row r="14" spans="1:26" s="23" customFormat="1" hidden="1" outlineLevel="1" x14ac:dyDescent="0.25">
      <c r="A14" s="44"/>
      <c r="B14" s="10" t="str">
        <f>CONCATENATE("          ", "4158", " - ", "NON-TAXABLE SALES-FOOD")</f>
        <v xml:space="preserve">          4158 -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--474853.67</f>
        <v>474853.67</v>
      </c>
      <c r="U14" s="2"/>
      <c r="V14" s="19"/>
      <c r="W14" s="2"/>
      <c r="X14" s="2">
        <f t="shared" si="2"/>
        <v>-474853.67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6">IF(D$12=0,0,D16/D$12)</f>
        <v>0</v>
      </c>
      <c r="G16" s="4"/>
      <c r="H16" s="4">
        <f>SUM(OSRRefH16x_0)</f>
        <v>2959</v>
      </c>
      <c r="I16" s="4"/>
      <c r="J16" s="13">
        <f t="shared" ref="J16:J18" si="7">IF(H$12=0,0,H16/H$12)</f>
        <v>0</v>
      </c>
      <c r="K16" s="4"/>
      <c r="L16" s="4">
        <f t="shared" ref="L16:L18" si="8">+D16-H16</f>
        <v>-2959</v>
      </c>
      <c r="M16" s="4"/>
      <c r="N16" s="13">
        <f t="shared" ref="N16:N18" si="9">IF(H16=0,0,L16/H16)</f>
        <v>-1</v>
      </c>
      <c r="O16" s="11"/>
      <c r="P16" s="4">
        <f>SUM(OSRRefP16x_0)</f>
        <v>-2369.56</v>
      </c>
      <c r="Q16" s="4"/>
      <c r="R16" s="13">
        <f t="shared" ref="R16:R18" si="10">IF(P$12=0,0,P16/P$12)</f>
        <v>-2.4305423064693152</v>
      </c>
      <c r="S16" s="4"/>
      <c r="T16" s="4">
        <f>SUM(OSRRefT16x_0)</f>
        <v>201396.77</v>
      </c>
      <c r="U16" s="4"/>
      <c r="V16" s="13">
        <f t="shared" ref="V16:V18" si="11">IF(T$12=0,0,T16/T$12)</f>
        <v>0.34023676466205771</v>
      </c>
      <c r="W16" s="4"/>
      <c r="X16" s="4">
        <f t="shared" ref="X16:X18" si="12">+P16-T16</f>
        <v>-203766.33</v>
      </c>
      <c r="Y16" s="4"/>
      <c r="Z16" s="13">
        <f t="shared" ref="Z16:Z18" si="13">IF(T16=0,0,X16/T16)</f>
        <v>-1.011765630600729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6"/>
        <v>0</v>
      </c>
      <c r="G17" s="2"/>
      <c r="H17" s="2"/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0"/>
      <c r="P17" s="2">
        <v>-2369.56</v>
      </c>
      <c r="Q17" s="2"/>
      <c r="R17" s="19">
        <f t="shared" si="10"/>
        <v>-2.4305423064693152</v>
      </c>
      <c r="S17" s="2"/>
      <c r="T17" s="2">
        <v>197326.77</v>
      </c>
      <c r="U17" s="2"/>
      <c r="V17" s="19">
        <f t="shared" si="11"/>
        <v>0.33336096604734022</v>
      </c>
      <c r="W17" s="2"/>
      <c r="X17" s="2">
        <f t="shared" si="12"/>
        <v>-199696.33</v>
      </c>
      <c r="Y17" s="2"/>
      <c r="Z17" s="19">
        <f t="shared" si="13"/>
        <v>-1.012008304803246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6"/>
        <v>0</v>
      </c>
      <c r="G18" s="2"/>
      <c r="H18" s="2">
        <v>2959</v>
      </c>
      <c r="I18" s="2"/>
      <c r="J18" s="19">
        <f t="shared" si="7"/>
        <v>0</v>
      </c>
      <c r="K18" s="2"/>
      <c r="L18" s="2">
        <f t="shared" si="8"/>
        <v>-2959</v>
      </c>
      <c r="M18" s="2"/>
      <c r="N18" s="19">
        <f t="shared" si="9"/>
        <v>-1</v>
      </c>
      <c r="O18" s="10"/>
      <c r="P18" s="2"/>
      <c r="Q18" s="2"/>
      <c r="R18" s="19">
        <f t="shared" si="10"/>
        <v>0</v>
      </c>
      <c r="S18" s="2"/>
      <c r="T18" s="2">
        <v>4070</v>
      </c>
      <c r="U18" s="2"/>
      <c r="V18" s="19">
        <f t="shared" si="11"/>
        <v>6.8757986147174798E-3</v>
      </c>
      <c r="W18" s="2"/>
      <c r="X18" s="2">
        <f t="shared" si="12"/>
        <v>-4070</v>
      </c>
      <c r="Y18" s="2"/>
      <c r="Z18" s="19">
        <f t="shared" si="13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-2959</v>
      </c>
      <c r="I20" s="14"/>
      <c r="J20" s="22">
        <f>IF(H$12=0,0,H20/H$12)</f>
        <v>0</v>
      </c>
      <c r="K20" s="16"/>
      <c r="L20" s="20">
        <f>+D20-H20</f>
        <v>2959</v>
      </c>
      <c r="M20" s="16"/>
      <c r="N20" s="22">
        <f>IF(H20=0,0,L20/H20)</f>
        <v>-1</v>
      </c>
      <c r="O20" s="28"/>
      <c r="P20" s="20">
        <f>P12-P16</f>
        <v>3344.47</v>
      </c>
      <c r="Q20" s="14"/>
      <c r="R20" s="22">
        <f>IF(P$12=0,0,P20/P$12)</f>
        <v>3.4305423064693152</v>
      </c>
      <c r="S20" s="14"/>
      <c r="T20" s="20">
        <f>T12-T16</f>
        <v>390534.47</v>
      </c>
      <c r="U20" s="14"/>
      <c r="V20" s="22">
        <f>IF(T$12=0,0,T20/T$12)</f>
        <v>0.65976323533794223</v>
      </c>
      <c r="W20" s="16"/>
      <c r="X20" s="20">
        <f>+P20-T20</f>
        <v>-387190</v>
      </c>
      <c r="Y20" s="16"/>
      <c r="Z20" s="22">
        <f>IF(T20=0,0,X20/T20)</f>
        <v>-0.9914361720746443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1825.26</v>
      </c>
      <c r="E22" s="21"/>
      <c r="F22" s="31">
        <f t="shared" ref="F22:F31" si="14">IF(D$12=0,0,D22/D$12)</f>
        <v>0</v>
      </c>
      <c r="G22" s="21"/>
      <c r="H22" s="21">
        <f>SUM(OSRRefH22x_0)</f>
        <v>4426.8599999999997</v>
      </c>
      <c r="I22" s="21"/>
      <c r="J22" s="31">
        <f t="shared" ref="J22:J31" si="15">IF(H$12=0,0,H22/H$12)</f>
        <v>0</v>
      </c>
      <c r="K22" s="4"/>
      <c r="L22" s="21">
        <f t="shared" ref="L22:L31" si="16">+D22-H22</f>
        <v>-2601.5999999999995</v>
      </c>
      <c r="M22" s="4"/>
      <c r="N22" s="31">
        <f t="shared" ref="N22:N31" si="17">IF(H22=0,0,L22/H22)</f>
        <v>-0.58768517640042817</v>
      </c>
      <c r="O22" s="11"/>
      <c r="P22" s="21">
        <f>SUM(OSRRefP22x_0)</f>
        <v>19917.349999999999</v>
      </c>
      <c r="Q22" s="21"/>
      <c r="R22" s="31">
        <f t="shared" ref="R22:R31" si="18">IF(P$12=0,0,P22/P$12)</f>
        <v>20.429937122401043</v>
      </c>
      <c r="S22" s="21"/>
      <c r="T22" s="21">
        <f>SUM(OSRRefT22x_0)</f>
        <v>326341.10999999993</v>
      </c>
      <c r="U22" s="21"/>
      <c r="V22" s="31">
        <f t="shared" ref="V22:V31" si="19">IF(T$12=0,0,T22/T$12)</f>
        <v>0.55131590959787813</v>
      </c>
      <c r="W22" s="4"/>
      <c r="X22" s="21">
        <f t="shared" ref="X22:X31" si="20">+P22-T22</f>
        <v>-306423.75999999995</v>
      </c>
      <c r="Y22" s="4"/>
      <c r="Z22" s="31">
        <f t="shared" ref="Z22:Z31" si="21">IF(T22=0,0,X22/T22)</f>
        <v>-0.93896769548893189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1319.9499999999998</v>
      </c>
      <c r="I23" s="1"/>
      <c r="J23" s="5">
        <f t="shared" si="15"/>
        <v>0</v>
      </c>
      <c r="K23" s="1"/>
      <c r="L23" s="1">
        <f t="shared" si="16"/>
        <v>-1319.9499999999998</v>
      </c>
      <c r="M23" s="1"/>
      <c r="N23" s="5">
        <f t="shared" si="17"/>
        <v>-1</v>
      </c>
      <c r="O23" s="12"/>
      <c r="P23" s="1">
        <f>SUM(OSRRefP22_0x_0)</f>
        <v>702.51</v>
      </c>
      <c r="Q23" s="1"/>
      <c r="R23" s="5">
        <f t="shared" si="18"/>
        <v>0.72058959288549718</v>
      </c>
      <c r="S23" s="1"/>
      <c r="T23" s="1">
        <f>SUM(OSRRefT22_0x_0)</f>
        <v>26767.740000000005</v>
      </c>
      <c r="U23" s="1"/>
      <c r="V23" s="5">
        <f t="shared" si="19"/>
        <v>4.5221029388481007E-2</v>
      </c>
      <c r="W23" s="1"/>
      <c r="X23" s="1">
        <f t="shared" si="20"/>
        <v>-26065.230000000007</v>
      </c>
      <c r="Y23" s="1"/>
      <c r="Z23" s="5">
        <f t="shared" si="21"/>
        <v>-0.97375534878925163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4"/>
        <v>0</v>
      </c>
      <c r="G24" s="2"/>
      <c r="H24" s="6">
        <v>190.68</v>
      </c>
      <c r="I24" s="2"/>
      <c r="J24" s="7">
        <f t="shared" si="15"/>
        <v>0</v>
      </c>
      <c r="K24" s="2"/>
      <c r="L24" s="6">
        <f t="shared" si="16"/>
        <v>-190.68</v>
      </c>
      <c r="M24" s="2"/>
      <c r="N24" s="7">
        <f t="shared" si="17"/>
        <v>-1</v>
      </c>
      <c r="O24" s="10"/>
      <c r="P24" s="6"/>
      <c r="Q24" s="2"/>
      <c r="R24" s="7">
        <f t="shared" si="18"/>
        <v>0</v>
      </c>
      <c r="S24" s="2"/>
      <c r="T24" s="6">
        <v>5976.8</v>
      </c>
      <c r="U24" s="2"/>
      <c r="V24" s="7">
        <f t="shared" si="19"/>
        <v>1.0097118712639665E-2</v>
      </c>
      <c r="W24" s="2"/>
      <c r="X24" s="6">
        <f t="shared" si="20"/>
        <v>-5976.8</v>
      </c>
      <c r="Y24" s="2"/>
      <c r="Z24" s="7">
        <f t="shared" si="21"/>
        <v>-1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4"/>
        <v>0</v>
      </c>
      <c r="G25" s="2"/>
      <c r="H25" s="6">
        <v>96.72</v>
      </c>
      <c r="I25" s="2"/>
      <c r="J25" s="7">
        <f t="shared" si="15"/>
        <v>0</v>
      </c>
      <c r="K25" s="2"/>
      <c r="L25" s="6">
        <f t="shared" si="16"/>
        <v>-96.72</v>
      </c>
      <c r="M25" s="2"/>
      <c r="N25" s="7">
        <f t="shared" si="17"/>
        <v>-1</v>
      </c>
      <c r="O25" s="10"/>
      <c r="P25" s="6"/>
      <c r="Q25" s="2"/>
      <c r="R25" s="7">
        <f t="shared" si="18"/>
        <v>0</v>
      </c>
      <c r="S25" s="2"/>
      <c r="T25" s="6">
        <v>5901.84</v>
      </c>
      <c r="U25" s="2"/>
      <c r="V25" s="7">
        <f t="shared" si="19"/>
        <v>9.9704823823794139E-3</v>
      </c>
      <c r="W25" s="2"/>
      <c r="X25" s="6">
        <f t="shared" si="20"/>
        <v>-5901.84</v>
      </c>
      <c r="Y25" s="2"/>
      <c r="Z25" s="7">
        <f t="shared" si="21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4"/>
        <v>0</v>
      </c>
      <c r="G26" s="2"/>
      <c r="H26" s="6">
        <v>702.51</v>
      </c>
      <c r="I26" s="2"/>
      <c r="J26" s="7">
        <f t="shared" si="15"/>
        <v>0</v>
      </c>
      <c r="K26" s="2"/>
      <c r="L26" s="6">
        <f t="shared" si="16"/>
        <v>-702.51</v>
      </c>
      <c r="M26" s="2"/>
      <c r="N26" s="7">
        <f t="shared" si="17"/>
        <v>-1</v>
      </c>
      <c r="O26" s="10"/>
      <c r="P26" s="6">
        <v>702.51</v>
      </c>
      <c r="Q26" s="2"/>
      <c r="R26" s="7">
        <f t="shared" si="18"/>
        <v>0.72058959288549718</v>
      </c>
      <c r="S26" s="2"/>
      <c r="T26" s="6">
        <v>7706.31</v>
      </c>
      <c r="U26" s="2"/>
      <c r="V26" s="7">
        <f t="shared" si="19"/>
        <v>1.3018927671396429E-2</v>
      </c>
      <c r="W26" s="2"/>
      <c r="X26" s="6">
        <f t="shared" si="20"/>
        <v>-7003.8</v>
      </c>
      <c r="Y26" s="2"/>
      <c r="Z26" s="7">
        <f t="shared" si="21"/>
        <v>-0.90883963920475552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4"/>
        <v>0</v>
      </c>
      <c r="G27" s="2"/>
      <c r="H27" s="6">
        <v>6.48</v>
      </c>
      <c r="I27" s="2"/>
      <c r="J27" s="7">
        <f t="shared" si="15"/>
        <v>0</v>
      </c>
      <c r="K27" s="2"/>
      <c r="L27" s="6">
        <f t="shared" si="16"/>
        <v>-6.48</v>
      </c>
      <c r="M27" s="2"/>
      <c r="N27" s="7">
        <f t="shared" si="17"/>
        <v>-1</v>
      </c>
      <c r="O27" s="10"/>
      <c r="P27" s="6"/>
      <c r="Q27" s="2"/>
      <c r="R27" s="7">
        <f t="shared" si="18"/>
        <v>0</v>
      </c>
      <c r="S27" s="2"/>
      <c r="T27" s="6">
        <v>479.62</v>
      </c>
      <c r="U27" s="2"/>
      <c r="V27" s="7">
        <f t="shared" si="19"/>
        <v>8.1026302987488889E-4</v>
      </c>
      <c r="W27" s="2"/>
      <c r="X27" s="6">
        <f t="shared" si="20"/>
        <v>-479.62</v>
      </c>
      <c r="Y27" s="2"/>
      <c r="Z27" s="7">
        <f t="shared" si="21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4"/>
        <v>0</v>
      </c>
      <c r="G28" s="2"/>
      <c r="H28" s="6"/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0"/>
      <c r="P28" s="6"/>
      <c r="Q28" s="2"/>
      <c r="R28" s="7">
        <f t="shared" si="18"/>
        <v>0</v>
      </c>
      <c r="S28" s="2"/>
      <c r="T28" s="6">
        <v>711.9</v>
      </c>
      <c r="U28" s="2"/>
      <c r="V28" s="7">
        <f t="shared" si="19"/>
        <v>1.2026734726824015E-3</v>
      </c>
      <c r="W28" s="2"/>
      <c r="X28" s="6">
        <f t="shared" si="20"/>
        <v>-711.9</v>
      </c>
      <c r="Y28" s="2"/>
      <c r="Z28" s="7">
        <f t="shared" si="21"/>
        <v>-1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4"/>
        <v>0</v>
      </c>
      <c r="G29" s="2"/>
      <c r="H29" s="6">
        <v>96.25</v>
      </c>
      <c r="I29" s="2"/>
      <c r="J29" s="7">
        <f t="shared" si="15"/>
        <v>0</v>
      </c>
      <c r="K29" s="2"/>
      <c r="L29" s="6">
        <f t="shared" si="16"/>
        <v>-96.25</v>
      </c>
      <c r="M29" s="2"/>
      <c r="N29" s="7">
        <f t="shared" si="17"/>
        <v>-1</v>
      </c>
      <c r="O29" s="10"/>
      <c r="P29" s="6"/>
      <c r="Q29" s="2"/>
      <c r="R29" s="7">
        <f t="shared" si="18"/>
        <v>0</v>
      </c>
      <c r="S29" s="2"/>
      <c r="T29" s="6">
        <v>2037.11</v>
      </c>
      <c r="U29" s="2"/>
      <c r="V29" s="7">
        <f t="shared" si="19"/>
        <v>3.4414639105717752E-3</v>
      </c>
      <c r="W29" s="2"/>
      <c r="X29" s="6">
        <f t="shared" si="20"/>
        <v>-2037.11</v>
      </c>
      <c r="Y29" s="2"/>
      <c r="Z29" s="7">
        <f t="shared" si="21"/>
        <v>-1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4"/>
        <v>0</v>
      </c>
      <c r="G30" s="2"/>
      <c r="H30" s="6">
        <v>115.31</v>
      </c>
      <c r="I30" s="2"/>
      <c r="J30" s="7">
        <f t="shared" si="15"/>
        <v>0</v>
      </c>
      <c r="K30" s="2"/>
      <c r="L30" s="6">
        <f t="shared" si="16"/>
        <v>-115.31</v>
      </c>
      <c r="M30" s="2"/>
      <c r="N30" s="7">
        <f t="shared" si="17"/>
        <v>-1</v>
      </c>
      <c r="O30" s="10"/>
      <c r="P30" s="6"/>
      <c r="Q30" s="2"/>
      <c r="R30" s="7">
        <f t="shared" si="18"/>
        <v>0</v>
      </c>
      <c r="S30" s="2"/>
      <c r="T30" s="6">
        <v>2440.5100000000002</v>
      </c>
      <c r="U30" s="2"/>
      <c r="V30" s="7">
        <f t="shared" si="19"/>
        <v>4.1229619845710459E-3</v>
      </c>
      <c r="W30" s="2"/>
      <c r="X30" s="6">
        <f t="shared" si="20"/>
        <v>-2440.5100000000002</v>
      </c>
      <c r="Y30" s="2"/>
      <c r="Z30" s="7">
        <f t="shared" si="21"/>
        <v>-1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4"/>
        <v>0</v>
      </c>
      <c r="G31" s="2"/>
      <c r="H31" s="6">
        <v>112</v>
      </c>
      <c r="I31" s="2"/>
      <c r="J31" s="7">
        <f t="shared" si="15"/>
        <v>0</v>
      </c>
      <c r="K31" s="2"/>
      <c r="L31" s="6">
        <f t="shared" si="16"/>
        <v>-112</v>
      </c>
      <c r="M31" s="2"/>
      <c r="N31" s="7">
        <f t="shared" si="17"/>
        <v>-1</v>
      </c>
      <c r="O31" s="10"/>
      <c r="P31" s="6"/>
      <c r="Q31" s="2"/>
      <c r="R31" s="7">
        <f t="shared" si="18"/>
        <v>0</v>
      </c>
      <c r="S31" s="2"/>
      <c r="T31" s="6">
        <v>1513.65</v>
      </c>
      <c r="U31" s="2"/>
      <c r="V31" s="7">
        <f t="shared" si="19"/>
        <v>2.5571382243653844E-3</v>
      </c>
      <c r="W31" s="2"/>
      <c r="X31" s="6">
        <f t="shared" si="20"/>
        <v>-1513.65</v>
      </c>
      <c r="Y31" s="2"/>
      <c r="Z31" s="7">
        <f t="shared" si="21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8" si="22">IF(D$12=0,0,D32/D$12)</f>
        <v>0</v>
      </c>
      <c r="G32" s="1"/>
      <c r="H32" s="1">
        <f>SUM(OSRRefH22_1x_0)</f>
        <v>645.94000000000005</v>
      </c>
      <c r="I32" s="1"/>
      <c r="J32" s="5">
        <f t="shared" ref="J32:J38" si="23">IF(H$12=0,0,H32/H$12)</f>
        <v>0</v>
      </c>
      <c r="K32" s="1"/>
      <c r="L32" s="1">
        <f t="shared" ref="L32:L38" si="24">+D32-H32</f>
        <v>-645.94000000000005</v>
      </c>
      <c r="M32" s="1"/>
      <c r="N32" s="5">
        <f t="shared" ref="N32:N38" si="25">IF(H32=0,0,L32/H32)</f>
        <v>-1</v>
      </c>
      <c r="O32" s="12"/>
      <c r="P32" s="1">
        <f>SUM(OSRRefP22_1x_0)</f>
        <v>0</v>
      </c>
      <c r="Q32" s="1"/>
      <c r="R32" s="5">
        <f t="shared" ref="R32:R38" si="26">IF(P$12=0,0,P32/P$12)</f>
        <v>0</v>
      </c>
      <c r="S32" s="1"/>
      <c r="T32" s="1">
        <f>SUM(OSRRefT22_1x_0)</f>
        <v>187078.10000000003</v>
      </c>
      <c r="U32" s="1"/>
      <c r="V32" s="5">
        <f t="shared" ref="V32:V38" si="27">IF(T$12=0,0,T32/T$12)</f>
        <v>0.31604701248746397</v>
      </c>
      <c r="W32" s="1"/>
      <c r="X32" s="1">
        <f t="shared" ref="X32:X38" si="28">+P32-T32</f>
        <v>-187078.10000000003</v>
      </c>
      <c r="Y32" s="1"/>
      <c r="Z32" s="5">
        <f t="shared" ref="Z32:Z38" si="29">IF(T32=0,0,X32/T32)</f>
        <v>-1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2"/>
        <v>0</v>
      </c>
      <c r="G33" s="2"/>
      <c r="H33" s="6"/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0"/>
      <c r="P33" s="6"/>
      <c r="Q33" s="2"/>
      <c r="R33" s="7">
        <f t="shared" si="26"/>
        <v>0</v>
      </c>
      <c r="S33" s="2"/>
      <c r="T33" s="6">
        <v>9754.9500000000007</v>
      </c>
      <c r="U33" s="2"/>
      <c r="V33" s="7">
        <f t="shared" si="27"/>
        <v>1.6479870195734221E-2</v>
      </c>
      <c r="W33" s="2"/>
      <c r="X33" s="6">
        <f t="shared" si="28"/>
        <v>-9754.9500000000007</v>
      </c>
      <c r="Y33" s="2"/>
      <c r="Z33" s="7">
        <f t="shared" si="29"/>
        <v>-1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2"/>
        <v>0</v>
      </c>
      <c r="G34" s="2"/>
      <c r="H34" s="6">
        <v>1895.94</v>
      </c>
      <c r="I34" s="2"/>
      <c r="J34" s="7">
        <f t="shared" si="23"/>
        <v>0</v>
      </c>
      <c r="K34" s="2"/>
      <c r="L34" s="6">
        <f t="shared" si="24"/>
        <v>-1895.94</v>
      </c>
      <c r="M34" s="2"/>
      <c r="N34" s="7">
        <f t="shared" si="25"/>
        <v>-1</v>
      </c>
      <c r="O34" s="10"/>
      <c r="P34" s="6"/>
      <c r="Q34" s="2"/>
      <c r="R34" s="7">
        <f t="shared" si="26"/>
        <v>0</v>
      </c>
      <c r="S34" s="2"/>
      <c r="T34" s="6">
        <v>53008.29</v>
      </c>
      <c r="U34" s="2"/>
      <c r="V34" s="7">
        <f t="shared" si="27"/>
        <v>8.9551431683179958E-2</v>
      </c>
      <c r="W34" s="2"/>
      <c r="X34" s="6">
        <f t="shared" si="28"/>
        <v>-53008.29</v>
      </c>
      <c r="Y34" s="2"/>
      <c r="Z34" s="7">
        <f t="shared" si="29"/>
        <v>-1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2"/>
        <v>0</v>
      </c>
      <c r="G35" s="2"/>
      <c r="H35" s="6"/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0"/>
      <c r="P35" s="6"/>
      <c r="Q35" s="2"/>
      <c r="R35" s="7">
        <f t="shared" si="26"/>
        <v>0</v>
      </c>
      <c r="S35" s="2"/>
      <c r="T35" s="6">
        <v>1997.5</v>
      </c>
      <c r="U35" s="2"/>
      <c r="V35" s="7">
        <f t="shared" si="27"/>
        <v>3.3745473545204337E-3</v>
      </c>
      <c r="W35" s="2"/>
      <c r="X35" s="6">
        <f t="shared" si="28"/>
        <v>-1997.5</v>
      </c>
      <c r="Y35" s="2"/>
      <c r="Z35" s="7">
        <f t="shared" si="29"/>
        <v>-1</v>
      </c>
    </row>
    <row r="36" spans="1:26" s="23" customFormat="1" hidden="1" outlineLevel="2" x14ac:dyDescent="0.25">
      <c r="A36" s="27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2"/>
        <v>0</v>
      </c>
      <c r="G36" s="2"/>
      <c r="H36" s="6"/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0"/>
      <c r="P36" s="6"/>
      <c r="Q36" s="2"/>
      <c r="R36" s="7">
        <f t="shared" si="26"/>
        <v>0</v>
      </c>
      <c r="S36" s="2"/>
      <c r="T36" s="6">
        <v>29.25</v>
      </c>
      <c r="U36" s="2"/>
      <c r="V36" s="7">
        <f t="shared" si="27"/>
        <v>4.9414523213878695E-5</v>
      </c>
      <c r="W36" s="2"/>
      <c r="X36" s="6">
        <f t="shared" si="28"/>
        <v>-29.25</v>
      </c>
      <c r="Y36" s="2"/>
      <c r="Z36" s="7">
        <f t="shared" si="29"/>
        <v>-1</v>
      </c>
    </row>
    <row r="37" spans="1:26" s="23" customFormat="1" hidden="1" outlineLevel="2" x14ac:dyDescent="0.25">
      <c r="A37" s="27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22"/>
        <v>0</v>
      </c>
      <c r="G37" s="2"/>
      <c r="H37" s="6">
        <v>-1250</v>
      </c>
      <c r="I37" s="2"/>
      <c r="J37" s="7">
        <f t="shared" si="23"/>
        <v>0</v>
      </c>
      <c r="K37" s="2"/>
      <c r="L37" s="6">
        <f t="shared" si="24"/>
        <v>1250</v>
      </c>
      <c r="M37" s="2"/>
      <c r="N37" s="7">
        <f t="shared" si="25"/>
        <v>-1</v>
      </c>
      <c r="O37" s="10"/>
      <c r="P37" s="6"/>
      <c r="Q37" s="2"/>
      <c r="R37" s="7">
        <f t="shared" si="26"/>
        <v>0</v>
      </c>
      <c r="S37" s="2"/>
      <c r="T37" s="6">
        <v>121057.66</v>
      </c>
      <c r="U37" s="2"/>
      <c r="V37" s="7">
        <f t="shared" si="27"/>
        <v>0.20451304445428495</v>
      </c>
      <c r="W37" s="2"/>
      <c r="X37" s="6">
        <f t="shared" si="28"/>
        <v>-121057.66</v>
      </c>
      <c r="Y37" s="2"/>
      <c r="Z37" s="7">
        <f t="shared" si="29"/>
        <v>-1</v>
      </c>
    </row>
    <row r="38" spans="1:26" s="23" customFormat="1" hidden="1" outlineLevel="2" x14ac:dyDescent="0.25">
      <c r="A38" s="27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0"/>
      <c r="P38" s="6"/>
      <c r="Q38" s="2"/>
      <c r="R38" s="7">
        <f t="shared" si="26"/>
        <v>0</v>
      </c>
      <c r="S38" s="2"/>
      <c r="T38" s="6">
        <v>1230.45</v>
      </c>
      <c r="U38" s="2"/>
      <c r="V38" s="7">
        <f t="shared" si="27"/>
        <v>2.0787042765304971E-3</v>
      </c>
      <c r="W38" s="2"/>
      <c r="X38" s="6">
        <f t="shared" si="28"/>
        <v>-1230.45</v>
      </c>
      <c r="Y38" s="2"/>
      <c r="Z38" s="7">
        <f t="shared" si="29"/>
        <v>-1</v>
      </c>
    </row>
    <row r="39" spans="1:26" s="26" customFormat="1" outlineLevel="1" collapsed="1" x14ac:dyDescent="0.25">
      <c r="A39" s="25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55" si="30">IF(D$12=0,0,D39/D$12)</f>
        <v>0</v>
      </c>
      <c r="G39" s="1"/>
      <c r="H39" s="1">
        <f>SUM(OSRRefH22_2x_0)</f>
        <v>30.68</v>
      </c>
      <c r="I39" s="1"/>
      <c r="J39" s="5">
        <f t="shared" ref="J39:J55" si="31">IF(H$12=0,0,H39/H$12)</f>
        <v>0</v>
      </c>
      <c r="K39" s="1"/>
      <c r="L39" s="1">
        <f t="shared" ref="L39:L55" si="32">+D39-H39</f>
        <v>-30.68</v>
      </c>
      <c r="M39" s="1"/>
      <c r="N39" s="5">
        <f t="shared" ref="N39:N55" si="33">IF(H39=0,0,L39/H39)</f>
        <v>-1</v>
      </c>
      <c r="O39" s="12"/>
      <c r="P39" s="1">
        <f>SUM(OSRRefP22_2x_0)</f>
        <v>83.83</v>
      </c>
      <c r="Q39" s="1"/>
      <c r="R39" s="5">
        <f t="shared" ref="R39:R55" si="34">IF(P$12=0,0,P39/P$12)</f>
        <v>8.5987424480208435E-2</v>
      </c>
      <c r="S39" s="1"/>
      <c r="T39" s="1">
        <f>SUM(OSRRefT22_2x_0)</f>
        <v>799.69</v>
      </c>
      <c r="U39" s="1"/>
      <c r="V39" s="5">
        <f t="shared" ref="V39:V55" si="35">IF(T$12=0,0,T39/T$12)</f>
        <v>1.3509846177403985E-3</v>
      </c>
      <c r="W39" s="1"/>
      <c r="X39" s="1">
        <f t="shared" ref="X39:X55" si="36">+P39-T39</f>
        <v>-715.86</v>
      </c>
      <c r="Y39" s="1"/>
      <c r="Z39" s="5">
        <f t="shared" ref="Z39:Z55" si="37">IF(T39=0,0,X39/T39)</f>
        <v>-0.89517187910315243</v>
      </c>
    </row>
    <row r="40" spans="1:26" s="23" customFormat="1" hidden="1" outlineLevel="2" x14ac:dyDescent="0.25">
      <c r="A40" s="27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30"/>
        <v>0</v>
      </c>
      <c r="G40" s="2"/>
      <c r="H40" s="6">
        <v>30.68</v>
      </c>
      <c r="I40" s="2"/>
      <c r="J40" s="7">
        <f t="shared" si="31"/>
        <v>0</v>
      </c>
      <c r="K40" s="2"/>
      <c r="L40" s="6">
        <f t="shared" si="32"/>
        <v>-30.68</v>
      </c>
      <c r="M40" s="2"/>
      <c r="N40" s="7">
        <f t="shared" si="33"/>
        <v>-1</v>
      </c>
      <c r="O40" s="10"/>
      <c r="P40" s="6">
        <v>83.83</v>
      </c>
      <c r="Q40" s="2"/>
      <c r="R40" s="7">
        <f t="shared" si="34"/>
        <v>8.5987424480208435E-2</v>
      </c>
      <c r="S40" s="2"/>
      <c r="T40" s="6">
        <v>799.69</v>
      </c>
      <c r="U40" s="2"/>
      <c r="V40" s="7">
        <f t="shared" si="35"/>
        <v>1.3509846177403985E-3</v>
      </c>
      <c r="W40" s="2"/>
      <c r="X40" s="6">
        <f t="shared" si="36"/>
        <v>-715.86</v>
      </c>
      <c r="Y40" s="2"/>
      <c r="Z40" s="7">
        <f t="shared" si="37"/>
        <v>-0.89517187910315243</v>
      </c>
    </row>
    <row r="41" spans="1:26" s="26" customFormat="1" outlineLevel="1" collapsed="1" x14ac:dyDescent="0.25">
      <c r="A41" s="25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0</v>
      </c>
      <c r="I41" s="1"/>
      <c r="J41" s="5">
        <f t="shared" si="31"/>
        <v>0</v>
      </c>
      <c r="K41" s="1"/>
      <c r="L41" s="1">
        <f t="shared" si="32"/>
        <v>0</v>
      </c>
      <c r="M41" s="1"/>
      <c r="N41" s="5">
        <f t="shared" si="33"/>
        <v>0</v>
      </c>
      <c r="O41" s="12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125.23</v>
      </c>
      <c r="U41" s="1"/>
      <c r="V41" s="5">
        <f t="shared" si="35"/>
        <v>2.1156173477176167E-4</v>
      </c>
      <c r="W41" s="1"/>
      <c r="X41" s="1">
        <f t="shared" si="36"/>
        <v>-125.23</v>
      </c>
      <c r="Y41" s="1"/>
      <c r="Z41" s="5">
        <f t="shared" si="37"/>
        <v>-1</v>
      </c>
    </row>
    <row r="42" spans="1:26" s="23" customFormat="1" hidden="1" outlineLevel="2" x14ac:dyDescent="0.25">
      <c r="A42" s="27"/>
      <c r="B42" s="10" t="str">
        <f>CONCATENATE("          ", "6272", " - ", "CASH (OVER/SHORT)")</f>
        <v xml:space="preserve">          6272 - CASH (OVER/SHORT)</v>
      </c>
      <c r="C42" s="10"/>
      <c r="D42" s="6"/>
      <c r="E42" s="2"/>
      <c r="F42" s="7">
        <f t="shared" si="30"/>
        <v>0</v>
      </c>
      <c r="G42" s="2"/>
      <c r="H42" s="6"/>
      <c r="I42" s="2"/>
      <c r="J42" s="7">
        <f t="shared" si="31"/>
        <v>0</v>
      </c>
      <c r="K42" s="2"/>
      <c r="L42" s="6">
        <f t="shared" si="32"/>
        <v>0</v>
      </c>
      <c r="M42" s="2"/>
      <c r="N42" s="7">
        <f t="shared" si="33"/>
        <v>0</v>
      </c>
      <c r="O42" s="10"/>
      <c r="P42" s="6"/>
      <c r="Q42" s="2"/>
      <c r="R42" s="7">
        <f t="shared" si="34"/>
        <v>0</v>
      </c>
      <c r="S42" s="2"/>
      <c r="T42" s="6">
        <v>125.23</v>
      </c>
      <c r="U42" s="2"/>
      <c r="V42" s="7">
        <f t="shared" si="35"/>
        <v>2.1156173477176167E-4</v>
      </c>
      <c r="W42" s="2"/>
      <c r="X42" s="6">
        <f t="shared" si="36"/>
        <v>-125.23</v>
      </c>
      <c r="Y42" s="2"/>
      <c r="Z42" s="7">
        <f t="shared" si="37"/>
        <v>-1</v>
      </c>
    </row>
    <row r="43" spans="1:26" s="26" customFormat="1" outlineLevel="1" collapsed="1" x14ac:dyDescent="0.25">
      <c r="A43" s="25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458.24</v>
      </c>
      <c r="I43" s="1"/>
      <c r="J43" s="5">
        <f t="shared" si="31"/>
        <v>0</v>
      </c>
      <c r="K43" s="1"/>
      <c r="L43" s="1">
        <f t="shared" si="32"/>
        <v>-458.24</v>
      </c>
      <c r="M43" s="1"/>
      <c r="N43" s="5">
        <f t="shared" si="33"/>
        <v>-1</v>
      </c>
      <c r="O43" s="12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18857.060000000001</v>
      </c>
      <c r="U43" s="1"/>
      <c r="V43" s="5">
        <f t="shared" si="35"/>
        <v>3.1856842021042851E-2</v>
      </c>
      <c r="W43" s="1"/>
      <c r="X43" s="1">
        <f t="shared" si="36"/>
        <v>-18857.060000000001</v>
      </c>
      <c r="Y43" s="1"/>
      <c r="Z43" s="5">
        <f t="shared" si="37"/>
        <v>-1</v>
      </c>
    </row>
    <row r="44" spans="1:26" s="23" customFormat="1" hidden="1" outlineLevel="2" x14ac:dyDescent="0.25">
      <c r="A44" s="27"/>
      <c r="B44" s="10" t="str">
        <f>CONCATENATE("          ", "6381", " - ", "BANK/CREDIT CARD FEES")</f>
        <v xml:space="preserve">          6381 - BANK/CREDIT CARD FEES</v>
      </c>
      <c r="C44" s="10"/>
      <c r="D44" s="6"/>
      <c r="E44" s="2"/>
      <c r="F44" s="7">
        <f t="shared" si="30"/>
        <v>0</v>
      </c>
      <c r="G44" s="2"/>
      <c r="H44" s="6">
        <v>458.24</v>
      </c>
      <c r="I44" s="2"/>
      <c r="J44" s="7">
        <f t="shared" si="31"/>
        <v>0</v>
      </c>
      <c r="K44" s="2"/>
      <c r="L44" s="6">
        <f t="shared" si="32"/>
        <v>-458.24</v>
      </c>
      <c r="M44" s="2"/>
      <c r="N44" s="7">
        <f t="shared" si="33"/>
        <v>-1</v>
      </c>
      <c r="O44" s="10"/>
      <c r="P44" s="6"/>
      <c r="Q44" s="2"/>
      <c r="R44" s="7">
        <f t="shared" si="34"/>
        <v>0</v>
      </c>
      <c r="S44" s="2"/>
      <c r="T44" s="6">
        <v>18857.060000000001</v>
      </c>
      <c r="U44" s="2"/>
      <c r="V44" s="7">
        <f t="shared" si="35"/>
        <v>3.1856842021042851E-2</v>
      </c>
      <c r="W44" s="2"/>
      <c r="X44" s="6">
        <f t="shared" si="36"/>
        <v>-18857.060000000001</v>
      </c>
      <c r="Y44" s="2"/>
      <c r="Z44" s="7">
        <f t="shared" si="37"/>
        <v>-1</v>
      </c>
    </row>
    <row r="45" spans="1:26" s="26" customFormat="1" outlineLevel="1" collapsed="1" x14ac:dyDescent="0.25">
      <c r="A45" s="25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1825.26</v>
      </c>
      <c r="E45" s="1"/>
      <c r="F45" s="5">
        <f t="shared" si="30"/>
        <v>0</v>
      </c>
      <c r="G45" s="1"/>
      <c r="H45" s="1">
        <f>SUM(OSRRefH22_5x_0)</f>
        <v>1972.05</v>
      </c>
      <c r="I45" s="1"/>
      <c r="J45" s="5">
        <f t="shared" si="31"/>
        <v>0</v>
      </c>
      <c r="K45" s="1"/>
      <c r="L45" s="1">
        <f t="shared" si="32"/>
        <v>-146.78999999999996</v>
      </c>
      <c r="M45" s="1"/>
      <c r="N45" s="5">
        <f t="shared" si="33"/>
        <v>-7.4435232372404334E-2</v>
      </c>
      <c r="O45" s="12"/>
      <c r="P45" s="1">
        <f>SUM(OSRRefP22_5x_0)</f>
        <v>18399.39</v>
      </c>
      <c r="Q45" s="1"/>
      <c r="R45" s="5">
        <f t="shared" si="34"/>
        <v>18.872911345662676</v>
      </c>
      <c r="S45" s="1"/>
      <c r="T45" s="1">
        <f>SUM(OSRRefT22_5x_0)</f>
        <v>18585.87</v>
      </c>
      <c r="U45" s="1"/>
      <c r="V45" s="5">
        <f t="shared" si="35"/>
        <v>3.1398697591970309E-2</v>
      </c>
      <c r="W45" s="1"/>
      <c r="X45" s="1">
        <f t="shared" si="36"/>
        <v>-186.47999999999956</v>
      </c>
      <c r="Y45" s="1"/>
      <c r="Z45" s="5">
        <f t="shared" si="37"/>
        <v>-1.0033428620774791E-2</v>
      </c>
    </row>
    <row r="46" spans="1:26" s="23" customFormat="1" hidden="1" outlineLevel="2" x14ac:dyDescent="0.25">
      <c r="A46" s="27"/>
      <c r="B46" s="10" t="str">
        <f>CONCATENATE("          ", "6322", " - ", "EQUIPMENT DEPRECIATION EXPENSE")</f>
        <v xml:space="preserve">          6322 - EQUIPMENT DEPRECIATION EXPENSE</v>
      </c>
      <c r="C46" s="10"/>
      <c r="D46" s="6">
        <v>1825.26</v>
      </c>
      <c r="E46" s="2"/>
      <c r="F46" s="7">
        <f t="shared" si="30"/>
        <v>0</v>
      </c>
      <c r="G46" s="2"/>
      <c r="H46" s="6">
        <v>1972.05</v>
      </c>
      <c r="I46" s="2"/>
      <c r="J46" s="7">
        <f t="shared" si="31"/>
        <v>0</v>
      </c>
      <c r="K46" s="2"/>
      <c r="L46" s="6">
        <f t="shared" si="32"/>
        <v>-146.78999999999996</v>
      </c>
      <c r="M46" s="2"/>
      <c r="N46" s="7">
        <f t="shared" si="33"/>
        <v>-7.4435232372404334E-2</v>
      </c>
      <c r="O46" s="10"/>
      <c r="P46" s="6">
        <v>18399.39</v>
      </c>
      <c r="Q46" s="2"/>
      <c r="R46" s="7">
        <f t="shared" si="34"/>
        <v>18.872911345662676</v>
      </c>
      <c r="S46" s="2"/>
      <c r="T46" s="6">
        <v>18585.87</v>
      </c>
      <c r="U46" s="2"/>
      <c r="V46" s="7">
        <f t="shared" si="35"/>
        <v>3.1398697591970309E-2</v>
      </c>
      <c r="W46" s="2"/>
      <c r="X46" s="6">
        <f t="shared" si="36"/>
        <v>-186.47999999999956</v>
      </c>
      <c r="Y46" s="2"/>
      <c r="Z46" s="7">
        <f t="shared" si="37"/>
        <v>-1.0033428620774791E-2</v>
      </c>
    </row>
    <row r="47" spans="1:26" s="26" customFormat="1" outlineLevel="1" collapsed="1" x14ac:dyDescent="0.25">
      <c r="A47" s="25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SUM(OSRRefD22_6x_0)</f>
        <v>0</v>
      </c>
      <c r="E47" s="1"/>
      <c r="F47" s="5">
        <f t="shared" si="30"/>
        <v>0</v>
      </c>
      <c r="G47" s="1"/>
      <c r="H47" s="1">
        <f>SUM(OSRRefH22_6x_0)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2"/>
      <c r="P47" s="1">
        <f>SUM(OSRRefP22_6x_0)</f>
        <v>0</v>
      </c>
      <c r="Q47" s="1"/>
      <c r="R47" s="5">
        <f t="shared" si="34"/>
        <v>0</v>
      </c>
      <c r="S47" s="1"/>
      <c r="T47" s="1">
        <f>SUM(OSRRefT22_6x_0)</f>
        <v>236.02</v>
      </c>
      <c r="U47" s="1"/>
      <c r="V47" s="5">
        <f t="shared" si="35"/>
        <v>3.9872874423725298E-4</v>
      </c>
      <c r="W47" s="1"/>
      <c r="X47" s="1">
        <f t="shared" si="36"/>
        <v>-236.02</v>
      </c>
      <c r="Y47" s="1"/>
      <c r="Z47" s="5">
        <f t="shared" si="37"/>
        <v>-1</v>
      </c>
    </row>
    <row r="48" spans="1:26" s="23" customFormat="1" hidden="1" outlineLevel="2" x14ac:dyDescent="0.25">
      <c r="A48" s="27"/>
      <c r="B48" s="10" t="str">
        <f>CONCATENATE("          ", "6277", " - ", "EMPLOYEE APPRECIATION")</f>
        <v xml:space="preserve">          6277 - EMPLOYEE APPRECIATION</v>
      </c>
      <c r="C48" s="10"/>
      <c r="D48" s="6"/>
      <c r="E48" s="2"/>
      <c r="F48" s="7">
        <f t="shared" si="30"/>
        <v>0</v>
      </c>
      <c r="G48" s="2"/>
      <c r="H48" s="6"/>
      <c r="I48" s="2"/>
      <c r="J48" s="7">
        <f t="shared" si="31"/>
        <v>0</v>
      </c>
      <c r="K48" s="2"/>
      <c r="L48" s="6">
        <f t="shared" si="32"/>
        <v>0</v>
      </c>
      <c r="M48" s="2"/>
      <c r="N48" s="7">
        <f t="shared" si="33"/>
        <v>0</v>
      </c>
      <c r="O48" s="10"/>
      <c r="P48" s="6"/>
      <c r="Q48" s="2"/>
      <c r="R48" s="7">
        <f t="shared" si="34"/>
        <v>0</v>
      </c>
      <c r="S48" s="2"/>
      <c r="T48" s="6">
        <v>236.02</v>
      </c>
      <c r="U48" s="2"/>
      <c r="V48" s="7">
        <f t="shared" si="35"/>
        <v>3.9872874423725298E-4</v>
      </c>
      <c r="W48" s="2"/>
      <c r="X48" s="6">
        <f t="shared" si="36"/>
        <v>-236.02</v>
      </c>
      <c r="Y48" s="2"/>
      <c r="Z48" s="7">
        <f t="shared" si="37"/>
        <v>-1</v>
      </c>
    </row>
    <row r="49" spans="1:26" s="26" customFormat="1" outlineLevel="1" collapsed="1" x14ac:dyDescent="0.25">
      <c r="A49" s="25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SUM(OSRRefD22_7x_0)</f>
        <v>0</v>
      </c>
      <c r="E49" s="1"/>
      <c r="F49" s="5">
        <f t="shared" si="30"/>
        <v>0</v>
      </c>
      <c r="G49" s="1"/>
      <c r="H49" s="1">
        <f>SUM(OSRRefH22_7x_0)</f>
        <v>0</v>
      </c>
      <c r="I49" s="1"/>
      <c r="J49" s="5">
        <f t="shared" si="31"/>
        <v>0</v>
      </c>
      <c r="K49" s="1"/>
      <c r="L49" s="1">
        <f t="shared" si="32"/>
        <v>0</v>
      </c>
      <c r="M49" s="1"/>
      <c r="N49" s="5">
        <f t="shared" si="33"/>
        <v>0</v>
      </c>
      <c r="O49" s="12"/>
      <c r="P49" s="1">
        <f>SUM(OSRRefP22_7x_0)</f>
        <v>96.3</v>
      </c>
      <c r="Q49" s="1"/>
      <c r="R49" s="5">
        <f t="shared" si="34"/>
        <v>9.8778348770655749E-2</v>
      </c>
      <c r="S49" s="1"/>
      <c r="T49" s="1">
        <f>SUM(OSRRefT22_7x_0)</f>
        <v>951.28</v>
      </c>
      <c r="U49" s="1"/>
      <c r="V49" s="5">
        <f t="shared" si="35"/>
        <v>1.6070785518939666E-3</v>
      </c>
      <c r="W49" s="1"/>
      <c r="X49" s="1">
        <f t="shared" si="36"/>
        <v>-854.98</v>
      </c>
      <c r="Y49" s="1"/>
      <c r="Z49" s="5">
        <f t="shared" si="37"/>
        <v>-0.89876797578000178</v>
      </c>
    </row>
    <row r="50" spans="1:26" s="23" customFormat="1" hidden="1" outlineLevel="2" x14ac:dyDescent="0.25">
      <c r="A50" s="27"/>
      <c r="B50" s="10" t="str">
        <f>CONCATENATE("          ", "6351", " - ", "EQUIPMENT RENTAL")</f>
        <v xml:space="preserve">          6351 - EQUIPMENT RENTAL</v>
      </c>
      <c r="C50" s="10"/>
      <c r="D50" s="6"/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0</v>
      </c>
      <c r="M50" s="2"/>
      <c r="N50" s="7">
        <f t="shared" si="33"/>
        <v>0</v>
      </c>
      <c r="O50" s="10"/>
      <c r="P50" s="6">
        <v>96.3</v>
      </c>
      <c r="Q50" s="2"/>
      <c r="R50" s="7">
        <f t="shared" si="34"/>
        <v>9.8778348770655749E-2</v>
      </c>
      <c r="S50" s="2"/>
      <c r="T50" s="6">
        <v>951.28</v>
      </c>
      <c r="U50" s="2"/>
      <c r="V50" s="7">
        <f t="shared" si="35"/>
        <v>1.6070785518939666E-3</v>
      </c>
      <c r="W50" s="2"/>
      <c r="X50" s="6">
        <f t="shared" si="36"/>
        <v>-854.98</v>
      </c>
      <c r="Y50" s="2"/>
      <c r="Z50" s="7">
        <f t="shared" si="37"/>
        <v>-0.89876797578000178</v>
      </c>
    </row>
    <row r="51" spans="1:26" s="26" customFormat="1" outlineLevel="1" collapsed="1" x14ac:dyDescent="0.25">
      <c r="A51" s="25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SUM(OSRRefD22_8x_0)</f>
        <v>0</v>
      </c>
      <c r="E51" s="1"/>
      <c r="F51" s="5">
        <f t="shared" si="30"/>
        <v>0</v>
      </c>
      <c r="G51" s="1"/>
      <c r="H51" s="1">
        <f>SUM(OSRRefH22_8x_0)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2"/>
      <c r="P51" s="1">
        <f>SUM(OSRRefP22_8x_0)</f>
        <v>7.28</v>
      </c>
      <c r="Q51" s="1"/>
      <c r="R51" s="5">
        <f t="shared" si="34"/>
        <v>7.467355961063073E-3</v>
      </c>
      <c r="S51" s="1"/>
      <c r="T51" s="1">
        <f>SUM(OSRRefT22_8x_0)</f>
        <v>9129.7800000000007</v>
      </c>
      <c r="U51" s="1"/>
      <c r="V51" s="5">
        <f t="shared" si="35"/>
        <v>1.5423717119576255E-2</v>
      </c>
      <c r="W51" s="1"/>
      <c r="X51" s="1">
        <f t="shared" si="36"/>
        <v>-9122.5</v>
      </c>
      <c r="Y51" s="1"/>
      <c r="Z51" s="5">
        <f t="shared" si="37"/>
        <v>-0.99920260948237516</v>
      </c>
    </row>
    <row r="52" spans="1:26" s="23" customFormat="1" hidden="1" outlineLevel="2" x14ac:dyDescent="0.25">
      <c r="A52" s="27"/>
      <c r="B52" s="10" t="str">
        <f>CONCATENATE("          ", "6279", " - ", "GENERAL EXPENSE")</f>
        <v xml:space="preserve">          6279 - GENERAL EXPENSE</v>
      </c>
      <c r="C52" s="10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0"/>
      <c r="P52" s="6">
        <v>7.28</v>
      </c>
      <c r="Q52" s="2"/>
      <c r="R52" s="7">
        <f t="shared" si="34"/>
        <v>7.467355961063073E-3</v>
      </c>
      <c r="S52" s="2"/>
      <c r="T52" s="6">
        <v>9129.7800000000007</v>
      </c>
      <c r="U52" s="2"/>
      <c r="V52" s="7">
        <f t="shared" si="35"/>
        <v>1.5423717119576255E-2</v>
      </c>
      <c r="W52" s="2"/>
      <c r="X52" s="6">
        <f t="shared" si="36"/>
        <v>-9122.5</v>
      </c>
      <c r="Y52" s="2"/>
      <c r="Z52" s="7">
        <f t="shared" si="37"/>
        <v>-0.99920260948237516</v>
      </c>
    </row>
    <row r="53" spans="1:26" s="26" customFormat="1" outlineLevel="1" collapsed="1" x14ac:dyDescent="0.25">
      <c r="A53" s="25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SUM(OSRRefD22_9x_0)</f>
        <v>0</v>
      </c>
      <c r="E53" s="1"/>
      <c r="F53" s="5">
        <f t="shared" si="30"/>
        <v>0</v>
      </c>
      <c r="G53" s="1"/>
      <c r="H53" s="1">
        <f>SUM(OSRRefH22_9x_0)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2"/>
      <c r="P53" s="1">
        <f>SUM(OSRRefP22_9x_0)</f>
        <v>628.04</v>
      </c>
      <c r="Q53" s="1"/>
      <c r="R53" s="5">
        <f t="shared" si="34"/>
        <v>0.64420305464094119</v>
      </c>
      <c r="S53" s="1"/>
      <c r="T53" s="1">
        <f>SUM(OSRRefT22_9x_0)</f>
        <v>7394.18</v>
      </c>
      <c r="U53" s="1"/>
      <c r="V53" s="5">
        <f t="shared" si="35"/>
        <v>1.249161980367855E-2</v>
      </c>
      <c r="W53" s="1"/>
      <c r="X53" s="1">
        <f t="shared" si="36"/>
        <v>-6766.14</v>
      </c>
      <c r="Y53" s="1"/>
      <c r="Z53" s="5">
        <f t="shared" si="37"/>
        <v>-0.91506292787029797</v>
      </c>
    </row>
    <row r="54" spans="1:26" s="23" customFormat="1" hidden="1" outlineLevel="2" x14ac:dyDescent="0.25">
      <c r="A54" s="27"/>
      <c r="B54" s="10" t="str">
        <f>CONCATENATE("          ", "6373", " - ", "MAINTENANCE CONTRACTS")</f>
        <v xml:space="preserve">          6373 - MAINTENANCE CONTRACTS</v>
      </c>
      <c r="C54" s="10"/>
      <c r="D54" s="6"/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0"/>
      <c r="P54" s="6">
        <v>428.04</v>
      </c>
      <c r="Q54" s="2"/>
      <c r="R54" s="7">
        <f t="shared" si="34"/>
        <v>0.43905591285349421</v>
      </c>
      <c r="S54" s="2"/>
      <c r="T54" s="6">
        <v>369.97</v>
      </c>
      <c r="U54" s="2"/>
      <c r="V54" s="7">
        <f t="shared" si="35"/>
        <v>6.2502191977568207E-4</v>
      </c>
      <c r="W54" s="2"/>
      <c r="X54" s="6">
        <f t="shared" si="36"/>
        <v>58.069999999999993</v>
      </c>
      <c r="Y54" s="2"/>
      <c r="Z54" s="7">
        <f t="shared" si="37"/>
        <v>0.15695867232478306</v>
      </c>
    </row>
    <row r="55" spans="1:26" s="23" customFormat="1" hidden="1" outlineLevel="2" x14ac:dyDescent="0.25">
      <c r="A55" s="27"/>
      <c r="B55" s="10" t="str">
        <f>CONCATENATE("          ", "6375", " - ", "OUTSIDE REPAIRS &amp; MAINTENANCE")</f>
        <v xml:space="preserve">          6375 - OUTSIDE REPAIRS &amp; MAINTENANCE</v>
      </c>
      <c r="C55" s="10"/>
      <c r="D55" s="6"/>
      <c r="E55" s="2"/>
      <c r="F55" s="7">
        <f t="shared" si="30"/>
        <v>0</v>
      </c>
      <c r="G55" s="2"/>
      <c r="H55" s="6"/>
      <c r="I55" s="2"/>
      <c r="J55" s="7">
        <f t="shared" si="31"/>
        <v>0</v>
      </c>
      <c r="K55" s="2"/>
      <c r="L55" s="6">
        <f t="shared" si="32"/>
        <v>0</v>
      </c>
      <c r="M55" s="2"/>
      <c r="N55" s="7">
        <f t="shared" si="33"/>
        <v>0</v>
      </c>
      <c r="O55" s="10"/>
      <c r="P55" s="6">
        <v>200</v>
      </c>
      <c r="Q55" s="2"/>
      <c r="R55" s="7">
        <f t="shared" si="34"/>
        <v>0.20514714178744706</v>
      </c>
      <c r="S55" s="2"/>
      <c r="T55" s="6">
        <v>7024.21</v>
      </c>
      <c r="U55" s="2"/>
      <c r="V55" s="7">
        <f t="shared" si="35"/>
        <v>1.1866597883902867E-2</v>
      </c>
      <c r="W55" s="2"/>
      <c r="X55" s="6">
        <f t="shared" si="36"/>
        <v>-6824.21</v>
      </c>
      <c r="Y55" s="2"/>
      <c r="Z55" s="7">
        <f t="shared" si="37"/>
        <v>-0.97152704716971727</v>
      </c>
    </row>
    <row r="56" spans="1:26" s="26" customFormat="1" outlineLevel="1" collapsed="1" x14ac:dyDescent="0.25">
      <c r="A56" s="25"/>
      <c r="B56" s="12" t="str">
        <f>CONCATENATE("     ","Royalty &amp; Commissions                             ")</f>
        <v xml:space="preserve">     Royalty &amp; Commissions                             </v>
      </c>
      <c r="C56" s="12"/>
      <c r="D56" s="1">
        <f>SUM(OSRRefD22_10x_0)</f>
        <v>0</v>
      </c>
      <c r="E56" s="1"/>
      <c r="F56" s="5">
        <f t="shared" ref="F56:F69" si="38">IF(D$12=0,0,D56/D$12)</f>
        <v>0</v>
      </c>
      <c r="G56" s="1"/>
      <c r="H56" s="1">
        <f>SUM(OSRRefH22_10x_0)</f>
        <v>0</v>
      </c>
      <c r="I56" s="1"/>
      <c r="J56" s="5">
        <f t="shared" ref="J56:J69" si="39">IF(H$12=0,0,H56/H$12)</f>
        <v>0</v>
      </c>
      <c r="K56" s="1"/>
      <c r="L56" s="1">
        <f t="shared" ref="L56:L69" si="40">+D56-H56</f>
        <v>0</v>
      </c>
      <c r="M56" s="1"/>
      <c r="N56" s="5">
        <f t="shared" ref="N56:N69" si="41">IF(H56=0,0,L56/H56)</f>
        <v>0</v>
      </c>
      <c r="O56" s="12"/>
      <c r="P56" s="1">
        <f>SUM(OSRRefP22_10x_0)</f>
        <v>0</v>
      </c>
      <c r="Q56" s="1"/>
      <c r="R56" s="5">
        <f t="shared" ref="R56:R69" si="42">IF(P$12=0,0,P56/P$12)</f>
        <v>0</v>
      </c>
      <c r="S56" s="1"/>
      <c r="T56" s="1">
        <f>SUM(OSRRefT22_10x_0)</f>
        <v>44134.64</v>
      </c>
      <c r="U56" s="1"/>
      <c r="V56" s="5">
        <f t="shared" ref="V56:V69" si="43">IF(T$12=0,0,T56/T$12)</f>
        <v>7.4560416848416383E-2</v>
      </c>
      <c r="W56" s="1"/>
      <c r="X56" s="1">
        <f t="shared" ref="X56:X69" si="44">+P56-T56</f>
        <v>-44134.64</v>
      </c>
      <c r="Y56" s="1"/>
      <c r="Z56" s="5">
        <f t="shared" ref="Z56:Z69" si="45">IF(T56=0,0,X56/T56)</f>
        <v>-1</v>
      </c>
    </row>
    <row r="57" spans="1:26" s="23" customFormat="1" hidden="1" outlineLevel="2" x14ac:dyDescent="0.25">
      <c r="A57" s="27"/>
      <c r="B57" s="10" t="str">
        <f>CONCATENATE("          ", "6259", " - ", "ROYALTY &amp; COMMISSIONS")</f>
        <v xml:space="preserve">          6259 - ROYALTY &amp; COMMISSIONS</v>
      </c>
      <c r="C57" s="10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0"/>
      <c r="P57" s="6"/>
      <c r="Q57" s="2"/>
      <c r="R57" s="7">
        <f t="shared" si="42"/>
        <v>0</v>
      </c>
      <c r="S57" s="2"/>
      <c r="T57" s="6">
        <v>44134.64</v>
      </c>
      <c r="U57" s="2"/>
      <c r="V57" s="7">
        <f t="shared" si="43"/>
        <v>7.4560416848416383E-2</v>
      </c>
      <c r="W57" s="2"/>
      <c r="X57" s="6">
        <f t="shared" si="44"/>
        <v>-44134.64</v>
      </c>
      <c r="Y57" s="2"/>
      <c r="Z57" s="7">
        <f t="shared" si="45"/>
        <v>-1</v>
      </c>
    </row>
    <row r="58" spans="1:26" s="26" customFormat="1" outlineLevel="1" collapsed="1" x14ac:dyDescent="0.25">
      <c r="A58" s="25"/>
      <c r="B58" s="12" t="str">
        <f>CONCATENATE("     ","Services                                          ")</f>
        <v xml:space="preserve">     Services                                          </v>
      </c>
      <c r="C58" s="12"/>
      <c r="D58" s="1">
        <f>SUM(OSRRefD22_11x_0)</f>
        <v>0</v>
      </c>
      <c r="E58" s="1"/>
      <c r="F58" s="5">
        <f t="shared" si="38"/>
        <v>0</v>
      </c>
      <c r="G58" s="1"/>
      <c r="H58" s="1">
        <f>SUM(OSRRefH22_11x_0)</f>
        <v>0</v>
      </c>
      <c r="I58" s="1"/>
      <c r="J58" s="5">
        <f t="shared" si="39"/>
        <v>0</v>
      </c>
      <c r="K58" s="1"/>
      <c r="L58" s="1">
        <f t="shared" si="40"/>
        <v>0</v>
      </c>
      <c r="M58" s="1"/>
      <c r="N58" s="5">
        <f t="shared" si="41"/>
        <v>0</v>
      </c>
      <c r="O58" s="12"/>
      <c r="P58" s="1">
        <f>SUM(OSRRefP22_11x_0)</f>
        <v>0</v>
      </c>
      <c r="Q58" s="1"/>
      <c r="R58" s="5">
        <f t="shared" si="42"/>
        <v>0</v>
      </c>
      <c r="S58" s="1"/>
      <c r="T58" s="1">
        <f>SUM(OSRRefT22_11x_0)</f>
        <v>508.6</v>
      </c>
      <c r="U58" s="1"/>
      <c r="V58" s="5">
        <f t="shared" si="43"/>
        <v>8.5922141902833175E-4</v>
      </c>
      <c r="W58" s="1"/>
      <c r="X58" s="1">
        <f t="shared" si="44"/>
        <v>-508.6</v>
      </c>
      <c r="Y58" s="1"/>
      <c r="Z58" s="5">
        <f t="shared" si="45"/>
        <v>-1</v>
      </c>
    </row>
    <row r="59" spans="1:26" s="23" customFormat="1" hidden="1" outlineLevel="2" x14ac:dyDescent="0.25">
      <c r="A59" s="27"/>
      <c r="B59" s="10" t="str">
        <f>CONCATENATE("          ", "6286", " - ", "LAUNDRY EXPENSE")</f>
        <v xml:space="preserve">          6286 - LAUNDRY EXPENSE</v>
      </c>
      <c r="C59" s="10"/>
      <c r="D59" s="6"/>
      <c r="E59" s="2"/>
      <c r="F59" s="7">
        <f t="shared" si="38"/>
        <v>0</v>
      </c>
      <c r="G59" s="2"/>
      <c r="H59" s="6"/>
      <c r="I59" s="2"/>
      <c r="J59" s="7">
        <f t="shared" si="39"/>
        <v>0</v>
      </c>
      <c r="K59" s="2"/>
      <c r="L59" s="6">
        <f t="shared" si="40"/>
        <v>0</v>
      </c>
      <c r="M59" s="2"/>
      <c r="N59" s="7">
        <f t="shared" si="41"/>
        <v>0</v>
      </c>
      <c r="O59" s="10"/>
      <c r="P59" s="6"/>
      <c r="Q59" s="2"/>
      <c r="R59" s="7">
        <f t="shared" si="42"/>
        <v>0</v>
      </c>
      <c r="S59" s="2"/>
      <c r="T59" s="6">
        <v>508.6</v>
      </c>
      <c r="U59" s="2"/>
      <c r="V59" s="7">
        <f t="shared" si="43"/>
        <v>8.5922141902833175E-4</v>
      </c>
      <c r="W59" s="2"/>
      <c r="X59" s="6">
        <f t="shared" si="44"/>
        <v>-508.6</v>
      </c>
      <c r="Y59" s="2"/>
      <c r="Z59" s="7">
        <f t="shared" si="45"/>
        <v>-1</v>
      </c>
    </row>
    <row r="60" spans="1:26" s="26" customFormat="1" outlineLevel="1" collapsed="1" x14ac:dyDescent="0.25">
      <c r="A60" s="25"/>
      <c r="B60" s="12" t="str">
        <f>CONCATENATE("     ","Subscriptions &amp; Dues                              ")</f>
        <v xml:space="preserve">     Subscriptions &amp; Dues                              </v>
      </c>
      <c r="C60" s="12"/>
      <c r="D60" s="1">
        <f>SUM(OSRRefD22_12x_0)</f>
        <v>0</v>
      </c>
      <c r="E60" s="1"/>
      <c r="F60" s="5">
        <f t="shared" si="38"/>
        <v>0</v>
      </c>
      <c r="G60" s="1"/>
      <c r="H60" s="1">
        <f>SUM(OSRRefH22_12x_0)</f>
        <v>0</v>
      </c>
      <c r="I60" s="1"/>
      <c r="J60" s="5">
        <f t="shared" si="39"/>
        <v>0</v>
      </c>
      <c r="K60" s="1"/>
      <c r="L60" s="1">
        <f t="shared" si="40"/>
        <v>0</v>
      </c>
      <c r="M60" s="1"/>
      <c r="N60" s="5">
        <f t="shared" si="41"/>
        <v>0</v>
      </c>
      <c r="O60" s="12"/>
      <c r="P60" s="1">
        <f>SUM(OSRRefP22_12x_0)</f>
        <v>0</v>
      </c>
      <c r="Q60" s="1"/>
      <c r="R60" s="5">
        <f t="shared" si="42"/>
        <v>0</v>
      </c>
      <c r="S60" s="1"/>
      <c r="T60" s="1">
        <f>SUM(OSRRefT22_12x_0)</f>
        <v>122.72</v>
      </c>
      <c r="U60" s="1"/>
      <c r="V60" s="5">
        <f t="shared" si="43"/>
        <v>2.0732137739511771E-4</v>
      </c>
      <c r="W60" s="1"/>
      <c r="X60" s="1">
        <f t="shared" si="44"/>
        <v>-122.72</v>
      </c>
      <c r="Y60" s="1"/>
      <c r="Z60" s="5">
        <f t="shared" si="45"/>
        <v>-1</v>
      </c>
    </row>
    <row r="61" spans="1:26" s="23" customFormat="1" hidden="1" outlineLevel="2" x14ac:dyDescent="0.25">
      <c r="A61" s="27"/>
      <c r="B61" s="10" t="str">
        <f>CONCATENATE("          ", "6275", " - ", "SUBSCRIPTIONS")</f>
        <v xml:space="preserve">          6275 - SUBSCRIPTIONS</v>
      </c>
      <c r="C61" s="10"/>
      <c r="D61" s="6"/>
      <c r="E61" s="2"/>
      <c r="F61" s="7">
        <f t="shared" si="38"/>
        <v>0</v>
      </c>
      <c r="G61" s="2"/>
      <c r="H61" s="6"/>
      <c r="I61" s="2"/>
      <c r="J61" s="7">
        <f t="shared" si="39"/>
        <v>0</v>
      </c>
      <c r="K61" s="2"/>
      <c r="L61" s="6">
        <f t="shared" si="40"/>
        <v>0</v>
      </c>
      <c r="M61" s="2"/>
      <c r="N61" s="7">
        <f t="shared" si="41"/>
        <v>0</v>
      </c>
      <c r="O61" s="10"/>
      <c r="P61" s="6"/>
      <c r="Q61" s="2"/>
      <c r="R61" s="7">
        <f t="shared" si="42"/>
        <v>0</v>
      </c>
      <c r="S61" s="2"/>
      <c r="T61" s="6">
        <v>122.72</v>
      </c>
      <c r="U61" s="2"/>
      <c r="V61" s="7">
        <f t="shared" si="43"/>
        <v>2.0732137739511771E-4</v>
      </c>
      <c r="W61" s="2"/>
      <c r="X61" s="6">
        <f t="shared" si="44"/>
        <v>-122.72</v>
      </c>
      <c r="Y61" s="2"/>
      <c r="Z61" s="7">
        <f t="shared" si="45"/>
        <v>-1</v>
      </c>
    </row>
    <row r="62" spans="1:26" s="26" customFormat="1" outlineLevel="1" collapsed="1" x14ac:dyDescent="0.25">
      <c r="A62" s="25"/>
      <c r="B62" s="12" t="str">
        <f>CONCATENATE("     ","Supplies                                          ")</f>
        <v xml:space="preserve">     Supplies                                          </v>
      </c>
      <c r="C62" s="12"/>
      <c r="D62" s="1">
        <f>SUM(OSRRefD22_13x_0)</f>
        <v>0</v>
      </c>
      <c r="E62" s="1"/>
      <c r="F62" s="5">
        <f t="shared" si="38"/>
        <v>0</v>
      </c>
      <c r="G62" s="1"/>
      <c r="H62" s="1">
        <f>SUM(OSRRefH22_13x_0)</f>
        <v>0</v>
      </c>
      <c r="I62" s="1"/>
      <c r="J62" s="5">
        <f t="shared" si="39"/>
        <v>0</v>
      </c>
      <c r="K62" s="1"/>
      <c r="L62" s="1">
        <f t="shared" si="40"/>
        <v>0</v>
      </c>
      <c r="M62" s="1"/>
      <c r="N62" s="5">
        <f t="shared" si="41"/>
        <v>0</v>
      </c>
      <c r="O62" s="12"/>
      <c r="P62" s="1">
        <f>SUM(OSRRefP22_13x_0)</f>
        <v>0</v>
      </c>
      <c r="Q62" s="1"/>
      <c r="R62" s="5">
        <f t="shared" si="42"/>
        <v>0</v>
      </c>
      <c r="S62" s="1"/>
      <c r="T62" s="1">
        <f>SUM(OSRRefT22_13x_0)</f>
        <v>11599.199999999999</v>
      </c>
      <c r="U62" s="1"/>
      <c r="V62" s="5">
        <f t="shared" si="43"/>
        <v>1.959551923632211E-2</v>
      </c>
      <c r="W62" s="1"/>
      <c r="X62" s="1">
        <f t="shared" si="44"/>
        <v>-11599.199999999999</v>
      </c>
      <c r="Y62" s="1"/>
      <c r="Z62" s="5">
        <f t="shared" si="45"/>
        <v>-1</v>
      </c>
    </row>
    <row r="63" spans="1:26" s="23" customFormat="1" hidden="1" outlineLevel="2" x14ac:dyDescent="0.25">
      <c r="A63" s="27"/>
      <c r="B63" s="10" t="str">
        <f>CONCATENATE("          ", "6237", " - ", "JANITORIAL SUPPLIES")</f>
        <v xml:space="preserve">          6237 - JANITORIAL SUPPLIES</v>
      </c>
      <c r="C63" s="10"/>
      <c r="D63" s="6"/>
      <c r="E63" s="2"/>
      <c r="F63" s="7">
        <f t="shared" si="38"/>
        <v>0</v>
      </c>
      <c r="G63" s="2"/>
      <c r="H63" s="6"/>
      <c r="I63" s="2"/>
      <c r="J63" s="7">
        <f t="shared" si="39"/>
        <v>0</v>
      </c>
      <c r="K63" s="2"/>
      <c r="L63" s="6">
        <f t="shared" si="40"/>
        <v>0</v>
      </c>
      <c r="M63" s="2"/>
      <c r="N63" s="7">
        <f t="shared" si="41"/>
        <v>0</v>
      </c>
      <c r="O63" s="10"/>
      <c r="P63" s="6"/>
      <c r="Q63" s="2"/>
      <c r="R63" s="7">
        <f t="shared" si="42"/>
        <v>0</v>
      </c>
      <c r="S63" s="2"/>
      <c r="T63" s="6">
        <v>268.49</v>
      </c>
      <c r="U63" s="2"/>
      <c r="V63" s="7">
        <f t="shared" si="43"/>
        <v>4.5358308846818088E-4</v>
      </c>
      <c r="W63" s="2"/>
      <c r="X63" s="6">
        <f t="shared" si="44"/>
        <v>-268.49</v>
      </c>
      <c r="Y63" s="2"/>
      <c r="Z63" s="7">
        <f t="shared" si="45"/>
        <v>-1</v>
      </c>
    </row>
    <row r="64" spans="1:26" s="23" customFormat="1" hidden="1" outlineLevel="2" x14ac:dyDescent="0.25">
      <c r="A64" s="27"/>
      <c r="B64" s="10" t="str">
        <f>CONCATENATE("          ", "6239", " - ", "KITCHEN SUPPLIES")</f>
        <v xml:space="preserve">          6239 - KITCHEN SUPPLIES</v>
      </c>
      <c r="C64" s="10"/>
      <c r="D64" s="6"/>
      <c r="E64" s="2"/>
      <c r="F64" s="7">
        <f t="shared" si="38"/>
        <v>0</v>
      </c>
      <c r="G64" s="2"/>
      <c r="H64" s="6"/>
      <c r="I64" s="2"/>
      <c r="J64" s="7">
        <f t="shared" si="39"/>
        <v>0</v>
      </c>
      <c r="K64" s="2"/>
      <c r="L64" s="6">
        <f t="shared" si="40"/>
        <v>0</v>
      </c>
      <c r="M64" s="2"/>
      <c r="N64" s="7">
        <f t="shared" si="41"/>
        <v>0</v>
      </c>
      <c r="O64" s="10"/>
      <c r="P64" s="6"/>
      <c r="Q64" s="2"/>
      <c r="R64" s="7">
        <f t="shared" si="42"/>
        <v>0</v>
      </c>
      <c r="S64" s="2"/>
      <c r="T64" s="6">
        <v>2024.76</v>
      </c>
      <c r="U64" s="2"/>
      <c r="V64" s="7">
        <f t="shared" si="43"/>
        <v>3.4206000007703597E-3</v>
      </c>
      <c r="W64" s="2"/>
      <c r="X64" s="6">
        <f t="shared" si="44"/>
        <v>-2024.76</v>
      </c>
      <c r="Y64" s="2"/>
      <c r="Z64" s="7">
        <f t="shared" si="45"/>
        <v>-1</v>
      </c>
    </row>
    <row r="65" spans="1:26" s="23" customFormat="1" hidden="1" outlineLevel="2" x14ac:dyDescent="0.25">
      <c r="A65" s="27"/>
      <c r="B65" s="10" t="str">
        <f>CONCATENATE("          ", "6241", " - ", "OFFICE EXPENSE")</f>
        <v xml:space="preserve">          6241 - OFFICE EXPENSE</v>
      </c>
      <c r="C65" s="10"/>
      <c r="D65" s="6"/>
      <c r="E65" s="2"/>
      <c r="F65" s="7">
        <f t="shared" si="38"/>
        <v>0</v>
      </c>
      <c r="G65" s="2"/>
      <c r="H65" s="6"/>
      <c r="I65" s="2"/>
      <c r="J65" s="7">
        <f t="shared" si="39"/>
        <v>0</v>
      </c>
      <c r="K65" s="2"/>
      <c r="L65" s="6">
        <f t="shared" si="40"/>
        <v>0</v>
      </c>
      <c r="M65" s="2"/>
      <c r="N65" s="7">
        <f t="shared" si="41"/>
        <v>0</v>
      </c>
      <c r="O65" s="10"/>
      <c r="P65" s="6"/>
      <c r="Q65" s="2"/>
      <c r="R65" s="7">
        <f t="shared" si="42"/>
        <v>0</v>
      </c>
      <c r="S65" s="2"/>
      <c r="T65" s="6">
        <v>1499.6</v>
      </c>
      <c r="U65" s="2"/>
      <c r="V65" s="7">
        <f t="shared" si="43"/>
        <v>2.5334023593686318E-3</v>
      </c>
      <c r="W65" s="2"/>
      <c r="X65" s="6">
        <f t="shared" si="44"/>
        <v>-1499.6</v>
      </c>
      <c r="Y65" s="2"/>
      <c r="Z65" s="7">
        <f t="shared" si="45"/>
        <v>-1</v>
      </c>
    </row>
    <row r="66" spans="1:26" s="23" customFormat="1" hidden="1" outlineLevel="2" x14ac:dyDescent="0.25">
      <c r="A66" s="27"/>
      <c r="B66" s="10" t="str">
        <f>CONCATENATE("          ", "6243", " - ", "PAPER SUPPLIES")</f>
        <v xml:space="preserve">          6243 - PAPER SUPPLIES</v>
      </c>
      <c r="C66" s="10"/>
      <c r="D66" s="6"/>
      <c r="E66" s="2"/>
      <c r="F66" s="7">
        <f t="shared" si="38"/>
        <v>0</v>
      </c>
      <c r="G66" s="2"/>
      <c r="H66" s="6"/>
      <c r="I66" s="2"/>
      <c r="J66" s="7">
        <f t="shared" si="39"/>
        <v>0</v>
      </c>
      <c r="K66" s="2"/>
      <c r="L66" s="6">
        <f t="shared" si="40"/>
        <v>0</v>
      </c>
      <c r="M66" s="2"/>
      <c r="N66" s="7">
        <f t="shared" si="41"/>
        <v>0</v>
      </c>
      <c r="O66" s="10"/>
      <c r="P66" s="6"/>
      <c r="Q66" s="2"/>
      <c r="R66" s="7">
        <f t="shared" si="42"/>
        <v>0</v>
      </c>
      <c r="S66" s="2"/>
      <c r="T66" s="6">
        <v>3812.89</v>
      </c>
      <c r="U66" s="2"/>
      <c r="V66" s="7">
        <f t="shared" si="43"/>
        <v>6.4414407322039629E-3</v>
      </c>
      <c r="W66" s="2"/>
      <c r="X66" s="6">
        <f t="shared" si="44"/>
        <v>-3812.89</v>
      </c>
      <c r="Y66" s="2"/>
      <c r="Z66" s="7">
        <f t="shared" si="45"/>
        <v>-1</v>
      </c>
    </row>
    <row r="67" spans="1:26" s="23" customFormat="1" hidden="1" outlineLevel="2" x14ac:dyDescent="0.25">
      <c r="A67" s="27"/>
      <c r="B67" s="10" t="str">
        <f>CONCATENATE("          ", "6245", " - ", "PRINTING")</f>
        <v xml:space="preserve">          6245 - PRINTING</v>
      </c>
      <c r="C67" s="10"/>
      <c r="D67" s="6"/>
      <c r="E67" s="2"/>
      <c r="F67" s="7">
        <f t="shared" si="38"/>
        <v>0</v>
      </c>
      <c r="G67" s="2"/>
      <c r="H67" s="6"/>
      <c r="I67" s="2"/>
      <c r="J67" s="7">
        <f t="shared" si="39"/>
        <v>0</v>
      </c>
      <c r="K67" s="2"/>
      <c r="L67" s="6">
        <f t="shared" si="40"/>
        <v>0</v>
      </c>
      <c r="M67" s="2"/>
      <c r="N67" s="7">
        <f t="shared" si="41"/>
        <v>0</v>
      </c>
      <c r="O67" s="10"/>
      <c r="P67" s="6"/>
      <c r="Q67" s="2"/>
      <c r="R67" s="7">
        <f t="shared" si="42"/>
        <v>0</v>
      </c>
      <c r="S67" s="2"/>
      <c r="T67" s="6">
        <v>181.92</v>
      </c>
      <c r="U67" s="2"/>
      <c r="V67" s="7">
        <f t="shared" si="43"/>
        <v>3.0733299360919016E-4</v>
      </c>
      <c r="W67" s="2"/>
      <c r="X67" s="6">
        <f t="shared" si="44"/>
        <v>-181.92</v>
      </c>
      <c r="Y67" s="2"/>
      <c r="Z67" s="7">
        <f t="shared" si="45"/>
        <v>-1</v>
      </c>
    </row>
    <row r="68" spans="1:26" s="23" customFormat="1" hidden="1" outlineLevel="2" x14ac:dyDescent="0.25">
      <c r="A68" s="27"/>
      <c r="B68" s="10" t="str">
        <f>CONCATENATE("          ", "6247", " - ", "STORE SUPPLIES")</f>
        <v xml:space="preserve">          6247 - STORE SUPPLIES</v>
      </c>
      <c r="C68" s="10"/>
      <c r="D68" s="6"/>
      <c r="E68" s="2"/>
      <c r="F68" s="7">
        <f t="shared" si="38"/>
        <v>0</v>
      </c>
      <c r="G68" s="2"/>
      <c r="H68" s="6"/>
      <c r="I68" s="2"/>
      <c r="J68" s="7">
        <f t="shared" si="39"/>
        <v>0</v>
      </c>
      <c r="K68" s="2"/>
      <c r="L68" s="6">
        <f t="shared" si="40"/>
        <v>0</v>
      </c>
      <c r="M68" s="2"/>
      <c r="N68" s="7">
        <f t="shared" si="41"/>
        <v>0</v>
      </c>
      <c r="O68" s="10"/>
      <c r="P68" s="6"/>
      <c r="Q68" s="2"/>
      <c r="R68" s="7">
        <f t="shared" si="42"/>
        <v>0</v>
      </c>
      <c r="S68" s="2"/>
      <c r="T68" s="6">
        <v>3638.57</v>
      </c>
      <c r="U68" s="2"/>
      <c r="V68" s="7">
        <f t="shared" si="43"/>
        <v>6.1469470677033367E-3</v>
      </c>
      <c r="W68" s="2"/>
      <c r="X68" s="6">
        <f t="shared" si="44"/>
        <v>-3638.57</v>
      </c>
      <c r="Y68" s="2"/>
      <c r="Z68" s="7">
        <f t="shared" si="45"/>
        <v>-1</v>
      </c>
    </row>
    <row r="69" spans="1:26" s="23" customFormat="1" hidden="1" outlineLevel="2" x14ac:dyDescent="0.25">
      <c r="A69" s="27"/>
      <c r="B69" s="10" t="str">
        <f>CONCATENATE("          ", "6248", " - ", "UNIFORMS")</f>
        <v xml:space="preserve">          6248 - UNIFORMS</v>
      </c>
      <c r="C69" s="10"/>
      <c r="D69" s="6"/>
      <c r="E69" s="2"/>
      <c r="F69" s="7">
        <f t="shared" si="38"/>
        <v>0</v>
      </c>
      <c r="G69" s="2"/>
      <c r="H69" s="6"/>
      <c r="I69" s="2"/>
      <c r="J69" s="7">
        <f t="shared" si="39"/>
        <v>0</v>
      </c>
      <c r="K69" s="2"/>
      <c r="L69" s="6">
        <f t="shared" si="40"/>
        <v>0</v>
      </c>
      <c r="M69" s="2"/>
      <c r="N69" s="7">
        <f t="shared" si="41"/>
        <v>0</v>
      </c>
      <c r="O69" s="10"/>
      <c r="P69" s="6"/>
      <c r="Q69" s="2"/>
      <c r="R69" s="7">
        <f t="shared" si="42"/>
        <v>0</v>
      </c>
      <c r="S69" s="2"/>
      <c r="T69" s="6">
        <v>172.97</v>
      </c>
      <c r="U69" s="2"/>
      <c r="V69" s="7">
        <f t="shared" si="43"/>
        <v>2.9221299419844777E-4</v>
      </c>
      <c r="W69" s="2"/>
      <c r="X69" s="6">
        <f t="shared" si="44"/>
        <v>-172.97</v>
      </c>
      <c r="Y69" s="2"/>
      <c r="Z69" s="7">
        <f t="shared" si="45"/>
        <v>-1</v>
      </c>
    </row>
    <row r="70" spans="1:26" s="26" customFormat="1" outlineLevel="1" collapsed="1" x14ac:dyDescent="0.25">
      <c r="A70" s="25"/>
      <c r="B70" s="12" t="str">
        <f>CONCATENATE("     ","Telephone/Data Lines                              ")</f>
        <v xml:space="preserve">     Telephone/Data Lines                              </v>
      </c>
      <c r="C70" s="12"/>
      <c r="D70" s="1">
        <f>SUM(OSRRefD22_14x_0)</f>
        <v>0</v>
      </c>
      <c r="E70" s="1"/>
      <c r="F70" s="5">
        <f t="shared" ref="F70:F73" si="46">IF(D$12=0,0,D70/D$12)</f>
        <v>0</v>
      </c>
      <c r="G70" s="1"/>
      <c r="H70" s="1">
        <f>SUM(OSRRefH22_14x_0)</f>
        <v>0</v>
      </c>
      <c r="I70" s="1"/>
      <c r="J70" s="5">
        <f t="shared" ref="J70:J73" si="47">IF(H$12=0,0,H70/H$12)</f>
        <v>0</v>
      </c>
      <c r="K70" s="1"/>
      <c r="L70" s="1">
        <f t="shared" ref="L70:L73" si="48">+D70-H70</f>
        <v>0</v>
      </c>
      <c r="M70" s="1"/>
      <c r="N70" s="5">
        <f t="shared" ref="N70:N73" si="49">IF(H70=0,0,L70/H70)</f>
        <v>0</v>
      </c>
      <c r="O70" s="12"/>
      <c r="P70" s="1">
        <f>SUM(OSRRefP22_14x_0)</f>
        <v>0</v>
      </c>
      <c r="Q70" s="1"/>
      <c r="R70" s="5">
        <f t="shared" ref="R70:R73" si="50">IF(P$12=0,0,P70/P$12)</f>
        <v>0</v>
      </c>
      <c r="S70" s="1"/>
      <c r="T70" s="1">
        <f>SUM(OSRRefT22_14x_0)</f>
        <v>-45</v>
      </c>
      <c r="U70" s="1"/>
      <c r="V70" s="5">
        <f t="shared" ref="V70:V73" si="51">IF(T$12=0,0,T70/T$12)</f>
        <v>-7.6022343405967221E-5</v>
      </c>
      <c r="W70" s="1"/>
      <c r="X70" s="1">
        <f t="shared" ref="X70:X73" si="52">+P70-T70</f>
        <v>45</v>
      </c>
      <c r="Y70" s="1"/>
      <c r="Z70" s="5">
        <f t="shared" ref="Z70:Z73" si="53">IF(T70=0,0,X70/T70)</f>
        <v>-1</v>
      </c>
    </row>
    <row r="71" spans="1:26" s="23" customFormat="1" hidden="1" outlineLevel="2" x14ac:dyDescent="0.25">
      <c r="A71" s="27"/>
      <c r="B71" s="10" t="str">
        <f>CONCATENATE("          ", "6309", " - ", "TELEPHONE")</f>
        <v xml:space="preserve">          6309 - TELEPHONE</v>
      </c>
      <c r="C71" s="10"/>
      <c r="D71" s="6"/>
      <c r="E71" s="2"/>
      <c r="F71" s="7">
        <f t="shared" si="46"/>
        <v>0</v>
      </c>
      <c r="G71" s="2"/>
      <c r="H71" s="6">
        <v>0</v>
      </c>
      <c r="I71" s="2"/>
      <c r="J71" s="7">
        <f t="shared" si="47"/>
        <v>0</v>
      </c>
      <c r="K71" s="2"/>
      <c r="L71" s="6">
        <f t="shared" si="48"/>
        <v>0</v>
      </c>
      <c r="M71" s="2"/>
      <c r="N71" s="7">
        <f t="shared" si="49"/>
        <v>0</v>
      </c>
      <c r="O71" s="10"/>
      <c r="P71" s="6"/>
      <c r="Q71" s="2"/>
      <c r="R71" s="7">
        <f t="shared" si="50"/>
        <v>0</v>
      </c>
      <c r="S71" s="2"/>
      <c r="T71" s="6">
        <v>-45</v>
      </c>
      <c r="U71" s="2"/>
      <c r="V71" s="7">
        <f t="shared" si="51"/>
        <v>-7.6022343405967221E-5</v>
      </c>
      <c r="W71" s="2"/>
      <c r="X71" s="6">
        <f t="shared" si="52"/>
        <v>45</v>
      </c>
      <c r="Y71" s="2"/>
      <c r="Z71" s="7">
        <f t="shared" si="53"/>
        <v>-1</v>
      </c>
    </row>
    <row r="72" spans="1:26" s="26" customFormat="1" outlineLevel="1" collapsed="1" x14ac:dyDescent="0.25">
      <c r="A72" s="25"/>
      <c r="B72" s="12" t="str">
        <f>CONCATENATE("     ","Training                                          ")</f>
        <v xml:space="preserve">     Training                                          </v>
      </c>
      <c r="C72" s="12"/>
      <c r="D72" s="1">
        <f>SUM(OSRRefD22_15x_0)</f>
        <v>0</v>
      </c>
      <c r="E72" s="1"/>
      <c r="F72" s="5">
        <f t="shared" si="46"/>
        <v>0</v>
      </c>
      <c r="G72" s="1"/>
      <c r="H72" s="1">
        <f>SUM(OSRRefH22_15x_0)</f>
        <v>0</v>
      </c>
      <c r="I72" s="1"/>
      <c r="J72" s="5">
        <f t="shared" si="47"/>
        <v>0</v>
      </c>
      <c r="K72" s="1"/>
      <c r="L72" s="1">
        <f t="shared" si="48"/>
        <v>0</v>
      </c>
      <c r="M72" s="1"/>
      <c r="N72" s="5">
        <f t="shared" si="49"/>
        <v>0</v>
      </c>
      <c r="O72" s="12"/>
      <c r="P72" s="1">
        <f>SUM(OSRRefP22_15x_0)</f>
        <v>0</v>
      </c>
      <c r="Q72" s="1"/>
      <c r="R72" s="5">
        <f t="shared" si="50"/>
        <v>0</v>
      </c>
      <c r="S72" s="1"/>
      <c r="T72" s="1">
        <f>SUM(OSRRefT22_15x_0)</f>
        <v>96</v>
      </c>
      <c r="U72" s="1"/>
      <c r="V72" s="5">
        <f t="shared" si="51"/>
        <v>1.6218099926606342E-4</v>
      </c>
      <c r="W72" s="1"/>
      <c r="X72" s="1">
        <f t="shared" si="52"/>
        <v>-96</v>
      </c>
      <c r="Y72" s="1"/>
      <c r="Z72" s="5">
        <f t="shared" si="53"/>
        <v>-1</v>
      </c>
    </row>
    <row r="73" spans="1:26" s="23" customFormat="1" hidden="1" outlineLevel="2" x14ac:dyDescent="0.25">
      <c r="A73" s="27"/>
      <c r="B73" s="10" t="str">
        <f>CONCATENATE("          ", "6376", " - ", "TRAINING")</f>
        <v xml:space="preserve">          6376 - TRAINING</v>
      </c>
      <c r="C73" s="10"/>
      <c r="D73" s="6"/>
      <c r="E73" s="2"/>
      <c r="F73" s="7">
        <f t="shared" si="46"/>
        <v>0</v>
      </c>
      <c r="G73" s="2"/>
      <c r="H73" s="6"/>
      <c r="I73" s="2"/>
      <c r="J73" s="7">
        <f t="shared" si="47"/>
        <v>0</v>
      </c>
      <c r="K73" s="2"/>
      <c r="L73" s="6">
        <f t="shared" si="48"/>
        <v>0</v>
      </c>
      <c r="M73" s="2"/>
      <c r="N73" s="7">
        <f t="shared" si="49"/>
        <v>0</v>
      </c>
      <c r="O73" s="10"/>
      <c r="P73" s="6"/>
      <c r="Q73" s="2"/>
      <c r="R73" s="7">
        <f t="shared" si="50"/>
        <v>0</v>
      </c>
      <c r="S73" s="2"/>
      <c r="T73" s="6">
        <v>96</v>
      </c>
      <c r="U73" s="2"/>
      <c r="V73" s="7">
        <f t="shared" si="51"/>
        <v>1.6218099926606342E-4</v>
      </c>
      <c r="W73" s="2"/>
      <c r="X73" s="6">
        <f t="shared" si="52"/>
        <v>-96</v>
      </c>
      <c r="Y73" s="2"/>
      <c r="Z73" s="7">
        <f t="shared" si="53"/>
        <v>-1</v>
      </c>
    </row>
    <row r="74" spans="1:26" s="62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4" customFormat="1" x14ac:dyDescent="0.25">
      <c r="A75" s="11"/>
      <c r="B75" s="28" t="s">
        <v>292</v>
      </c>
      <c r="C75" s="11"/>
      <c r="D75" s="4">
        <f>SUM(0)</f>
        <v>0</v>
      </c>
      <c r="E75" s="4"/>
      <c r="F75" s="13">
        <f>IF(D$12=0,0,D75/D$12)</f>
        <v>0</v>
      </c>
      <c r="G75" s="4"/>
      <c r="H75" s="4">
        <f>SUM(0)</f>
        <v>0</v>
      </c>
      <c r="I75" s="4"/>
      <c r="J75" s="13">
        <f>IF(H$12=0,0,H75/H$12)</f>
        <v>0</v>
      </c>
      <c r="K75" s="4"/>
      <c r="L75" s="4">
        <f>+D75-H75</f>
        <v>0</v>
      </c>
      <c r="M75" s="4"/>
      <c r="N75" s="13">
        <f>IF(H75=0,0,L75/H75)</f>
        <v>0</v>
      </c>
      <c r="O75" s="11"/>
      <c r="P75" s="4">
        <f>SUM(0)</f>
        <v>0</v>
      </c>
      <c r="Q75" s="4"/>
      <c r="R75" s="13">
        <f>IF(P$12=0,0,P75/P$12)</f>
        <v>0</v>
      </c>
      <c r="S75" s="4"/>
      <c r="T75" s="4">
        <f>SUM(0)</f>
        <v>0</v>
      </c>
      <c r="U75" s="4"/>
      <c r="V75" s="13">
        <f>IF(T$12=0,0,T75/T$12)</f>
        <v>0</v>
      </c>
      <c r="W75" s="4"/>
      <c r="X75" s="4">
        <f>+P75-T75</f>
        <v>0</v>
      </c>
      <c r="Y75" s="4"/>
      <c r="Z75" s="13">
        <f>IF(T75=0,0,X75/T75)</f>
        <v>0</v>
      </c>
    </row>
    <row r="76" spans="1:26" x14ac:dyDescent="0.25">
      <c r="A76" s="9"/>
      <c r="B76" s="11"/>
      <c r="C76" s="11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1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4" customFormat="1" x14ac:dyDescent="0.25">
      <c r="A77" s="11"/>
      <c r="B77" s="29" t="s">
        <v>276</v>
      </c>
      <c r="C77" s="29"/>
      <c r="D77" s="20">
        <f>+D20-D22+D75</f>
        <v>-1825.26</v>
      </c>
      <c r="E77" s="14"/>
      <c r="F77" s="22">
        <f>IF(D$12=0,0,D77/D$12)</f>
        <v>0</v>
      </c>
      <c r="G77" s="14"/>
      <c r="H77" s="20">
        <f>+H20-H22+H75</f>
        <v>-7385.86</v>
      </c>
      <c r="I77" s="14"/>
      <c r="J77" s="22">
        <f>IF(H$12=0,0,H77/H$12)</f>
        <v>0</v>
      </c>
      <c r="K77" s="16"/>
      <c r="L77" s="20">
        <f>+D77-H77</f>
        <v>5560.5999999999995</v>
      </c>
      <c r="M77" s="16"/>
      <c r="N77" s="22">
        <f>IF(H77=0,0,L77/H77)</f>
        <v>-0.75287102652907034</v>
      </c>
      <c r="O77" s="28"/>
      <c r="P77" s="20">
        <f>+P20-P22+P75</f>
        <v>-16572.879999999997</v>
      </c>
      <c r="Q77" s="14"/>
      <c r="R77" s="22">
        <f>IF(P$12=0,0,P77/P$12)</f>
        <v>-16.999394815931726</v>
      </c>
      <c r="S77" s="14"/>
      <c r="T77" s="20">
        <f>+T20-T22+T75</f>
        <v>64193.360000000044</v>
      </c>
      <c r="U77" s="14"/>
      <c r="V77" s="22">
        <f>IF(T$12=0,0,T77/T$12)</f>
        <v>0.10844732574006408</v>
      </c>
      <c r="W77" s="16"/>
      <c r="X77" s="20">
        <f>+P77-T77</f>
        <v>-80766.240000000049</v>
      </c>
      <c r="Y77" s="16"/>
      <c r="Z77" s="22">
        <f>IF(T77=0,0,X77/T77)</f>
        <v>-1.2581712501106033</v>
      </c>
    </row>
    <row r="78" spans="1:26" x14ac:dyDescent="0.25">
      <c r="A78" s="9"/>
      <c r="B78" s="11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4" customFormat="1" x14ac:dyDescent="0.25">
      <c r="A79" s="51"/>
      <c r="B79" s="11" t="s">
        <v>127</v>
      </c>
      <c r="C79" s="11"/>
      <c r="D79" s="4">
        <v>3.04</v>
      </c>
      <c r="E79" s="4"/>
      <c r="F79" s="13">
        <f>IF(D$12=0,0,D79/D$12)</f>
        <v>0</v>
      </c>
      <c r="G79" s="4"/>
      <c r="H79" s="4">
        <v>3782.69</v>
      </c>
      <c r="I79" s="4"/>
      <c r="J79" s="13">
        <f>IF(H$12=0,0,H79/H$12)</f>
        <v>0</v>
      </c>
      <c r="K79" s="4"/>
      <c r="L79" s="4">
        <f>+D79-H79</f>
        <v>-3779.65</v>
      </c>
      <c r="M79" s="4"/>
      <c r="N79" s="13">
        <f>IF(H79=0,0,L79/H79)</f>
        <v>-0.99919633911317085</v>
      </c>
      <c r="O79" s="11"/>
      <c r="P79" s="4">
        <v>203.96</v>
      </c>
      <c r="Q79" s="4"/>
      <c r="R79" s="13">
        <f>IF(P$12=0,0,P79/P$12)</f>
        <v>0.20920905519483851</v>
      </c>
      <c r="S79" s="4"/>
      <c r="T79" s="4">
        <v>67209.56</v>
      </c>
      <c r="U79" s="4"/>
      <c r="V79" s="13">
        <f>IF(T$12=0,0,T79/T$12)</f>
        <v>0.11354285001075462</v>
      </c>
      <c r="W79" s="4"/>
      <c r="X79" s="4">
        <f>+P79-T79</f>
        <v>-67005.599999999991</v>
      </c>
      <c r="Y79" s="4"/>
      <c r="Z79" s="13">
        <f>IF(T79=0,0,X79/T79)</f>
        <v>-0.99696531267278043</v>
      </c>
    </row>
    <row r="80" spans="1:26" x14ac:dyDescent="0.25">
      <c r="A80" s="9"/>
      <c r="B80" s="11"/>
      <c r="C80" s="11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1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4" customFormat="1" ht="15.75" thickBot="1" x14ac:dyDescent="0.3">
      <c r="A81" s="11"/>
      <c r="B81" s="29" t="s">
        <v>125</v>
      </c>
      <c r="C81" s="29"/>
      <c r="D81" s="30">
        <f>+D77-D79</f>
        <v>-1828.3</v>
      </c>
      <c r="E81" s="14"/>
      <c r="F81" s="34">
        <f>IF(D$12=0,0,D81/D$12)</f>
        <v>0</v>
      </c>
      <c r="G81" s="14"/>
      <c r="H81" s="30">
        <f>+H77-H79</f>
        <v>-11168.55</v>
      </c>
      <c r="I81" s="14"/>
      <c r="J81" s="34">
        <f>IF(H$12=0,0,H81/H$12)</f>
        <v>0</v>
      </c>
      <c r="K81" s="16"/>
      <c r="L81" s="30">
        <f>D81-H81</f>
        <v>9340.25</v>
      </c>
      <c r="M81" s="16"/>
      <c r="N81" s="34">
        <f>IF(H81=0,0,L81/H81)</f>
        <v>-0.83629925102184266</v>
      </c>
      <c r="O81" s="28"/>
      <c r="P81" s="30">
        <f>+P77-P79</f>
        <v>-16776.839999999997</v>
      </c>
      <c r="Q81" s="14"/>
      <c r="R81" s="34">
        <f>IF(P$12=0,0,P81/P$12)</f>
        <v>-17.208603871126563</v>
      </c>
      <c r="S81" s="14"/>
      <c r="T81" s="30">
        <f>+T77-T79</f>
        <v>-3016.1999999999534</v>
      </c>
      <c r="U81" s="14"/>
      <c r="V81" s="34">
        <f>IF(T$12=0,0,T81/T$12)</f>
        <v>-5.0955242706905513E-3</v>
      </c>
      <c r="W81" s="16"/>
      <c r="X81" s="30">
        <f>P81-T81</f>
        <v>-13760.640000000043</v>
      </c>
      <c r="Y81" s="16"/>
      <c r="Z81" s="34">
        <f>IF(T81=0,0,X81/T81)</f>
        <v>4.562243883031714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4" customFormat="1" ht="15.75" thickBot="1" x14ac:dyDescent="0.3">
      <c r="A84" s="11"/>
      <c r="B84" s="29" t="s">
        <v>293</v>
      </c>
      <c r="C84" s="29"/>
      <c r="D84" s="32">
        <f>SUM(D81:D83)</f>
        <v>-1828.3</v>
      </c>
      <c r="E84" s="14"/>
      <c r="F84" s="35">
        <f>IF(D$12=0,0,D84/D$12)</f>
        <v>0</v>
      </c>
      <c r="G84" s="14"/>
      <c r="H84" s="32">
        <f>SUM(H81:H83)</f>
        <v>-11168.55</v>
      </c>
      <c r="I84" s="14"/>
      <c r="J84" s="35">
        <f>IF(H$12=0,0,H84/H$12)</f>
        <v>0</v>
      </c>
      <c r="K84" s="16"/>
      <c r="L84" s="32">
        <f>+D84-H84</f>
        <v>9340.25</v>
      </c>
      <c r="M84" s="16"/>
      <c r="N84" s="35">
        <f>IF(H84=0,0,L84/H84)</f>
        <v>-0.83629925102184266</v>
      </c>
      <c r="O84" s="28"/>
      <c r="P84" s="32">
        <f>SUM(P81:P83)</f>
        <v>-16776.839999999997</v>
      </c>
      <c r="Q84" s="14"/>
      <c r="R84" s="35">
        <f>IF(P$12=0,0,P84/P$12)</f>
        <v>-17.208603871126563</v>
      </c>
      <c r="S84" s="14"/>
      <c r="T84" s="32">
        <f>SUM(T81:T83)</f>
        <v>-3016.1999999999534</v>
      </c>
      <c r="U84" s="14"/>
      <c r="V84" s="35">
        <f>IF(T$12=0,0,T84/T$12)</f>
        <v>-5.0955242706905513E-3</v>
      </c>
      <c r="W84" s="16"/>
      <c r="X84" s="32">
        <f>+P84-T84</f>
        <v>-13760.640000000043</v>
      </c>
      <c r="Y84" s="16"/>
      <c r="Z84" s="35">
        <f>IF(T84=0,0,X84/T84)</f>
        <v>4.562243883031714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59">
        <v>44330.00886898148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2" t="s">
        <v>56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5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","415", " - ", "Outpost")</f>
        <v>Department 415 - Outpost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12771.779999999999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12771.779999999999</v>
      </c>
      <c r="M12" s="4"/>
      <c r="N12" s="13">
        <f t="shared" ref="N12:N14" si="1">IF(H12=0,0,L12/H12)</f>
        <v>0</v>
      </c>
      <c r="O12" s="11"/>
      <c r="P12" s="4">
        <f>SUM(OSRRefP13x_0)</f>
        <v>63389.66</v>
      </c>
      <c r="Q12" s="4"/>
      <c r="R12" s="13"/>
      <c r="S12" s="4"/>
      <c r="T12" s="4">
        <f>SUM(OSRRefT13x_0)</f>
        <v>651784.93999999994</v>
      </c>
      <c r="U12" s="4"/>
      <c r="V12" s="13"/>
      <c r="W12" s="4"/>
      <c r="X12" s="4">
        <f t="shared" ref="X12:X14" si="2">+P12-T12</f>
        <v>-588395.27999999991</v>
      </c>
      <c r="Y12" s="4"/>
      <c r="Z12" s="13">
        <f t="shared" ref="Z12:Z14" si="3">IF(T12=0,0,X12/T12)</f>
        <v>-0.90274451569869041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>--6552.2</f>
        <v>6552.2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6552.2</v>
      </c>
      <c r="M13" s="2"/>
      <c r="N13" s="19">
        <f t="shared" si="1"/>
        <v>0</v>
      </c>
      <c r="O13" s="10"/>
      <c r="P13" s="2">
        <f>--32121.26</f>
        <v>32121.26</v>
      </c>
      <c r="Q13" s="2"/>
      <c r="R13" s="19"/>
      <c r="S13" s="2"/>
      <c r="T13" s="2">
        <f>--203771.51</f>
        <v>203771.51</v>
      </c>
      <c r="U13" s="2"/>
      <c r="V13" s="19"/>
      <c r="W13" s="2"/>
      <c r="X13" s="2">
        <f t="shared" si="2"/>
        <v>-171650.25</v>
      </c>
      <c r="Y13" s="2"/>
      <c r="Z13" s="19">
        <f t="shared" si="3"/>
        <v>-0.84236628565004001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>--6219.58</f>
        <v>6219.58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6219.58</v>
      </c>
      <c r="M14" s="2"/>
      <c r="N14" s="19">
        <f t="shared" si="1"/>
        <v>0</v>
      </c>
      <c r="O14" s="10"/>
      <c r="P14" s="2">
        <f>--31268.4</f>
        <v>31268.400000000001</v>
      </c>
      <c r="Q14" s="2"/>
      <c r="R14" s="19"/>
      <c r="S14" s="2"/>
      <c r="T14" s="2">
        <f>--448013.43</f>
        <v>448013.43</v>
      </c>
      <c r="U14" s="2"/>
      <c r="V14" s="19"/>
      <c r="W14" s="2"/>
      <c r="X14" s="2">
        <f t="shared" si="2"/>
        <v>-416745.02999999997</v>
      </c>
      <c r="Y14" s="2"/>
      <c r="Z14" s="19">
        <f t="shared" si="3"/>
        <v>-0.93020655653112894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3876.35</v>
      </c>
      <c r="E16" s="4"/>
      <c r="F16" s="13">
        <f t="shared" ref="F16:F18" si="5">IF(D$12=0,0,D16/D$12)</f>
        <v>0.30350898621805261</v>
      </c>
      <c r="G16" s="4"/>
      <c r="H16" s="4">
        <f>SUM(OSRRefH16x_0)</f>
        <v>7768.5</v>
      </c>
      <c r="I16" s="4"/>
      <c r="J16" s="13">
        <f t="shared" ref="J16:J18" si="6">IF(H$12=0,0,H16/H$12)</f>
        <v>0</v>
      </c>
      <c r="K16" s="4"/>
      <c r="L16" s="4">
        <f t="shared" ref="L16:L18" si="7">+D16-H16</f>
        <v>-3892.15</v>
      </c>
      <c r="M16" s="4"/>
      <c r="N16" s="13">
        <f t="shared" ref="N16:N18" si="8">IF(H16=0,0,L16/H16)</f>
        <v>-0.50101692733474934</v>
      </c>
      <c r="O16" s="11"/>
      <c r="P16" s="4">
        <f>SUM(OSRRefP16x_0)</f>
        <v>25154.489999999998</v>
      </c>
      <c r="Q16" s="4"/>
      <c r="R16" s="13">
        <f t="shared" ref="R16:R18" si="9">IF(P$12=0,0,P16/P$12)</f>
        <v>0.39682323584004076</v>
      </c>
      <c r="S16" s="4"/>
      <c r="T16" s="4">
        <f>SUM(OSRRefT16x_0)</f>
        <v>216517.98</v>
      </c>
      <c r="U16" s="4"/>
      <c r="V16" s="13">
        <f t="shared" ref="V16:V18" si="10">IF(T$12=0,0,T16/T$12)</f>
        <v>0.33219236394139456</v>
      </c>
      <c r="W16" s="4"/>
      <c r="X16" s="4">
        <f t="shared" ref="X16:X18" si="11">+P16-T16</f>
        <v>-191363.49000000002</v>
      </c>
      <c r="Y16" s="4"/>
      <c r="Z16" s="13">
        <f t="shared" ref="Z16:Z18" si="12">IF(T16=0,0,X16/T16)</f>
        <v>-0.8838226275711607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>
        <v>3742.42</v>
      </c>
      <c r="E17" s="2"/>
      <c r="F17" s="19">
        <f t="shared" si="5"/>
        <v>0.29302258573198103</v>
      </c>
      <c r="G17" s="2"/>
      <c r="H17" s="2">
        <v>246.5</v>
      </c>
      <c r="I17" s="2"/>
      <c r="J17" s="19">
        <f t="shared" si="6"/>
        <v>0</v>
      </c>
      <c r="K17" s="2"/>
      <c r="L17" s="2">
        <f t="shared" si="7"/>
        <v>3495.92</v>
      </c>
      <c r="M17" s="2"/>
      <c r="N17" s="19">
        <f t="shared" si="8"/>
        <v>14.182231237322515</v>
      </c>
      <c r="O17" s="10"/>
      <c r="P17" s="2">
        <v>19770.48</v>
      </c>
      <c r="Q17" s="2"/>
      <c r="R17" s="19">
        <f t="shared" si="9"/>
        <v>0.31188809026582565</v>
      </c>
      <c r="S17" s="2"/>
      <c r="T17" s="2">
        <v>214473.98</v>
      </c>
      <c r="U17" s="2"/>
      <c r="V17" s="19">
        <f t="shared" si="10"/>
        <v>0.32905636021599399</v>
      </c>
      <c r="W17" s="2"/>
      <c r="X17" s="2">
        <f t="shared" si="11"/>
        <v>-194703.5</v>
      </c>
      <c r="Y17" s="2"/>
      <c r="Z17" s="19">
        <f t="shared" si="12"/>
        <v>-0.90781874798984941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>
        <v>133.93</v>
      </c>
      <c r="E18" s="2"/>
      <c r="F18" s="19">
        <f t="shared" si="5"/>
        <v>1.0486400486071638E-2</v>
      </c>
      <c r="G18" s="2"/>
      <c r="H18" s="2">
        <v>7522</v>
      </c>
      <c r="I18" s="2"/>
      <c r="J18" s="19">
        <f t="shared" si="6"/>
        <v>0</v>
      </c>
      <c r="K18" s="2"/>
      <c r="L18" s="2">
        <f t="shared" si="7"/>
        <v>-7388.07</v>
      </c>
      <c r="M18" s="2"/>
      <c r="N18" s="19">
        <f t="shared" si="8"/>
        <v>-0.98219489497474077</v>
      </c>
      <c r="O18" s="10"/>
      <c r="P18" s="2">
        <v>5384.01</v>
      </c>
      <c r="Q18" s="2"/>
      <c r="R18" s="19">
        <f t="shared" si="9"/>
        <v>8.4935145574215096E-2</v>
      </c>
      <c r="S18" s="2"/>
      <c r="T18" s="2">
        <v>2044</v>
      </c>
      <c r="U18" s="2"/>
      <c r="V18" s="19">
        <f t="shared" si="10"/>
        <v>3.1360037254005903E-3</v>
      </c>
      <c r="W18" s="2"/>
      <c r="X18" s="2">
        <f t="shared" si="11"/>
        <v>3340.01</v>
      </c>
      <c r="Y18" s="2"/>
      <c r="Z18" s="19">
        <f t="shared" si="12"/>
        <v>1.6340557729941292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0">
        <f>D12-D16</f>
        <v>8895.4299999999985</v>
      </c>
      <c r="E20" s="14"/>
      <c r="F20" s="22">
        <f>IF(D$12=0,0,D20/D$12)</f>
        <v>0.69649101378194733</v>
      </c>
      <c r="G20" s="14"/>
      <c r="H20" s="20">
        <f>H12-H16</f>
        <v>-7768.5</v>
      </c>
      <c r="I20" s="14"/>
      <c r="J20" s="22">
        <f>IF(H$12=0,0,H20/H$12)</f>
        <v>0</v>
      </c>
      <c r="K20" s="16"/>
      <c r="L20" s="20">
        <f>+D20-H20</f>
        <v>16663.93</v>
      </c>
      <c r="M20" s="16"/>
      <c r="N20" s="22">
        <f>IF(H20=0,0,L20/H20)</f>
        <v>-2.1450640406770933</v>
      </c>
      <c r="O20" s="28"/>
      <c r="P20" s="20">
        <f>P12-P16</f>
        <v>38235.170000000006</v>
      </c>
      <c r="Q20" s="14"/>
      <c r="R20" s="22">
        <f>IF(P$12=0,0,P20/P$12)</f>
        <v>0.60317676415995924</v>
      </c>
      <c r="S20" s="14"/>
      <c r="T20" s="20">
        <f>T12-T16</f>
        <v>435266.95999999996</v>
      </c>
      <c r="U20" s="14"/>
      <c r="V20" s="22">
        <f>IF(T$12=0,0,T20/T$12)</f>
        <v>0.66780763605860549</v>
      </c>
      <c r="W20" s="16"/>
      <c r="X20" s="20">
        <f>+P20-T20</f>
        <v>-397031.79</v>
      </c>
      <c r="Y20" s="16"/>
      <c r="Z20" s="22">
        <f>IF(T20=0,0,X20/T20)</f>
        <v>-0.91215696684168268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65239.47</v>
      </c>
      <c r="E22" s="21"/>
      <c r="F22" s="31">
        <f t="shared" ref="F22:F31" si="13">IF(D$12=0,0,D22/D$12)</f>
        <v>5.1080953477119095</v>
      </c>
      <c r="G22" s="21"/>
      <c r="H22" s="21">
        <f>SUM(OSRRefH22x_0)</f>
        <v>34653.729999999996</v>
      </c>
      <c r="I22" s="21"/>
      <c r="J22" s="31">
        <f t="shared" ref="J22:J31" si="14">IF(H$12=0,0,H22/H$12)</f>
        <v>0</v>
      </c>
      <c r="K22" s="4"/>
      <c r="L22" s="21">
        <f t="shared" ref="L22:L31" si="15">+D22-H22</f>
        <v>30585.740000000005</v>
      </c>
      <c r="M22" s="4"/>
      <c r="N22" s="31">
        <f t="shared" ref="N22:N31" si="16">IF(H22=0,0,L22/H22)</f>
        <v>0.88261032795026706</v>
      </c>
      <c r="O22" s="11"/>
      <c r="P22" s="21">
        <f>SUM(OSRRefP22x_0)</f>
        <v>607520.42000000004</v>
      </c>
      <c r="Q22" s="21"/>
      <c r="R22" s="31">
        <f t="shared" ref="R22:R31" si="17">IF(P$12=0,0,P22/P$12)</f>
        <v>9.5839040625868641</v>
      </c>
      <c r="S22" s="21"/>
      <c r="T22" s="21">
        <f>SUM(OSRRefT22x_0)</f>
        <v>675967.67</v>
      </c>
      <c r="U22" s="21"/>
      <c r="V22" s="31">
        <f t="shared" ref="V22:V31" si="18">IF(T$12=0,0,T22/T$12)</f>
        <v>1.0371023147604486</v>
      </c>
      <c r="W22" s="4"/>
      <c r="X22" s="21">
        <f t="shared" ref="X22:X31" si="19">+P22-T22</f>
        <v>-68447.25</v>
      </c>
      <c r="Y22" s="4"/>
      <c r="Z22" s="31">
        <f t="shared" ref="Z22:Z31" si="20">IF(T22=0,0,X22/T22)</f>
        <v>-0.1012581711193377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15119.630000000001</v>
      </c>
      <c r="E23" s="1"/>
      <c r="F23" s="5">
        <f t="shared" si="13"/>
        <v>1.1838310713150402</v>
      </c>
      <c r="G23" s="1"/>
      <c r="H23" s="1">
        <f>SUM(OSRRefH22_0x_0)</f>
        <v>5815.6399999999994</v>
      </c>
      <c r="I23" s="1"/>
      <c r="J23" s="5">
        <f t="shared" si="14"/>
        <v>0</v>
      </c>
      <c r="K23" s="1"/>
      <c r="L23" s="1">
        <f t="shared" si="15"/>
        <v>9303.9900000000016</v>
      </c>
      <c r="M23" s="1"/>
      <c r="N23" s="5">
        <f t="shared" si="16"/>
        <v>1.5998222035751875</v>
      </c>
      <c r="O23" s="12"/>
      <c r="P23" s="1">
        <f>SUM(OSRRefP22_0x_0)</f>
        <v>135468.92000000001</v>
      </c>
      <c r="Q23" s="1"/>
      <c r="R23" s="5">
        <f t="shared" si="17"/>
        <v>2.1370822938630685</v>
      </c>
      <c r="S23" s="1"/>
      <c r="T23" s="1">
        <f>SUM(OSRRefT22_0x_0)</f>
        <v>79750.210000000006</v>
      </c>
      <c r="U23" s="1"/>
      <c r="V23" s="5">
        <f t="shared" si="18"/>
        <v>0.12235663192831675</v>
      </c>
      <c r="W23" s="1"/>
      <c r="X23" s="1">
        <f t="shared" si="19"/>
        <v>55718.710000000006</v>
      </c>
      <c r="Y23" s="1"/>
      <c r="Z23" s="5">
        <f t="shared" si="20"/>
        <v>0.69866537028554532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>
        <v>2233.5700000000002</v>
      </c>
      <c r="E24" s="2"/>
      <c r="F24" s="7">
        <f t="shared" si="13"/>
        <v>0.17488321909710317</v>
      </c>
      <c r="G24" s="2"/>
      <c r="H24" s="6">
        <v>715.41</v>
      </c>
      <c r="I24" s="2"/>
      <c r="J24" s="7">
        <f t="shared" si="14"/>
        <v>0</v>
      </c>
      <c r="K24" s="2"/>
      <c r="L24" s="6">
        <f t="shared" si="15"/>
        <v>1518.1600000000003</v>
      </c>
      <c r="M24" s="2"/>
      <c r="N24" s="7">
        <f t="shared" si="16"/>
        <v>2.122083840035784</v>
      </c>
      <c r="O24" s="10"/>
      <c r="P24" s="6">
        <v>15800.65</v>
      </c>
      <c r="Q24" s="2"/>
      <c r="R24" s="7">
        <f t="shared" si="17"/>
        <v>0.2492622613845854</v>
      </c>
      <c r="S24" s="2"/>
      <c r="T24" s="6">
        <v>13310.98</v>
      </c>
      <c r="U24" s="2"/>
      <c r="V24" s="7">
        <f t="shared" si="18"/>
        <v>2.0422349740084514E-2</v>
      </c>
      <c r="W24" s="2"/>
      <c r="X24" s="6">
        <f t="shared" si="19"/>
        <v>2489.67</v>
      </c>
      <c r="Y24" s="2"/>
      <c r="Z24" s="7">
        <f t="shared" si="20"/>
        <v>0.18703882058270693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>
        <v>574.29</v>
      </c>
      <c r="E25" s="2"/>
      <c r="F25" s="7">
        <f t="shared" si="13"/>
        <v>4.4965541216651084E-2</v>
      </c>
      <c r="G25" s="2"/>
      <c r="H25" s="6">
        <v>266.48</v>
      </c>
      <c r="I25" s="2"/>
      <c r="J25" s="7">
        <f t="shared" si="14"/>
        <v>0</v>
      </c>
      <c r="K25" s="2"/>
      <c r="L25" s="6">
        <f t="shared" si="15"/>
        <v>307.80999999999995</v>
      </c>
      <c r="M25" s="2"/>
      <c r="N25" s="7">
        <f t="shared" si="16"/>
        <v>1.1550960672470727</v>
      </c>
      <c r="O25" s="10"/>
      <c r="P25" s="6">
        <v>6500.68</v>
      </c>
      <c r="Q25" s="2"/>
      <c r="R25" s="7">
        <f t="shared" si="17"/>
        <v>0.10255111007063297</v>
      </c>
      <c r="S25" s="2"/>
      <c r="T25" s="6">
        <v>7565.75</v>
      </c>
      <c r="U25" s="2"/>
      <c r="V25" s="7">
        <f t="shared" si="18"/>
        <v>1.1607739816756123E-2</v>
      </c>
      <c r="W25" s="2"/>
      <c r="X25" s="6">
        <f t="shared" si="19"/>
        <v>-1065.0699999999997</v>
      </c>
      <c r="Y25" s="2"/>
      <c r="Z25" s="7">
        <f t="shared" si="20"/>
        <v>-0.1407752040445428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>
        <v>6634.06</v>
      </c>
      <c r="E26" s="2"/>
      <c r="F26" s="7">
        <f t="shared" si="13"/>
        <v>0.51943112079913689</v>
      </c>
      <c r="G26" s="2"/>
      <c r="H26" s="6">
        <v>3371.81</v>
      </c>
      <c r="I26" s="2"/>
      <c r="J26" s="7">
        <f t="shared" si="14"/>
        <v>0</v>
      </c>
      <c r="K26" s="2"/>
      <c r="L26" s="6">
        <f t="shared" si="15"/>
        <v>3262.2500000000005</v>
      </c>
      <c r="M26" s="2"/>
      <c r="N26" s="7">
        <f t="shared" si="16"/>
        <v>0.96750706593787916</v>
      </c>
      <c r="O26" s="10"/>
      <c r="P26" s="6">
        <v>67467.63</v>
      </c>
      <c r="Q26" s="2"/>
      <c r="R26" s="7">
        <f t="shared" si="17"/>
        <v>1.0643317853416472</v>
      </c>
      <c r="S26" s="2"/>
      <c r="T26" s="6">
        <v>31765.1</v>
      </c>
      <c r="U26" s="2"/>
      <c r="V26" s="7">
        <f t="shared" si="18"/>
        <v>4.8735553785578416E-2</v>
      </c>
      <c r="W26" s="2"/>
      <c r="X26" s="6">
        <f t="shared" si="19"/>
        <v>35702.530000000006</v>
      </c>
      <c r="Y26" s="2"/>
      <c r="Z26" s="7">
        <f t="shared" si="20"/>
        <v>1.1239545916745108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>
        <v>49.74</v>
      </c>
      <c r="E27" s="2"/>
      <c r="F27" s="7">
        <f t="shared" si="13"/>
        <v>3.8945237077369016E-3</v>
      </c>
      <c r="G27" s="2"/>
      <c r="H27" s="6">
        <v>17.86</v>
      </c>
      <c r="I27" s="2"/>
      <c r="J27" s="7">
        <f t="shared" si="14"/>
        <v>0</v>
      </c>
      <c r="K27" s="2"/>
      <c r="L27" s="6">
        <f t="shared" si="15"/>
        <v>31.880000000000003</v>
      </c>
      <c r="M27" s="2"/>
      <c r="N27" s="7">
        <f t="shared" si="16"/>
        <v>1.7849944008958569</v>
      </c>
      <c r="O27" s="10"/>
      <c r="P27" s="6">
        <v>572</v>
      </c>
      <c r="Q27" s="2"/>
      <c r="R27" s="7">
        <f t="shared" si="17"/>
        <v>9.0235536836764853E-3</v>
      </c>
      <c r="S27" s="2"/>
      <c r="T27" s="6">
        <v>612.33000000000004</v>
      </c>
      <c r="U27" s="2"/>
      <c r="V27" s="7">
        <f t="shared" si="18"/>
        <v>9.3946632151396456E-4</v>
      </c>
      <c r="W27" s="2"/>
      <c r="X27" s="6">
        <f t="shared" si="19"/>
        <v>-40.330000000000041</v>
      </c>
      <c r="Y27" s="2"/>
      <c r="Z27" s="7">
        <f t="shared" si="20"/>
        <v>-6.5863178351542526E-2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>
        <v>1499.84</v>
      </c>
      <c r="E28" s="2"/>
      <c r="F28" s="7">
        <f t="shared" si="13"/>
        <v>0.11743390506256764</v>
      </c>
      <c r="G28" s="2"/>
      <c r="H28" s="6">
        <v>352.64</v>
      </c>
      <c r="I28" s="2"/>
      <c r="J28" s="7">
        <f t="shared" si="14"/>
        <v>0</v>
      </c>
      <c r="K28" s="2"/>
      <c r="L28" s="6">
        <f t="shared" si="15"/>
        <v>1147.1999999999998</v>
      </c>
      <c r="M28" s="2"/>
      <c r="N28" s="7">
        <f t="shared" si="16"/>
        <v>3.2531760435571684</v>
      </c>
      <c r="O28" s="10"/>
      <c r="P28" s="6">
        <v>15928.12</v>
      </c>
      <c r="Q28" s="2"/>
      <c r="R28" s="7">
        <f t="shared" si="17"/>
        <v>0.25127315716790405</v>
      </c>
      <c r="S28" s="2"/>
      <c r="T28" s="6">
        <v>5977.68</v>
      </c>
      <c r="U28" s="2"/>
      <c r="V28" s="7">
        <f t="shared" si="18"/>
        <v>9.1712459634308227E-3</v>
      </c>
      <c r="W28" s="2"/>
      <c r="X28" s="6">
        <f t="shared" si="19"/>
        <v>9950.44</v>
      </c>
      <c r="Y28" s="2"/>
      <c r="Z28" s="7">
        <f t="shared" si="20"/>
        <v>1.6645989748531203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>
        <v>2160.6</v>
      </c>
      <c r="E29" s="2"/>
      <c r="F29" s="7">
        <f t="shared" si="13"/>
        <v>0.16916984163523019</v>
      </c>
      <c r="G29" s="2"/>
      <c r="H29" s="6">
        <v>579.54</v>
      </c>
      <c r="I29" s="2"/>
      <c r="J29" s="7">
        <f t="shared" si="14"/>
        <v>0</v>
      </c>
      <c r="K29" s="2"/>
      <c r="L29" s="6">
        <f t="shared" si="15"/>
        <v>1581.06</v>
      </c>
      <c r="M29" s="2"/>
      <c r="N29" s="7">
        <f t="shared" si="16"/>
        <v>2.7281292059219382</v>
      </c>
      <c r="O29" s="10"/>
      <c r="P29" s="6">
        <v>15258.88</v>
      </c>
      <c r="Q29" s="2"/>
      <c r="R29" s="7">
        <f t="shared" si="17"/>
        <v>0.24071559935800252</v>
      </c>
      <c r="S29" s="2"/>
      <c r="T29" s="6">
        <v>8863.19</v>
      </c>
      <c r="U29" s="2"/>
      <c r="V29" s="7">
        <f t="shared" si="18"/>
        <v>1.3598335058186526E-2</v>
      </c>
      <c r="W29" s="2"/>
      <c r="X29" s="6">
        <f t="shared" si="19"/>
        <v>6395.6899999999987</v>
      </c>
      <c r="Y29" s="2"/>
      <c r="Z29" s="7">
        <f t="shared" si="20"/>
        <v>0.72160136474565006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>
        <v>1308.42</v>
      </c>
      <c r="E30" s="2"/>
      <c r="F30" s="7">
        <f t="shared" si="13"/>
        <v>0.10244617429990183</v>
      </c>
      <c r="G30" s="2"/>
      <c r="H30" s="6">
        <v>423.9</v>
      </c>
      <c r="I30" s="2"/>
      <c r="J30" s="7">
        <f t="shared" si="14"/>
        <v>0</v>
      </c>
      <c r="K30" s="2"/>
      <c r="L30" s="6">
        <f t="shared" si="15"/>
        <v>884.5200000000001</v>
      </c>
      <c r="M30" s="2"/>
      <c r="N30" s="7">
        <f t="shared" si="16"/>
        <v>2.0866242038216565</v>
      </c>
      <c r="O30" s="10"/>
      <c r="P30" s="6">
        <v>9509.86</v>
      </c>
      <c r="Q30" s="2"/>
      <c r="R30" s="7">
        <f t="shared" si="17"/>
        <v>0.15002225915078263</v>
      </c>
      <c r="S30" s="2"/>
      <c r="T30" s="6">
        <v>8660.91</v>
      </c>
      <c r="U30" s="2"/>
      <c r="V30" s="7">
        <f t="shared" si="18"/>
        <v>1.3287987292250111E-2</v>
      </c>
      <c r="W30" s="2"/>
      <c r="X30" s="6">
        <f t="shared" si="19"/>
        <v>848.95000000000073</v>
      </c>
      <c r="Y30" s="2"/>
      <c r="Z30" s="7">
        <f t="shared" si="20"/>
        <v>9.802087771377381E-2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>
        <v>659.11</v>
      </c>
      <c r="E31" s="2"/>
      <c r="F31" s="7">
        <f t="shared" si="13"/>
        <v>5.1606745496712292E-2</v>
      </c>
      <c r="G31" s="2"/>
      <c r="H31" s="6">
        <v>88</v>
      </c>
      <c r="I31" s="2"/>
      <c r="J31" s="7">
        <f t="shared" si="14"/>
        <v>0</v>
      </c>
      <c r="K31" s="2"/>
      <c r="L31" s="6">
        <f t="shared" si="15"/>
        <v>571.11</v>
      </c>
      <c r="M31" s="2"/>
      <c r="N31" s="7">
        <f t="shared" si="16"/>
        <v>6.489886363636364</v>
      </c>
      <c r="O31" s="10"/>
      <c r="P31" s="6">
        <v>4431.1000000000004</v>
      </c>
      <c r="Q31" s="2"/>
      <c r="R31" s="7">
        <f t="shared" si="17"/>
        <v>6.9902567705837193E-2</v>
      </c>
      <c r="S31" s="2"/>
      <c r="T31" s="6">
        <v>2994.27</v>
      </c>
      <c r="U31" s="2"/>
      <c r="V31" s="7">
        <f t="shared" si="18"/>
        <v>4.5939539505162547E-3</v>
      </c>
      <c r="W31" s="2"/>
      <c r="X31" s="6">
        <f t="shared" si="19"/>
        <v>1436.8300000000004</v>
      </c>
      <c r="Y31" s="2"/>
      <c r="Z31" s="7">
        <f t="shared" si="20"/>
        <v>0.47985986567677613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18096.319999999996</v>
      </c>
      <c r="E32" s="1"/>
      <c r="F32" s="5">
        <f t="shared" ref="F32:F38" si="21">IF(D$12=0,0,D32/D$12)</f>
        <v>1.416898819115268</v>
      </c>
      <c r="G32" s="1"/>
      <c r="H32" s="1">
        <f>SUM(OSRRefH22_1x_0)</f>
        <v>4016.99</v>
      </c>
      <c r="I32" s="1"/>
      <c r="J32" s="5">
        <f t="shared" ref="J32:J38" si="22">IF(H$12=0,0,H32/H$12)</f>
        <v>0</v>
      </c>
      <c r="K32" s="1"/>
      <c r="L32" s="1">
        <f t="shared" ref="L32:L38" si="23">+D32-H32</f>
        <v>14079.329999999996</v>
      </c>
      <c r="M32" s="1"/>
      <c r="N32" s="5">
        <f t="shared" ref="N32:N38" si="24">IF(H32=0,0,L32/H32)</f>
        <v>3.5049452450715579</v>
      </c>
      <c r="O32" s="12"/>
      <c r="P32" s="1">
        <f>SUM(OSRRefP22_1x_0)</f>
        <v>173626.61</v>
      </c>
      <c r="Q32" s="1"/>
      <c r="R32" s="5">
        <f t="shared" ref="R32:R38" si="25">IF(P$12=0,0,P32/P$12)</f>
        <v>2.7390367766604204</v>
      </c>
      <c r="S32" s="1"/>
      <c r="T32" s="1">
        <f>SUM(OSRRefT22_1x_0)</f>
        <v>227207.34999999998</v>
      </c>
      <c r="U32" s="1"/>
      <c r="V32" s="5">
        <f t="shared" ref="V32:V38" si="26">IF(T$12=0,0,T32/T$12)</f>
        <v>0.34859251273894115</v>
      </c>
      <c r="W32" s="1"/>
      <c r="X32" s="1">
        <f t="shared" ref="X32:X38" si="27">+P32-T32</f>
        <v>-53580.739999999991</v>
      </c>
      <c r="Y32" s="1"/>
      <c r="Z32" s="5">
        <f t="shared" ref="Z32:Z38" si="28">IF(T32=0,0,X32/T32)</f>
        <v>-0.23582309287089523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>
        <v>14540.3</v>
      </c>
      <c r="E33" s="2"/>
      <c r="F33" s="7">
        <f t="shared" si="21"/>
        <v>1.1384709100845771</v>
      </c>
      <c r="G33" s="2"/>
      <c r="H33" s="6">
        <v>3281.72</v>
      </c>
      <c r="I33" s="2"/>
      <c r="J33" s="7">
        <f t="shared" si="22"/>
        <v>0</v>
      </c>
      <c r="K33" s="2"/>
      <c r="L33" s="6">
        <f t="shared" si="23"/>
        <v>11258.58</v>
      </c>
      <c r="M33" s="2"/>
      <c r="N33" s="7">
        <f t="shared" si="24"/>
        <v>3.4306948795144012</v>
      </c>
      <c r="O33" s="10"/>
      <c r="P33" s="6">
        <v>141983.51</v>
      </c>
      <c r="Q33" s="2"/>
      <c r="R33" s="7">
        <f t="shared" si="25"/>
        <v>2.2398528403528273</v>
      </c>
      <c r="S33" s="2"/>
      <c r="T33" s="6">
        <v>49008.62</v>
      </c>
      <c r="U33" s="2"/>
      <c r="V33" s="7">
        <f t="shared" si="26"/>
        <v>7.5191396720519513E-2</v>
      </c>
      <c r="W33" s="2"/>
      <c r="X33" s="6">
        <f t="shared" si="27"/>
        <v>92974.890000000014</v>
      </c>
      <c r="Y33" s="2"/>
      <c r="Z33" s="7">
        <f t="shared" si="28"/>
        <v>1.8971129976726544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>
        <v>3950.03</v>
      </c>
      <c r="E34" s="2"/>
      <c r="F34" s="7">
        <f t="shared" si="21"/>
        <v>0.30927795499139515</v>
      </c>
      <c r="G34" s="2"/>
      <c r="H34" s="6">
        <v>1624.27</v>
      </c>
      <c r="I34" s="2"/>
      <c r="J34" s="7">
        <f t="shared" si="22"/>
        <v>0</v>
      </c>
      <c r="K34" s="2"/>
      <c r="L34" s="6">
        <f t="shared" si="23"/>
        <v>2325.7600000000002</v>
      </c>
      <c r="M34" s="2"/>
      <c r="N34" s="7">
        <f t="shared" si="24"/>
        <v>1.4318801677061082</v>
      </c>
      <c r="O34" s="10"/>
      <c r="P34" s="6">
        <v>28509.360000000001</v>
      </c>
      <c r="Q34" s="2"/>
      <c r="R34" s="7">
        <f t="shared" si="25"/>
        <v>0.44974779798471864</v>
      </c>
      <c r="S34" s="2"/>
      <c r="T34" s="6">
        <v>30886.32</v>
      </c>
      <c r="U34" s="2"/>
      <c r="V34" s="7">
        <f t="shared" si="26"/>
        <v>4.7387286978431878E-2</v>
      </c>
      <c r="W34" s="2"/>
      <c r="X34" s="6">
        <f t="shared" si="27"/>
        <v>-2376.9599999999991</v>
      </c>
      <c r="Y34" s="2"/>
      <c r="Z34" s="7">
        <f t="shared" si="28"/>
        <v>-7.6958342722603379E-2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>
        <v>382.01</v>
      </c>
      <c r="E35" s="2"/>
      <c r="F35" s="7">
        <f t="shared" si="21"/>
        <v>2.9910474499247563E-2</v>
      </c>
      <c r="G35" s="2"/>
      <c r="H35" s="6"/>
      <c r="I35" s="2"/>
      <c r="J35" s="7">
        <f t="shared" si="22"/>
        <v>0</v>
      </c>
      <c r="K35" s="2"/>
      <c r="L35" s="6">
        <f t="shared" si="23"/>
        <v>382.01</v>
      </c>
      <c r="M35" s="2"/>
      <c r="N35" s="7">
        <f t="shared" si="24"/>
        <v>0</v>
      </c>
      <c r="O35" s="10"/>
      <c r="P35" s="6">
        <v>2986.05</v>
      </c>
      <c r="Q35" s="2"/>
      <c r="R35" s="7">
        <f t="shared" si="25"/>
        <v>4.710626307192687E-2</v>
      </c>
      <c r="S35" s="2"/>
      <c r="T35" s="6">
        <v>71622.42</v>
      </c>
      <c r="U35" s="2"/>
      <c r="V35" s="7">
        <f t="shared" si="26"/>
        <v>0.10988658314197933</v>
      </c>
      <c r="W35" s="2"/>
      <c r="X35" s="6">
        <f t="shared" si="27"/>
        <v>-68636.37</v>
      </c>
      <c r="Y35" s="2"/>
      <c r="Z35" s="7">
        <f t="shared" si="28"/>
        <v>-0.95830844587490893</v>
      </c>
    </row>
    <row r="36" spans="1:26" s="23" customFormat="1" hidden="1" outlineLevel="2" x14ac:dyDescent="0.25">
      <c r="A36" s="27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0"/>
      <c r="P36" s="6"/>
      <c r="Q36" s="2"/>
      <c r="R36" s="7">
        <f t="shared" si="25"/>
        <v>0</v>
      </c>
      <c r="S36" s="2"/>
      <c r="T36" s="6">
        <v>200.5</v>
      </c>
      <c r="U36" s="2"/>
      <c r="V36" s="7">
        <f t="shared" si="26"/>
        <v>3.0761680378807161E-4</v>
      </c>
      <c r="W36" s="2"/>
      <c r="X36" s="6">
        <f t="shared" si="27"/>
        <v>-200.5</v>
      </c>
      <c r="Y36" s="2"/>
      <c r="Z36" s="7">
        <f t="shared" si="28"/>
        <v>-1</v>
      </c>
    </row>
    <row r="37" spans="1:26" s="23" customFormat="1" hidden="1" outlineLevel="2" x14ac:dyDescent="0.25">
      <c r="A37" s="27"/>
      <c r="B37" s="10" t="str">
        <f>CONCATENATE("          ", "6007", " - ", "STUDENT HOURLY")</f>
        <v xml:space="preserve">          6007 - STUDENT HOURLY</v>
      </c>
      <c r="C37" s="10"/>
      <c r="D37" s="6">
        <v>-776.02</v>
      </c>
      <c r="E37" s="2"/>
      <c r="F37" s="7">
        <f t="shared" si="21"/>
        <v>-6.0760520459951554E-2</v>
      </c>
      <c r="G37" s="2"/>
      <c r="H37" s="6">
        <v>-889</v>
      </c>
      <c r="I37" s="2"/>
      <c r="J37" s="7">
        <f t="shared" si="22"/>
        <v>0</v>
      </c>
      <c r="K37" s="2"/>
      <c r="L37" s="6">
        <f t="shared" si="23"/>
        <v>112.98000000000002</v>
      </c>
      <c r="M37" s="2"/>
      <c r="N37" s="7">
        <f t="shared" si="24"/>
        <v>-0.12708661417322836</v>
      </c>
      <c r="O37" s="10"/>
      <c r="P37" s="6">
        <v>147.69</v>
      </c>
      <c r="Q37" s="2"/>
      <c r="R37" s="7">
        <f t="shared" si="25"/>
        <v>2.3298752509478674E-3</v>
      </c>
      <c r="S37" s="2"/>
      <c r="T37" s="6">
        <v>73786.490000000005</v>
      </c>
      <c r="U37" s="2"/>
      <c r="V37" s="7">
        <f t="shared" si="26"/>
        <v>0.11320680407252123</v>
      </c>
      <c r="W37" s="2"/>
      <c r="X37" s="6">
        <f t="shared" si="27"/>
        <v>-73638.8</v>
      </c>
      <c r="Y37" s="2"/>
      <c r="Z37" s="7">
        <f t="shared" si="28"/>
        <v>-0.99799841407282008</v>
      </c>
    </row>
    <row r="38" spans="1:26" s="23" customFormat="1" hidden="1" outlineLevel="2" x14ac:dyDescent="0.25">
      <c r="A38" s="27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1"/>
        <v>0</v>
      </c>
      <c r="G38" s="2"/>
      <c r="H38" s="6"/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0"/>
      <c r="P38" s="6"/>
      <c r="Q38" s="2"/>
      <c r="R38" s="7">
        <f t="shared" si="25"/>
        <v>0</v>
      </c>
      <c r="S38" s="2"/>
      <c r="T38" s="6">
        <v>1703</v>
      </c>
      <c r="U38" s="2"/>
      <c r="V38" s="7">
        <f t="shared" si="26"/>
        <v>2.6128250217011765E-3</v>
      </c>
      <c r="W38" s="2"/>
      <c r="X38" s="6">
        <f t="shared" si="27"/>
        <v>-1703</v>
      </c>
      <c r="Y38" s="2"/>
      <c r="Z38" s="7">
        <f t="shared" si="28"/>
        <v>-1</v>
      </c>
    </row>
    <row r="39" spans="1:26" s="26" customFormat="1" outlineLevel="1" collapsed="1" x14ac:dyDescent="0.25">
      <c r="A39" s="25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4.58</v>
      </c>
      <c r="E39" s="1"/>
      <c r="F39" s="5">
        <f t="shared" ref="F39:F47" si="29">IF(D$12=0,0,D39/D$12)</f>
        <v>3.5860310778920403E-4</v>
      </c>
      <c r="G39" s="1"/>
      <c r="H39" s="1">
        <f>SUM(OSRRefH22_2x_0)</f>
        <v>194.71</v>
      </c>
      <c r="I39" s="1"/>
      <c r="J39" s="5">
        <f t="shared" ref="J39:J47" si="30">IF(H$12=0,0,H39/H$12)</f>
        <v>0</v>
      </c>
      <c r="K39" s="1"/>
      <c r="L39" s="1">
        <f t="shared" ref="L39:L47" si="31">+D39-H39</f>
        <v>-190.13</v>
      </c>
      <c r="M39" s="1"/>
      <c r="N39" s="5">
        <f t="shared" ref="N39:N47" si="32">IF(H39=0,0,L39/H39)</f>
        <v>-0.97647783883724504</v>
      </c>
      <c r="O39" s="12"/>
      <c r="P39" s="1">
        <f>SUM(OSRRefP22_2x_0)</f>
        <v>293.77</v>
      </c>
      <c r="Q39" s="1"/>
      <c r="R39" s="5">
        <f t="shared" ref="R39:R47" si="33">IF(P$12=0,0,P39/P$12)</f>
        <v>4.6343520378560156E-3</v>
      </c>
      <c r="S39" s="1"/>
      <c r="T39" s="1">
        <f>SUM(OSRRefT22_2x_0)</f>
        <v>6370.56</v>
      </c>
      <c r="U39" s="1"/>
      <c r="V39" s="5">
        <f t="shared" ref="V39:V47" si="34">IF(T$12=0,0,T39/T$12)</f>
        <v>9.7740214740156487E-3</v>
      </c>
      <c r="W39" s="1"/>
      <c r="X39" s="1">
        <f t="shared" ref="X39:X47" si="35">+P39-T39</f>
        <v>-6076.7900000000009</v>
      </c>
      <c r="Y39" s="1"/>
      <c r="Z39" s="5">
        <f t="shared" ref="Z39:Z47" si="36">IF(T39=0,0,X39/T39)</f>
        <v>-0.95388631454691586</v>
      </c>
    </row>
    <row r="40" spans="1:26" s="23" customFormat="1" hidden="1" outlineLevel="2" x14ac:dyDescent="0.25">
      <c r="A40" s="27"/>
      <c r="B40" s="10" t="str">
        <f>CONCATENATE("          ", "6362", " - ", "ADVERTISING EXPENSE")</f>
        <v xml:space="preserve">          6362 - ADVERTISING EXPENSE</v>
      </c>
      <c r="C40" s="10"/>
      <c r="D40" s="6">
        <v>4.58</v>
      </c>
      <c r="E40" s="2"/>
      <c r="F40" s="7">
        <f t="shared" si="29"/>
        <v>3.5860310778920403E-4</v>
      </c>
      <c r="G40" s="2"/>
      <c r="H40" s="6">
        <v>194.71</v>
      </c>
      <c r="I40" s="2"/>
      <c r="J40" s="7">
        <f t="shared" si="30"/>
        <v>0</v>
      </c>
      <c r="K40" s="2"/>
      <c r="L40" s="6">
        <f t="shared" si="31"/>
        <v>-190.13</v>
      </c>
      <c r="M40" s="2"/>
      <c r="N40" s="7">
        <f t="shared" si="32"/>
        <v>-0.97647783883724504</v>
      </c>
      <c r="O40" s="10"/>
      <c r="P40" s="6">
        <v>293.77</v>
      </c>
      <c r="Q40" s="2"/>
      <c r="R40" s="7">
        <f t="shared" si="33"/>
        <v>4.6343520378560156E-3</v>
      </c>
      <c r="S40" s="2"/>
      <c r="T40" s="6">
        <v>6370.56</v>
      </c>
      <c r="U40" s="2"/>
      <c r="V40" s="7">
        <f t="shared" si="34"/>
        <v>9.7740214740156487E-3</v>
      </c>
      <c r="W40" s="2"/>
      <c r="X40" s="6">
        <f t="shared" si="35"/>
        <v>-6076.7900000000009</v>
      </c>
      <c r="Y40" s="2"/>
      <c r="Z40" s="7">
        <f t="shared" si="36"/>
        <v>-0.95388631454691586</v>
      </c>
    </row>
    <row r="41" spans="1:26" s="26" customFormat="1" outlineLevel="1" collapsed="1" x14ac:dyDescent="0.25">
      <c r="A41" s="25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0.57999999999999996</v>
      </c>
      <c r="E41" s="1"/>
      <c r="F41" s="5">
        <f t="shared" si="29"/>
        <v>4.5412620637060772E-5</v>
      </c>
      <c r="G41" s="1"/>
      <c r="H41" s="1">
        <f>SUM(OSRRefH22_3x_0)</f>
        <v>0</v>
      </c>
      <c r="I41" s="1"/>
      <c r="J41" s="5">
        <f t="shared" si="30"/>
        <v>0</v>
      </c>
      <c r="K41" s="1"/>
      <c r="L41" s="1">
        <f t="shared" si="31"/>
        <v>0.57999999999999996</v>
      </c>
      <c r="M41" s="1"/>
      <c r="N41" s="5">
        <f t="shared" si="32"/>
        <v>0</v>
      </c>
      <c r="O41" s="12"/>
      <c r="P41" s="1">
        <f>SUM(OSRRefP22_3x_0)</f>
        <v>8.98</v>
      </c>
      <c r="Q41" s="1"/>
      <c r="R41" s="5">
        <f t="shared" si="33"/>
        <v>1.4166348265631966E-4</v>
      </c>
      <c r="S41" s="1"/>
      <c r="T41" s="1">
        <f>SUM(OSRRefT22_3x_0)</f>
        <v>-37.450000000000003</v>
      </c>
      <c r="U41" s="1"/>
      <c r="V41" s="5">
        <f t="shared" si="34"/>
        <v>-5.7457602503058765E-5</v>
      </c>
      <c r="W41" s="1"/>
      <c r="X41" s="1">
        <f t="shared" si="35"/>
        <v>46.430000000000007</v>
      </c>
      <c r="Y41" s="1"/>
      <c r="Z41" s="5">
        <f t="shared" si="36"/>
        <v>-1.2397863818424566</v>
      </c>
    </row>
    <row r="42" spans="1:26" s="23" customFormat="1" hidden="1" outlineLevel="2" x14ac:dyDescent="0.25">
      <c r="A42" s="27"/>
      <c r="B42" s="10" t="str">
        <f>CONCATENATE("          ", "6272", " - ", "CASH (OVER/SHORT)")</f>
        <v xml:space="preserve">          6272 - CASH (OVER/SHORT)</v>
      </c>
      <c r="C42" s="10"/>
      <c r="D42" s="6">
        <v>0.57999999999999996</v>
      </c>
      <c r="E42" s="2"/>
      <c r="F42" s="7">
        <f t="shared" si="29"/>
        <v>4.5412620637060772E-5</v>
      </c>
      <c r="G42" s="2"/>
      <c r="H42" s="6"/>
      <c r="I42" s="2"/>
      <c r="J42" s="7">
        <f t="shared" si="30"/>
        <v>0</v>
      </c>
      <c r="K42" s="2"/>
      <c r="L42" s="6">
        <f t="shared" si="31"/>
        <v>0.57999999999999996</v>
      </c>
      <c r="M42" s="2"/>
      <c r="N42" s="7">
        <f t="shared" si="32"/>
        <v>0</v>
      </c>
      <c r="O42" s="10"/>
      <c r="P42" s="6">
        <v>8.98</v>
      </c>
      <c r="Q42" s="2"/>
      <c r="R42" s="7">
        <f t="shared" si="33"/>
        <v>1.4166348265631966E-4</v>
      </c>
      <c r="S42" s="2"/>
      <c r="T42" s="6">
        <v>-37.450000000000003</v>
      </c>
      <c r="U42" s="2"/>
      <c r="V42" s="7">
        <f t="shared" si="34"/>
        <v>-5.7457602503058765E-5</v>
      </c>
      <c r="W42" s="2"/>
      <c r="X42" s="6">
        <f t="shared" si="35"/>
        <v>46.430000000000007</v>
      </c>
      <c r="Y42" s="2"/>
      <c r="Z42" s="7">
        <f t="shared" si="36"/>
        <v>-1.2397863818424566</v>
      </c>
    </row>
    <row r="43" spans="1:26" s="26" customFormat="1" outlineLevel="1" collapsed="1" x14ac:dyDescent="0.25">
      <c r="A43" s="25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472.29</v>
      </c>
      <c r="E43" s="1"/>
      <c r="F43" s="5">
        <f t="shared" si="29"/>
        <v>3.6979183794271439E-2</v>
      </c>
      <c r="G43" s="1"/>
      <c r="H43" s="1">
        <f>SUM(OSRRefH22_4x_0)</f>
        <v>611.33000000000004</v>
      </c>
      <c r="I43" s="1"/>
      <c r="J43" s="5">
        <f t="shared" si="30"/>
        <v>0</v>
      </c>
      <c r="K43" s="1"/>
      <c r="L43" s="1">
        <f t="shared" si="31"/>
        <v>-139.04000000000002</v>
      </c>
      <c r="M43" s="1"/>
      <c r="N43" s="5">
        <f t="shared" si="32"/>
        <v>-0.22743853565177566</v>
      </c>
      <c r="O43" s="12"/>
      <c r="P43" s="1">
        <f>SUM(OSRRefP22_4x_0)</f>
        <v>1949.74</v>
      </c>
      <c r="Q43" s="1"/>
      <c r="R43" s="5">
        <f t="shared" si="33"/>
        <v>3.0758013215404528E-2</v>
      </c>
      <c r="S43" s="1"/>
      <c r="T43" s="1">
        <f>SUM(OSRRefT22_4x_0)</f>
        <v>27203.67</v>
      </c>
      <c r="U43" s="1"/>
      <c r="V43" s="5">
        <f t="shared" si="34"/>
        <v>4.17371871157379E-2</v>
      </c>
      <c r="W43" s="1"/>
      <c r="X43" s="1">
        <f t="shared" si="35"/>
        <v>-25253.929999999997</v>
      </c>
      <c r="Y43" s="1"/>
      <c r="Z43" s="5">
        <f t="shared" si="36"/>
        <v>-0.92832805279581754</v>
      </c>
    </row>
    <row r="44" spans="1:26" s="23" customFormat="1" hidden="1" outlineLevel="2" x14ac:dyDescent="0.25">
      <c r="A44" s="27"/>
      <c r="B44" s="10" t="str">
        <f>CONCATENATE("          ", "6381", " - ", "BANK/CREDIT CARD FEES")</f>
        <v xml:space="preserve">          6381 - BANK/CREDIT CARD FEES</v>
      </c>
      <c r="C44" s="10"/>
      <c r="D44" s="6">
        <v>472.29</v>
      </c>
      <c r="E44" s="2"/>
      <c r="F44" s="7">
        <f t="shared" si="29"/>
        <v>3.6979183794271439E-2</v>
      </c>
      <c r="G44" s="2"/>
      <c r="H44" s="6">
        <v>611.33000000000004</v>
      </c>
      <c r="I44" s="2"/>
      <c r="J44" s="7">
        <f t="shared" si="30"/>
        <v>0</v>
      </c>
      <c r="K44" s="2"/>
      <c r="L44" s="6">
        <f t="shared" si="31"/>
        <v>-139.04000000000002</v>
      </c>
      <c r="M44" s="2"/>
      <c r="N44" s="7">
        <f t="shared" si="32"/>
        <v>-0.22743853565177566</v>
      </c>
      <c r="O44" s="10"/>
      <c r="P44" s="6">
        <v>1949.74</v>
      </c>
      <c r="Q44" s="2"/>
      <c r="R44" s="7">
        <f t="shared" si="33"/>
        <v>3.0758013215404528E-2</v>
      </c>
      <c r="S44" s="2"/>
      <c r="T44" s="6">
        <v>27203.67</v>
      </c>
      <c r="U44" s="2"/>
      <c r="V44" s="7">
        <f t="shared" si="34"/>
        <v>4.17371871157379E-2</v>
      </c>
      <c r="W44" s="2"/>
      <c r="X44" s="6">
        <f t="shared" si="35"/>
        <v>-25253.929999999997</v>
      </c>
      <c r="Y44" s="2"/>
      <c r="Z44" s="7">
        <f t="shared" si="36"/>
        <v>-0.92832805279581754</v>
      </c>
    </row>
    <row r="45" spans="1:26" s="26" customFormat="1" outlineLevel="1" collapsed="1" x14ac:dyDescent="0.25">
      <c r="A45" s="25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13902.32</v>
      </c>
      <c r="E45" s="1"/>
      <c r="F45" s="5">
        <f t="shared" si="29"/>
        <v>1.088518593336246</v>
      </c>
      <c r="G45" s="1"/>
      <c r="H45" s="1">
        <f>SUM(OSRRefH22_5x_0)</f>
        <v>13702.16</v>
      </c>
      <c r="I45" s="1"/>
      <c r="J45" s="5">
        <f t="shared" si="30"/>
        <v>0</v>
      </c>
      <c r="K45" s="1"/>
      <c r="L45" s="1">
        <f t="shared" si="31"/>
        <v>200.15999999999985</v>
      </c>
      <c r="M45" s="1"/>
      <c r="N45" s="5">
        <f t="shared" si="32"/>
        <v>1.4607915832248335E-2</v>
      </c>
      <c r="O45" s="12"/>
      <c r="P45" s="1">
        <f>SUM(OSRRefP22_5x_0)</f>
        <v>138988.48000000001</v>
      </c>
      <c r="Q45" s="1"/>
      <c r="R45" s="5">
        <f t="shared" si="33"/>
        <v>2.192604913798244</v>
      </c>
      <c r="S45" s="1"/>
      <c r="T45" s="1">
        <f>SUM(OSRRefT22_5x_0)</f>
        <v>134572.46000000002</v>
      </c>
      <c r="U45" s="1"/>
      <c r="V45" s="5">
        <f t="shared" si="34"/>
        <v>0.20646758116258412</v>
      </c>
      <c r="W45" s="1"/>
      <c r="X45" s="1">
        <f t="shared" si="35"/>
        <v>4416.0199999999895</v>
      </c>
      <c r="Y45" s="1"/>
      <c r="Z45" s="5">
        <f t="shared" si="36"/>
        <v>3.2815183730757307E-2</v>
      </c>
    </row>
    <row r="46" spans="1:26" s="23" customFormat="1" hidden="1" outlineLevel="2" x14ac:dyDescent="0.25">
      <c r="A46" s="27"/>
      <c r="B46" s="10" t="str">
        <f>CONCATENATE("          ", "6321", " - ", "BUILDING DEPRECIATION")</f>
        <v xml:space="preserve">          6321 - BUILDING DEPRECIATION</v>
      </c>
      <c r="C46" s="10"/>
      <c r="D46" s="6">
        <v>10597.26</v>
      </c>
      <c r="E46" s="2"/>
      <c r="F46" s="7">
        <f t="shared" si="29"/>
        <v>0.82974025546948049</v>
      </c>
      <c r="G46" s="2"/>
      <c r="H46" s="6">
        <v>10612.46</v>
      </c>
      <c r="I46" s="2"/>
      <c r="J46" s="7">
        <f t="shared" si="30"/>
        <v>0</v>
      </c>
      <c r="K46" s="2"/>
      <c r="L46" s="6">
        <f t="shared" si="31"/>
        <v>-15.199999999998909</v>
      </c>
      <c r="M46" s="2"/>
      <c r="N46" s="7">
        <f t="shared" si="32"/>
        <v>-1.4322786611208815E-3</v>
      </c>
      <c r="O46" s="10"/>
      <c r="P46" s="6">
        <v>105972.6</v>
      </c>
      <c r="Q46" s="2"/>
      <c r="R46" s="7">
        <f t="shared" si="33"/>
        <v>1.6717647641586972</v>
      </c>
      <c r="S46" s="2"/>
      <c r="T46" s="6">
        <v>106124.6</v>
      </c>
      <c r="U46" s="2"/>
      <c r="V46" s="7">
        <f t="shared" si="34"/>
        <v>0.16282149753260641</v>
      </c>
      <c r="W46" s="2"/>
      <c r="X46" s="6">
        <f t="shared" si="35"/>
        <v>-152</v>
      </c>
      <c r="Y46" s="2"/>
      <c r="Z46" s="7">
        <f t="shared" si="36"/>
        <v>-1.4322786611209841E-3</v>
      </c>
    </row>
    <row r="47" spans="1:26" s="23" customFormat="1" hidden="1" outlineLevel="2" x14ac:dyDescent="0.25">
      <c r="A47" s="27"/>
      <c r="B47" s="10" t="str">
        <f>CONCATENATE("          ", "6322", " - ", "EQUIPMENT DEPRECIATION EXPENSE")</f>
        <v xml:space="preserve">          6322 - EQUIPMENT DEPRECIATION EXPENSE</v>
      </c>
      <c r="C47" s="10"/>
      <c r="D47" s="6">
        <v>3305.06</v>
      </c>
      <c r="E47" s="2"/>
      <c r="F47" s="7">
        <f t="shared" si="29"/>
        <v>0.25877833786676563</v>
      </c>
      <c r="G47" s="2"/>
      <c r="H47" s="6">
        <v>3089.7</v>
      </c>
      <c r="I47" s="2"/>
      <c r="J47" s="7">
        <f t="shared" si="30"/>
        <v>0</v>
      </c>
      <c r="K47" s="2"/>
      <c r="L47" s="6">
        <f t="shared" si="31"/>
        <v>215.36000000000013</v>
      </c>
      <c r="M47" s="2"/>
      <c r="N47" s="7">
        <f t="shared" si="32"/>
        <v>6.9702560119105458E-2</v>
      </c>
      <c r="O47" s="10"/>
      <c r="P47" s="6">
        <v>33015.879999999997</v>
      </c>
      <c r="Q47" s="2"/>
      <c r="R47" s="7">
        <f t="shared" si="33"/>
        <v>0.52084014963954683</v>
      </c>
      <c r="S47" s="2"/>
      <c r="T47" s="6">
        <v>28447.86</v>
      </c>
      <c r="U47" s="2"/>
      <c r="V47" s="7">
        <f t="shared" si="34"/>
        <v>4.3646083629977711E-2</v>
      </c>
      <c r="W47" s="2"/>
      <c r="X47" s="6">
        <f t="shared" si="35"/>
        <v>4568.0199999999968</v>
      </c>
      <c r="Y47" s="2"/>
      <c r="Z47" s="7">
        <f t="shared" si="36"/>
        <v>0.16057517155947748</v>
      </c>
    </row>
    <row r="48" spans="1:26" s="26" customFormat="1" outlineLevel="1" collapsed="1" x14ac:dyDescent="0.25">
      <c r="A48" s="25"/>
      <c r="B48" s="12" t="str">
        <f>CONCATENATE("     ","Employees' Appreciation                           ")</f>
        <v xml:space="preserve">     Employees' Appreciation                           </v>
      </c>
      <c r="C48" s="12"/>
      <c r="D48" s="1">
        <f>SUM(OSRRefD22_6x_0)</f>
        <v>0</v>
      </c>
      <c r="E48" s="1"/>
      <c r="F48" s="5">
        <f t="shared" ref="F48:F62" si="37">IF(D$12=0,0,D48/D$12)</f>
        <v>0</v>
      </c>
      <c r="G48" s="1"/>
      <c r="H48" s="1">
        <f>SUM(OSRRefH22_6x_0)</f>
        <v>0</v>
      </c>
      <c r="I48" s="1"/>
      <c r="J48" s="5">
        <f t="shared" ref="J48:J62" si="38">IF(H$12=0,0,H48/H$12)</f>
        <v>0</v>
      </c>
      <c r="K48" s="1"/>
      <c r="L48" s="1">
        <f t="shared" ref="L48:L62" si="39">+D48-H48</f>
        <v>0</v>
      </c>
      <c r="M48" s="1"/>
      <c r="N48" s="5">
        <f t="shared" ref="N48:N62" si="40">IF(H48=0,0,L48/H48)</f>
        <v>0</v>
      </c>
      <c r="O48" s="12"/>
      <c r="P48" s="1">
        <f>SUM(OSRRefP22_6x_0)</f>
        <v>10</v>
      </c>
      <c r="Q48" s="1"/>
      <c r="R48" s="5">
        <f t="shared" ref="R48:R62" si="41">IF(P$12=0,0,P48/P$12)</f>
        <v>1.577544350293092E-4</v>
      </c>
      <c r="S48" s="1"/>
      <c r="T48" s="1">
        <f>SUM(OSRRefT22_6x_0)</f>
        <v>146.37</v>
      </c>
      <c r="U48" s="1"/>
      <c r="V48" s="5">
        <f t="shared" ref="V48:V62" si="42">IF(T$12=0,0,T48/T$12)</f>
        <v>2.2456793800728199E-4</v>
      </c>
      <c r="W48" s="1"/>
      <c r="X48" s="1">
        <f t="shared" ref="X48:X62" si="43">+P48-T48</f>
        <v>-136.37</v>
      </c>
      <c r="Y48" s="1"/>
      <c r="Z48" s="5">
        <f t="shared" ref="Z48:Z62" si="44">IF(T48=0,0,X48/T48)</f>
        <v>-0.93167998906879823</v>
      </c>
    </row>
    <row r="49" spans="1:26" s="23" customFormat="1" hidden="1" outlineLevel="2" x14ac:dyDescent="0.25">
      <c r="A49" s="27"/>
      <c r="B49" s="10" t="str">
        <f>CONCATENATE("          ", "6277", " - ", "EMPLOYEE APPRECIATION")</f>
        <v xml:space="preserve">          6277 - EMPLOYEE APPRECIATION</v>
      </c>
      <c r="C49" s="10"/>
      <c r="D49" s="6"/>
      <c r="E49" s="2"/>
      <c r="F49" s="7">
        <f t="shared" si="37"/>
        <v>0</v>
      </c>
      <c r="G49" s="2"/>
      <c r="H49" s="6"/>
      <c r="I49" s="2"/>
      <c r="J49" s="7">
        <f t="shared" si="38"/>
        <v>0</v>
      </c>
      <c r="K49" s="2"/>
      <c r="L49" s="6">
        <f t="shared" si="39"/>
        <v>0</v>
      </c>
      <c r="M49" s="2"/>
      <c r="N49" s="7">
        <f t="shared" si="40"/>
        <v>0</v>
      </c>
      <c r="O49" s="10"/>
      <c r="P49" s="6">
        <v>10</v>
      </c>
      <c r="Q49" s="2"/>
      <c r="R49" s="7">
        <f t="shared" si="41"/>
        <v>1.577544350293092E-4</v>
      </c>
      <c r="S49" s="2"/>
      <c r="T49" s="6">
        <v>146.37</v>
      </c>
      <c r="U49" s="2"/>
      <c r="V49" s="7">
        <f t="shared" si="42"/>
        <v>2.2456793800728199E-4</v>
      </c>
      <c r="W49" s="2"/>
      <c r="X49" s="6">
        <f t="shared" si="43"/>
        <v>-136.37</v>
      </c>
      <c r="Y49" s="2"/>
      <c r="Z49" s="7">
        <f t="shared" si="44"/>
        <v>-0.93167998906879823</v>
      </c>
    </row>
    <row r="50" spans="1:26" s="26" customFormat="1" outlineLevel="1" collapsed="1" x14ac:dyDescent="0.25">
      <c r="A50" s="25"/>
      <c r="B50" s="12" t="str">
        <f>CONCATENATE("     ","Equipment Rental                                  ")</f>
        <v xml:space="preserve">     Equipment Rental                                  </v>
      </c>
      <c r="C50" s="12"/>
      <c r="D50" s="1">
        <f>SUM(OSRRefD22_7x_0)</f>
        <v>476.33</v>
      </c>
      <c r="E50" s="1"/>
      <c r="F50" s="5">
        <f t="shared" si="37"/>
        <v>3.7295506186295097E-2</v>
      </c>
      <c r="G50" s="1"/>
      <c r="H50" s="1">
        <f>SUM(OSRRefH22_7x_0)</f>
        <v>36.270000000000003</v>
      </c>
      <c r="I50" s="1"/>
      <c r="J50" s="5">
        <f t="shared" si="38"/>
        <v>0</v>
      </c>
      <c r="K50" s="1"/>
      <c r="L50" s="1">
        <f t="shared" si="39"/>
        <v>440.06</v>
      </c>
      <c r="M50" s="1"/>
      <c r="N50" s="5">
        <f t="shared" si="40"/>
        <v>12.132892197408326</v>
      </c>
      <c r="O50" s="12"/>
      <c r="P50" s="1">
        <f>SUM(OSRRefP22_7x_0)</f>
        <v>1804.49</v>
      </c>
      <c r="Q50" s="1"/>
      <c r="R50" s="5">
        <f t="shared" si="41"/>
        <v>2.8466630046603814E-2</v>
      </c>
      <c r="S50" s="1"/>
      <c r="T50" s="1">
        <f>SUM(OSRRefT22_7x_0)</f>
        <v>1010.36</v>
      </c>
      <c r="U50" s="1"/>
      <c r="V50" s="5">
        <f t="shared" si="42"/>
        <v>1.5501432113482097E-3</v>
      </c>
      <c r="W50" s="1"/>
      <c r="X50" s="1">
        <f t="shared" si="43"/>
        <v>794.13</v>
      </c>
      <c r="Y50" s="1"/>
      <c r="Z50" s="5">
        <f t="shared" si="44"/>
        <v>0.78598717288887132</v>
      </c>
    </row>
    <row r="51" spans="1:26" s="23" customFormat="1" hidden="1" outlineLevel="2" x14ac:dyDescent="0.25">
      <c r="A51" s="27"/>
      <c r="B51" s="10" t="str">
        <f>CONCATENATE("          ", "6351", " - ", "EQUIPMENT RENTAL")</f>
        <v xml:space="preserve">          6351 - EQUIPMENT RENTAL</v>
      </c>
      <c r="C51" s="10"/>
      <c r="D51" s="6">
        <v>476.33</v>
      </c>
      <c r="E51" s="2"/>
      <c r="F51" s="7">
        <f t="shared" si="37"/>
        <v>3.7295506186295097E-2</v>
      </c>
      <c r="G51" s="2"/>
      <c r="H51" s="6">
        <v>36.270000000000003</v>
      </c>
      <c r="I51" s="2"/>
      <c r="J51" s="7">
        <f t="shared" si="38"/>
        <v>0</v>
      </c>
      <c r="K51" s="2"/>
      <c r="L51" s="6">
        <f t="shared" si="39"/>
        <v>440.06</v>
      </c>
      <c r="M51" s="2"/>
      <c r="N51" s="7">
        <f t="shared" si="40"/>
        <v>12.132892197408326</v>
      </c>
      <c r="O51" s="10"/>
      <c r="P51" s="6">
        <v>1804.49</v>
      </c>
      <c r="Q51" s="2"/>
      <c r="R51" s="7">
        <f t="shared" si="41"/>
        <v>2.8466630046603814E-2</v>
      </c>
      <c r="S51" s="2"/>
      <c r="T51" s="6">
        <v>1010.36</v>
      </c>
      <c r="U51" s="2"/>
      <c r="V51" s="7">
        <f t="shared" si="42"/>
        <v>1.5501432113482097E-3</v>
      </c>
      <c r="W51" s="2"/>
      <c r="X51" s="6">
        <f t="shared" si="43"/>
        <v>794.13</v>
      </c>
      <c r="Y51" s="2"/>
      <c r="Z51" s="7">
        <f t="shared" si="44"/>
        <v>0.78598717288887132</v>
      </c>
    </row>
    <row r="52" spans="1:26" s="26" customFormat="1" outlineLevel="1" collapsed="1" x14ac:dyDescent="0.25">
      <c r="A52" s="25"/>
      <c r="B52" s="12" t="str">
        <f>CONCATENATE("     ","General                                           ")</f>
        <v xml:space="preserve">     General                                           </v>
      </c>
      <c r="C52" s="12"/>
      <c r="D52" s="1">
        <f>SUM(OSRRefD22_8x_0)</f>
        <v>0</v>
      </c>
      <c r="E52" s="1"/>
      <c r="F52" s="5">
        <f t="shared" si="37"/>
        <v>0</v>
      </c>
      <c r="G52" s="1"/>
      <c r="H52" s="1">
        <f>SUM(OSRRefH22_8x_0)</f>
        <v>0</v>
      </c>
      <c r="I52" s="1"/>
      <c r="J52" s="5">
        <f t="shared" si="38"/>
        <v>0</v>
      </c>
      <c r="K52" s="1"/>
      <c r="L52" s="1">
        <f t="shared" si="39"/>
        <v>0</v>
      </c>
      <c r="M52" s="1"/>
      <c r="N52" s="5">
        <f t="shared" si="40"/>
        <v>0</v>
      </c>
      <c r="O52" s="12"/>
      <c r="P52" s="1">
        <f>SUM(OSRRefP22_8x_0)</f>
        <v>2498.69</v>
      </c>
      <c r="Q52" s="1"/>
      <c r="R52" s="5">
        <f t="shared" si="41"/>
        <v>3.9417942926338462E-2</v>
      </c>
      <c r="S52" s="1"/>
      <c r="T52" s="1">
        <f>SUM(OSRRefT22_8x_0)</f>
        <v>1937.01</v>
      </c>
      <c r="U52" s="1"/>
      <c r="V52" s="5">
        <f t="shared" si="42"/>
        <v>2.9718544893044016E-3</v>
      </c>
      <c r="W52" s="1"/>
      <c r="X52" s="1">
        <f t="shared" si="43"/>
        <v>561.68000000000006</v>
      </c>
      <c r="Y52" s="1"/>
      <c r="Z52" s="5">
        <f t="shared" si="44"/>
        <v>0.28997268986737296</v>
      </c>
    </row>
    <row r="53" spans="1:26" s="23" customFormat="1" hidden="1" outlineLevel="2" x14ac:dyDescent="0.25">
      <c r="A53" s="27"/>
      <c r="B53" s="10" t="str">
        <f>CONCATENATE("          ", "6279", " - ", "GENERAL EXPENSE")</f>
        <v xml:space="preserve">          6279 - GENERAL EXPENSE</v>
      </c>
      <c r="C53" s="10"/>
      <c r="D53" s="6"/>
      <c r="E53" s="2"/>
      <c r="F53" s="7">
        <f t="shared" si="37"/>
        <v>0</v>
      </c>
      <c r="G53" s="2"/>
      <c r="H53" s="6"/>
      <c r="I53" s="2"/>
      <c r="J53" s="7">
        <f t="shared" si="38"/>
        <v>0</v>
      </c>
      <c r="K53" s="2"/>
      <c r="L53" s="6">
        <f t="shared" si="39"/>
        <v>0</v>
      </c>
      <c r="M53" s="2"/>
      <c r="N53" s="7">
        <f t="shared" si="40"/>
        <v>0</v>
      </c>
      <c r="O53" s="10"/>
      <c r="P53" s="6">
        <v>2498.69</v>
      </c>
      <c r="Q53" s="2"/>
      <c r="R53" s="7">
        <f t="shared" si="41"/>
        <v>3.9417942926338462E-2</v>
      </c>
      <c r="S53" s="2"/>
      <c r="T53" s="6">
        <v>1937.01</v>
      </c>
      <c r="U53" s="2"/>
      <c r="V53" s="7">
        <f t="shared" si="42"/>
        <v>2.9718544893044016E-3</v>
      </c>
      <c r="W53" s="2"/>
      <c r="X53" s="6">
        <f t="shared" si="43"/>
        <v>561.68000000000006</v>
      </c>
      <c r="Y53" s="2"/>
      <c r="Z53" s="7">
        <f t="shared" si="44"/>
        <v>0.28997268986737296</v>
      </c>
    </row>
    <row r="54" spans="1:26" s="26" customFormat="1" outlineLevel="1" collapsed="1" x14ac:dyDescent="0.25">
      <c r="A54" s="25"/>
      <c r="B54" s="12" t="str">
        <f>CONCATENATE("     ","Insurance                                         ")</f>
        <v xml:space="preserve">     Insurance                                         </v>
      </c>
      <c r="C54" s="12"/>
      <c r="D54" s="1">
        <f>SUM(OSRRefD22_9x_0)</f>
        <v>641.28</v>
      </c>
      <c r="E54" s="1"/>
      <c r="F54" s="5">
        <f t="shared" si="37"/>
        <v>5.021069890023161E-2</v>
      </c>
      <c r="G54" s="1"/>
      <c r="H54" s="1">
        <f>SUM(OSRRefH22_9x_0)</f>
        <v>641.28</v>
      </c>
      <c r="I54" s="1"/>
      <c r="J54" s="5">
        <f t="shared" si="38"/>
        <v>0</v>
      </c>
      <c r="K54" s="1"/>
      <c r="L54" s="1">
        <f t="shared" si="39"/>
        <v>0</v>
      </c>
      <c r="M54" s="1"/>
      <c r="N54" s="5">
        <f t="shared" si="40"/>
        <v>0</v>
      </c>
      <c r="O54" s="12"/>
      <c r="P54" s="1">
        <f>SUM(OSRRefP22_9x_0)</f>
        <v>6412.8</v>
      </c>
      <c r="Q54" s="1"/>
      <c r="R54" s="5">
        <f t="shared" si="41"/>
        <v>0.1011647640955954</v>
      </c>
      <c r="S54" s="1"/>
      <c r="T54" s="1">
        <f>SUM(OSRRefT22_9x_0)</f>
        <v>6412.8</v>
      </c>
      <c r="U54" s="1"/>
      <c r="V54" s="5">
        <f t="shared" si="42"/>
        <v>9.838828126344866E-3</v>
      </c>
      <c r="W54" s="1"/>
      <c r="X54" s="1">
        <f t="shared" si="43"/>
        <v>0</v>
      </c>
      <c r="Y54" s="1"/>
      <c r="Z54" s="5">
        <f t="shared" si="44"/>
        <v>0</v>
      </c>
    </row>
    <row r="55" spans="1:26" s="23" customFormat="1" hidden="1" outlineLevel="2" x14ac:dyDescent="0.25">
      <c r="A55" s="27"/>
      <c r="B55" s="10" t="str">
        <f>CONCATENATE("          ", "6314", " - ", "LIABILITY INSURANCE")</f>
        <v xml:space="preserve">          6314 - LIABILITY INSURANCE</v>
      </c>
      <c r="C55" s="10"/>
      <c r="D55" s="6">
        <v>641.28</v>
      </c>
      <c r="E55" s="2"/>
      <c r="F55" s="7">
        <f t="shared" si="37"/>
        <v>5.021069890023161E-2</v>
      </c>
      <c r="G55" s="2"/>
      <c r="H55" s="6">
        <v>641.28</v>
      </c>
      <c r="I55" s="2"/>
      <c r="J55" s="7">
        <f t="shared" si="38"/>
        <v>0</v>
      </c>
      <c r="K55" s="2"/>
      <c r="L55" s="6">
        <f t="shared" si="39"/>
        <v>0</v>
      </c>
      <c r="M55" s="2"/>
      <c r="N55" s="7">
        <f t="shared" si="40"/>
        <v>0</v>
      </c>
      <c r="O55" s="10"/>
      <c r="P55" s="6">
        <v>6412.8</v>
      </c>
      <c r="Q55" s="2"/>
      <c r="R55" s="7">
        <f t="shared" si="41"/>
        <v>0.1011647640955954</v>
      </c>
      <c r="S55" s="2"/>
      <c r="T55" s="6">
        <v>6412.8</v>
      </c>
      <c r="U55" s="2"/>
      <c r="V55" s="7">
        <f t="shared" si="42"/>
        <v>9.838828126344866E-3</v>
      </c>
      <c r="W55" s="2"/>
      <c r="X55" s="6">
        <f t="shared" si="43"/>
        <v>0</v>
      </c>
      <c r="Y55" s="2"/>
      <c r="Z55" s="7">
        <f t="shared" si="44"/>
        <v>0</v>
      </c>
    </row>
    <row r="56" spans="1:26" s="26" customFormat="1" outlineLevel="1" collapsed="1" x14ac:dyDescent="0.25">
      <c r="A56" s="25"/>
      <c r="B56" s="12" t="str">
        <f>CONCATENATE("     ","Interest                                          ")</f>
        <v xml:space="preserve">     Interest                                          </v>
      </c>
      <c r="C56" s="12"/>
      <c r="D56" s="1">
        <f>SUM(OSRRefD22_10x_0)</f>
        <v>5967</v>
      </c>
      <c r="E56" s="1"/>
      <c r="F56" s="5">
        <f t="shared" si="37"/>
        <v>0.46720190920920973</v>
      </c>
      <c r="G56" s="1"/>
      <c r="H56" s="1">
        <f>SUM(OSRRefH22_10x_0)</f>
        <v>5803.23</v>
      </c>
      <c r="I56" s="1"/>
      <c r="J56" s="5">
        <f t="shared" si="38"/>
        <v>0</v>
      </c>
      <c r="K56" s="1"/>
      <c r="L56" s="1">
        <f t="shared" si="39"/>
        <v>163.77000000000044</v>
      </c>
      <c r="M56" s="1"/>
      <c r="N56" s="5">
        <f t="shared" si="40"/>
        <v>2.8220491002424589E-2</v>
      </c>
      <c r="O56" s="12"/>
      <c r="P56" s="1">
        <f>SUM(OSRRefP22_10x_0)</f>
        <v>73070.149999999994</v>
      </c>
      <c r="Q56" s="1"/>
      <c r="R56" s="5">
        <f t="shared" si="41"/>
        <v>1.1527140230756876</v>
      </c>
      <c r="S56" s="1"/>
      <c r="T56" s="1">
        <f>SUM(OSRRefT22_10x_0)</f>
        <v>75196.28</v>
      </c>
      <c r="U56" s="1"/>
      <c r="V56" s="5">
        <f t="shared" si="42"/>
        <v>0.11536977212146081</v>
      </c>
      <c r="W56" s="1"/>
      <c r="X56" s="1">
        <f t="shared" si="43"/>
        <v>-2126.1300000000047</v>
      </c>
      <c r="Y56" s="1"/>
      <c r="Z56" s="5">
        <f t="shared" si="44"/>
        <v>-2.827440399977239E-2</v>
      </c>
    </row>
    <row r="57" spans="1:26" s="23" customFormat="1" hidden="1" outlineLevel="2" x14ac:dyDescent="0.25">
      <c r="A57" s="27"/>
      <c r="B57" s="10" t="str">
        <f>CONCATENATE("          ", "6401", " - ", "INTEREST EXPENSE")</f>
        <v xml:space="preserve">          6401 - INTEREST EXPENSE</v>
      </c>
      <c r="C57" s="10"/>
      <c r="D57" s="6">
        <v>5967</v>
      </c>
      <c r="E57" s="2"/>
      <c r="F57" s="7">
        <f t="shared" si="37"/>
        <v>0.46720190920920973</v>
      </c>
      <c r="G57" s="2"/>
      <c r="H57" s="6">
        <v>5803.23</v>
      </c>
      <c r="I57" s="2"/>
      <c r="J57" s="7">
        <f t="shared" si="38"/>
        <v>0</v>
      </c>
      <c r="K57" s="2"/>
      <c r="L57" s="6">
        <f t="shared" si="39"/>
        <v>163.77000000000044</v>
      </c>
      <c r="M57" s="2"/>
      <c r="N57" s="7">
        <f t="shared" si="40"/>
        <v>2.8220491002424589E-2</v>
      </c>
      <c r="O57" s="10"/>
      <c r="P57" s="6">
        <v>73070.149999999994</v>
      </c>
      <c r="Q57" s="2"/>
      <c r="R57" s="7">
        <f t="shared" si="41"/>
        <v>1.1527140230756876</v>
      </c>
      <c r="S57" s="2"/>
      <c r="T57" s="6">
        <v>75196.28</v>
      </c>
      <c r="U57" s="2"/>
      <c r="V57" s="7">
        <f t="shared" si="42"/>
        <v>0.11536977212146081</v>
      </c>
      <c r="W57" s="2"/>
      <c r="X57" s="6">
        <f t="shared" si="43"/>
        <v>-2126.1300000000047</v>
      </c>
      <c r="Y57" s="2"/>
      <c r="Z57" s="7">
        <f t="shared" si="44"/>
        <v>-2.827440399977239E-2</v>
      </c>
    </row>
    <row r="58" spans="1:26" s="26" customFormat="1" outlineLevel="1" collapsed="1" x14ac:dyDescent="0.25">
      <c r="A58" s="25"/>
      <c r="B58" s="12" t="str">
        <f>CONCATENATE("     ","Repair and Maintenance                            ")</f>
        <v xml:space="preserve">     Repair and Maintenance                            </v>
      </c>
      <c r="C58" s="12"/>
      <c r="D58" s="1">
        <f>SUM(OSRRefD22_11x_0)</f>
        <v>1980.63</v>
      </c>
      <c r="E58" s="1"/>
      <c r="F58" s="5">
        <f t="shared" si="37"/>
        <v>0.1550786186420374</v>
      </c>
      <c r="G58" s="1"/>
      <c r="H58" s="1">
        <f>SUM(OSRRefH22_11x_0)</f>
        <v>502.77</v>
      </c>
      <c r="I58" s="1"/>
      <c r="J58" s="5">
        <f t="shared" si="38"/>
        <v>0</v>
      </c>
      <c r="K58" s="1"/>
      <c r="L58" s="1">
        <f t="shared" si="39"/>
        <v>1477.8600000000001</v>
      </c>
      <c r="M58" s="1"/>
      <c r="N58" s="5">
        <f t="shared" si="40"/>
        <v>2.9394355271794264</v>
      </c>
      <c r="O58" s="12"/>
      <c r="P58" s="1">
        <f>SUM(OSRRefP22_11x_0)</f>
        <v>24624.91</v>
      </c>
      <c r="Q58" s="1"/>
      <c r="R58" s="5">
        <f t="shared" si="41"/>
        <v>0.38846887646975858</v>
      </c>
      <c r="S58" s="1"/>
      <c r="T58" s="1">
        <f>SUM(OSRRefT22_11x_0)</f>
        <v>24513.96</v>
      </c>
      <c r="U58" s="1"/>
      <c r="V58" s="5">
        <f t="shared" si="42"/>
        <v>3.7610503857299929E-2</v>
      </c>
      <c r="W58" s="1"/>
      <c r="X58" s="1">
        <f t="shared" si="43"/>
        <v>110.95000000000073</v>
      </c>
      <c r="Y58" s="1"/>
      <c r="Z58" s="5">
        <f t="shared" si="44"/>
        <v>4.5259925364976011E-3</v>
      </c>
    </row>
    <row r="59" spans="1:26" s="23" customFormat="1" hidden="1" outlineLevel="2" x14ac:dyDescent="0.25">
      <c r="A59" s="27"/>
      <c r="B59" s="10" t="str">
        <f>CONCATENATE("          ", "6371", " - ", "COMPUTER SOFTWARE MAINTENANCE")</f>
        <v xml:space="preserve">          6371 - COMPUTER SOFTWARE MAINTENANCE</v>
      </c>
      <c r="C59" s="10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0"/>
      <c r="P59" s="6"/>
      <c r="Q59" s="2"/>
      <c r="R59" s="7">
        <f t="shared" si="41"/>
        <v>0</v>
      </c>
      <c r="S59" s="2"/>
      <c r="T59" s="6">
        <v>2623.84</v>
      </c>
      <c r="U59" s="2"/>
      <c r="V59" s="7">
        <f t="shared" si="42"/>
        <v>4.0256223164653058E-3</v>
      </c>
      <c r="W59" s="2"/>
      <c r="X59" s="6">
        <f t="shared" si="43"/>
        <v>-2623.84</v>
      </c>
      <c r="Y59" s="2"/>
      <c r="Z59" s="7">
        <f t="shared" si="44"/>
        <v>-1</v>
      </c>
    </row>
    <row r="60" spans="1:26" s="23" customFormat="1" hidden="1" outlineLevel="2" x14ac:dyDescent="0.25">
      <c r="A60" s="27"/>
      <c r="B60" s="10" t="str">
        <f>CONCATENATE("          ", "6372", " - ", "COMPUTER HARDWARE MAINTENANCE")</f>
        <v xml:space="preserve">          6372 - COMPUTER HARDWARE MAINTENANCE</v>
      </c>
      <c r="C60" s="10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0"/>
      <c r="P60" s="6"/>
      <c r="Q60" s="2"/>
      <c r="R60" s="7">
        <f t="shared" si="41"/>
        <v>0</v>
      </c>
      <c r="S60" s="2"/>
      <c r="T60" s="6">
        <v>-0.01</v>
      </c>
      <c r="U60" s="2"/>
      <c r="V60" s="7">
        <f t="shared" si="42"/>
        <v>-1.5342483979454943E-8</v>
      </c>
      <c r="W60" s="2"/>
      <c r="X60" s="6">
        <f t="shared" si="43"/>
        <v>0.01</v>
      </c>
      <c r="Y60" s="2"/>
      <c r="Z60" s="7">
        <f t="shared" si="44"/>
        <v>-1</v>
      </c>
    </row>
    <row r="61" spans="1:26" s="23" customFormat="1" hidden="1" outlineLevel="2" x14ac:dyDescent="0.25">
      <c r="A61" s="27"/>
      <c r="B61" s="10" t="str">
        <f>CONCATENATE("          ", "6373", " - ", "MAINTENANCE CONTRACTS")</f>
        <v xml:space="preserve">          6373 - MAINTENANCE CONTRACTS</v>
      </c>
      <c r="C61" s="10"/>
      <c r="D61" s="6"/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0"/>
      <c r="P61" s="6">
        <v>7467.86</v>
      </c>
      <c r="Q61" s="2"/>
      <c r="R61" s="7">
        <f t="shared" si="41"/>
        <v>0.11780880351779768</v>
      </c>
      <c r="S61" s="2"/>
      <c r="T61" s="6">
        <v>3877.26</v>
      </c>
      <c r="U61" s="2"/>
      <c r="V61" s="7">
        <f t="shared" si="42"/>
        <v>5.9486799434181475E-3</v>
      </c>
      <c r="W61" s="2"/>
      <c r="X61" s="6">
        <f t="shared" si="43"/>
        <v>3590.5999999999995</v>
      </c>
      <c r="Y61" s="2"/>
      <c r="Z61" s="7">
        <f t="shared" si="44"/>
        <v>0.92606634582153358</v>
      </c>
    </row>
    <row r="62" spans="1:26" s="23" customFormat="1" hidden="1" outlineLevel="2" x14ac:dyDescent="0.25">
      <c r="A62" s="27"/>
      <c r="B62" s="10" t="str">
        <f>CONCATENATE("          ", "6375", " - ", "OUTSIDE REPAIRS &amp; MAINTENANCE")</f>
        <v xml:space="preserve">          6375 - OUTSIDE REPAIRS &amp; MAINTENANCE</v>
      </c>
      <c r="C62" s="10"/>
      <c r="D62" s="6">
        <v>1980.63</v>
      </c>
      <c r="E62" s="2"/>
      <c r="F62" s="7">
        <f t="shared" si="37"/>
        <v>0.1550786186420374</v>
      </c>
      <c r="G62" s="2"/>
      <c r="H62" s="6">
        <v>502.77</v>
      </c>
      <c r="I62" s="2"/>
      <c r="J62" s="7">
        <f t="shared" si="38"/>
        <v>0</v>
      </c>
      <c r="K62" s="2"/>
      <c r="L62" s="6">
        <f t="shared" si="39"/>
        <v>1477.8600000000001</v>
      </c>
      <c r="M62" s="2"/>
      <c r="N62" s="7">
        <f t="shared" si="40"/>
        <v>2.9394355271794264</v>
      </c>
      <c r="O62" s="10"/>
      <c r="P62" s="6">
        <v>17157.05</v>
      </c>
      <c r="Q62" s="2"/>
      <c r="R62" s="7">
        <f t="shared" si="41"/>
        <v>0.27066007295196093</v>
      </c>
      <c r="S62" s="2"/>
      <c r="T62" s="6">
        <v>18012.87</v>
      </c>
      <c r="U62" s="2"/>
      <c r="V62" s="7">
        <f t="shared" si="42"/>
        <v>2.7636216939900454E-2</v>
      </c>
      <c r="W62" s="2"/>
      <c r="X62" s="6">
        <f t="shared" si="43"/>
        <v>-855.81999999999971</v>
      </c>
      <c r="Y62" s="2"/>
      <c r="Z62" s="7">
        <f t="shared" si="44"/>
        <v>-4.7511584772443244E-2</v>
      </c>
    </row>
    <row r="63" spans="1:26" s="26" customFormat="1" outlineLevel="1" collapsed="1" x14ac:dyDescent="0.25">
      <c r="A63" s="25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SUM(OSRRefD22_12x_0)</f>
        <v>5425.42</v>
      </c>
      <c r="E63" s="1"/>
      <c r="F63" s="5">
        <f t="shared" ref="F63:F68" si="45">IF(D$12=0,0,D63/D$12)</f>
        <v>0.42479748320124527</v>
      </c>
      <c r="G63" s="1"/>
      <c r="H63" s="1">
        <f>SUM(OSRRefH22_12x_0)</f>
        <v>884.1</v>
      </c>
      <c r="I63" s="1"/>
      <c r="J63" s="5">
        <f t="shared" ref="J63:J68" si="46">IF(H$12=0,0,H63/H$12)</f>
        <v>0</v>
      </c>
      <c r="K63" s="1"/>
      <c r="L63" s="1">
        <f t="shared" ref="L63:L68" si="47">+D63-H63</f>
        <v>4541.32</v>
      </c>
      <c r="M63" s="1"/>
      <c r="N63" s="5">
        <f t="shared" ref="N63:N68" si="48">IF(H63=0,0,L63/H63)</f>
        <v>5.1366587490102926</v>
      </c>
      <c r="O63" s="12"/>
      <c r="P63" s="1">
        <f>SUM(OSRRefP22_12x_0)</f>
        <v>26644.850000000002</v>
      </c>
      <c r="Q63" s="1"/>
      <c r="R63" s="5">
        <f t="shared" ref="R63:R68" si="49">IF(P$12=0,0,P63/P$12)</f>
        <v>0.42033432581906893</v>
      </c>
      <c r="S63" s="1"/>
      <c r="T63" s="1">
        <f>SUM(OSRRefT22_12x_0)</f>
        <v>43170.07</v>
      </c>
      <c r="U63" s="1"/>
      <c r="V63" s="5">
        <f t="shared" ref="V63:V68" si="50">IF(T$12=0,0,T63/T$12)</f>
        <v>6.6233610736694842E-2</v>
      </c>
      <c r="W63" s="1"/>
      <c r="X63" s="1">
        <f t="shared" ref="X63:X68" si="51">+P63-T63</f>
        <v>-16525.219999999998</v>
      </c>
      <c r="Y63" s="1"/>
      <c r="Z63" s="5">
        <f t="shared" ref="Z63:Z68" si="52">IF(T63=0,0,X63/T63)</f>
        <v>-0.38279344925778436</v>
      </c>
    </row>
    <row r="64" spans="1:26" s="23" customFormat="1" hidden="1" outlineLevel="2" x14ac:dyDescent="0.25">
      <c r="A64" s="27"/>
      <c r="B64" s="10" t="str">
        <f>CONCATENATE("          ", "6282", " - ", "JANITORIAL/EXTERMINATOR EXPENS")</f>
        <v xml:space="preserve">          6282 - JANITORIAL/EXTERMINATOR EXPENS</v>
      </c>
      <c r="C64" s="10"/>
      <c r="D64" s="6">
        <v>1039.9000000000001</v>
      </c>
      <c r="E64" s="2"/>
      <c r="F64" s="7">
        <f t="shared" si="45"/>
        <v>8.1421696897378451E-2</v>
      </c>
      <c r="G64" s="2"/>
      <c r="H64" s="6"/>
      <c r="I64" s="2"/>
      <c r="J64" s="7">
        <f t="shared" si="46"/>
        <v>0</v>
      </c>
      <c r="K64" s="2"/>
      <c r="L64" s="6">
        <f t="shared" si="47"/>
        <v>1039.9000000000001</v>
      </c>
      <c r="M64" s="2"/>
      <c r="N64" s="7">
        <f t="shared" si="48"/>
        <v>0</v>
      </c>
      <c r="O64" s="10"/>
      <c r="P64" s="6">
        <v>4148.63</v>
      </c>
      <c r="Q64" s="2"/>
      <c r="R64" s="7">
        <f t="shared" si="49"/>
        <v>6.5446478179564296E-2</v>
      </c>
      <c r="S64" s="2"/>
      <c r="T64" s="6">
        <v>3285.4</v>
      </c>
      <c r="U64" s="2"/>
      <c r="V64" s="7">
        <f t="shared" si="50"/>
        <v>5.0406196866101269E-3</v>
      </c>
      <c r="W64" s="2"/>
      <c r="X64" s="6">
        <f t="shared" si="51"/>
        <v>863.23</v>
      </c>
      <c r="Y64" s="2"/>
      <c r="Z64" s="7">
        <f t="shared" si="52"/>
        <v>0.26274730626407744</v>
      </c>
    </row>
    <row r="65" spans="1:26" s="23" customFormat="1" hidden="1" outlineLevel="2" x14ac:dyDescent="0.25">
      <c r="A65" s="27"/>
      <c r="B65" s="10" t="str">
        <f>CONCATENATE("          ", "6283", " - ", "PLANT SERVICE")</f>
        <v xml:space="preserve">          6283 - PLANT SERVICE</v>
      </c>
      <c r="C65" s="10"/>
      <c r="D65" s="6"/>
      <c r="E65" s="2"/>
      <c r="F65" s="7">
        <f t="shared" si="45"/>
        <v>0</v>
      </c>
      <c r="G65" s="2"/>
      <c r="H65" s="6">
        <v>123.1</v>
      </c>
      <c r="I65" s="2"/>
      <c r="J65" s="7">
        <f t="shared" si="46"/>
        <v>0</v>
      </c>
      <c r="K65" s="2"/>
      <c r="L65" s="6">
        <f t="shared" si="47"/>
        <v>-123.1</v>
      </c>
      <c r="M65" s="2"/>
      <c r="N65" s="7">
        <f t="shared" si="48"/>
        <v>-1</v>
      </c>
      <c r="O65" s="10"/>
      <c r="P65" s="6"/>
      <c r="Q65" s="2"/>
      <c r="R65" s="7">
        <f t="shared" si="49"/>
        <v>0</v>
      </c>
      <c r="S65" s="2"/>
      <c r="T65" s="6">
        <v>553.95000000000005</v>
      </c>
      <c r="U65" s="2"/>
      <c r="V65" s="7">
        <f t="shared" si="50"/>
        <v>8.4989690004190661E-4</v>
      </c>
      <c r="W65" s="2"/>
      <c r="X65" s="6">
        <f t="shared" si="51"/>
        <v>-553.95000000000005</v>
      </c>
      <c r="Y65" s="2"/>
      <c r="Z65" s="7">
        <f t="shared" si="52"/>
        <v>-1</v>
      </c>
    </row>
    <row r="66" spans="1:26" s="23" customFormat="1" hidden="1" outlineLevel="2" x14ac:dyDescent="0.25">
      <c r="A66" s="27"/>
      <c r="B66" s="10" t="str">
        <f>CONCATENATE("          ", "6284", " - ", "TRASH REMOVAL EXPENSE")</f>
        <v xml:space="preserve">          6284 - TRASH REMOVAL EXPENSE</v>
      </c>
      <c r="C66" s="10"/>
      <c r="D66" s="6">
        <v>1000</v>
      </c>
      <c r="E66" s="2"/>
      <c r="F66" s="7">
        <f t="shared" si="45"/>
        <v>7.8297621788035815E-2</v>
      </c>
      <c r="G66" s="2"/>
      <c r="H66" s="6">
        <v>761</v>
      </c>
      <c r="I66" s="2"/>
      <c r="J66" s="7">
        <f t="shared" si="46"/>
        <v>0</v>
      </c>
      <c r="K66" s="2"/>
      <c r="L66" s="6">
        <f t="shared" si="47"/>
        <v>239</v>
      </c>
      <c r="M66" s="2"/>
      <c r="N66" s="7">
        <f t="shared" si="48"/>
        <v>0.31406044678055189</v>
      </c>
      <c r="O66" s="10"/>
      <c r="P66" s="6">
        <v>4063</v>
      </c>
      <c r="Q66" s="2"/>
      <c r="R66" s="7">
        <f t="shared" si="49"/>
        <v>6.4095626952408322E-2</v>
      </c>
      <c r="S66" s="2"/>
      <c r="T66" s="6">
        <v>7602</v>
      </c>
      <c r="U66" s="2"/>
      <c r="V66" s="7">
        <f t="shared" si="50"/>
        <v>1.1663356321181647E-2</v>
      </c>
      <c r="W66" s="2"/>
      <c r="X66" s="6">
        <f t="shared" si="51"/>
        <v>-3539</v>
      </c>
      <c r="Y66" s="2"/>
      <c r="Z66" s="7">
        <f t="shared" si="52"/>
        <v>-0.4655353854248882</v>
      </c>
    </row>
    <row r="67" spans="1:26" s="23" customFormat="1" hidden="1" outlineLevel="2" x14ac:dyDescent="0.25">
      <c r="A67" s="27"/>
      <c r="B67" s="10" t="str">
        <f>CONCATENATE("          ", "6285", " - ", "JANITORIAL SERVICES")</f>
        <v xml:space="preserve">          6285 - JANITORIAL SERVICES</v>
      </c>
      <c r="C67" s="10"/>
      <c r="D67" s="6">
        <v>3385.52</v>
      </c>
      <c r="E67" s="2"/>
      <c r="F67" s="7">
        <f t="shared" si="45"/>
        <v>0.26507816451583099</v>
      </c>
      <c r="G67" s="2"/>
      <c r="H67" s="6"/>
      <c r="I67" s="2"/>
      <c r="J67" s="7">
        <f t="shared" si="46"/>
        <v>0</v>
      </c>
      <c r="K67" s="2"/>
      <c r="L67" s="6">
        <f t="shared" si="47"/>
        <v>3385.52</v>
      </c>
      <c r="M67" s="2"/>
      <c r="N67" s="7">
        <f t="shared" si="48"/>
        <v>0</v>
      </c>
      <c r="O67" s="10"/>
      <c r="P67" s="6">
        <v>17849.09</v>
      </c>
      <c r="Q67" s="2"/>
      <c r="R67" s="7">
        <f t="shared" si="49"/>
        <v>0.28157731087372923</v>
      </c>
      <c r="S67" s="2"/>
      <c r="T67" s="6">
        <v>29782.3</v>
      </c>
      <c r="U67" s="2"/>
      <c r="V67" s="7">
        <f t="shared" si="50"/>
        <v>4.569344606213209E-2</v>
      </c>
      <c r="W67" s="2"/>
      <c r="X67" s="6">
        <f t="shared" si="51"/>
        <v>-11933.21</v>
      </c>
      <c r="Y67" s="2"/>
      <c r="Z67" s="7">
        <f t="shared" si="52"/>
        <v>-0.40068127713440532</v>
      </c>
    </row>
    <row r="68" spans="1:26" s="23" customFormat="1" hidden="1" outlineLevel="2" x14ac:dyDescent="0.25">
      <c r="A68" s="27"/>
      <c r="B68" s="10" t="str">
        <f>CONCATENATE("          ", "6286", " - ", "LAUNDRY EXPENSE")</f>
        <v xml:space="preserve">          6286 - LAUNDRY EXPENSE</v>
      </c>
      <c r="C68" s="10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0"/>
      <c r="P68" s="6">
        <v>584.13</v>
      </c>
      <c r="Q68" s="2"/>
      <c r="R68" s="7">
        <f t="shared" si="49"/>
        <v>9.2149098133670372E-3</v>
      </c>
      <c r="S68" s="2"/>
      <c r="T68" s="6">
        <v>1946.42</v>
      </c>
      <c r="U68" s="2"/>
      <c r="V68" s="7">
        <f t="shared" si="50"/>
        <v>2.986291766729069E-3</v>
      </c>
      <c r="W68" s="2"/>
      <c r="X68" s="6">
        <f t="shared" si="51"/>
        <v>-1362.29</v>
      </c>
      <c r="Y68" s="2"/>
      <c r="Z68" s="7">
        <f t="shared" si="52"/>
        <v>-0.69989519219901153</v>
      </c>
    </row>
    <row r="69" spans="1:26" s="26" customFormat="1" outlineLevel="1" collapsed="1" x14ac:dyDescent="0.25">
      <c r="A69" s="25"/>
      <c r="B69" s="12" t="str">
        <f>CONCATENATE("     ","Subscriptions &amp; Dues                              ")</f>
        <v xml:space="preserve">     Subscriptions &amp; Dues                              </v>
      </c>
      <c r="C69" s="12"/>
      <c r="D69" s="1">
        <f>SUM(OSRRefD22_13x_0)</f>
        <v>0</v>
      </c>
      <c r="E69" s="1"/>
      <c r="F69" s="5">
        <f t="shared" ref="F69:F71" si="53">IF(D$12=0,0,D69/D$12)</f>
        <v>0</v>
      </c>
      <c r="G69" s="1"/>
      <c r="H69" s="1">
        <f>SUM(OSRRefH22_13x_0)</f>
        <v>0</v>
      </c>
      <c r="I69" s="1"/>
      <c r="J69" s="5">
        <f t="shared" ref="J69:J71" si="54">IF(H$12=0,0,H69/H$12)</f>
        <v>0</v>
      </c>
      <c r="K69" s="1"/>
      <c r="L69" s="1">
        <f t="shared" ref="L69:L71" si="55">+D69-H69</f>
        <v>0</v>
      </c>
      <c r="M69" s="1"/>
      <c r="N69" s="5">
        <f t="shared" ref="N69:N71" si="56">IF(H69=0,0,L69/H69)</f>
        <v>0</v>
      </c>
      <c r="O69" s="12"/>
      <c r="P69" s="1">
        <f>SUM(OSRRefP22_13x_0)</f>
        <v>797.01</v>
      </c>
      <c r="Q69" s="1"/>
      <c r="R69" s="5">
        <f t="shared" ref="R69:R71" si="57">IF(P$12=0,0,P69/P$12)</f>
        <v>1.2573186226270971E-2</v>
      </c>
      <c r="S69" s="1"/>
      <c r="T69" s="1">
        <f>SUM(OSRRefT22_13x_0)</f>
        <v>2638.42</v>
      </c>
      <c r="U69" s="1"/>
      <c r="V69" s="5">
        <f t="shared" ref="V69:V71" si="58">IF(T$12=0,0,T69/T$12)</f>
        <v>4.0479916581073506E-3</v>
      </c>
      <c r="W69" s="1"/>
      <c r="X69" s="1">
        <f t="shared" ref="X69:X71" si="59">+P69-T69</f>
        <v>-1841.41</v>
      </c>
      <c r="Y69" s="1"/>
      <c r="Z69" s="5">
        <f t="shared" ref="Z69:Z71" si="60">IF(T69=0,0,X69/T69)</f>
        <v>-0.69792148331198223</v>
      </c>
    </row>
    <row r="70" spans="1:26" s="23" customFormat="1" hidden="1" outlineLevel="2" x14ac:dyDescent="0.25">
      <c r="A70" s="27"/>
      <c r="B70" s="10" t="str">
        <f>CONCATENATE("          ", "6258", " - ", "MEMBERSHIP DUES")</f>
        <v xml:space="preserve">          6258 - MEMBERSHIP DUES</v>
      </c>
      <c r="C70" s="10"/>
      <c r="D70" s="6"/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0</v>
      </c>
      <c r="M70" s="2"/>
      <c r="N70" s="7">
        <f t="shared" si="56"/>
        <v>0</v>
      </c>
      <c r="O70" s="10"/>
      <c r="P70" s="6"/>
      <c r="Q70" s="2"/>
      <c r="R70" s="7">
        <f t="shared" si="57"/>
        <v>0</v>
      </c>
      <c r="S70" s="2"/>
      <c r="T70" s="6">
        <v>978</v>
      </c>
      <c r="U70" s="2"/>
      <c r="V70" s="7">
        <f t="shared" si="58"/>
        <v>1.5004949331906933E-3</v>
      </c>
      <c r="W70" s="2"/>
      <c r="X70" s="6">
        <f t="shared" si="59"/>
        <v>-978</v>
      </c>
      <c r="Y70" s="2"/>
      <c r="Z70" s="7">
        <f t="shared" si="60"/>
        <v>-1</v>
      </c>
    </row>
    <row r="71" spans="1:26" s="23" customFormat="1" hidden="1" outlineLevel="2" x14ac:dyDescent="0.25">
      <c r="A71" s="27"/>
      <c r="B71" s="10" t="str">
        <f>CONCATENATE("          ", "6275", " - ", "SUBSCRIPTIONS")</f>
        <v xml:space="preserve">          6275 - SUBSCRIPTIONS</v>
      </c>
      <c r="C71" s="10"/>
      <c r="D71" s="6"/>
      <c r="E71" s="2"/>
      <c r="F71" s="7">
        <f t="shared" si="53"/>
        <v>0</v>
      </c>
      <c r="G71" s="2"/>
      <c r="H71" s="6"/>
      <c r="I71" s="2"/>
      <c r="J71" s="7">
        <f t="shared" si="54"/>
        <v>0</v>
      </c>
      <c r="K71" s="2"/>
      <c r="L71" s="6">
        <f t="shared" si="55"/>
        <v>0</v>
      </c>
      <c r="M71" s="2"/>
      <c r="N71" s="7">
        <f t="shared" si="56"/>
        <v>0</v>
      </c>
      <c r="O71" s="10"/>
      <c r="P71" s="6">
        <v>797.01</v>
      </c>
      <c r="Q71" s="2"/>
      <c r="R71" s="7">
        <f t="shared" si="57"/>
        <v>1.2573186226270971E-2</v>
      </c>
      <c r="S71" s="2"/>
      <c r="T71" s="6">
        <v>1660.42</v>
      </c>
      <c r="U71" s="2"/>
      <c r="V71" s="7">
        <f t="shared" si="58"/>
        <v>2.5474967249166577E-3</v>
      </c>
      <c r="W71" s="2"/>
      <c r="X71" s="6">
        <f t="shared" si="59"/>
        <v>-863.41000000000008</v>
      </c>
      <c r="Y71" s="2"/>
      <c r="Z71" s="7">
        <f t="shared" si="60"/>
        <v>-0.51999494103901422</v>
      </c>
    </row>
    <row r="72" spans="1:26" s="26" customFormat="1" outlineLevel="1" collapsed="1" x14ac:dyDescent="0.25">
      <c r="A72" s="25"/>
      <c r="B72" s="12" t="str">
        <f>CONCATENATE("     ","Supplies                                          ")</f>
        <v xml:space="preserve">     Supplies                                          </v>
      </c>
      <c r="C72" s="12"/>
      <c r="D72" s="1">
        <f>SUM(OSRRefD22_14x_0)</f>
        <v>621.09</v>
      </c>
      <c r="E72" s="1"/>
      <c r="F72" s="5">
        <f t="shared" ref="F72:F81" si="61">IF(D$12=0,0,D72/D$12)</f>
        <v>4.862986991633117E-2</v>
      </c>
      <c r="G72" s="1"/>
      <c r="H72" s="1">
        <f>SUM(OSRRefH22_14x_0)</f>
        <v>0</v>
      </c>
      <c r="I72" s="1"/>
      <c r="J72" s="5">
        <f t="shared" ref="J72:J81" si="62">IF(H$12=0,0,H72/H$12)</f>
        <v>0</v>
      </c>
      <c r="K72" s="1"/>
      <c r="L72" s="1">
        <f t="shared" ref="L72:L81" si="63">+D72-H72</f>
        <v>621.09</v>
      </c>
      <c r="M72" s="1"/>
      <c r="N72" s="5">
        <f t="shared" ref="N72:N81" si="64">IF(H72=0,0,L72/H72)</f>
        <v>0</v>
      </c>
      <c r="O72" s="12"/>
      <c r="P72" s="1">
        <f>SUM(OSRRefP22_14x_0)</f>
        <v>8373.02</v>
      </c>
      <c r="Q72" s="1"/>
      <c r="R72" s="5">
        <f t="shared" ref="R72:R81" si="65">IF(P$12=0,0,P72/P$12)</f>
        <v>0.13208810395891066</v>
      </c>
      <c r="S72" s="1"/>
      <c r="T72" s="1">
        <f>SUM(OSRRefT22_14x_0)</f>
        <v>21774.560000000001</v>
      </c>
      <c r="U72" s="1"/>
      <c r="V72" s="5">
        <f t="shared" ref="V72:V81" si="66">IF(T$12=0,0,T72/T$12)</f>
        <v>3.3407583795968046E-2</v>
      </c>
      <c r="W72" s="1"/>
      <c r="X72" s="1">
        <f t="shared" ref="X72:X81" si="67">+P72-T72</f>
        <v>-13401.54</v>
      </c>
      <c r="Y72" s="1"/>
      <c r="Z72" s="5">
        <f t="shared" ref="Z72:Z81" si="68">IF(T72=0,0,X72/T72)</f>
        <v>-0.61546777523862706</v>
      </c>
    </row>
    <row r="73" spans="1:26" s="23" customFormat="1" hidden="1" outlineLevel="2" x14ac:dyDescent="0.25">
      <c r="A73" s="27"/>
      <c r="B73" s="10" t="str">
        <f>CONCATENATE("          ", "6234", " - ", "EXPENDABLE SUPPLIES &amp; EQUIPMEN")</f>
        <v xml:space="preserve">          6234 - EXPENDABLE SUPPLIES &amp; EQUIPMEN</v>
      </c>
      <c r="C73" s="10"/>
      <c r="D73" s="6">
        <v>26.25</v>
      </c>
      <c r="E73" s="2"/>
      <c r="F73" s="7">
        <f t="shared" si="61"/>
        <v>2.0553125719359401E-3</v>
      </c>
      <c r="G73" s="2"/>
      <c r="H73" s="6"/>
      <c r="I73" s="2"/>
      <c r="J73" s="7">
        <f t="shared" si="62"/>
        <v>0</v>
      </c>
      <c r="K73" s="2"/>
      <c r="L73" s="6">
        <f t="shared" si="63"/>
        <v>26.25</v>
      </c>
      <c r="M73" s="2"/>
      <c r="N73" s="7">
        <f t="shared" si="64"/>
        <v>0</v>
      </c>
      <c r="O73" s="10"/>
      <c r="P73" s="6">
        <v>337.16</v>
      </c>
      <c r="Q73" s="2"/>
      <c r="R73" s="7">
        <f t="shared" si="65"/>
        <v>5.3188485314481886E-3</v>
      </c>
      <c r="S73" s="2"/>
      <c r="T73" s="6">
        <v>1090.83</v>
      </c>
      <c r="U73" s="2"/>
      <c r="V73" s="7">
        <f t="shared" si="66"/>
        <v>1.6736041799308833E-3</v>
      </c>
      <c r="W73" s="2"/>
      <c r="X73" s="6">
        <f t="shared" si="67"/>
        <v>-753.66999999999985</v>
      </c>
      <c r="Y73" s="2"/>
      <c r="Z73" s="7">
        <f t="shared" si="68"/>
        <v>-0.69091425795036798</v>
      </c>
    </row>
    <row r="74" spans="1:26" s="23" customFormat="1" hidden="1" outlineLevel="2" x14ac:dyDescent="0.25">
      <c r="A74" s="27"/>
      <c r="B74" s="10" t="str">
        <f>CONCATENATE("          ", "6235", " - ", "COVID-19 EXPENSES")</f>
        <v xml:space="preserve">          6235 - COVID-19 EXPENSES</v>
      </c>
      <c r="C74" s="10"/>
      <c r="D74" s="6">
        <v>65.45</v>
      </c>
      <c r="E74" s="2"/>
      <c r="F74" s="7">
        <f t="shared" si="61"/>
        <v>5.1245793460269447E-3</v>
      </c>
      <c r="G74" s="2"/>
      <c r="H74" s="6"/>
      <c r="I74" s="2"/>
      <c r="J74" s="7">
        <f t="shared" si="62"/>
        <v>0</v>
      </c>
      <c r="K74" s="2"/>
      <c r="L74" s="6">
        <f t="shared" si="63"/>
        <v>65.45</v>
      </c>
      <c r="M74" s="2"/>
      <c r="N74" s="7">
        <f t="shared" si="64"/>
        <v>0</v>
      </c>
      <c r="O74" s="10"/>
      <c r="P74" s="6">
        <v>6819.42</v>
      </c>
      <c r="Q74" s="2"/>
      <c r="R74" s="7">
        <f t="shared" si="65"/>
        <v>0.10757937493275717</v>
      </c>
      <c r="S74" s="2"/>
      <c r="T74" s="6"/>
      <c r="U74" s="2"/>
      <c r="V74" s="7">
        <f t="shared" si="66"/>
        <v>0</v>
      </c>
      <c r="W74" s="2"/>
      <c r="X74" s="6">
        <f t="shared" si="67"/>
        <v>6819.42</v>
      </c>
      <c r="Y74" s="2"/>
      <c r="Z74" s="7">
        <f t="shared" si="68"/>
        <v>0</v>
      </c>
    </row>
    <row r="75" spans="1:26" s="23" customFormat="1" hidden="1" outlineLevel="2" x14ac:dyDescent="0.25">
      <c r="A75" s="27"/>
      <c r="B75" s="10" t="str">
        <f>CONCATENATE("          ", "6237", " - ", "JANITORIAL SUPPLIES")</f>
        <v xml:space="preserve">          6237 - JANITORIAL SUPPLIES</v>
      </c>
      <c r="C75" s="10"/>
      <c r="D75" s="6"/>
      <c r="E75" s="2"/>
      <c r="F75" s="7">
        <f t="shared" si="61"/>
        <v>0</v>
      </c>
      <c r="G75" s="2"/>
      <c r="H75" s="6"/>
      <c r="I75" s="2"/>
      <c r="J75" s="7">
        <f t="shared" si="62"/>
        <v>0</v>
      </c>
      <c r="K75" s="2"/>
      <c r="L75" s="6">
        <f t="shared" si="63"/>
        <v>0</v>
      </c>
      <c r="M75" s="2"/>
      <c r="N75" s="7">
        <f t="shared" si="64"/>
        <v>0</v>
      </c>
      <c r="O75" s="10"/>
      <c r="P75" s="6">
        <v>286.91000000000003</v>
      </c>
      <c r="Q75" s="2"/>
      <c r="R75" s="7">
        <f t="shared" si="65"/>
        <v>4.5261324954259099E-3</v>
      </c>
      <c r="S75" s="2"/>
      <c r="T75" s="6">
        <v>8948.91</v>
      </c>
      <c r="U75" s="2"/>
      <c r="V75" s="7">
        <f t="shared" si="66"/>
        <v>1.3729850830858413E-2</v>
      </c>
      <c r="W75" s="2"/>
      <c r="X75" s="6">
        <f t="shared" si="67"/>
        <v>-8662</v>
      </c>
      <c r="Y75" s="2"/>
      <c r="Z75" s="7">
        <f t="shared" si="68"/>
        <v>-0.96793911213767936</v>
      </c>
    </row>
    <row r="76" spans="1:26" s="23" customFormat="1" hidden="1" outlineLevel="2" x14ac:dyDescent="0.25">
      <c r="A76" s="27"/>
      <c r="B76" s="10" t="str">
        <f>CONCATENATE("          ", "6239", " - ", "KITCHEN SUPPLIES")</f>
        <v xml:space="preserve">          6239 - KITCHEN SUPPLIES</v>
      </c>
      <c r="C76" s="10"/>
      <c r="D76" s="6"/>
      <c r="E76" s="2"/>
      <c r="F76" s="7">
        <f t="shared" si="61"/>
        <v>0</v>
      </c>
      <c r="G76" s="2"/>
      <c r="H76" s="6"/>
      <c r="I76" s="2"/>
      <c r="J76" s="7">
        <f t="shared" si="62"/>
        <v>0</v>
      </c>
      <c r="K76" s="2"/>
      <c r="L76" s="6">
        <f t="shared" si="63"/>
        <v>0</v>
      </c>
      <c r="M76" s="2"/>
      <c r="N76" s="7">
        <f t="shared" si="64"/>
        <v>0</v>
      </c>
      <c r="O76" s="10"/>
      <c r="P76" s="6">
        <v>19.829999999999998</v>
      </c>
      <c r="Q76" s="2"/>
      <c r="R76" s="7">
        <f t="shared" si="65"/>
        <v>3.128270446631201E-4</v>
      </c>
      <c r="S76" s="2"/>
      <c r="T76" s="6">
        <v>425.78</v>
      </c>
      <c r="U76" s="2"/>
      <c r="V76" s="7">
        <f t="shared" si="66"/>
        <v>6.5325228287723249E-4</v>
      </c>
      <c r="W76" s="2"/>
      <c r="X76" s="6">
        <f t="shared" si="67"/>
        <v>-405.95</v>
      </c>
      <c r="Y76" s="2"/>
      <c r="Z76" s="7">
        <f t="shared" si="68"/>
        <v>-0.9534266522617314</v>
      </c>
    </row>
    <row r="77" spans="1:26" s="23" customFormat="1" hidden="1" outlineLevel="2" x14ac:dyDescent="0.25">
      <c r="A77" s="27"/>
      <c r="B77" s="10" t="str">
        <f>CONCATENATE("          ", "6241", " - ", "OFFICE EXPENSE")</f>
        <v xml:space="preserve">          6241 - OFFICE EXPENSE</v>
      </c>
      <c r="C77" s="10"/>
      <c r="D77" s="6">
        <v>434.47</v>
      </c>
      <c r="E77" s="2"/>
      <c r="F77" s="7">
        <f t="shared" si="61"/>
        <v>3.4017967738247924E-2</v>
      </c>
      <c r="G77" s="2"/>
      <c r="H77" s="6"/>
      <c r="I77" s="2"/>
      <c r="J77" s="7">
        <f t="shared" si="62"/>
        <v>0</v>
      </c>
      <c r="K77" s="2"/>
      <c r="L77" s="6">
        <f t="shared" si="63"/>
        <v>434.47</v>
      </c>
      <c r="M77" s="2"/>
      <c r="N77" s="7">
        <f t="shared" si="64"/>
        <v>0</v>
      </c>
      <c r="O77" s="10"/>
      <c r="P77" s="6">
        <v>654.37</v>
      </c>
      <c r="Q77" s="2"/>
      <c r="R77" s="7">
        <f t="shared" si="65"/>
        <v>1.0322976965012906E-2</v>
      </c>
      <c r="S77" s="2"/>
      <c r="T77" s="6">
        <v>5703.34</v>
      </c>
      <c r="U77" s="2"/>
      <c r="V77" s="7">
        <f t="shared" si="66"/>
        <v>8.7503402579384559E-3</v>
      </c>
      <c r="W77" s="2"/>
      <c r="X77" s="6">
        <f t="shared" si="67"/>
        <v>-5048.97</v>
      </c>
      <c r="Y77" s="2"/>
      <c r="Z77" s="7">
        <f t="shared" si="68"/>
        <v>-0.88526547601931505</v>
      </c>
    </row>
    <row r="78" spans="1:26" s="23" customFormat="1" hidden="1" outlineLevel="2" x14ac:dyDescent="0.25">
      <c r="A78" s="27"/>
      <c r="B78" s="10" t="str">
        <f>CONCATENATE("          ", "6243", " - ", "PAPER SUPPLIES")</f>
        <v xml:space="preserve">          6243 - PAPER SUPPLIES</v>
      </c>
      <c r="C78" s="10"/>
      <c r="D78" s="6">
        <v>94.92</v>
      </c>
      <c r="E78" s="2"/>
      <c r="F78" s="7">
        <f t="shared" si="61"/>
        <v>7.4320102601203603E-3</v>
      </c>
      <c r="G78" s="2"/>
      <c r="H78" s="6"/>
      <c r="I78" s="2"/>
      <c r="J78" s="7">
        <f t="shared" si="62"/>
        <v>0</v>
      </c>
      <c r="K78" s="2"/>
      <c r="L78" s="6">
        <f t="shared" si="63"/>
        <v>94.92</v>
      </c>
      <c r="M78" s="2"/>
      <c r="N78" s="7">
        <f t="shared" si="64"/>
        <v>0</v>
      </c>
      <c r="O78" s="10"/>
      <c r="P78" s="6">
        <v>255.33</v>
      </c>
      <c r="Q78" s="2"/>
      <c r="R78" s="7">
        <f t="shared" si="65"/>
        <v>4.0279439896033515E-3</v>
      </c>
      <c r="S78" s="2"/>
      <c r="T78" s="6">
        <v>5123.8</v>
      </c>
      <c r="U78" s="2"/>
      <c r="V78" s="7">
        <f t="shared" si="66"/>
        <v>7.8611819413931232E-3</v>
      </c>
      <c r="W78" s="2"/>
      <c r="X78" s="6">
        <f t="shared" si="67"/>
        <v>-4868.47</v>
      </c>
      <c r="Y78" s="2"/>
      <c r="Z78" s="7">
        <f t="shared" si="68"/>
        <v>-0.95016784417814903</v>
      </c>
    </row>
    <row r="79" spans="1:26" s="23" customFormat="1" hidden="1" outlineLevel="2" x14ac:dyDescent="0.25">
      <c r="A79" s="27"/>
      <c r="B79" s="10" t="str">
        <f>CONCATENATE("          ", "6246", " - ", "REPLACEMENTS")</f>
        <v xml:space="preserve">          6246 - REPLACEMENTS</v>
      </c>
      <c r="C79" s="10"/>
      <c r="D79" s="6"/>
      <c r="E79" s="2"/>
      <c r="F79" s="7">
        <f t="shared" si="61"/>
        <v>0</v>
      </c>
      <c r="G79" s="2"/>
      <c r="H79" s="6"/>
      <c r="I79" s="2"/>
      <c r="J79" s="7">
        <f t="shared" si="62"/>
        <v>0</v>
      </c>
      <c r="K79" s="2"/>
      <c r="L79" s="6">
        <f t="shared" si="63"/>
        <v>0</v>
      </c>
      <c r="M79" s="2"/>
      <c r="N79" s="7">
        <f t="shared" si="64"/>
        <v>0</v>
      </c>
      <c r="O79" s="10"/>
      <c r="P79" s="6"/>
      <c r="Q79" s="2"/>
      <c r="R79" s="7">
        <f t="shared" si="65"/>
        <v>0</v>
      </c>
      <c r="S79" s="2"/>
      <c r="T79" s="6">
        <v>25.87</v>
      </c>
      <c r="U79" s="2"/>
      <c r="V79" s="7">
        <f t="shared" si="66"/>
        <v>3.9691006054849937E-5</v>
      </c>
      <c r="W79" s="2"/>
      <c r="X79" s="6">
        <f t="shared" si="67"/>
        <v>-25.87</v>
      </c>
      <c r="Y79" s="2"/>
      <c r="Z79" s="7">
        <f t="shared" si="68"/>
        <v>-1</v>
      </c>
    </row>
    <row r="80" spans="1:26" s="23" customFormat="1" hidden="1" outlineLevel="2" x14ac:dyDescent="0.25">
      <c r="A80" s="27"/>
      <c r="B80" s="10" t="str">
        <f>CONCATENATE("          ", "6247", " - ", "STORE SUPPLIES")</f>
        <v xml:space="preserve">          6247 - STORE SUPPLIES</v>
      </c>
      <c r="C80" s="10"/>
      <c r="D80" s="6"/>
      <c r="E80" s="2"/>
      <c r="F80" s="7">
        <f t="shared" si="61"/>
        <v>0</v>
      </c>
      <c r="G80" s="2"/>
      <c r="H80" s="6"/>
      <c r="I80" s="2"/>
      <c r="J80" s="7">
        <f t="shared" si="62"/>
        <v>0</v>
      </c>
      <c r="K80" s="2"/>
      <c r="L80" s="6">
        <f t="shared" si="63"/>
        <v>0</v>
      </c>
      <c r="M80" s="2"/>
      <c r="N80" s="7">
        <f t="shared" si="64"/>
        <v>0</v>
      </c>
      <c r="O80" s="10"/>
      <c r="P80" s="6"/>
      <c r="Q80" s="2"/>
      <c r="R80" s="7">
        <f t="shared" si="65"/>
        <v>0</v>
      </c>
      <c r="S80" s="2"/>
      <c r="T80" s="6">
        <v>440.56</v>
      </c>
      <c r="U80" s="2"/>
      <c r="V80" s="7">
        <f t="shared" si="66"/>
        <v>6.7592847419886692E-4</v>
      </c>
      <c r="W80" s="2"/>
      <c r="X80" s="6">
        <f t="shared" si="67"/>
        <v>-440.56</v>
      </c>
      <c r="Y80" s="2"/>
      <c r="Z80" s="7">
        <f t="shared" si="68"/>
        <v>-1</v>
      </c>
    </row>
    <row r="81" spans="1:26" s="23" customFormat="1" hidden="1" outlineLevel="2" x14ac:dyDescent="0.25">
      <c r="A81" s="27"/>
      <c r="B81" s="10" t="str">
        <f>CONCATENATE("          ", "6248", " - ", "UNIFORMS")</f>
        <v xml:space="preserve">          6248 - UNIFORMS</v>
      </c>
      <c r="C81" s="10"/>
      <c r="D81" s="6"/>
      <c r="E81" s="2"/>
      <c r="F81" s="7">
        <f t="shared" si="61"/>
        <v>0</v>
      </c>
      <c r="G81" s="2"/>
      <c r="H81" s="6"/>
      <c r="I81" s="2"/>
      <c r="J81" s="7">
        <f t="shared" si="62"/>
        <v>0</v>
      </c>
      <c r="K81" s="2"/>
      <c r="L81" s="6">
        <f t="shared" si="63"/>
        <v>0</v>
      </c>
      <c r="M81" s="2"/>
      <c r="N81" s="7">
        <f t="shared" si="64"/>
        <v>0</v>
      </c>
      <c r="O81" s="10"/>
      <c r="P81" s="6"/>
      <c r="Q81" s="2"/>
      <c r="R81" s="7">
        <f t="shared" si="65"/>
        <v>0</v>
      </c>
      <c r="S81" s="2"/>
      <c r="T81" s="6">
        <v>15.47</v>
      </c>
      <c r="U81" s="2"/>
      <c r="V81" s="7">
        <f t="shared" si="66"/>
        <v>2.3734822716216798E-5</v>
      </c>
      <c r="W81" s="2"/>
      <c r="X81" s="6">
        <f t="shared" si="67"/>
        <v>-15.47</v>
      </c>
      <c r="Y81" s="2"/>
      <c r="Z81" s="7">
        <f t="shared" si="68"/>
        <v>-1</v>
      </c>
    </row>
    <row r="82" spans="1:26" s="26" customFormat="1" outlineLevel="1" collapsed="1" x14ac:dyDescent="0.25">
      <c r="A82" s="25"/>
      <c r="B82" s="12" t="str">
        <f>CONCATENATE("     ","Telephone/Data Lines                              ")</f>
        <v xml:space="preserve">     Telephone/Data Lines                              </v>
      </c>
      <c r="C82" s="12"/>
      <c r="D82" s="1">
        <f>SUM(OSRRefD22_15x_0)</f>
        <v>232</v>
      </c>
      <c r="E82" s="1"/>
      <c r="F82" s="5">
        <f t="shared" ref="F82:F87" si="69">IF(D$12=0,0,D82/D$12)</f>
        <v>1.8165048254824311E-2</v>
      </c>
      <c r="G82" s="1"/>
      <c r="H82" s="1">
        <f>SUM(OSRRefH22_15x_0)</f>
        <v>133.25</v>
      </c>
      <c r="I82" s="1"/>
      <c r="J82" s="5">
        <f t="shared" ref="J82:J87" si="70">IF(H$12=0,0,H82/H$12)</f>
        <v>0</v>
      </c>
      <c r="K82" s="1"/>
      <c r="L82" s="1">
        <f t="shared" ref="L82:L87" si="71">+D82-H82</f>
        <v>98.75</v>
      </c>
      <c r="M82" s="1"/>
      <c r="N82" s="5">
        <f t="shared" ref="N82:N87" si="72">IF(H82=0,0,L82/H82)</f>
        <v>0.74108818011257038</v>
      </c>
      <c r="O82" s="12"/>
      <c r="P82" s="1">
        <f>SUM(OSRRefP22_15x_0)</f>
        <v>1923</v>
      </c>
      <c r="Q82" s="1"/>
      <c r="R82" s="5">
        <f t="shared" ref="R82:R87" si="73">IF(P$12=0,0,P82/P$12)</f>
        <v>3.0336177856136157E-2</v>
      </c>
      <c r="S82" s="1"/>
      <c r="T82" s="1">
        <f>SUM(OSRRefT22_15x_0)</f>
        <v>1456.04</v>
      </c>
      <c r="U82" s="1"/>
      <c r="V82" s="5">
        <f t="shared" ref="V82:V87" si="74">IF(T$12=0,0,T82/T$12)</f>
        <v>2.2339270373445573E-3</v>
      </c>
      <c r="W82" s="1"/>
      <c r="X82" s="1">
        <f t="shared" ref="X82:X87" si="75">+P82-T82</f>
        <v>466.96000000000004</v>
      </c>
      <c r="Y82" s="1"/>
      <c r="Z82" s="5">
        <f t="shared" ref="Z82:Z87" si="76">IF(T82=0,0,X82/T82)</f>
        <v>0.3207054751243098</v>
      </c>
    </row>
    <row r="83" spans="1:26" s="23" customFormat="1" hidden="1" outlineLevel="2" x14ac:dyDescent="0.25">
      <c r="A83" s="27"/>
      <c r="B83" s="10" t="str">
        <f>CONCATENATE("          ", "6309", " - ", "TELEPHONE")</f>
        <v xml:space="preserve">          6309 - TELEPHONE</v>
      </c>
      <c r="C83" s="10"/>
      <c r="D83" s="6">
        <v>232</v>
      </c>
      <c r="E83" s="2"/>
      <c r="F83" s="7">
        <f t="shared" si="69"/>
        <v>1.8165048254824311E-2</v>
      </c>
      <c r="G83" s="2"/>
      <c r="H83" s="6">
        <v>133.25</v>
      </c>
      <c r="I83" s="2"/>
      <c r="J83" s="7">
        <f t="shared" si="70"/>
        <v>0</v>
      </c>
      <c r="K83" s="2"/>
      <c r="L83" s="6">
        <f t="shared" si="71"/>
        <v>98.75</v>
      </c>
      <c r="M83" s="2"/>
      <c r="N83" s="7">
        <f t="shared" si="72"/>
        <v>0.74108818011257038</v>
      </c>
      <c r="O83" s="10"/>
      <c r="P83" s="6">
        <v>1923</v>
      </c>
      <c r="Q83" s="2"/>
      <c r="R83" s="7">
        <f t="shared" si="73"/>
        <v>3.0336177856136157E-2</v>
      </c>
      <c r="S83" s="2"/>
      <c r="T83" s="6">
        <v>1456.04</v>
      </c>
      <c r="U83" s="2"/>
      <c r="V83" s="7">
        <f t="shared" si="74"/>
        <v>2.2339270373445573E-3</v>
      </c>
      <c r="W83" s="2"/>
      <c r="X83" s="6">
        <f t="shared" si="75"/>
        <v>466.96000000000004</v>
      </c>
      <c r="Y83" s="2"/>
      <c r="Z83" s="7">
        <f t="shared" si="76"/>
        <v>0.3207054751243098</v>
      </c>
    </row>
    <row r="84" spans="1:26" s="26" customFormat="1" outlineLevel="1" collapsed="1" x14ac:dyDescent="0.25">
      <c r="A84" s="25"/>
      <c r="B84" s="12" t="str">
        <f>CONCATENATE("     ","Training                                          ")</f>
        <v xml:space="preserve">     Training                                          </v>
      </c>
      <c r="C84" s="12"/>
      <c r="D84" s="1">
        <f>SUM(OSRRefD22_16x_0)</f>
        <v>0</v>
      </c>
      <c r="E84" s="1"/>
      <c r="F84" s="5">
        <f t="shared" si="69"/>
        <v>0</v>
      </c>
      <c r="G84" s="1"/>
      <c r="H84" s="1">
        <f>SUM(OSRRefH22_16x_0)</f>
        <v>0</v>
      </c>
      <c r="I84" s="1"/>
      <c r="J84" s="5">
        <f t="shared" si="70"/>
        <v>0</v>
      </c>
      <c r="K84" s="1"/>
      <c r="L84" s="1">
        <f t="shared" si="71"/>
        <v>0</v>
      </c>
      <c r="M84" s="1"/>
      <c r="N84" s="5">
        <f t="shared" si="72"/>
        <v>0</v>
      </c>
      <c r="O84" s="12"/>
      <c r="P84" s="1">
        <f>SUM(OSRRefP22_16x_0)</f>
        <v>400</v>
      </c>
      <c r="Q84" s="1"/>
      <c r="R84" s="5">
        <f t="shared" si="73"/>
        <v>6.3101774011723672E-3</v>
      </c>
      <c r="S84" s="1"/>
      <c r="T84" s="1">
        <f>SUM(OSRRefT22_16x_0)</f>
        <v>185</v>
      </c>
      <c r="U84" s="1"/>
      <c r="V84" s="5">
        <f t="shared" si="74"/>
        <v>2.8383595361991645E-4</v>
      </c>
      <c r="W84" s="1"/>
      <c r="X84" s="1">
        <f t="shared" si="75"/>
        <v>215</v>
      </c>
      <c r="Y84" s="1"/>
      <c r="Z84" s="5">
        <f t="shared" si="76"/>
        <v>1.1621621621621621</v>
      </c>
    </row>
    <row r="85" spans="1:26" s="23" customFormat="1" hidden="1" outlineLevel="2" x14ac:dyDescent="0.25">
      <c r="A85" s="27"/>
      <c r="B85" s="10" t="str">
        <f>CONCATENATE("          ", "6376", " - ", "TRAINING")</f>
        <v xml:space="preserve">          6376 - TRAINING</v>
      </c>
      <c r="C85" s="10"/>
      <c r="D85" s="6"/>
      <c r="E85" s="2"/>
      <c r="F85" s="7">
        <f t="shared" si="69"/>
        <v>0</v>
      </c>
      <c r="G85" s="2"/>
      <c r="H85" s="6"/>
      <c r="I85" s="2"/>
      <c r="J85" s="7">
        <f t="shared" si="70"/>
        <v>0</v>
      </c>
      <c r="K85" s="2"/>
      <c r="L85" s="6">
        <f t="shared" si="71"/>
        <v>0</v>
      </c>
      <c r="M85" s="2"/>
      <c r="N85" s="7">
        <f t="shared" si="72"/>
        <v>0</v>
      </c>
      <c r="O85" s="10"/>
      <c r="P85" s="6">
        <v>400</v>
      </c>
      <c r="Q85" s="2"/>
      <c r="R85" s="7">
        <f t="shared" si="73"/>
        <v>6.3101774011723672E-3</v>
      </c>
      <c r="S85" s="2"/>
      <c r="T85" s="6">
        <v>185</v>
      </c>
      <c r="U85" s="2"/>
      <c r="V85" s="7">
        <f t="shared" si="74"/>
        <v>2.8383595361991645E-4</v>
      </c>
      <c r="W85" s="2"/>
      <c r="X85" s="6">
        <f t="shared" si="75"/>
        <v>215</v>
      </c>
      <c r="Y85" s="2"/>
      <c r="Z85" s="7">
        <f t="shared" si="76"/>
        <v>1.1621621621621621</v>
      </c>
    </row>
    <row r="86" spans="1:26" s="26" customFormat="1" outlineLevel="1" collapsed="1" x14ac:dyDescent="0.25">
      <c r="A86" s="25"/>
      <c r="B86" s="12" t="str">
        <f>CONCATENATE("     ","Utilities                                         ")</f>
        <v xml:space="preserve">     Utilities                                         </v>
      </c>
      <c r="C86" s="12"/>
      <c r="D86" s="1">
        <f>SUM(OSRRefD22_17x_0)</f>
        <v>2300</v>
      </c>
      <c r="E86" s="1"/>
      <c r="F86" s="5">
        <f t="shared" si="69"/>
        <v>0.18008453011248238</v>
      </c>
      <c r="G86" s="1"/>
      <c r="H86" s="1">
        <f>SUM(OSRRefH22_17x_0)</f>
        <v>2312</v>
      </c>
      <c r="I86" s="1"/>
      <c r="J86" s="5">
        <f t="shared" si="70"/>
        <v>0</v>
      </c>
      <c r="K86" s="1"/>
      <c r="L86" s="1">
        <f t="shared" si="71"/>
        <v>-12</v>
      </c>
      <c r="M86" s="1"/>
      <c r="N86" s="5">
        <f t="shared" si="72"/>
        <v>-5.1903114186851208E-3</v>
      </c>
      <c r="O86" s="12"/>
      <c r="P86" s="1">
        <f>SUM(OSRRefP22_17x_0)</f>
        <v>10625</v>
      </c>
      <c r="Q86" s="1"/>
      <c r="R86" s="5">
        <f t="shared" si="73"/>
        <v>0.16761408721864102</v>
      </c>
      <c r="S86" s="1"/>
      <c r="T86" s="1">
        <f>SUM(OSRRefT22_17x_0)</f>
        <v>22460</v>
      </c>
      <c r="U86" s="1"/>
      <c r="V86" s="5">
        <f t="shared" si="74"/>
        <v>3.4459219017855799E-2</v>
      </c>
      <c r="W86" s="1"/>
      <c r="X86" s="1">
        <f t="shared" si="75"/>
        <v>-11835</v>
      </c>
      <c r="Y86" s="1"/>
      <c r="Z86" s="5">
        <f t="shared" si="76"/>
        <v>-0.52693677649154047</v>
      </c>
    </row>
    <row r="87" spans="1:26" s="23" customFormat="1" hidden="1" outlineLevel="2" x14ac:dyDescent="0.25">
      <c r="A87" s="27"/>
      <c r="B87" s="10" t="str">
        <f>CONCATENATE("          ", "6274", " - ", "UTILITIES")</f>
        <v xml:space="preserve">          6274 - UTILITIES</v>
      </c>
      <c r="C87" s="10"/>
      <c r="D87" s="6">
        <v>2300</v>
      </c>
      <c r="E87" s="2"/>
      <c r="F87" s="7">
        <f t="shared" si="69"/>
        <v>0.18008453011248238</v>
      </c>
      <c r="G87" s="2"/>
      <c r="H87" s="6">
        <v>2312</v>
      </c>
      <c r="I87" s="2"/>
      <c r="J87" s="7">
        <f t="shared" si="70"/>
        <v>0</v>
      </c>
      <c r="K87" s="2"/>
      <c r="L87" s="6">
        <f t="shared" si="71"/>
        <v>-12</v>
      </c>
      <c r="M87" s="2"/>
      <c r="N87" s="7">
        <f t="shared" si="72"/>
        <v>-5.1903114186851208E-3</v>
      </c>
      <c r="O87" s="10"/>
      <c r="P87" s="6">
        <v>10625</v>
      </c>
      <c r="Q87" s="2"/>
      <c r="R87" s="7">
        <f t="shared" si="73"/>
        <v>0.16761408721864102</v>
      </c>
      <c r="S87" s="2"/>
      <c r="T87" s="6">
        <v>22460</v>
      </c>
      <c r="U87" s="2"/>
      <c r="V87" s="7">
        <f t="shared" si="74"/>
        <v>3.4459219017855799E-2</v>
      </c>
      <c r="W87" s="2"/>
      <c r="X87" s="6">
        <f t="shared" si="75"/>
        <v>-11835</v>
      </c>
      <c r="Y87" s="2"/>
      <c r="Z87" s="7">
        <f t="shared" si="76"/>
        <v>-0.52693677649154047</v>
      </c>
    </row>
    <row r="88" spans="1:26" s="62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4" customFormat="1" collapsed="1" x14ac:dyDescent="0.25">
      <c r="A89" s="11"/>
      <c r="B89" s="28" t="s">
        <v>292</v>
      </c>
      <c r="C89" s="11"/>
      <c r="D89" s="4">
        <f>SUM(OSRRefD25x_0)</f>
        <v>0</v>
      </c>
      <c r="E89" s="4"/>
      <c r="F89" s="13">
        <f t="shared" ref="F89:F90" si="77">IF(D$12=0,0,D89/D$12)</f>
        <v>0</v>
      </c>
      <c r="G89" s="4"/>
      <c r="H89" s="4">
        <f>SUM(OSRRefH25x_0)</f>
        <v>0</v>
      </c>
      <c r="I89" s="4"/>
      <c r="J89" s="13">
        <f t="shared" ref="J89:J90" si="78">IF(H$12=0,0,H89/H$12)</f>
        <v>0</v>
      </c>
      <c r="K89" s="4"/>
      <c r="L89" s="4">
        <f t="shared" ref="L89:L90" si="79">+D89-H89</f>
        <v>0</v>
      </c>
      <c r="M89" s="4"/>
      <c r="N89" s="13">
        <f t="shared" ref="N89:N90" si="80">IF(H89=0,0,L89/H89)</f>
        <v>0</v>
      </c>
      <c r="O89" s="11"/>
      <c r="P89" s="4">
        <f>SUM(OSRRefP25x_0)</f>
        <v>0</v>
      </c>
      <c r="Q89" s="4"/>
      <c r="R89" s="13">
        <f t="shared" ref="R89:R90" si="81">IF(P$12=0,0,P89/P$12)</f>
        <v>0</v>
      </c>
      <c r="S89" s="4"/>
      <c r="T89" s="4">
        <f>SUM(OSRRefT25x_0)</f>
        <v>68.760000000000005</v>
      </c>
      <c r="U89" s="4"/>
      <c r="V89" s="13">
        <f t="shared" ref="V89:V90" si="82">IF(T$12=0,0,T89/T$12)</f>
        <v>1.0549491984273219E-4</v>
      </c>
      <c r="W89" s="4"/>
      <c r="X89" s="4">
        <f t="shared" ref="X89:X90" si="83">+P89-T89</f>
        <v>-68.760000000000005</v>
      </c>
      <c r="Y89" s="4"/>
      <c r="Z89" s="13">
        <f t="shared" ref="Z89:Z90" si="84">IF(T89=0,0,X89/T89)</f>
        <v>-1</v>
      </c>
    </row>
    <row r="90" spans="1:26" s="23" customFormat="1" hidden="1" outlineLevel="1" x14ac:dyDescent="0.25">
      <c r="A90" s="44"/>
      <c r="B90" s="10" t="str">
        <f>CONCATENATE("          ", "9150", " - ", "MISC. INCOME")</f>
        <v xml:space="preserve">          9150 - MISC. INCOME</v>
      </c>
      <c r="C90" s="10"/>
      <c r="D90" s="2">
        <f>0</f>
        <v>0</v>
      </c>
      <c r="E90" s="2"/>
      <c r="F90" s="19">
        <f t="shared" si="77"/>
        <v>0</v>
      </c>
      <c r="G90" s="2"/>
      <c r="H90" s="2">
        <f>0</f>
        <v>0</v>
      </c>
      <c r="I90" s="2"/>
      <c r="J90" s="19">
        <f t="shared" si="78"/>
        <v>0</v>
      </c>
      <c r="K90" s="2"/>
      <c r="L90" s="2">
        <f t="shared" si="79"/>
        <v>0</v>
      </c>
      <c r="M90" s="2"/>
      <c r="N90" s="19">
        <f t="shared" si="80"/>
        <v>0</v>
      </c>
      <c r="O90" s="10"/>
      <c r="P90" s="2">
        <f>0</f>
        <v>0</v>
      </c>
      <c r="Q90" s="2"/>
      <c r="R90" s="19">
        <f t="shared" si="81"/>
        <v>0</v>
      </c>
      <c r="S90" s="2"/>
      <c r="T90" s="2">
        <f>--68.76</f>
        <v>68.760000000000005</v>
      </c>
      <c r="U90" s="2"/>
      <c r="V90" s="19">
        <f t="shared" si="82"/>
        <v>1.0549491984273219E-4</v>
      </c>
      <c r="W90" s="2"/>
      <c r="X90" s="2">
        <f t="shared" si="83"/>
        <v>-68.760000000000005</v>
      </c>
      <c r="Y90" s="2"/>
      <c r="Z90" s="19">
        <f t="shared" si="84"/>
        <v>-1</v>
      </c>
    </row>
    <row r="91" spans="1:26" x14ac:dyDescent="0.25">
      <c r="A91" s="9"/>
      <c r="B91" s="11"/>
      <c r="C91" s="11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1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4" customFormat="1" x14ac:dyDescent="0.25">
      <c r="A92" s="11"/>
      <c r="B92" s="29" t="s">
        <v>276</v>
      </c>
      <c r="C92" s="29"/>
      <c r="D92" s="20">
        <f>+D20-D22+D89</f>
        <v>-56344.04</v>
      </c>
      <c r="E92" s="14"/>
      <c r="F92" s="22">
        <f>IF(D$12=0,0,D92/D$12)</f>
        <v>-4.4116043339299615</v>
      </c>
      <c r="G92" s="14"/>
      <c r="H92" s="20">
        <f>+H20-H22+H89</f>
        <v>-42422.229999999996</v>
      </c>
      <c r="I92" s="14"/>
      <c r="J92" s="22">
        <f>IF(H$12=0,0,H92/H$12)</f>
        <v>0</v>
      </c>
      <c r="K92" s="16"/>
      <c r="L92" s="20">
        <f>+D92-H92</f>
        <v>-13921.810000000005</v>
      </c>
      <c r="M92" s="16"/>
      <c r="N92" s="22">
        <f>IF(H92=0,0,L92/H92)</f>
        <v>0.32817251709775763</v>
      </c>
      <c r="O92" s="28"/>
      <c r="P92" s="20">
        <f>+P20-P22+P89</f>
        <v>-569285.25</v>
      </c>
      <c r="Q92" s="14"/>
      <c r="R92" s="22">
        <f>IF(P$12=0,0,P92/P$12)</f>
        <v>-8.9807272984269044</v>
      </c>
      <c r="S92" s="14"/>
      <c r="T92" s="20">
        <f>+T20-T22+T89</f>
        <v>-240631.95000000007</v>
      </c>
      <c r="U92" s="14"/>
      <c r="V92" s="22">
        <f>IF(T$12=0,0,T92/T$12)</f>
        <v>-0.36918918378200039</v>
      </c>
      <c r="W92" s="16"/>
      <c r="X92" s="20">
        <f>+P92-T92</f>
        <v>-328653.29999999993</v>
      </c>
      <c r="Y92" s="16"/>
      <c r="Z92" s="22">
        <f>IF(T92=0,0,X92/T92)</f>
        <v>1.3657924477609886</v>
      </c>
    </row>
    <row r="93" spans="1:26" x14ac:dyDescent="0.25">
      <c r="A93" s="9"/>
      <c r="B93" s="11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4" customFormat="1" x14ac:dyDescent="0.25">
      <c r="A94" s="51"/>
      <c r="B94" s="11" t="s">
        <v>127</v>
      </c>
      <c r="C94" s="11"/>
      <c r="D94" s="4">
        <v>2829.45</v>
      </c>
      <c r="E94" s="4"/>
      <c r="F94" s="13">
        <f>IF(D$12=0,0,D94/D$12)</f>
        <v>0.22153920596815793</v>
      </c>
      <c r="G94" s="4"/>
      <c r="H94" s="4">
        <v>4165.17</v>
      </c>
      <c r="I94" s="4"/>
      <c r="J94" s="13">
        <f>IF(H$12=0,0,H94/H$12)</f>
        <v>0</v>
      </c>
      <c r="K94" s="4"/>
      <c r="L94" s="4">
        <f>+D94-H94</f>
        <v>-1335.7200000000003</v>
      </c>
      <c r="M94" s="4"/>
      <c r="N94" s="13">
        <f>IF(H94=0,0,L94/H94)</f>
        <v>-0.32068799112641266</v>
      </c>
      <c r="O94" s="11"/>
      <c r="P94" s="4">
        <v>13261.37</v>
      </c>
      <c r="Q94" s="4"/>
      <c r="R94" s="13">
        <f>IF(P$12=0,0,P94/P$12)</f>
        <v>0.20920399320646302</v>
      </c>
      <c r="S94" s="4"/>
      <c r="T94" s="4">
        <v>74005.509999999995</v>
      </c>
      <c r="U94" s="4"/>
      <c r="V94" s="13">
        <f>IF(T$12=0,0,T94/T$12)</f>
        <v>0.11354283515663925</v>
      </c>
      <c r="W94" s="4"/>
      <c r="X94" s="4">
        <f>+P94-T94</f>
        <v>-60744.139999999992</v>
      </c>
      <c r="Y94" s="4"/>
      <c r="Z94" s="13">
        <f>IF(T94=0,0,X94/T94)</f>
        <v>-0.82080564001248013</v>
      </c>
    </row>
    <row r="95" spans="1:26" x14ac:dyDescent="0.25">
      <c r="A95" s="9"/>
      <c r="B95" s="11"/>
      <c r="C95" s="11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1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4" customFormat="1" ht="15.75" thickBot="1" x14ac:dyDescent="0.3">
      <c r="A96" s="11"/>
      <c r="B96" s="29" t="s">
        <v>125</v>
      </c>
      <c r="C96" s="29"/>
      <c r="D96" s="30">
        <f>+D92-D94</f>
        <v>-59173.49</v>
      </c>
      <c r="E96" s="14"/>
      <c r="F96" s="34">
        <f>IF(D$12=0,0,D96/D$12)</f>
        <v>-4.6331435398981196</v>
      </c>
      <c r="G96" s="14"/>
      <c r="H96" s="30">
        <f>+H92-H94</f>
        <v>-46587.399999999994</v>
      </c>
      <c r="I96" s="14"/>
      <c r="J96" s="34">
        <f>IF(H$12=0,0,H96/H$12)</f>
        <v>0</v>
      </c>
      <c r="K96" s="16"/>
      <c r="L96" s="30">
        <f>D96-H96</f>
        <v>-12586.090000000004</v>
      </c>
      <c r="M96" s="16"/>
      <c r="N96" s="34">
        <f>IF(H96=0,0,L96/H96)</f>
        <v>0.27016081601463066</v>
      </c>
      <c r="O96" s="28"/>
      <c r="P96" s="30">
        <f>+P92-P94</f>
        <v>-582546.62</v>
      </c>
      <c r="Q96" s="14"/>
      <c r="R96" s="34">
        <f>IF(P$12=0,0,P96/P$12)</f>
        <v>-9.189931291633366</v>
      </c>
      <c r="S96" s="14"/>
      <c r="T96" s="30">
        <f>+T92-T94</f>
        <v>-314637.46000000008</v>
      </c>
      <c r="U96" s="14"/>
      <c r="V96" s="34">
        <f>IF(T$12=0,0,T96/T$12)</f>
        <v>-0.48273201893863965</v>
      </c>
      <c r="W96" s="16"/>
      <c r="X96" s="30">
        <f>P96-T96</f>
        <v>-267909.15999999992</v>
      </c>
      <c r="Y96" s="16"/>
      <c r="Z96" s="34">
        <f>IF(T96=0,0,X96/T96)</f>
        <v>0.85148526179940509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4" customFormat="1" ht="15.75" thickBot="1" x14ac:dyDescent="0.3">
      <c r="A99" s="11"/>
      <c r="B99" s="29" t="s">
        <v>293</v>
      </c>
      <c r="C99" s="29"/>
      <c r="D99" s="32">
        <f>SUM(D96:D98)</f>
        <v>-59173.49</v>
      </c>
      <c r="E99" s="14"/>
      <c r="F99" s="35">
        <f>IF(D$12=0,0,D99/D$12)</f>
        <v>-4.6331435398981196</v>
      </c>
      <c r="G99" s="14"/>
      <c r="H99" s="32">
        <f>SUM(H96:H98)</f>
        <v>-46587.399999999994</v>
      </c>
      <c r="I99" s="14"/>
      <c r="J99" s="35">
        <f>IF(H$12=0,0,H99/H$12)</f>
        <v>0</v>
      </c>
      <c r="K99" s="16"/>
      <c r="L99" s="32">
        <f>+D99-H99</f>
        <v>-12586.090000000004</v>
      </c>
      <c r="M99" s="16"/>
      <c r="N99" s="35">
        <f>IF(H99=0,0,L99/H99)</f>
        <v>0.27016081601463066</v>
      </c>
      <c r="O99" s="28"/>
      <c r="P99" s="32">
        <f>SUM(P96:P98)</f>
        <v>-582546.62</v>
      </c>
      <c r="Q99" s="14"/>
      <c r="R99" s="35">
        <f>IF(P$12=0,0,P99/P$12)</f>
        <v>-9.189931291633366</v>
      </c>
      <c r="S99" s="14"/>
      <c r="T99" s="32">
        <f>SUM(T96:T98)</f>
        <v>-314637.46000000008</v>
      </c>
      <c r="U99" s="14"/>
      <c r="V99" s="35">
        <f>IF(T$12=0,0,T99/T$12)</f>
        <v>-0.48273201893863965</v>
      </c>
      <c r="W99" s="16"/>
      <c r="X99" s="32">
        <f>+P99-T99</f>
        <v>-267909.15999999992</v>
      </c>
      <c r="Y99" s="16"/>
      <c r="Z99" s="35">
        <f>IF(T99=0,0,X99/T99)</f>
        <v>0.85148526179940509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59">
        <v>44330.00886898148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2" t="s">
        <v>56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5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","418", " - ", "Nugget")</f>
        <v>Department 418 - Nugget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1068795.77</v>
      </c>
      <c r="U12" s="4"/>
      <c r="V12" s="13"/>
      <c r="W12" s="4"/>
      <c r="X12" s="4">
        <f t="shared" ref="X12:X14" si="2">+P12-T12</f>
        <v>-1068795.77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"4055", " - ", "TAXABLE SALES-FOOD")</f>
        <v xml:space="preserve">          4055 -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--381406.04</f>
        <v>381406.04</v>
      </c>
      <c r="U13" s="2"/>
      <c r="V13" s="19"/>
      <c r="W13" s="2"/>
      <c r="X13" s="2">
        <f t="shared" si="2"/>
        <v>-381406.04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"4155", " - ", "NON-TAXABLE SALES-FOOD")</f>
        <v xml:space="preserve">          4155 -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--687389.73</f>
        <v>687389.73</v>
      </c>
      <c r="U14" s="2"/>
      <c r="V14" s="19"/>
      <c r="W14" s="2"/>
      <c r="X14" s="2">
        <f t="shared" si="2"/>
        <v>-687389.73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8304</v>
      </c>
      <c r="I16" s="4"/>
      <c r="J16" s="13">
        <f t="shared" ref="J16:J18" si="8">IF(H$12=0,0,H16/H$12)</f>
        <v>0</v>
      </c>
      <c r="K16" s="4"/>
      <c r="L16" s="4">
        <f t="shared" ref="L16:L18" si="9">+D16-H16</f>
        <v>-8304</v>
      </c>
      <c r="M16" s="4"/>
      <c r="N16" s="13">
        <f t="shared" ref="N16:N18" si="10">IF(H16=0,0,L16/H16)</f>
        <v>-1</v>
      </c>
      <c r="O16" s="11"/>
      <c r="P16" s="4">
        <f>SUM(OSRRefP16x_0)</f>
        <v>-301.68</v>
      </c>
      <c r="Q16" s="4"/>
      <c r="R16" s="13">
        <f t="shared" ref="R16:R18" si="11">IF(P$12=0,0,P16/P$12)</f>
        <v>0</v>
      </c>
      <c r="S16" s="4"/>
      <c r="T16" s="4">
        <f>SUM(OSRRefT16x_0)</f>
        <v>362175.07</v>
      </c>
      <c r="U16" s="4"/>
      <c r="V16" s="13">
        <f t="shared" ref="V16:V18" si="12">IF(T$12=0,0,T16/T$12)</f>
        <v>0.33886274643470943</v>
      </c>
      <c r="W16" s="4"/>
      <c r="X16" s="4">
        <f t="shared" ref="X16:X18" si="13">+P16-T16</f>
        <v>-362476.75</v>
      </c>
      <c r="Y16" s="4"/>
      <c r="Z16" s="13">
        <f t="shared" ref="Z16:Z18" si="14">IF(T16=0,0,X16/T16)</f>
        <v>-1.0008329673270995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0"/>
      <c r="P17" s="2">
        <v>-301.68</v>
      </c>
      <c r="Q17" s="2"/>
      <c r="R17" s="19">
        <f t="shared" si="11"/>
        <v>0</v>
      </c>
      <c r="S17" s="2"/>
      <c r="T17" s="2">
        <v>360936.4</v>
      </c>
      <c r="U17" s="2"/>
      <c r="V17" s="19">
        <f t="shared" si="12"/>
        <v>0.3377038065934711</v>
      </c>
      <c r="W17" s="2"/>
      <c r="X17" s="2">
        <f t="shared" si="13"/>
        <v>-361238.08</v>
      </c>
      <c r="Y17" s="2"/>
      <c r="Z17" s="19">
        <f t="shared" si="14"/>
        <v>-1.0008358259239023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>
        <v>8304</v>
      </c>
      <c r="I18" s="2"/>
      <c r="J18" s="19">
        <f t="shared" si="8"/>
        <v>0</v>
      </c>
      <c r="K18" s="2"/>
      <c r="L18" s="2">
        <f t="shared" si="9"/>
        <v>-8304</v>
      </c>
      <c r="M18" s="2"/>
      <c r="N18" s="19">
        <f t="shared" si="10"/>
        <v>-1</v>
      </c>
      <c r="O18" s="10"/>
      <c r="P18" s="2"/>
      <c r="Q18" s="2"/>
      <c r="R18" s="19">
        <f t="shared" si="11"/>
        <v>0</v>
      </c>
      <c r="S18" s="2"/>
      <c r="T18" s="2">
        <v>1238.67</v>
      </c>
      <c r="U18" s="2"/>
      <c r="V18" s="19">
        <f t="shared" si="12"/>
        <v>1.1589398412383313E-3</v>
      </c>
      <c r="W18" s="2"/>
      <c r="X18" s="2">
        <f t="shared" si="13"/>
        <v>-1238.67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-8304</v>
      </c>
      <c r="I20" s="14"/>
      <c r="J20" s="22">
        <f>IF(H$12=0,0,H20/H$12)</f>
        <v>0</v>
      </c>
      <c r="K20" s="16"/>
      <c r="L20" s="20">
        <f>+D20-H20</f>
        <v>8304</v>
      </c>
      <c r="M20" s="16"/>
      <c r="N20" s="22">
        <f>IF(H20=0,0,L20/H20)</f>
        <v>-1</v>
      </c>
      <c r="O20" s="28"/>
      <c r="P20" s="20">
        <f>P12-P16</f>
        <v>301.68</v>
      </c>
      <c r="Q20" s="14"/>
      <c r="R20" s="22">
        <f>IF(P$12=0,0,P20/P$12)</f>
        <v>0</v>
      </c>
      <c r="S20" s="14"/>
      <c r="T20" s="20">
        <f>T12-T16</f>
        <v>706620.7</v>
      </c>
      <c r="U20" s="14"/>
      <c r="V20" s="22">
        <f>IF(T$12=0,0,T20/T$12)</f>
        <v>0.66113725356529052</v>
      </c>
      <c r="W20" s="16"/>
      <c r="X20" s="20">
        <f>+P20-T20</f>
        <v>-706319.0199999999</v>
      </c>
      <c r="Y20" s="16"/>
      <c r="Z20" s="22">
        <f>IF(T20=0,0,X20/T20)</f>
        <v>-0.99957306656881117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6745.17</v>
      </c>
      <c r="E22" s="21"/>
      <c r="F22" s="31">
        <f t="shared" ref="F22:F31" si="15">IF(D$12=0,0,D22/D$12)</f>
        <v>0</v>
      </c>
      <c r="G22" s="21"/>
      <c r="H22" s="21">
        <f>SUM(OSRRefH22x_0)</f>
        <v>3564.4899999999993</v>
      </c>
      <c r="I22" s="21"/>
      <c r="J22" s="31">
        <f t="shared" ref="J22:J31" si="16">IF(H$12=0,0,H22/H$12)</f>
        <v>0</v>
      </c>
      <c r="K22" s="4"/>
      <c r="L22" s="21">
        <f t="shared" ref="L22:L31" si="17">+D22-H22</f>
        <v>3180.6800000000007</v>
      </c>
      <c r="M22" s="4"/>
      <c r="N22" s="31">
        <f t="shared" ref="N22:N31" si="18">IF(H22=0,0,L22/H22)</f>
        <v>0.89232400708095727</v>
      </c>
      <c r="O22" s="11"/>
      <c r="P22" s="21">
        <f>SUM(OSRRefP22x_0)</f>
        <v>81146.19</v>
      </c>
      <c r="Q22" s="21"/>
      <c r="R22" s="31">
        <f t="shared" ref="R22:R31" si="19">IF(P$12=0,0,P22/P$12)</f>
        <v>0</v>
      </c>
      <c r="S22" s="21"/>
      <c r="T22" s="21">
        <f>SUM(OSRRefT22x_0)</f>
        <v>576395.59</v>
      </c>
      <c r="U22" s="21"/>
      <c r="V22" s="31">
        <f t="shared" ref="V22:V31" si="20">IF(T$12=0,0,T22/T$12)</f>
        <v>0.53929441543354906</v>
      </c>
      <c r="W22" s="4"/>
      <c r="X22" s="21">
        <f t="shared" ref="X22:X31" si="21">+P22-T22</f>
        <v>-495249.39999999997</v>
      </c>
      <c r="Y22" s="4"/>
      <c r="Z22" s="31">
        <f t="shared" ref="Z22:Z31" si="22">IF(T22=0,0,X22/T22)</f>
        <v>-0.85921788541095534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-5827.7500000000009</v>
      </c>
      <c r="I23" s="1"/>
      <c r="J23" s="5">
        <f t="shared" si="16"/>
        <v>0</v>
      </c>
      <c r="K23" s="1"/>
      <c r="L23" s="1">
        <f t="shared" si="17"/>
        <v>5827.7500000000009</v>
      </c>
      <c r="M23" s="1"/>
      <c r="N23" s="5">
        <f t="shared" si="18"/>
        <v>-1</v>
      </c>
      <c r="O23" s="12"/>
      <c r="P23" s="1">
        <f>SUM(OSRRefP22_0x_0)</f>
        <v>6086.32</v>
      </c>
      <c r="Q23" s="1"/>
      <c r="R23" s="5">
        <f t="shared" si="19"/>
        <v>0</v>
      </c>
      <c r="S23" s="1"/>
      <c r="T23" s="1">
        <f>SUM(OSRRefT22_0x_0)</f>
        <v>80131.13</v>
      </c>
      <c r="U23" s="1"/>
      <c r="V23" s="5">
        <f t="shared" si="20"/>
        <v>7.4973285120692429E-2</v>
      </c>
      <c r="W23" s="1"/>
      <c r="X23" s="1">
        <f t="shared" si="21"/>
        <v>-74044.81</v>
      </c>
      <c r="Y23" s="1"/>
      <c r="Z23" s="5">
        <f t="shared" si="22"/>
        <v>-0.92404549892158006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>
        <v>140.25</v>
      </c>
      <c r="I24" s="2"/>
      <c r="J24" s="7">
        <f t="shared" si="16"/>
        <v>0</v>
      </c>
      <c r="K24" s="2"/>
      <c r="L24" s="6">
        <f t="shared" si="17"/>
        <v>-140.25</v>
      </c>
      <c r="M24" s="2"/>
      <c r="N24" s="7">
        <f t="shared" si="18"/>
        <v>-1</v>
      </c>
      <c r="O24" s="10"/>
      <c r="P24" s="6">
        <v>237.51</v>
      </c>
      <c r="Q24" s="2"/>
      <c r="R24" s="7">
        <f t="shared" si="19"/>
        <v>0</v>
      </c>
      <c r="S24" s="2"/>
      <c r="T24" s="6">
        <v>18062.87</v>
      </c>
      <c r="U24" s="2"/>
      <c r="V24" s="7">
        <f t="shared" si="20"/>
        <v>1.6900207230423452E-2</v>
      </c>
      <c r="W24" s="2"/>
      <c r="X24" s="6">
        <f t="shared" si="21"/>
        <v>-17825.36</v>
      </c>
      <c r="Y24" s="2"/>
      <c r="Z24" s="7">
        <f t="shared" si="22"/>
        <v>-0.98685092679070385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>
        <v>81.95</v>
      </c>
      <c r="I25" s="2"/>
      <c r="J25" s="7">
        <f t="shared" si="16"/>
        <v>0</v>
      </c>
      <c r="K25" s="2"/>
      <c r="L25" s="6">
        <f t="shared" si="17"/>
        <v>-81.95</v>
      </c>
      <c r="M25" s="2"/>
      <c r="N25" s="7">
        <f t="shared" si="18"/>
        <v>-1</v>
      </c>
      <c r="O25" s="10"/>
      <c r="P25" s="6"/>
      <c r="Q25" s="2"/>
      <c r="R25" s="7">
        <f t="shared" si="19"/>
        <v>0</v>
      </c>
      <c r="S25" s="2"/>
      <c r="T25" s="6">
        <v>10556.92</v>
      </c>
      <c r="U25" s="2"/>
      <c r="V25" s="7">
        <f t="shared" si="20"/>
        <v>9.877396876299389E-3</v>
      </c>
      <c r="W25" s="2"/>
      <c r="X25" s="6">
        <f t="shared" si="21"/>
        <v>-10556.92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5"/>
        <v>0</v>
      </c>
      <c r="G26" s="2"/>
      <c r="H26" s="6">
        <v>3355.87</v>
      </c>
      <c r="I26" s="2"/>
      <c r="J26" s="7">
        <f t="shared" si="16"/>
        <v>0</v>
      </c>
      <c r="K26" s="2"/>
      <c r="L26" s="6">
        <f t="shared" si="17"/>
        <v>-3355.87</v>
      </c>
      <c r="M26" s="2"/>
      <c r="N26" s="7">
        <f t="shared" si="18"/>
        <v>-1</v>
      </c>
      <c r="O26" s="10"/>
      <c r="P26" s="6">
        <v>4780.67</v>
      </c>
      <c r="Q26" s="2"/>
      <c r="R26" s="7">
        <f t="shared" si="19"/>
        <v>0</v>
      </c>
      <c r="S26" s="2"/>
      <c r="T26" s="6">
        <v>40025.629999999997</v>
      </c>
      <c r="U26" s="2"/>
      <c r="V26" s="7">
        <f t="shared" si="20"/>
        <v>3.7449278078636107E-2</v>
      </c>
      <c r="W26" s="2"/>
      <c r="X26" s="6">
        <f t="shared" si="21"/>
        <v>-35244.959999999999</v>
      </c>
      <c r="Y26" s="2"/>
      <c r="Z26" s="7">
        <f t="shared" si="22"/>
        <v>-0.88055978132011914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>
        <v>5.49</v>
      </c>
      <c r="I27" s="2"/>
      <c r="J27" s="7">
        <f t="shared" si="16"/>
        <v>0</v>
      </c>
      <c r="K27" s="2"/>
      <c r="L27" s="6">
        <f t="shared" si="17"/>
        <v>-5.49</v>
      </c>
      <c r="M27" s="2"/>
      <c r="N27" s="7">
        <f t="shared" si="18"/>
        <v>-1</v>
      </c>
      <c r="O27" s="10"/>
      <c r="P27" s="6"/>
      <c r="Q27" s="2"/>
      <c r="R27" s="7">
        <f t="shared" si="19"/>
        <v>0</v>
      </c>
      <c r="S27" s="2"/>
      <c r="T27" s="6">
        <v>844.69</v>
      </c>
      <c r="U27" s="2"/>
      <c r="V27" s="7">
        <f t="shared" si="20"/>
        <v>7.9031937036951408E-4</v>
      </c>
      <c r="W27" s="2"/>
      <c r="X27" s="6">
        <f t="shared" si="21"/>
        <v>-844.69</v>
      </c>
      <c r="Y27" s="2"/>
      <c r="Z27" s="7">
        <f t="shared" si="22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5"/>
        <v>0</v>
      </c>
      <c r="G28" s="2"/>
      <c r="H28" s="6">
        <v>223.94</v>
      </c>
      <c r="I28" s="2"/>
      <c r="J28" s="7">
        <f t="shared" si="16"/>
        <v>0</v>
      </c>
      <c r="K28" s="2"/>
      <c r="L28" s="6">
        <f t="shared" si="17"/>
        <v>-223.94</v>
      </c>
      <c r="M28" s="2"/>
      <c r="N28" s="7">
        <f t="shared" si="18"/>
        <v>-1</v>
      </c>
      <c r="O28" s="10"/>
      <c r="P28" s="6">
        <v>678.15</v>
      </c>
      <c r="Q28" s="2"/>
      <c r="R28" s="7">
        <f t="shared" si="19"/>
        <v>0</v>
      </c>
      <c r="S28" s="2"/>
      <c r="T28" s="6">
        <v>5353.71</v>
      </c>
      <c r="U28" s="2"/>
      <c r="V28" s="7">
        <f t="shared" si="20"/>
        <v>5.0091047796717979E-3</v>
      </c>
      <c r="W28" s="2"/>
      <c r="X28" s="6">
        <f t="shared" si="21"/>
        <v>-4675.5600000000004</v>
      </c>
      <c r="Y28" s="2"/>
      <c r="Z28" s="7">
        <f t="shared" si="22"/>
        <v>-0.87333083039611792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5"/>
        <v>0</v>
      </c>
      <c r="G29" s="2"/>
      <c r="H29" s="6">
        <v>107.77</v>
      </c>
      <c r="I29" s="2"/>
      <c r="J29" s="7">
        <f t="shared" si="16"/>
        <v>0</v>
      </c>
      <c r="K29" s="2"/>
      <c r="L29" s="6">
        <f t="shared" si="17"/>
        <v>-107.77</v>
      </c>
      <c r="M29" s="2"/>
      <c r="N29" s="7">
        <f t="shared" si="18"/>
        <v>-1</v>
      </c>
      <c r="O29" s="10"/>
      <c r="P29" s="6">
        <v>248.21</v>
      </c>
      <c r="Q29" s="2"/>
      <c r="R29" s="7">
        <f t="shared" si="19"/>
        <v>0</v>
      </c>
      <c r="S29" s="2"/>
      <c r="T29" s="6">
        <v>5525.89</v>
      </c>
      <c r="U29" s="2"/>
      <c r="V29" s="7">
        <f t="shared" si="20"/>
        <v>5.170201974133936E-3</v>
      </c>
      <c r="W29" s="2"/>
      <c r="X29" s="6">
        <f t="shared" si="21"/>
        <v>-5277.68</v>
      </c>
      <c r="Y29" s="2"/>
      <c r="Z29" s="7">
        <f t="shared" si="22"/>
        <v>-0.95508234872572562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5"/>
        <v>0</v>
      </c>
      <c r="G30" s="2"/>
      <c r="H30" s="6">
        <v>-9903.02</v>
      </c>
      <c r="I30" s="2"/>
      <c r="J30" s="7">
        <f t="shared" si="16"/>
        <v>0</v>
      </c>
      <c r="K30" s="2"/>
      <c r="L30" s="6">
        <f t="shared" si="17"/>
        <v>9903.02</v>
      </c>
      <c r="M30" s="2"/>
      <c r="N30" s="7">
        <f t="shared" si="18"/>
        <v>-1</v>
      </c>
      <c r="O30" s="10"/>
      <c r="P30" s="6">
        <v>141.78</v>
      </c>
      <c r="Q30" s="2"/>
      <c r="R30" s="7">
        <f t="shared" si="19"/>
        <v>0</v>
      </c>
      <c r="S30" s="2"/>
      <c r="T30" s="6">
        <v>-4296.3500000000004</v>
      </c>
      <c r="U30" s="2"/>
      <c r="V30" s="7">
        <f t="shared" si="20"/>
        <v>-4.019804457122805E-3</v>
      </c>
      <c r="W30" s="2"/>
      <c r="X30" s="6">
        <f t="shared" si="21"/>
        <v>4438.13</v>
      </c>
      <c r="Y30" s="2"/>
      <c r="Z30" s="7">
        <f t="shared" si="22"/>
        <v>-1.0330001047400701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5"/>
        <v>0</v>
      </c>
      <c r="G31" s="2"/>
      <c r="H31" s="6">
        <v>160</v>
      </c>
      <c r="I31" s="2"/>
      <c r="J31" s="7">
        <f t="shared" si="16"/>
        <v>0</v>
      </c>
      <c r="K31" s="2"/>
      <c r="L31" s="6">
        <f t="shared" si="17"/>
        <v>-160</v>
      </c>
      <c r="M31" s="2"/>
      <c r="N31" s="7">
        <f t="shared" si="18"/>
        <v>-1</v>
      </c>
      <c r="O31" s="10"/>
      <c r="P31" s="6"/>
      <c r="Q31" s="2"/>
      <c r="R31" s="7">
        <f t="shared" si="19"/>
        <v>0</v>
      </c>
      <c r="S31" s="2"/>
      <c r="T31" s="6">
        <v>4057.77</v>
      </c>
      <c r="U31" s="2"/>
      <c r="V31" s="7">
        <f t="shared" si="20"/>
        <v>3.79658126828103E-3</v>
      </c>
      <c r="W31" s="2"/>
      <c r="X31" s="6">
        <f t="shared" si="21"/>
        <v>-4057.77</v>
      </c>
      <c r="Y31" s="2"/>
      <c r="Z31" s="7">
        <f t="shared" si="22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8" si="23">IF(D$12=0,0,D32/D$12)</f>
        <v>0</v>
      </c>
      <c r="G32" s="1"/>
      <c r="H32" s="1">
        <f>SUM(OSRRefH22_1x_0)</f>
        <v>920.8</v>
      </c>
      <c r="I32" s="1"/>
      <c r="J32" s="5">
        <f t="shared" ref="J32:J38" si="24">IF(H$12=0,0,H32/H$12)</f>
        <v>0</v>
      </c>
      <c r="K32" s="1"/>
      <c r="L32" s="1">
        <f t="shared" ref="L32:L38" si="25">+D32-H32</f>
        <v>-920.8</v>
      </c>
      <c r="M32" s="1"/>
      <c r="N32" s="5">
        <f t="shared" ref="N32:N38" si="26">IF(H32=0,0,L32/H32)</f>
        <v>-1</v>
      </c>
      <c r="O32" s="12"/>
      <c r="P32" s="1">
        <f>SUM(OSRRefP22_1x_0)</f>
        <v>2151.69</v>
      </c>
      <c r="Q32" s="1"/>
      <c r="R32" s="5">
        <f t="shared" ref="R32:R38" si="27">IF(P$12=0,0,P32/P$12)</f>
        <v>0</v>
      </c>
      <c r="S32" s="1"/>
      <c r="T32" s="1">
        <f>SUM(OSRRefT22_1x_0)</f>
        <v>312653.97000000003</v>
      </c>
      <c r="U32" s="1"/>
      <c r="V32" s="5">
        <f t="shared" ref="V32:V38" si="28">IF(T$12=0,0,T32/T$12)</f>
        <v>0.29252919853902493</v>
      </c>
      <c r="W32" s="1"/>
      <c r="X32" s="1">
        <f t="shared" ref="X32:X38" si="29">+P32-T32</f>
        <v>-310502.28000000003</v>
      </c>
      <c r="Y32" s="1"/>
      <c r="Z32" s="5">
        <f t="shared" ref="Z32:Z38" si="30">IF(T32=0,0,X32/T32)</f>
        <v>-0.99311798279740382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3"/>
        <v>0</v>
      </c>
      <c r="G33" s="2"/>
      <c r="H33" s="6"/>
      <c r="I33" s="2"/>
      <c r="J33" s="7">
        <f t="shared" si="24"/>
        <v>0</v>
      </c>
      <c r="K33" s="2"/>
      <c r="L33" s="6">
        <f t="shared" si="25"/>
        <v>0</v>
      </c>
      <c r="M33" s="2"/>
      <c r="N33" s="7">
        <f t="shared" si="26"/>
        <v>0</v>
      </c>
      <c r="O33" s="10"/>
      <c r="P33" s="6">
        <v>2151.69</v>
      </c>
      <c r="Q33" s="2"/>
      <c r="R33" s="7">
        <f t="shared" si="27"/>
        <v>0</v>
      </c>
      <c r="S33" s="2"/>
      <c r="T33" s="6">
        <v>80298</v>
      </c>
      <c r="U33" s="2"/>
      <c r="V33" s="7">
        <f t="shared" si="28"/>
        <v>7.5129414106869075E-2</v>
      </c>
      <c r="W33" s="2"/>
      <c r="X33" s="6">
        <f t="shared" si="29"/>
        <v>-78146.31</v>
      </c>
      <c r="Y33" s="2"/>
      <c r="Z33" s="7">
        <f t="shared" si="30"/>
        <v>-0.97320369125009343</v>
      </c>
    </row>
    <row r="34" spans="1:26" s="23" customFormat="1" hidden="1" outlineLevel="2" x14ac:dyDescent="0.25">
      <c r="A34" s="27"/>
      <c r="B34" s="10" t="str">
        <f>CONCATENATE("          ", "6004", " - ", "STAFF HOURLY")</f>
        <v xml:space="preserve">          6004 - STAFF HOURLY</v>
      </c>
      <c r="C34" s="10"/>
      <c r="D34" s="6"/>
      <c r="E34" s="2"/>
      <c r="F34" s="7">
        <f t="shared" si="23"/>
        <v>0</v>
      </c>
      <c r="G34" s="2"/>
      <c r="H34" s="6">
        <v>1841.8</v>
      </c>
      <c r="I34" s="2"/>
      <c r="J34" s="7">
        <f t="shared" si="24"/>
        <v>0</v>
      </c>
      <c r="K34" s="2"/>
      <c r="L34" s="6">
        <f t="shared" si="25"/>
        <v>-1841.8</v>
      </c>
      <c r="M34" s="2"/>
      <c r="N34" s="7">
        <f t="shared" si="26"/>
        <v>-1</v>
      </c>
      <c r="O34" s="10"/>
      <c r="P34" s="6"/>
      <c r="Q34" s="2"/>
      <c r="R34" s="7">
        <f t="shared" si="27"/>
        <v>0</v>
      </c>
      <c r="S34" s="2"/>
      <c r="T34" s="6">
        <v>38197.160000000003</v>
      </c>
      <c r="U34" s="2"/>
      <c r="V34" s="7">
        <f t="shared" si="28"/>
        <v>3.5738502221055762E-2</v>
      </c>
      <c r="W34" s="2"/>
      <c r="X34" s="6">
        <f t="shared" si="29"/>
        <v>-38197.160000000003</v>
      </c>
      <c r="Y34" s="2"/>
      <c r="Z34" s="7">
        <f t="shared" si="30"/>
        <v>-1</v>
      </c>
    </row>
    <row r="35" spans="1:26" s="23" customFormat="1" hidden="1" outlineLevel="2" x14ac:dyDescent="0.25">
      <c r="A35" s="27"/>
      <c r="B35" s="10" t="str">
        <f>CONCATENATE("          ", "6005", " - ", "TEMPORARY WAGES-HOURLY")</f>
        <v xml:space="preserve">          6005 - TEMPORARY WAGES-HOURLY</v>
      </c>
      <c r="C35" s="10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0"/>
      <c r="P35" s="6"/>
      <c r="Q35" s="2"/>
      <c r="R35" s="7">
        <f t="shared" si="27"/>
        <v>0</v>
      </c>
      <c r="S35" s="2"/>
      <c r="T35" s="6">
        <v>91629.97</v>
      </c>
      <c r="U35" s="2"/>
      <c r="V35" s="7">
        <f t="shared" si="28"/>
        <v>8.5731972910034995E-2</v>
      </c>
      <c r="W35" s="2"/>
      <c r="X35" s="6">
        <f t="shared" si="29"/>
        <v>-91629.97</v>
      </c>
      <c r="Y35" s="2"/>
      <c r="Z35" s="7">
        <f t="shared" si="30"/>
        <v>-1</v>
      </c>
    </row>
    <row r="36" spans="1:26" s="23" customFormat="1" hidden="1" outlineLevel="2" x14ac:dyDescent="0.25">
      <c r="A36" s="27"/>
      <c r="B36" s="10" t="str">
        <f>CONCATENATE("          ", "6006", " - ", "TEMPORARY PART TIME")</f>
        <v xml:space="preserve">          6006 - TEMPORARY PART TIME</v>
      </c>
      <c r="C36" s="10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0"/>
      <c r="P36" s="6"/>
      <c r="Q36" s="2"/>
      <c r="R36" s="7">
        <f t="shared" si="27"/>
        <v>0</v>
      </c>
      <c r="S36" s="2"/>
      <c r="T36" s="6">
        <v>7215.01</v>
      </c>
      <c r="U36" s="2"/>
      <c r="V36" s="7">
        <f t="shared" si="28"/>
        <v>6.7505974504371404E-3</v>
      </c>
      <c r="W36" s="2"/>
      <c r="X36" s="6">
        <f t="shared" si="29"/>
        <v>-7215.01</v>
      </c>
      <c r="Y36" s="2"/>
      <c r="Z36" s="7">
        <f t="shared" si="30"/>
        <v>-1</v>
      </c>
    </row>
    <row r="37" spans="1:26" s="23" customFormat="1" hidden="1" outlineLevel="2" x14ac:dyDescent="0.25">
      <c r="A37" s="27"/>
      <c r="B37" s="10" t="str">
        <f>CONCATENATE("          ", "6007", " - ", "STUDENT HOURLY")</f>
        <v xml:space="preserve">          6007 - STUDENT HOURLY</v>
      </c>
      <c r="C37" s="10"/>
      <c r="D37" s="6"/>
      <c r="E37" s="2"/>
      <c r="F37" s="7">
        <f t="shared" si="23"/>
        <v>0</v>
      </c>
      <c r="G37" s="2"/>
      <c r="H37" s="6">
        <v>-921</v>
      </c>
      <c r="I37" s="2"/>
      <c r="J37" s="7">
        <f t="shared" si="24"/>
        <v>0</v>
      </c>
      <c r="K37" s="2"/>
      <c r="L37" s="6">
        <f t="shared" si="25"/>
        <v>921</v>
      </c>
      <c r="M37" s="2"/>
      <c r="N37" s="7">
        <f t="shared" si="26"/>
        <v>-1</v>
      </c>
      <c r="O37" s="10"/>
      <c r="P37" s="6"/>
      <c r="Q37" s="2"/>
      <c r="R37" s="7">
        <f t="shared" si="27"/>
        <v>0</v>
      </c>
      <c r="S37" s="2"/>
      <c r="T37" s="6">
        <v>93483.83</v>
      </c>
      <c r="U37" s="2"/>
      <c r="V37" s="7">
        <f t="shared" si="28"/>
        <v>8.7466504475405993E-2</v>
      </c>
      <c r="W37" s="2"/>
      <c r="X37" s="6">
        <f t="shared" si="29"/>
        <v>-93483.83</v>
      </c>
      <c r="Y37" s="2"/>
      <c r="Z37" s="7">
        <f t="shared" si="30"/>
        <v>-1</v>
      </c>
    </row>
    <row r="38" spans="1:26" s="23" customFormat="1" hidden="1" outlineLevel="2" x14ac:dyDescent="0.25">
      <c r="A38" s="27"/>
      <c r="B38" s="10" t="str">
        <f>CONCATENATE("          ", "6008", " - ", "STUDENT HOURLY-FICA EXEMPT")</f>
        <v xml:space="preserve">          6008 - STUDENT HOURLY-FICA EXEMPT</v>
      </c>
      <c r="C38" s="10"/>
      <c r="D38" s="6"/>
      <c r="E38" s="2"/>
      <c r="F38" s="7">
        <f t="shared" si="23"/>
        <v>0</v>
      </c>
      <c r="G38" s="2"/>
      <c r="H38" s="6"/>
      <c r="I38" s="2"/>
      <c r="J38" s="7">
        <f t="shared" si="24"/>
        <v>0</v>
      </c>
      <c r="K38" s="2"/>
      <c r="L38" s="6">
        <f t="shared" si="25"/>
        <v>0</v>
      </c>
      <c r="M38" s="2"/>
      <c r="N38" s="7">
        <f t="shared" si="26"/>
        <v>0</v>
      </c>
      <c r="O38" s="10"/>
      <c r="P38" s="6"/>
      <c r="Q38" s="2"/>
      <c r="R38" s="7">
        <f t="shared" si="27"/>
        <v>0</v>
      </c>
      <c r="S38" s="2"/>
      <c r="T38" s="6">
        <v>1830</v>
      </c>
      <c r="U38" s="2"/>
      <c r="V38" s="7">
        <f t="shared" si="28"/>
        <v>1.7122073752219285E-3</v>
      </c>
      <c r="W38" s="2"/>
      <c r="X38" s="6">
        <f t="shared" si="29"/>
        <v>-1830</v>
      </c>
      <c r="Y38" s="2"/>
      <c r="Z38" s="7">
        <f t="shared" si="30"/>
        <v>-1</v>
      </c>
    </row>
    <row r="39" spans="1:26" s="26" customFormat="1" outlineLevel="1" collapsed="1" x14ac:dyDescent="0.25">
      <c r="A39" s="25"/>
      <c r="B39" s="12" t="str">
        <f>CONCATENATE("     ","Advertising/Promo                                 ")</f>
        <v xml:space="preserve">     Advertising/Promo                                 </v>
      </c>
      <c r="C39" s="12"/>
      <c r="D39" s="1">
        <f>SUM(OSRRefD22_2x_0)</f>
        <v>0</v>
      </c>
      <c r="E39" s="1"/>
      <c r="F39" s="5">
        <f t="shared" ref="F39:F47" si="31">IF(D$12=0,0,D39/D$12)</f>
        <v>0</v>
      </c>
      <c r="G39" s="1"/>
      <c r="H39" s="1">
        <f>SUM(OSRRefH22_2x_0)</f>
        <v>0</v>
      </c>
      <c r="I39" s="1"/>
      <c r="J39" s="5">
        <f t="shared" ref="J39:J47" si="32">IF(H$12=0,0,H39/H$12)</f>
        <v>0</v>
      </c>
      <c r="K39" s="1"/>
      <c r="L39" s="1">
        <f t="shared" ref="L39:L47" si="33">+D39-H39</f>
        <v>0</v>
      </c>
      <c r="M39" s="1"/>
      <c r="N39" s="5">
        <f t="shared" ref="N39:N47" si="34">IF(H39=0,0,L39/H39)</f>
        <v>0</v>
      </c>
      <c r="O39" s="12"/>
      <c r="P39" s="1">
        <f>SUM(OSRRefP22_2x_0)</f>
        <v>0</v>
      </c>
      <c r="Q39" s="1"/>
      <c r="R39" s="5">
        <f t="shared" ref="R39:R47" si="35">IF(P$12=0,0,P39/P$12)</f>
        <v>0</v>
      </c>
      <c r="S39" s="1"/>
      <c r="T39" s="1">
        <f>SUM(OSRRefT22_2x_0)</f>
        <v>4363.6499999999996</v>
      </c>
      <c r="U39" s="1"/>
      <c r="V39" s="5">
        <f t="shared" ref="V39:V47" si="36">IF(T$12=0,0,T39/T$12)</f>
        <v>4.0827725207033703E-3</v>
      </c>
      <c r="W39" s="1"/>
      <c r="X39" s="1">
        <f t="shared" ref="X39:X47" si="37">+P39-T39</f>
        <v>-4363.6499999999996</v>
      </c>
      <c r="Y39" s="1"/>
      <c r="Z39" s="5">
        <f t="shared" ref="Z39:Z47" si="38">IF(T39=0,0,X39/T39)</f>
        <v>-1</v>
      </c>
    </row>
    <row r="40" spans="1:26" s="23" customFormat="1" hidden="1" outlineLevel="2" x14ac:dyDescent="0.25">
      <c r="A40" s="27"/>
      <c r="B40" s="10" t="str">
        <f>CONCATENATE("          ", "6362", " - ", "ADVERTISING EXPENSE")</f>
        <v xml:space="preserve">          6362 - ADVERTISING EXPENSE</v>
      </c>
      <c r="C40" s="10"/>
      <c r="D40" s="6"/>
      <c r="E40" s="2"/>
      <c r="F40" s="7">
        <f t="shared" si="31"/>
        <v>0</v>
      </c>
      <c r="G40" s="2"/>
      <c r="H40" s="6"/>
      <c r="I40" s="2"/>
      <c r="J40" s="7">
        <f t="shared" si="32"/>
        <v>0</v>
      </c>
      <c r="K40" s="2"/>
      <c r="L40" s="6">
        <f t="shared" si="33"/>
        <v>0</v>
      </c>
      <c r="M40" s="2"/>
      <c r="N40" s="7">
        <f t="shared" si="34"/>
        <v>0</v>
      </c>
      <c r="O40" s="10"/>
      <c r="P40" s="6"/>
      <c r="Q40" s="2"/>
      <c r="R40" s="7">
        <f t="shared" si="35"/>
        <v>0</v>
      </c>
      <c r="S40" s="2"/>
      <c r="T40" s="6">
        <v>4363.6499999999996</v>
      </c>
      <c r="U40" s="2"/>
      <c r="V40" s="7">
        <f t="shared" si="36"/>
        <v>4.0827725207033703E-3</v>
      </c>
      <c r="W40" s="2"/>
      <c r="X40" s="6">
        <f t="shared" si="37"/>
        <v>-4363.6499999999996</v>
      </c>
      <c r="Y40" s="2"/>
      <c r="Z40" s="7">
        <f t="shared" si="38"/>
        <v>-1</v>
      </c>
    </row>
    <row r="41" spans="1:26" s="26" customFormat="1" outlineLevel="1" collapsed="1" x14ac:dyDescent="0.25">
      <c r="A41" s="25"/>
      <c r="B41" s="12" t="str">
        <f>CONCATENATE("     ","Bad Debts/Over/Short                              ")</f>
        <v xml:space="preserve">     Bad Debts/Over/Short                              </v>
      </c>
      <c r="C41" s="12"/>
      <c r="D41" s="1">
        <f>SUM(OSRRefD22_3x_0)</f>
        <v>0</v>
      </c>
      <c r="E41" s="1"/>
      <c r="F41" s="5">
        <f t="shared" si="31"/>
        <v>0</v>
      </c>
      <c r="G41" s="1"/>
      <c r="H41" s="1">
        <f>SUM(OSRRefH22_3x_0)</f>
        <v>0</v>
      </c>
      <c r="I41" s="1"/>
      <c r="J41" s="5">
        <f t="shared" si="32"/>
        <v>0</v>
      </c>
      <c r="K41" s="1"/>
      <c r="L41" s="1">
        <f t="shared" si="33"/>
        <v>0</v>
      </c>
      <c r="M41" s="1"/>
      <c r="N41" s="5">
        <f t="shared" si="34"/>
        <v>0</v>
      </c>
      <c r="O41" s="12"/>
      <c r="P41" s="1">
        <f>SUM(OSRRefP22_3x_0)</f>
        <v>0</v>
      </c>
      <c r="Q41" s="1"/>
      <c r="R41" s="5">
        <f t="shared" si="35"/>
        <v>0</v>
      </c>
      <c r="S41" s="1"/>
      <c r="T41" s="1">
        <f>SUM(OSRRefT22_3x_0)</f>
        <v>-326.89</v>
      </c>
      <c r="U41" s="1"/>
      <c r="V41" s="5">
        <f t="shared" si="36"/>
        <v>-3.0584889010180119E-4</v>
      </c>
      <c r="W41" s="1"/>
      <c r="X41" s="1">
        <f t="shared" si="37"/>
        <v>326.89</v>
      </c>
      <c r="Y41" s="1"/>
      <c r="Z41" s="5">
        <f t="shared" si="38"/>
        <v>-1</v>
      </c>
    </row>
    <row r="42" spans="1:26" s="23" customFormat="1" hidden="1" outlineLevel="2" x14ac:dyDescent="0.25">
      <c r="A42" s="27"/>
      <c r="B42" s="10" t="str">
        <f>CONCATENATE("          ", "6272", " - ", "CASH (OVER/SHORT)")</f>
        <v xml:space="preserve">          6272 - CASH (OVER/SHORT)</v>
      </c>
      <c r="C42" s="10"/>
      <c r="D42" s="6"/>
      <c r="E42" s="2"/>
      <c r="F42" s="7">
        <f t="shared" si="31"/>
        <v>0</v>
      </c>
      <c r="G42" s="2"/>
      <c r="H42" s="6"/>
      <c r="I42" s="2"/>
      <c r="J42" s="7">
        <f t="shared" si="32"/>
        <v>0</v>
      </c>
      <c r="K42" s="2"/>
      <c r="L42" s="6">
        <f t="shared" si="33"/>
        <v>0</v>
      </c>
      <c r="M42" s="2"/>
      <c r="N42" s="7">
        <f t="shared" si="34"/>
        <v>0</v>
      </c>
      <c r="O42" s="10"/>
      <c r="P42" s="6"/>
      <c r="Q42" s="2"/>
      <c r="R42" s="7">
        <f t="shared" si="35"/>
        <v>0</v>
      </c>
      <c r="S42" s="2"/>
      <c r="T42" s="6">
        <v>-326.89</v>
      </c>
      <c r="U42" s="2"/>
      <c r="V42" s="7">
        <f t="shared" si="36"/>
        <v>-3.0584889010180119E-4</v>
      </c>
      <c r="W42" s="2"/>
      <c r="X42" s="6">
        <f t="shared" si="37"/>
        <v>326.89</v>
      </c>
      <c r="Y42" s="2"/>
      <c r="Z42" s="7">
        <f t="shared" si="38"/>
        <v>-1</v>
      </c>
    </row>
    <row r="43" spans="1:26" s="26" customFormat="1" outlineLevel="1" collapsed="1" x14ac:dyDescent="0.25">
      <c r="A43" s="25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SUM(OSRRefD22_4x_0)</f>
        <v>0</v>
      </c>
      <c r="E43" s="1"/>
      <c r="F43" s="5">
        <f t="shared" si="31"/>
        <v>0</v>
      </c>
      <c r="G43" s="1"/>
      <c r="H43" s="1">
        <f>SUM(OSRRefH22_4x_0)</f>
        <v>840.24</v>
      </c>
      <c r="I43" s="1"/>
      <c r="J43" s="5">
        <f t="shared" si="32"/>
        <v>0</v>
      </c>
      <c r="K43" s="1"/>
      <c r="L43" s="1">
        <f t="shared" si="33"/>
        <v>-840.24</v>
      </c>
      <c r="M43" s="1"/>
      <c r="N43" s="5">
        <f t="shared" si="34"/>
        <v>-1</v>
      </c>
      <c r="O43" s="12"/>
      <c r="P43" s="1">
        <f>SUM(OSRRefP22_4x_0)</f>
        <v>0</v>
      </c>
      <c r="Q43" s="1"/>
      <c r="R43" s="5">
        <f t="shared" si="35"/>
        <v>0</v>
      </c>
      <c r="S43" s="1"/>
      <c r="T43" s="1">
        <f>SUM(OSRRefT22_4x_0)</f>
        <v>42823.43</v>
      </c>
      <c r="U43" s="1"/>
      <c r="V43" s="5">
        <f t="shared" si="36"/>
        <v>4.0066990534590161E-2</v>
      </c>
      <c r="W43" s="1"/>
      <c r="X43" s="1">
        <f t="shared" si="37"/>
        <v>-42823.43</v>
      </c>
      <c r="Y43" s="1"/>
      <c r="Z43" s="5">
        <f t="shared" si="38"/>
        <v>-1</v>
      </c>
    </row>
    <row r="44" spans="1:26" s="23" customFormat="1" hidden="1" outlineLevel="2" x14ac:dyDescent="0.25">
      <c r="A44" s="27"/>
      <c r="B44" s="10" t="str">
        <f>CONCATENATE("          ", "6381", " - ", "BANK/CREDIT CARD FEES")</f>
        <v xml:space="preserve">          6381 - BANK/CREDIT CARD FEES</v>
      </c>
      <c r="C44" s="10"/>
      <c r="D44" s="6"/>
      <c r="E44" s="2"/>
      <c r="F44" s="7">
        <f t="shared" si="31"/>
        <v>0</v>
      </c>
      <c r="G44" s="2"/>
      <c r="H44" s="6">
        <v>840.24</v>
      </c>
      <c r="I44" s="2"/>
      <c r="J44" s="7">
        <f t="shared" si="32"/>
        <v>0</v>
      </c>
      <c r="K44" s="2"/>
      <c r="L44" s="6">
        <f t="shared" si="33"/>
        <v>-840.24</v>
      </c>
      <c r="M44" s="2"/>
      <c r="N44" s="7">
        <f t="shared" si="34"/>
        <v>-1</v>
      </c>
      <c r="O44" s="10"/>
      <c r="P44" s="6"/>
      <c r="Q44" s="2"/>
      <c r="R44" s="7">
        <f t="shared" si="35"/>
        <v>0</v>
      </c>
      <c r="S44" s="2"/>
      <c r="T44" s="6">
        <v>42823.43</v>
      </c>
      <c r="U44" s="2"/>
      <c r="V44" s="7">
        <f t="shared" si="36"/>
        <v>4.0066990534590161E-2</v>
      </c>
      <c r="W44" s="2"/>
      <c r="X44" s="6">
        <f t="shared" si="37"/>
        <v>-42823.43</v>
      </c>
      <c r="Y44" s="2"/>
      <c r="Z44" s="7">
        <f t="shared" si="38"/>
        <v>-1</v>
      </c>
    </row>
    <row r="45" spans="1:26" s="26" customFormat="1" outlineLevel="1" collapsed="1" x14ac:dyDescent="0.25">
      <c r="A45" s="25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SUM(OSRRefD22_5x_0)</f>
        <v>6745.17</v>
      </c>
      <c r="E45" s="1"/>
      <c r="F45" s="5">
        <f t="shared" si="31"/>
        <v>0</v>
      </c>
      <c r="G45" s="1"/>
      <c r="H45" s="1">
        <f>SUM(OSRRefH22_5x_0)</f>
        <v>7177.58</v>
      </c>
      <c r="I45" s="1"/>
      <c r="J45" s="5">
        <f t="shared" si="32"/>
        <v>0</v>
      </c>
      <c r="K45" s="1"/>
      <c r="L45" s="1">
        <f t="shared" si="33"/>
        <v>-432.40999999999985</v>
      </c>
      <c r="M45" s="1"/>
      <c r="N45" s="5">
        <f t="shared" si="34"/>
        <v>-6.0244539245818206E-2</v>
      </c>
      <c r="O45" s="12"/>
      <c r="P45" s="1">
        <f>SUM(OSRRefP22_5x_0)</f>
        <v>68748.850000000006</v>
      </c>
      <c r="Q45" s="1"/>
      <c r="R45" s="5">
        <f t="shared" si="35"/>
        <v>0</v>
      </c>
      <c r="S45" s="1"/>
      <c r="T45" s="1">
        <f>SUM(OSRRefT22_5x_0)</f>
        <v>81756.899999999994</v>
      </c>
      <c r="U45" s="1"/>
      <c r="V45" s="5">
        <f t="shared" si="36"/>
        <v>7.649440828157468E-2</v>
      </c>
      <c r="W45" s="1"/>
      <c r="X45" s="1">
        <f t="shared" si="37"/>
        <v>-13008.049999999988</v>
      </c>
      <c r="Y45" s="1"/>
      <c r="Z45" s="5">
        <f t="shared" si="38"/>
        <v>-0.15910644850770991</v>
      </c>
    </row>
    <row r="46" spans="1:26" s="23" customFormat="1" hidden="1" outlineLevel="2" x14ac:dyDescent="0.25">
      <c r="A46" s="27"/>
      <c r="B46" s="10" t="str">
        <f>CONCATENATE("          ", "6321", " - ", "BUILDING DEPRECIATION")</f>
        <v xml:space="preserve">          6321 - BUILDING DEPRECIATION</v>
      </c>
      <c r="C46" s="10"/>
      <c r="D46" s="6">
        <v>6537.05</v>
      </c>
      <c r="E46" s="2"/>
      <c r="F46" s="7">
        <f t="shared" si="31"/>
        <v>0</v>
      </c>
      <c r="G46" s="2"/>
      <c r="H46" s="6">
        <v>6537.05</v>
      </c>
      <c r="I46" s="2"/>
      <c r="J46" s="7">
        <f t="shared" si="32"/>
        <v>0</v>
      </c>
      <c r="K46" s="2"/>
      <c r="L46" s="6">
        <f t="shared" si="33"/>
        <v>0</v>
      </c>
      <c r="M46" s="2"/>
      <c r="N46" s="7">
        <f t="shared" si="34"/>
        <v>0</v>
      </c>
      <c r="O46" s="10"/>
      <c r="P46" s="6">
        <v>65370.5</v>
      </c>
      <c r="Q46" s="2"/>
      <c r="R46" s="7">
        <f t="shared" si="35"/>
        <v>0</v>
      </c>
      <c r="S46" s="2"/>
      <c r="T46" s="6">
        <v>65370.5</v>
      </c>
      <c r="U46" s="2"/>
      <c r="V46" s="7">
        <f t="shared" si="36"/>
        <v>6.1162760777019168E-2</v>
      </c>
      <c r="W46" s="2"/>
      <c r="X46" s="6">
        <f t="shared" si="37"/>
        <v>0</v>
      </c>
      <c r="Y46" s="2"/>
      <c r="Z46" s="7">
        <f t="shared" si="38"/>
        <v>0</v>
      </c>
    </row>
    <row r="47" spans="1:26" s="23" customFormat="1" hidden="1" outlineLevel="2" x14ac:dyDescent="0.25">
      <c r="A47" s="27"/>
      <c r="B47" s="10" t="str">
        <f>CONCATENATE("          ", "6322", " - ", "EQUIPMENT DEPRECIATION EXPENSE")</f>
        <v xml:space="preserve">          6322 - EQUIPMENT DEPRECIATION EXPENSE</v>
      </c>
      <c r="C47" s="10"/>
      <c r="D47" s="6">
        <v>208.12</v>
      </c>
      <c r="E47" s="2"/>
      <c r="F47" s="7">
        <f t="shared" si="31"/>
        <v>0</v>
      </c>
      <c r="G47" s="2"/>
      <c r="H47" s="6">
        <v>640.53</v>
      </c>
      <c r="I47" s="2"/>
      <c r="J47" s="7">
        <f t="shared" si="32"/>
        <v>0</v>
      </c>
      <c r="K47" s="2"/>
      <c r="L47" s="6">
        <f t="shared" si="33"/>
        <v>-432.40999999999997</v>
      </c>
      <c r="M47" s="2"/>
      <c r="N47" s="7">
        <f t="shared" si="34"/>
        <v>-0.67508157307229943</v>
      </c>
      <c r="O47" s="10"/>
      <c r="P47" s="6">
        <v>3378.35</v>
      </c>
      <c r="Q47" s="2"/>
      <c r="R47" s="7">
        <f t="shared" si="35"/>
        <v>0</v>
      </c>
      <c r="S47" s="2"/>
      <c r="T47" s="6">
        <v>16386.400000000001</v>
      </c>
      <c r="U47" s="2"/>
      <c r="V47" s="7">
        <f t="shared" si="36"/>
        <v>1.5331647504555526E-2</v>
      </c>
      <c r="W47" s="2"/>
      <c r="X47" s="6">
        <f t="shared" si="37"/>
        <v>-13008.050000000001</v>
      </c>
      <c r="Y47" s="2"/>
      <c r="Z47" s="7">
        <f t="shared" si="38"/>
        <v>-0.7938320802616804</v>
      </c>
    </row>
    <row r="48" spans="1:26" s="26" customFormat="1" outlineLevel="1" collapsed="1" x14ac:dyDescent="0.25">
      <c r="A48" s="25"/>
      <c r="B48" s="12" t="str">
        <f>CONCATENATE("     ","Discounts and Markdowns                           ")</f>
        <v xml:space="preserve">     Discounts and Markdowns                           </v>
      </c>
      <c r="C48" s="12"/>
      <c r="D48" s="1">
        <f>SUM(OSRRefD22_6x_0)</f>
        <v>0</v>
      </c>
      <c r="E48" s="1"/>
      <c r="F48" s="5">
        <f t="shared" ref="F48:F58" si="39">IF(D$12=0,0,D48/D$12)</f>
        <v>0</v>
      </c>
      <c r="G48" s="1"/>
      <c r="H48" s="1">
        <f>SUM(OSRRefH22_6x_0)</f>
        <v>0</v>
      </c>
      <c r="I48" s="1"/>
      <c r="J48" s="5">
        <f t="shared" ref="J48:J58" si="40">IF(H$12=0,0,H48/H$12)</f>
        <v>0</v>
      </c>
      <c r="K48" s="1"/>
      <c r="L48" s="1">
        <f t="shared" ref="L48:L58" si="41">+D48-H48</f>
        <v>0</v>
      </c>
      <c r="M48" s="1"/>
      <c r="N48" s="5">
        <f t="shared" ref="N48:N58" si="42">IF(H48=0,0,L48/H48)</f>
        <v>0</v>
      </c>
      <c r="O48" s="12"/>
      <c r="P48" s="1">
        <f>SUM(OSRRefP22_6x_0)</f>
        <v>0</v>
      </c>
      <c r="Q48" s="1"/>
      <c r="R48" s="5">
        <f t="shared" ref="R48:R58" si="43">IF(P$12=0,0,P48/P$12)</f>
        <v>0</v>
      </c>
      <c r="S48" s="1"/>
      <c r="T48" s="1">
        <f>SUM(OSRRefT22_6x_0)</f>
        <v>0.09</v>
      </c>
      <c r="U48" s="1"/>
      <c r="V48" s="5">
        <f t="shared" ref="V48:V58" si="44">IF(T$12=0,0,T48/T$12)</f>
        <v>8.4206920092881724E-8</v>
      </c>
      <c r="W48" s="1"/>
      <c r="X48" s="1">
        <f t="shared" ref="X48:X58" si="45">+P48-T48</f>
        <v>-0.09</v>
      </c>
      <c r="Y48" s="1"/>
      <c r="Z48" s="5">
        <f t="shared" ref="Z48:Z58" si="46">IF(T48=0,0,X48/T48)</f>
        <v>-1</v>
      </c>
    </row>
    <row r="49" spans="1:26" s="23" customFormat="1" hidden="1" outlineLevel="2" x14ac:dyDescent="0.25">
      <c r="A49" s="27"/>
      <c r="B49" s="10" t="str">
        <f>CONCATENATE("          ", "6382", " - ", "DISCOUNTS/MARK DOWNS")</f>
        <v xml:space="preserve">          6382 - DISCOUNTS/MARK DOWNS</v>
      </c>
      <c r="C49" s="10"/>
      <c r="D49" s="6"/>
      <c r="E49" s="2"/>
      <c r="F49" s="7">
        <f t="shared" si="39"/>
        <v>0</v>
      </c>
      <c r="G49" s="2"/>
      <c r="H49" s="6"/>
      <c r="I49" s="2"/>
      <c r="J49" s="7">
        <f t="shared" si="40"/>
        <v>0</v>
      </c>
      <c r="K49" s="2"/>
      <c r="L49" s="6">
        <f t="shared" si="41"/>
        <v>0</v>
      </c>
      <c r="M49" s="2"/>
      <c r="N49" s="7">
        <f t="shared" si="42"/>
        <v>0</v>
      </c>
      <c r="O49" s="10"/>
      <c r="P49" s="6"/>
      <c r="Q49" s="2"/>
      <c r="R49" s="7">
        <f t="shared" si="43"/>
        <v>0</v>
      </c>
      <c r="S49" s="2"/>
      <c r="T49" s="6">
        <v>0.09</v>
      </c>
      <c r="U49" s="2"/>
      <c r="V49" s="7">
        <f t="shared" si="44"/>
        <v>8.4206920092881724E-8</v>
      </c>
      <c r="W49" s="2"/>
      <c r="X49" s="6">
        <f t="shared" si="45"/>
        <v>-0.09</v>
      </c>
      <c r="Y49" s="2"/>
      <c r="Z49" s="7">
        <f t="shared" si="46"/>
        <v>-1</v>
      </c>
    </row>
    <row r="50" spans="1:26" s="26" customFormat="1" outlineLevel="1" collapsed="1" x14ac:dyDescent="0.25">
      <c r="A50" s="25"/>
      <c r="B50" s="12" t="str">
        <f>CONCATENATE("     ","Donations                                         ")</f>
        <v xml:space="preserve">     Donations                                         </v>
      </c>
      <c r="C50" s="12"/>
      <c r="D50" s="1">
        <f>SUM(OSRRefD22_7x_0)</f>
        <v>0</v>
      </c>
      <c r="E50" s="1"/>
      <c r="F50" s="5">
        <f t="shared" si="39"/>
        <v>0</v>
      </c>
      <c r="G50" s="1"/>
      <c r="H50" s="1">
        <f>SUM(OSRRefH22_7x_0)</f>
        <v>0</v>
      </c>
      <c r="I50" s="1"/>
      <c r="J50" s="5">
        <f t="shared" si="40"/>
        <v>0</v>
      </c>
      <c r="K50" s="1"/>
      <c r="L50" s="1">
        <f t="shared" si="41"/>
        <v>0</v>
      </c>
      <c r="M50" s="1"/>
      <c r="N50" s="5">
        <f t="shared" si="42"/>
        <v>0</v>
      </c>
      <c r="O50" s="12"/>
      <c r="P50" s="1">
        <f>SUM(OSRRefP22_7x_0)</f>
        <v>0</v>
      </c>
      <c r="Q50" s="1"/>
      <c r="R50" s="5">
        <f t="shared" si="43"/>
        <v>0</v>
      </c>
      <c r="S50" s="1"/>
      <c r="T50" s="1">
        <f>SUM(OSRRefT22_7x_0)</f>
        <v>73</v>
      </c>
      <c r="U50" s="1"/>
      <c r="V50" s="5">
        <f t="shared" si="44"/>
        <v>6.8301168519781851E-5</v>
      </c>
      <c r="W50" s="1"/>
      <c r="X50" s="1">
        <f t="shared" si="45"/>
        <v>-73</v>
      </c>
      <c r="Y50" s="1"/>
      <c r="Z50" s="5">
        <f t="shared" si="46"/>
        <v>-1</v>
      </c>
    </row>
    <row r="51" spans="1:26" s="23" customFormat="1" hidden="1" outlineLevel="2" x14ac:dyDescent="0.25">
      <c r="A51" s="27"/>
      <c r="B51" s="10" t="str">
        <f>CONCATENATE("          ", "6399", " - ", "DONATION-ON CAMPUS")</f>
        <v xml:space="preserve">          6399 - DONATION-ON CAMPUS</v>
      </c>
      <c r="C51" s="10"/>
      <c r="D51" s="6"/>
      <c r="E51" s="2"/>
      <c r="F51" s="7">
        <f t="shared" si="39"/>
        <v>0</v>
      </c>
      <c r="G51" s="2"/>
      <c r="H51" s="6"/>
      <c r="I51" s="2"/>
      <c r="J51" s="7">
        <f t="shared" si="40"/>
        <v>0</v>
      </c>
      <c r="K51" s="2"/>
      <c r="L51" s="6">
        <f t="shared" si="41"/>
        <v>0</v>
      </c>
      <c r="M51" s="2"/>
      <c r="N51" s="7">
        <f t="shared" si="42"/>
        <v>0</v>
      </c>
      <c r="O51" s="10"/>
      <c r="P51" s="6"/>
      <c r="Q51" s="2"/>
      <c r="R51" s="7">
        <f t="shared" si="43"/>
        <v>0</v>
      </c>
      <c r="S51" s="2"/>
      <c r="T51" s="6">
        <v>73</v>
      </c>
      <c r="U51" s="2"/>
      <c r="V51" s="7">
        <f t="shared" si="44"/>
        <v>6.8301168519781851E-5</v>
      </c>
      <c r="W51" s="2"/>
      <c r="X51" s="6">
        <f t="shared" si="45"/>
        <v>-73</v>
      </c>
      <c r="Y51" s="2"/>
      <c r="Z51" s="7">
        <f t="shared" si="46"/>
        <v>-1</v>
      </c>
    </row>
    <row r="52" spans="1:26" s="26" customFormat="1" outlineLevel="1" collapsed="1" x14ac:dyDescent="0.25">
      <c r="A52" s="25"/>
      <c r="B52" s="12" t="str">
        <f>CONCATENATE("     ","Employees' Appreciation                           ")</f>
        <v xml:space="preserve">     Employees' Appreciation                           </v>
      </c>
      <c r="C52" s="12"/>
      <c r="D52" s="1">
        <f>SUM(OSRRefD22_8x_0)</f>
        <v>0</v>
      </c>
      <c r="E52" s="1"/>
      <c r="F52" s="5">
        <f t="shared" si="39"/>
        <v>0</v>
      </c>
      <c r="G52" s="1"/>
      <c r="H52" s="1">
        <f>SUM(OSRRefH22_8x_0)</f>
        <v>0</v>
      </c>
      <c r="I52" s="1"/>
      <c r="J52" s="5">
        <f t="shared" si="40"/>
        <v>0</v>
      </c>
      <c r="K52" s="1"/>
      <c r="L52" s="1">
        <f t="shared" si="41"/>
        <v>0</v>
      </c>
      <c r="M52" s="1"/>
      <c r="N52" s="5">
        <f t="shared" si="42"/>
        <v>0</v>
      </c>
      <c r="O52" s="12"/>
      <c r="P52" s="1">
        <f>SUM(OSRRefP22_8x_0)</f>
        <v>0</v>
      </c>
      <c r="Q52" s="1"/>
      <c r="R52" s="5">
        <f t="shared" si="43"/>
        <v>0</v>
      </c>
      <c r="S52" s="1"/>
      <c r="T52" s="1">
        <f>SUM(OSRRefT22_8x_0)</f>
        <v>8.25</v>
      </c>
      <c r="U52" s="1"/>
      <c r="V52" s="5">
        <f t="shared" si="44"/>
        <v>7.7189676751808245E-6</v>
      </c>
      <c r="W52" s="1"/>
      <c r="X52" s="1">
        <f t="shared" si="45"/>
        <v>-8.25</v>
      </c>
      <c r="Y52" s="1"/>
      <c r="Z52" s="5">
        <f t="shared" si="46"/>
        <v>-1</v>
      </c>
    </row>
    <row r="53" spans="1:26" s="23" customFormat="1" hidden="1" outlineLevel="2" x14ac:dyDescent="0.25">
      <c r="A53" s="27"/>
      <c r="B53" s="10" t="str">
        <f>CONCATENATE("          ", "6277", " - ", "EMPLOYEE APPRECIATION")</f>
        <v xml:space="preserve">          6277 - EMPLOYEE APPRECIATION</v>
      </c>
      <c r="C53" s="10"/>
      <c r="D53" s="6"/>
      <c r="E53" s="2"/>
      <c r="F53" s="7">
        <f t="shared" si="39"/>
        <v>0</v>
      </c>
      <c r="G53" s="2"/>
      <c r="H53" s="6"/>
      <c r="I53" s="2"/>
      <c r="J53" s="7">
        <f t="shared" si="40"/>
        <v>0</v>
      </c>
      <c r="K53" s="2"/>
      <c r="L53" s="6">
        <f t="shared" si="41"/>
        <v>0</v>
      </c>
      <c r="M53" s="2"/>
      <c r="N53" s="7">
        <f t="shared" si="42"/>
        <v>0</v>
      </c>
      <c r="O53" s="10"/>
      <c r="P53" s="6"/>
      <c r="Q53" s="2"/>
      <c r="R53" s="7">
        <f t="shared" si="43"/>
        <v>0</v>
      </c>
      <c r="S53" s="2"/>
      <c r="T53" s="6">
        <v>8.25</v>
      </c>
      <c r="U53" s="2"/>
      <c r="V53" s="7">
        <f t="shared" si="44"/>
        <v>7.7189676751808245E-6</v>
      </c>
      <c r="W53" s="2"/>
      <c r="X53" s="6">
        <f t="shared" si="45"/>
        <v>-8.25</v>
      </c>
      <c r="Y53" s="2"/>
      <c r="Z53" s="7">
        <f t="shared" si="46"/>
        <v>-1</v>
      </c>
    </row>
    <row r="54" spans="1:26" s="26" customFormat="1" outlineLevel="1" collapsed="1" x14ac:dyDescent="0.25">
      <c r="A54" s="25"/>
      <c r="B54" s="12" t="str">
        <f>CONCATENATE("     ","Equipment Rental                                  ")</f>
        <v xml:space="preserve">     Equipment Rental                                  </v>
      </c>
      <c r="C54" s="12"/>
      <c r="D54" s="1">
        <f>SUM(OSRRefD22_9x_0)</f>
        <v>0</v>
      </c>
      <c r="E54" s="1"/>
      <c r="F54" s="5">
        <f t="shared" si="39"/>
        <v>0</v>
      </c>
      <c r="G54" s="1"/>
      <c r="H54" s="1">
        <f>SUM(OSRRefH22_9x_0)</f>
        <v>263.72000000000003</v>
      </c>
      <c r="I54" s="1"/>
      <c r="J54" s="5">
        <f t="shared" si="40"/>
        <v>0</v>
      </c>
      <c r="K54" s="1"/>
      <c r="L54" s="1">
        <f t="shared" si="41"/>
        <v>-263.72000000000003</v>
      </c>
      <c r="M54" s="1"/>
      <c r="N54" s="5">
        <f t="shared" si="42"/>
        <v>-1</v>
      </c>
      <c r="O54" s="12"/>
      <c r="P54" s="1">
        <f>SUM(OSRRefP22_9x_0)</f>
        <v>263.72000000000003</v>
      </c>
      <c r="Q54" s="1"/>
      <c r="R54" s="5">
        <f t="shared" si="43"/>
        <v>0</v>
      </c>
      <c r="S54" s="1"/>
      <c r="T54" s="1">
        <f>SUM(OSRRefT22_9x_0)</f>
        <v>6587.42</v>
      </c>
      <c r="U54" s="1"/>
      <c r="V54" s="5">
        <f t="shared" si="44"/>
        <v>6.1634038839805663E-3</v>
      </c>
      <c r="W54" s="1"/>
      <c r="X54" s="1">
        <f t="shared" si="45"/>
        <v>-6323.7</v>
      </c>
      <c r="Y54" s="1"/>
      <c r="Z54" s="5">
        <f t="shared" si="46"/>
        <v>-0.95996611723557934</v>
      </c>
    </row>
    <row r="55" spans="1:26" s="23" customFormat="1" hidden="1" outlineLevel="2" x14ac:dyDescent="0.25">
      <c r="A55" s="27"/>
      <c r="B55" s="10" t="str">
        <f>CONCATENATE("          ", "6351", " - ", "EQUIPMENT RENTAL")</f>
        <v xml:space="preserve">          6351 - EQUIPMENT RENTAL</v>
      </c>
      <c r="C55" s="10"/>
      <c r="D55" s="6"/>
      <c r="E55" s="2"/>
      <c r="F55" s="7">
        <f t="shared" si="39"/>
        <v>0</v>
      </c>
      <c r="G55" s="2"/>
      <c r="H55" s="6">
        <v>263.72000000000003</v>
      </c>
      <c r="I55" s="2"/>
      <c r="J55" s="7">
        <f t="shared" si="40"/>
        <v>0</v>
      </c>
      <c r="K55" s="2"/>
      <c r="L55" s="6">
        <f t="shared" si="41"/>
        <v>-263.72000000000003</v>
      </c>
      <c r="M55" s="2"/>
      <c r="N55" s="7">
        <f t="shared" si="42"/>
        <v>-1</v>
      </c>
      <c r="O55" s="10"/>
      <c r="P55" s="6">
        <v>263.72000000000003</v>
      </c>
      <c r="Q55" s="2"/>
      <c r="R55" s="7">
        <f t="shared" si="43"/>
        <v>0</v>
      </c>
      <c r="S55" s="2"/>
      <c r="T55" s="6">
        <v>6587.42</v>
      </c>
      <c r="U55" s="2"/>
      <c r="V55" s="7">
        <f t="shared" si="44"/>
        <v>6.1634038839805663E-3</v>
      </c>
      <c r="W55" s="2"/>
      <c r="X55" s="6">
        <f t="shared" si="45"/>
        <v>-6323.7</v>
      </c>
      <c r="Y55" s="2"/>
      <c r="Z55" s="7">
        <f t="shared" si="46"/>
        <v>-0.95996611723557934</v>
      </c>
    </row>
    <row r="56" spans="1:26" s="26" customFormat="1" outlineLevel="1" collapsed="1" x14ac:dyDescent="0.25">
      <c r="A56" s="25"/>
      <c r="B56" s="12" t="str">
        <f>CONCATENATE("     ","General                                           ")</f>
        <v xml:space="preserve">     General                                           </v>
      </c>
      <c r="C56" s="12"/>
      <c r="D56" s="1">
        <f>SUM(OSRRefD22_10x_0)</f>
        <v>0</v>
      </c>
      <c r="E56" s="1"/>
      <c r="F56" s="5">
        <f t="shared" si="39"/>
        <v>0</v>
      </c>
      <c r="G56" s="1"/>
      <c r="H56" s="1">
        <f>SUM(OSRRefH22_10x_0)</f>
        <v>0</v>
      </c>
      <c r="I56" s="1"/>
      <c r="J56" s="5">
        <f t="shared" si="40"/>
        <v>0</v>
      </c>
      <c r="K56" s="1"/>
      <c r="L56" s="1">
        <f t="shared" si="41"/>
        <v>0</v>
      </c>
      <c r="M56" s="1"/>
      <c r="N56" s="5">
        <f t="shared" si="42"/>
        <v>0</v>
      </c>
      <c r="O56" s="12"/>
      <c r="P56" s="1">
        <f>SUM(OSRRefP22_10x_0)</f>
        <v>2969.55</v>
      </c>
      <c r="Q56" s="1"/>
      <c r="R56" s="5">
        <f t="shared" si="43"/>
        <v>0</v>
      </c>
      <c r="S56" s="1"/>
      <c r="T56" s="1">
        <f>SUM(OSRRefT22_10x_0)</f>
        <v>13442.380000000001</v>
      </c>
      <c r="U56" s="1"/>
      <c r="V56" s="5">
        <f t="shared" si="44"/>
        <v>1.2577126872423907E-2</v>
      </c>
      <c r="W56" s="1"/>
      <c r="X56" s="1">
        <f t="shared" si="45"/>
        <v>-10472.830000000002</v>
      </c>
      <c r="Y56" s="1"/>
      <c r="Z56" s="5">
        <f t="shared" si="46"/>
        <v>-0.77909045868365578</v>
      </c>
    </row>
    <row r="57" spans="1:26" s="23" customFormat="1" hidden="1" outlineLevel="2" x14ac:dyDescent="0.25">
      <c r="A57" s="27"/>
      <c r="B57" s="10" t="str">
        <f>CONCATENATE("          ", "6269", " - ", "ENTERTAINMENT")</f>
        <v xml:space="preserve">          6269 - ENTERTAINMENT</v>
      </c>
      <c r="C57" s="10"/>
      <c r="D57" s="6"/>
      <c r="E57" s="2"/>
      <c r="F57" s="7">
        <f t="shared" si="39"/>
        <v>0</v>
      </c>
      <c r="G57" s="2"/>
      <c r="H57" s="6"/>
      <c r="I57" s="2"/>
      <c r="J57" s="7">
        <f t="shared" si="40"/>
        <v>0</v>
      </c>
      <c r="K57" s="2"/>
      <c r="L57" s="6">
        <f t="shared" si="41"/>
        <v>0</v>
      </c>
      <c r="M57" s="2"/>
      <c r="N57" s="7">
        <f t="shared" si="42"/>
        <v>0</v>
      </c>
      <c r="O57" s="10"/>
      <c r="P57" s="6"/>
      <c r="Q57" s="2"/>
      <c r="R57" s="7">
        <f t="shared" si="43"/>
        <v>0</v>
      </c>
      <c r="S57" s="2"/>
      <c r="T57" s="6">
        <v>10050</v>
      </c>
      <c r="U57" s="2"/>
      <c r="V57" s="7">
        <f t="shared" si="44"/>
        <v>9.4031060770384603E-3</v>
      </c>
      <c r="W57" s="2"/>
      <c r="X57" s="6">
        <f t="shared" si="45"/>
        <v>-10050</v>
      </c>
      <c r="Y57" s="2"/>
      <c r="Z57" s="7">
        <f t="shared" si="46"/>
        <v>-1</v>
      </c>
    </row>
    <row r="58" spans="1:26" s="23" customFormat="1" hidden="1" outlineLevel="2" x14ac:dyDescent="0.25">
      <c r="A58" s="27"/>
      <c r="B58" s="10" t="str">
        <f>CONCATENATE("          ", "6279", " - ", "GENERAL EXPENSE")</f>
        <v xml:space="preserve">          6279 - GENERAL EXPENSE</v>
      </c>
      <c r="C58" s="10"/>
      <c r="D58" s="6"/>
      <c r="E58" s="2"/>
      <c r="F58" s="7">
        <f t="shared" si="39"/>
        <v>0</v>
      </c>
      <c r="G58" s="2"/>
      <c r="H58" s="6"/>
      <c r="I58" s="2"/>
      <c r="J58" s="7">
        <f t="shared" si="40"/>
        <v>0</v>
      </c>
      <c r="K58" s="2"/>
      <c r="L58" s="6">
        <f t="shared" si="41"/>
        <v>0</v>
      </c>
      <c r="M58" s="2"/>
      <c r="N58" s="7">
        <f t="shared" si="42"/>
        <v>0</v>
      </c>
      <c r="O58" s="10"/>
      <c r="P58" s="6">
        <v>2969.55</v>
      </c>
      <c r="Q58" s="2"/>
      <c r="R58" s="7">
        <f t="shared" si="43"/>
        <v>0</v>
      </c>
      <c r="S58" s="2"/>
      <c r="T58" s="6">
        <v>3392.38</v>
      </c>
      <c r="U58" s="2"/>
      <c r="V58" s="7">
        <f t="shared" si="44"/>
        <v>3.1740207953854459E-3</v>
      </c>
      <c r="W58" s="2"/>
      <c r="X58" s="6">
        <f t="shared" si="45"/>
        <v>-422.82999999999993</v>
      </c>
      <c r="Y58" s="2"/>
      <c r="Z58" s="7">
        <f t="shared" si="46"/>
        <v>-0.12464110742310705</v>
      </c>
    </row>
    <row r="59" spans="1:26" s="26" customFormat="1" outlineLevel="1" collapsed="1" x14ac:dyDescent="0.25">
      <c r="A59" s="25"/>
      <c r="B59" s="12" t="str">
        <f>CONCATENATE("     ","Repair and Maintenance                            ")</f>
        <v xml:space="preserve">     Repair and Maintenance                            </v>
      </c>
      <c r="C59" s="12"/>
      <c r="D59" s="1">
        <f>SUM(OSRRefD22_11x_0)</f>
        <v>0</v>
      </c>
      <c r="E59" s="1"/>
      <c r="F59" s="5">
        <f t="shared" ref="F59:F62" si="47">IF(D$12=0,0,D59/D$12)</f>
        <v>0</v>
      </c>
      <c r="G59" s="1"/>
      <c r="H59" s="1">
        <f>SUM(OSRRefH22_11x_0)</f>
        <v>0</v>
      </c>
      <c r="I59" s="1"/>
      <c r="J59" s="5">
        <f t="shared" ref="J59:J62" si="48">IF(H$12=0,0,H59/H$12)</f>
        <v>0</v>
      </c>
      <c r="K59" s="1"/>
      <c r="L59" s="1">
        <f t="shared" ref="L59:L62" si="49">+D59-H59</f>
        <v>0</v>
      </c>
      <c r="M59" s="1"/>
      <c r="N59" s="5">
        <f t="shared" ref="N59:N62" si="50">IF(H59=0,0,L59/H59)</f>
        <v>0</v>
      </c>
      <c r="O59" s="12"/>
      <c r="P59" s="1">
        <f>SUM(OSRRefP22_11x_0)</f>
        <v>675.19</v>
      </c>
      <c r="Q59" s="1"/>
      <c r="R59" s="5">
        <f t="shared" ref="R59:R62" si="51">IF(P$12=0,0,P59/P$12)</f>
        <v>0</v>
      </c>
      <c r="S59" s="1"/>
      <c r="T59" s="1">
        <f>SUM(OSRRefT22_11x_0)</f>
        <v>17856.98</v>
      </c>
      <c r="U59" s="1"/>
      <c r="V59" s="5">
        <f t="shared" ref="V59:V62" si="52">IF(T$12=0,0,T59/T$12)</f>
        <v>1.6707569866224303E-2</v>
      </c>
      <c r="W59" s="1"/>
      <c r="X59" s="1">
        <f t="shared" ref="X59:X62" si="53">+P59-T59</f>
        <v>-17181.79</v>
      </c>
      <c r="Y59" s="1"/>
      <c r="Z59" s="5">
        <f t="shared" ref="Z59:Z62" si="54">IF(T59=0,0,X59/T59)</f>
        <v>-0.96218901516381838</v>
      </c>
    </row>
    <row r="60" spans="1:26" s="23" customFormat="1" hidden="1" outlineLevel="2" x14ac:dyDescent="0.25">
      <c r="A60" s="27"/>
      <c r="B60" s="10" t="str">
        <f>CONCATENATE("          ", "6371", " - ", "COMPUTER SOFTWARE MAINTENANCE")</f>
        <v xml:space="preserve">          6371 - COMPUTER SOFTWARE MAINTENANCE</v>
      </c>
      <c r="C60" s="10"/>
      <c r="D60" s="6"/>
      <c r="E60" s="2"/>
      <c r="F60" s="7">
        <f t="shared" si="47"/>
        <v>0</v>
      </c>
      <c r="G60" s="2"/>
      <c r="H60" s="6"/>
      <c r="I60" s="2"/>
      <c r="J60" s="7">
        <f t="shared" si="48"/>
        <v>0</v>
      </c>
      <c r="K60" s="2"/>
      <c r="L60" s="6">
        <f t="shared" si="49"/>
        <v>0</v>
      </c>
      <c r="M60" s="2"/>
      <c r="N60" s="7">
        <f t="shared" si="50"/>
        <v>0</v>
      </c>
      <c r="O60" s="10"/>
      <c r="P60" s="6"/>
      <c r="Q60" s="2"/>
      <c r="R60" s="7">
        <f t="shared" si="51"/>
        <v>0</v>
      </c>
      <c r="S60" s="2"/>
      <c r="T60" s="6">
        <v>2623.85</v>
      </c>
      <c r="U60" s="2"/>
      <c r="V60" s="7">
        <f t="shared" si="52"/>
        <v>2.454959192063419E-3</v>
      </c>
      <c r="W60" s="2"/>
      <c r="X60" s="6">
        <f t="shared" si="53"/>
        <v>-2623.85</v>
      </c>
      <c r="Y60" s="2"/>
      <c r="Z60" s="7">
        <f t="shared" si="54"/>
        <v>-1</v>
      </c>
    </row>
    <row r="61" spans="1:26" s="23" customFormat="1" hidden="1" outlineLevel="2" x14ac:dyDescent="0.25">
      <c r="A61" s="27"/>
      <c r="B61" s="10" t="str">
        <f>CONCATENATE("          ", "6373", " - ", "MAINTENANCE CONTRACTS")</f>
        <v xml:space="preserve">          6373 - MAINTENANCE CONTRACTS</v>
      </c>
      <c r="C61" s="10"/>
      <c r="D61" s="6"/>
      <c r="E61" s="2"/>
      <c r="F61" s="7">
        <f t="shared" si="47"/>
        <v>0</v>
      </c>
      <c r="G61" s="2"/>
      <c r="H61" s="6"/>
      <c r="I61" s="2"/>
      <c r="J61" s="7">
        <f t="shared" si="48"/>
        <v>0</v>
      </c>
      <c r="K61" s="2"/>
      <c r="L61" s="6">
        <f t="shared" si="49"/>
        <v>0</v>
      </c>
      <c r="M61" s="2"/>
      <c r="N61" s="7">
        <f t="shared" si="50"/>
        <v>0</v>
      </c>
      <c r="O61" s="10"/>
      <c r="P61" s="6">
        <v>675.19</v>
      </c>
      <c r="Q61" s="2"/>
      <c r="R61" s="7">
        <f t="shared" si="51"/>
        <v>0</v>
      </c>
      <c r="S61" s="2"/>
      <c r="T61" s="6">
        <v>1443.95</v>
      </c>
      <c r="U61" s="2"/>
      <c r="V61" s="7">
        <f t="shared" si="52"/>
        <v>1.3510064696457397E-3</v>
      </c>
      <c r="W61" s="2"/>
      <c r="X61" s="6">
        <f t="shared" si="53"/>
        <v>-768.76</v>
      </c>
      <c r="Y61" s="2"/>
      <c r="Z61" s="7">
        <f t="shared" si="54"/>
        <v>-0.53240070639565085</v>
      </c>
    </row>
    <row r="62" spans="1:26" s="23" customFormat="1" hidden="1" outlineLevel="2" x14ac:dyDescent="0.25">
      <c r="A62" s="27"/>
      <c r="B62" s="10" t="str">
        <f>CONCATENATE("          ", "6375", " - ", "OUTSIDE REPAIRS &amp; MAINTENANCE")</f>
        <v xml:space="preserve">          6375 - OUTSIDE REPAIRS &amp; MAINTENANCE</v>
      </c>
      <c r="C62" s="10"/>
      <c r="D62" s="6"/>
      <c r="E62" s="2"/>
      <c r="F62" s="7">
        <f t="shared" si="47"/>
        <v>0</v>
      </c>
      <c r="G62" s="2"/>
      <c r="H62" s="6"/>
      <c r="I62" s="2"/>
      <c r="J62" s="7">
        <f t="shared" si="48"/>
        <v>0</v>
      </c>
      <c r="K62" s="2"/>
      <c r="L62" s="6">
        <f t="shared" si="49"/>
        <v>0</v>
      </c>
      <c r="M62" s="2"/>
      <c r="N62" s="7">
        <f t="shared" si="50"/>
        <v>0</v>
      </c>
      <c r="O62" s="10"/>
      <c r="P62" s="6"/>
      <c r="Q62" s="2"/>
      <c r="R62" s="7">
        <f t="shared" si="51"/>
        <v>0</v>
      </c>
      <c r="S62" s="2"/>
      <c r="T62" s="6">
        <v>13789.18</v>
      </c>
      <c r="U62" s="2"/>
      <c r="V62" s="7">
        <f t="shared" si="52"/>
        <v>1.2901604204515143E-2</v>
      </c>
      <c r="W62" s="2"/>
      <c r="X62" s="6">
        <f t="shared" si="53"/>
        <v>-13789.18</v>
      </c>
      <c r="Y62" s="2"/>
      <c r="Z62" s="7">
        <f t="shared" si="54"/>
        <v>-1</v>
      </c>
    </row>
    <row r="63" spans="1:26" s="26" customFormat="1" outlineLevel="1" collapsed="1" x14ac:dyDescent="0.25">
      <c r="A63" s="25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SUM(OSRRefD22_12x_0)</f>
        <v>0</v>
      </c>
      <c r="E63" s="1"/>
      <c r="F63" s="5">
        <f t="shared" ref="F63:F66" si="55">IF(D$12=0,0,D63/D$12)</f>
        <v>0</v>
      </c>
      <c r="G63" s="1"/>
      <c r="H63" s="1">
        <f>SUM(OSRRefH22_12x_0)</f>
        <v>79.5</v>
      </c>
      <c r="I63" s="1"/>
      <c r="J63" s="5">
        <f t="shared" ref="J63:J66" si="56">IF(H$12=0,0,H63/H$12)</f>
        <v>0</v>
      </c>
      <c r="K63" s="1"/>
      <c r="L63" s="1">
        <f t="shared" ref="L63:L66" si="57">+D63-H63</f>
        <v>-79.5</v>
      </c>
      <c r="M63" s="1"/>
      <c r="N63" s="5">
        <f t="shared" ref="N63:N66" si="58">IF(H63=0,0,L63/H63)</f>
        <v>-1</v>
      </c>
      <c r="O63" s="12"/>
      <c r="P63" s="1">
        <f>SUM(OSRRefP22_12x_0)</f>
        <v>0</v>
      </c>
      <c r="Q63" s="1"/>
      <c r="R63" s="5">
        <f t="shared" ref="R63:R66" si="59">IF(P$12=0,0,P63/P$12)</f>
        <v>0</v>
      </c>
      <c r="S63" s="1"/>
      <c r="T63" s="1">
        <f>SUM(OSRRefT22_12x_0)</f>
        <v>3851.3999999999996</v>
      </c>
      <c r="U63" s="1"/>
      <c r="V63" s="5">
        <f t="shared" ref="V63:V66" si="60">IF(T$12=0,0,T63/T$12)</f>
        <v>3.6034948005080518E-3</v>
      </c>
      <c r="W63" s="1"/>
      <c r="X63" s="1">
        <f t="shared" ref="X63:X66" si="61">+P63-T63</f>
        <v>-3851.3999999999996</v>
      </c>
      <c r="Y63" s="1"/>
      <c r="Z63" s="5">
        <f t="shared" ref="Z63:Z66" si="62">IF(T63=0,0,X63/T63)</f>
        <v>-1</v>
      </c>
    </row>
    <row r="64" spans="1:26" s="23" customFormat="1" hidden="1" outlineLevel="2" x14ac:dyDescent="0.25">
      <c r="A64" s="27"/>
      <c r="B64" s="10" t="str">
        <f>CONCATENATE("          ", "6283", " - ", "PLANT SERVICE")</f>
        <v xml:space="preserve">          6283 - PLANT SERVICE</v>
      </c>
      <c r="C64" s="10"/>
      <c r="D64" s="6"/>
      <c r="E64" s="2"/>
      <c r="F64" s="7">
        <f t="shared" si="55"/>
        <v>0</v>
      </c>
      <c r="G64" s="2"/>
      <c r="H64" s="6">
        <v>79.5</v>
      </c>
      <c r="I64" s="2"/>
      <c r="J64" s="7">
        <f t="shared" si="56"/>
        <v>0</v>
      </c>
      <c r="K64" s="2"/>
      <c r="L64" s="6">
        <f t="shared" si="57"/>
        <v>-79.5</v>
      </c>
      <c r="M64" s="2"/>
      <c r="N64" s="7">
        <f t="shared" si="58"/>
        <v>-1</v>
      </c>
      <c r="O64" s="10"/>
      <c r="P64" s="6"/>
      <c r="Q64" s="2"/>
      <c r="R64" s="7">
        <f t="shared" si="59"/>
        <v>0</v>
      </c>
      <c r="S64" s="2"/>
      <c r="T64" s="6">
        <v>357.75</v>
      </c>
      <c r="U64" s="2"/>
      <c r="V64" s="7">
        <f t="shared" si="60"/>
        <v>3.3472250736920489E-4</v>
      </c>
      <c r="W64" s="2"/>
      <c r="X64" s="6">
        <f t="shared" si="61"/>
        <v>-357.75</v>
      </c>
      <c r="Y64" s="2"/>
      <c r="Z64" s="7">
        <f t="shared" si="62"/>
        <v>-1</v>
      </c>
    </row>
    <row r="65" spans="1:26" s="23" customFormat="1" hidden="1" outlineLevel="2" x14ac:dyDescent="0.25">
      <c r="A65" s="27"/>
      <c r="B65" s="10" t="str">
        <f>CONCATENATE("          ", "6285", " - ", "JANITORIAL SERVICES")</f>
        <v xml:space="preserve">          6285 - JANITORIAL SERVICES</v>
      </c>
      <c r="C65" s="10"/>
      <c r="D65" s="6"/>
      <c r="E65" s="2"/>
      <c r="F65" s="7">
        <f t="shared" si="55"/>
        <v>0</v>
      </c>
      <c r="G65" s="2"/>
      <c r="H65" s="6"/>
      <c r="I65" s="2"/>
      <c r="J65" s="7">
        <f t="shared" si="56"/>
        <v>0</v>
      </c>
      <c r="K65" s="2"/>
      <c r="L65" s="6">
        <f t="shared" si="57"/>
        <v>0</v>
      </c>
      <c r="M65" s="2"/>
      <c r="N65" s="7">
        <f t="shared" si="58"/>
        <v>0</v>
      </c>
      <c r="O65" s="10"/>
      <c r="P65" s="6"/>
      <c r="Q65" s="2"/>
      <c r="R65" s="7">
        <f t="shared" si="59"/>
        <v>0</v>
      </c>
      <c r="S65" s="2"/>
      <c r="T65" s="6">
        <v>1876.6</v>
      </c>
      <c r="U65" s="2"/>
      <c r="V65" s="7">
        <f t="shared" si="60"/>
        <v>1.7558078471811315E-3</v>
      </c>
      <c r="W65" s="2"/>
      <c r="X65" s="6">
        <f t="shared" si="61"/>
        <v>-1876.6</v>
      </c>
      <c r="Y65" s="2"/>
      <c r="Z65" s="7">
        <f t="shared" si="62"/>
        <v>-1</v>
      </c>
    </row>
    <row r="66" spans="1:26" s="23" customFormat="1" hidden="1" outlineLevel="2" x14ac:dyDescent="0.25">
      <c r="A66" s="27"/>
      <c r="B66" s="10" t="str">
        <f>CONCATENATE("          ", "6286", " - ", "LAUNDRY EXPENSE")</f>
        <v xml:space="preserve">          6286 - LAUNDRY EXPENSE</v>
      </c>
      <c r="C66" s="10"/>
      <c r="D66" s="6"/>
      <c r="E66" s="2"/>
      <c r="F66" s="7">
        <f t="shared" si="55"/>
        <v>0</v>
      </c>
      <c r="G66" s="2"/>
      <c r="H66" s="6"/>
      <c r="I66" s="2"/>
      <c r="J66" s="7">
        <f t="shared" si="56"/>
        <v>0</v>
      </c>
      <c r="K66" s="2"/>
      <c r="L66" s="6">
        <f t="shared" si="57"/>
        <v>0</v>
      </c>
      <c r="M66" s="2"/>
      <c r="N66" s="7">
        <f t="shared" si="58"/>
        <v>0</v>
      </c>
      <c r="O66" s="10"/>
      <c r="P66" s="6"/>
      <c r="Q66" s="2"/>
      <c r="R66" s="7">
        <f t="shared" si="59"/>
        <v>0</v>
      </c>
      <c r="S66" s="2"/>
      <c r="T66" s="6">
        <v>1617.05</v>
      </c>
      <c r="U66" s="2"/>
      <c r="V66" s="7">
        <f t="shared" si="60"/>
        <v>1.5129644459577155E-3</v>
      </c>
      <c r="W66" s="2"/>
      <c r="X66" s="6">
        <f t="shared" si="61"/>
        <v>-1617.05</v>
      </c>
      <c r="Y66" s="2"/>
      <c r="Z66" s="7">
        <f t="shared" si="62"/>
        <v>-1</v>
      </c>
    </row>
    <row r="67" spans="1:26" s="26" customFormat="1" outlineLevel="1" collapsed="1" x14ac:dyDescent="0.25">
      <c r="A67" s="25"/>
      <c r="B67" s="12" t="str">
        <f>CONCATENATE("     ","Subscriptions &amp; Dues                              ")</f>
        <v xml:space="preserve">     Subscriptions &amp; Dues                              </v>
      </c>
      <c r="C67" s="12"/>
      <c r="D67" s="1">
        <f>SUM(OSRRefD22_13x_0)</f>
        <v>0</v>
      </c>
      <c r="E67" s="1"/>
      <c r="F67" s="5">
        <f t="shared" ref="F67:F69" si="63">IF(D$12=0,0,D67/D$12)</f>
        <v>0</v>
      </c>
      <c r="G67" s="1"/>
      <c r="H67" s="1">
        <f>SUM(OSRRefH22_13x_0)</f>
        <v>4.25</v>
      </c>
      <c r="I67" s="1"/>
      <c r="J67" s="5">
        <f t="shared" ref="J67:J69" si="64">IF(H$12=0,0,H67/H$12)</f>
        <v>0</v>
      </c>
      <c r="K67" s="1"/>
      <c r="L67" s="1">
        <f t="shared" ref="L67:L69" si="65">+D67-H67</f>
        <v>-4.25</v>
      </c>
      <c r="M67" s="1"/>
      <c r="N67" s="5">
        <f t="shared" ref="N67:N69" si="66">IF(H67=0,0,L67/H67)</f>
        <v>-1</v>
      </c>
      <c r="O67" s="12"/>
      <c r="P67" s="1">
        <f>SUM(OSRRefP22_13x_0)</f>
        <v>0</v>
      </c>
      <c r="Q67" s="1"/>
      <c r="R67" s="5">
        <f t="shared" ref="R67:R69" si="67">IF(P$12=0,0,P67/P$12)</f>
        <v>0</v>
      </c>
      <c r="S67" s="1"/>
      <c r="T67" s="1">
        <f>SUM(OSRRefT22_13x_0)</f>
        <v>2642.69</v>
      </c>
      <c r="U67" s="1"/>
      <c r="V67" s="5">
        <f t="shared" ref="V67:V69" si="68">IF(T$12=0,0,T67/T$12)</f>
        <v>2.4725865073361958E-3</v>
      </c>
      <c r="W67" s="1"/>
      <c r="X67" s="1">
        <f t="shared" ref="X67:X69" si="69">+P67-T67</f>
        <v>-2642.69</v>
      </c>
      <c r="Y67" s="1"/>
      <c r="Z67" s="5">
        <f t="shared" ref="Z67:Z69" si="70">IF(T67=0,0,X67/T67)</f>
        <v>-1</v>
      </c>
    </row>
    <row r="68" spans="1:26" s="23" customFormat="1" hidden="1" outlineLevel="2" x14ac:dyDescent="0.25">
      <c r="A68" s="27"/>
      <c r="B68" s="10" t="str">
        <f>CONCATENATE("          ", "6258", " - ", "MEMBERSHIP DUES")</f>
        <v xml:space="preserve">          6258 - MEMBERSHIP DUES</v>
      </c>
      <c r="C68" s="10"/>
      <c r="D68" s="6"/>
      <c r="E68" s="2"/>
      <c r="F68" s="7">
        <f t="shared" si="63"/>
        <v>0</v>
      </c>
      <c r="G68" s="2"/>
      <c r="H68" s="6"/>
      <c r="I68" s="2"/>
      <c r="J68" s="7">
        <f t="shared" si="64"/>
        <v>0</v>
      </c>
      <c r="K68" s="2"/>
      <c r="L68" s="6">
        <f t="shared" si="65"/>
        <v>0</v>
      </c>
      <c r="M68" s="2"/>
      <c r="N68" s="7">
        <f t="shared" si="66"/>
        <v>0</v>
      </c>
      <c r="O68" s="10"/>
      <c r="P68" s="6"/>
      <c r="Q68" s="2"/>
      <c r="R68" s="7">
        <f t="shared" si="67"/>
        <v>0</v>
      </c>
      <c r="S68" s="2"/>
      <c r="T68" s="6">
        <v>978</v>
      </c>
      <c r="U68" s="2"/>
      <c r="V68" s="7">
        <f t="shared" si="68"/>
        <v>9.1504853167598146E-4</v>
      </c>
      <c r="W68" s="2"/>
      <c r="X68" s="6">
        <f t="shared" si="69"/>
        <v>-978</v>
      </c>
      <c r="Y68" s="2"/>
      <c r="Z68" s="7">
        <f t="shared" si="70"/>
        <v>-1</v>
      </c>
    </row>
    <row r="69" spans="1:26" s="23" customFormat="1" hidden="1" outlineLevel="2" x14ac:dyDescent="0.25">
      <c r="A69" s="27"/>
      <c r="B69" s="10" t="str">
        <f>CONCATENATE("          ", "6275", " - ", "SUBSCRIPTIONS")</f>
        <v xml:space="preserve">          6275 - SUBSCRIPTIONS</v>
      </c>
      <c r="C69" s="10"/>
      <c r="D69" s="6"/>
      <c r="E69" s="2"/>
      <c r="F69" s="7">
        <f t="shared" si="63"/>
        <v>0</v>
      </c>
      <c r="G69" s="2"/>
      <c r="H69" s="6">
        <v>4.25</v>
      </c>
      <c r="I69" s="2"/>
      <c r="J69" s="7">
        <f t="shared" si="64"/>
        <v>0</v>
      </c>
      <c r="K69" s="2"/>
      <c r="L69" s="6">
        <f t="shared" si="65"/>
        <v>-4.25</v>
      </c>
      <c r="M69" s="2"/>
      <c r="N69" s="7">
        <f t="shared" si="66"/>
        <v>-1</v>
      </c>
      <c r="O69" s="10"/>
      <c r="P69" s="6"/>
      <c r="Q69" s="2"/>
      <c r="R69" s="7">
        <f t="shared" si="67"/>
        <v>0</v>
      </c>
      <c r="S69" s="2"/>
      <c r="T69" s="6">
        <v>1664.69</v>
      </c>
      <c r="U69" s="2"/>
      <c r="V69" s="7">
        <f t="shared" si="68"/>
        <v>1.5575379756602144E-3</v>
      </c>
      <c r="W69" s="2"/>
      <c r="X69" s="6">
        <f t="shared" si="69"/>
        <v>-1664.69</v>
      </c>
      <c r="Y69" s="2"/>
      <c r="Z69" s="7">
        <f t="shared" si="70"/>
        <v>-1</v>
      </c>
    </row>
    <row r="70" spans="1:26" s="26" customFormat="1" outlineLevel="1" collapsed="1" x14ac:dyDescent="0.25">
      <c r="A70" s="25"/>
      <c r="B70" s="12" t="str">
        <f>CONCATENATE("     ","Supplies                                          ")</f>
        <v xml:space="preserve">     Supplies                                          </v>
      </c>
      <c r="C70" s="12"/>
      <c r="D70" s="1">
        <f>SUM(OSRRefD22_14x_0)</f>
        <v>0</v>
      </c>
      <c r="E70" s="1"/>
      <c r="F70" s="5">
        <f t="shared" ref="F70:F78" si="71">IF(D$12=0,0,D70/D$12)</f>
        <v>0</v>
      </c>
      <c r="G70" s="1"/>
      <c r="H70" s="1">
        <f>SUM(OSRRefH22_14x_0)</f>
        <v>0</v>
      </c>
      <c r="I70" s="1"/>
      <c r="J70" s="5">
        <f t="shared" ref="J70:J78" si="72">IF(H$12=0,0,H70/H$12)</f>
        <v>0</v>
      </c>
      <c r="K70" s="1"/>
      <c r="L70" s="1">
        <f t="shared" ref="L70:L78" si="73">+D70-H70</f>
        <v>0</v>
      </c>
      <c r="M70" s="1"/>
      <c r="N70" s="5">
        <f t="shared" ref="N70:N78" si="74">IF(H70=0,0,L70/H70)</f>
        <v>0</v>
      </c>
      <c r="O70" s="12"/>
      <c r="P70" s="1">
        <f>SUM(OSRRefP22_14x_0)</f>
        <v>0</v>
      </c>
      <c r="Q70" s="1"/>
      <c r="R70" s="5">
        <f t="shared" ref="R70:R78" si="75">IF(P$12=0,0,P70/P$12)</f>
        <v>0</v>
      </c>
      <c r="S70" s="1"/>
      <c r="T70" s="1">
        <f>SUM(OSRRefT22_14x_0)</f>
        <v>8790.9</v>
      </c>
      <c r="U70" s="1"/>
      <c r="V70" s="5">
        <f t="shared" ref="V70:V78" si="76">IF(T$12=0,0,T70/T$12)</f>
        <v>8.2250512649390435E-3</v>
      </c>
      <c r="W70" s="1"/>
      <c r="X70" s="1">
        <f t="shared" ref="X70:X78" si="77">+P70-T70</f>
        <v>-8790.9</v>
      </c>
      <c r="Y70" s="1"/>
      <c r="Z70" s="5">
        <f t="shared" ref="Z70:Z78" si="78">IF(T70=0,0,X70/T70)</f>
        <v>-1</v>
      </c>
    </row>
    <row r="71" spans="1:26" s="23" customFormat="1" hidden="1" outlineLevel="2" x14ac:dyDescent="0.25">
      <c r="A71" s="27"/>
      <c r="B71" s="10" t="str">
        <f>CONCATENATE("          ", "6234", " - ", "EXPENDABLE SUPPLIES &amp; EQUIPMEN")</f>
        <v xml:space="preserve">          6234 - EXPENDABLE SUPPLIES &amp; EQUIPMEN</v>
      </c>
      <c r="C71" s="10"/>
      <c r="D71" s="6"/>
      <c r="E71" s="2"/>
      <c r="F71" s="7">
        <f t="shared" si="71"/>
        <v>0</v>
      </c>
      <c r="G71" s="2"/>
      <c r="H71" s="6"/>
      <c r="I71" s="2"/>
      <c r="J71" s="7">
        <f t="shared" si="72"/>
        <v>0</v>
      </c>
      <c r="K71" s="2"/>
      <c r="L71" s="6">
        <f t="shared" si="73"/>
        <v>0</v>
      </c>
      <c r="M71" s="2"/>
      <c r="N71" s="7">
        <f t="shared" si="74"/>
        <v>0</v>
      </c>
      <c r="O71" s="10"/>
      <c r="P71" s="6"/>
      <c r="Q71" s="2"/>
      <c r="R71" s="7">
        <f t="shared" si="75"/>
        <v>0</v>
      </c>
      <c r="S71" s="2"/>
      <c r="T71" s="6">
        <v>333.92</v>
      </c>
      <c r="U71" s="2"/>
      <c r="V71" s="7">
        <f t="shared" si="76"/>
        <v>3.1242638619350077E-4</v>
      </c>
      <c r="W71" s="2"/>
      <c r="X71" s="6">
        <f t="shared" si="77"/>
        <v>-333.92</v>
      </c>
      <c r="Y71" s="2"/>
      <c r="Z71" s="7">
        <f t="shared" si="78"/>
        <v>-1</v>
      </c>
    </row>
    <row r="72" spans="1:26" s="23" customFormat="1" hidden="1" outlineLevel="2" x14ac:dyDescent="0.25">
      <c r="A72" s="27"/>
      <c r="B72" s="10" t="str">
        <f>CONCATENATE("          ", "6237", " - ", "JANITORIAL SUPPLIES")</f>
        <v xml:space="preserve">          6237 - JANITORIAL SUPPLIES</v>
      </c>
      <c r="C72" s="10"/>
      <c r="D72" s="6"/>
      <c r="E72" s="2"/>
      <c r="F72" s="7">
        <f t="shared" si="71"/>
        <v>0</v>
      </c>
      <c r="G72" s="2"/>
      <c r="H72" s="6"/>
      <c r="I72" s="2"/>
      <c r="J72" s="7">
        <f t="shared" si="72"/>
        <v>0</v>
      </c>
      <c r="K72" s="2"/>
      <c r="L72" s="6">
        <f t="shared" si="73"/>
        <v>0</v>
      </c>
      <c r="M72" s="2"/>
      <c r="N72" s="7">
        <f t="shared" si="74"/>
        <v>0</v>
      </c>
      <c r="O72" s="10"/>
      <c r="P72" s="6"/>
      <c r="Q72" s="2"/>
      <c r="R72" s="7">
        <f t="shared" si="75"/>
        <v>0</v>
      </c>
      <c r="S72" s="2"/>
      <c r="T72" s="6">
        <v>17.62</v>
      </c>
      <c r="U72" s="2"/>
      <c r="V72" s="7">
        <f t="shared" si="76"/>
        <v>1.6485843689295292E-5</v>
      </c>
      <c r="W72" s="2"/>
      <c r="X72" s="6">
        <f t="shared" si="77"/>
        <v>-17.62</v>
      </c>
      <c r="Y72" s="2"/>
      <c r="Z72" s="7">
        <f t="shared" si="78"/>
        <v>-1</v>
      </c>
    </row>
    <row r="73" spans="1:26" s="23" customFormat="1" hidden="1" outlineLevel="2" x14ac:dyDescent="0.25">
      <c r="A73" s="27"/>
      <c r="B73" s="10" t="str">
        <f>CONCATENATE("          ", "6239", " - ", "KITCHEN SUPPLIES")</f>
        <v xml:space="preserve">          6239 - KITCHEN SUPPLIES</v>
      </c>
      <c r="C73" s="10"/>
      <c r="D73" s="6"/>
      <c r="E73" s="2"/>
      <c r="F73" s="7">
        <f t="shared" si="71"/>
        <v>0</v>
      </c>
      <c r="G73" s="2"/>
      <c r="H73" s="6"/>
      <c r="I73" s="2"/>
      <c r="J73" s="7">
        <f t="shared" si="72"/>
        <v>0</v>
      </c>
      <c r="K73" s="2"/>
      <c r="L73" s="6">
        <f t="shared" si="73"/>
        <v>0</v>
      </c>
      <c r="M73" s="2"/>
      <c r="N73" s="7">
        <f t="shared" si="74"/>
        <v>0</v>
      </c>
      <c r="O73" s="10"/>
      <c r="P73" s="6"/>
      <c r="Q73" s="2"/>
      <c r="R73" s="7">
        <f t="shared" si="75"/>
        <v>0</v>
      </c>
      <c r="S73" s="2"/>
      <c r="T73" s="6">
        <v>788.08</v>
      </c>
      <c r="U73" s="2"/>
      <c r="V73" s="7">
        <f t="shared" si="76"/>
        <v>7.3735321763109148E-4</v>
      </c>
      <c r="W73" s="2"/>
      <c r="X73" s="6">
        <f t="shared" si="77"/>
        <v>-788.08</v>
      </c>
      <c r="Y73" s="2"/>
      <c r="Z73" s="7">
        <f t="shared" si="78"/>
        <v>-1</v>
      </c>
    </row>
    <row r="74" spans="1:26" s="23" customFormat="1" hidden="1" outlineLevel="2" x14ac:dyDescent="0.25">
      <c r="A74" s="27"/>
      <c r="B74" s="10" t="str">
        <f>CONCATENATE("          ", "6241", " - ", "OFFICE EXPENSE")</f>
        <v xml:space="preserve">          6241 - OFFICE EXPENSE</v>
      </c>
      <c r="C74" s="10"/>
      <c r="D74" s="6"/>
      <c r="E74" s="2"/>
      <c r="F74" s="7">
        <f t="shared" si="71"/>
        <v>0</v>
      </c>
      <c r="G74" s="2"/>
      <c r="H74" s="6"/>
      <c r="I74" s="2"/>
      <c r="J74" s="7">
        <f t="shared" si="72"/>
        <v>0</v>
      </c>
      <c r="K74" s="2"/>
      <c r="L74" s="6">
        <f t="shared" si="73"/>
        <v>0</v>
      </c>
      <c r="M74" s="2"/>
      <c r="N74" s="7">
        <f t="shared" si="74"/>
        <v>0</v>
      </c>
      <c r="O74" s="10"/>
      <c r="P74" s="6"/>
      <c r="Q74" s="2"/>
      <c r="R74" s="7">
        <f t="shared" si="75"/>
        <v>0</v>
      </c>
      <c r="S74" s="2"/>
      <c r="T74" s="6">
        <v>1698.1</v>
      </c>
      <c r="U74" s="2"/>
      <c r="V74" s="7">
        <f t="shared" si="76"/>
        <v>1.5887974556635829E-3</v>
      </c>
      <c r="W74" s="2"/>
      <c r="X74" s="6">
        <f t="shared" si="77"/>
        <v>-1698.1</v>
      </c>
      <c r="Y74" s="2"/>
      <c r="Z74" s="7">
        <f t="shared" si="78"/>
        <v>-1</v>
      </c>
    </row>
    <row r="75" spans="1:26" s="23" customFormat="1" hidden="1" outlineLevel="2" x14ac:dyDescent="0.25">
      <c r="A75" s="27"/>
      <c r="B75" s="10" t="str">
        <f>CONCATENATE("          ", "6243", " - ", "PAPER SUPPLIES")</f>
        <v xml:space="preserve">          6243 - PAPER SUPPLIES</v>
      </c>
      <c r="C75" s="10"/>
      <c r="D75" s="6"/>
      <c r="E75" s="2"/>
      <c r="F75" s="7">
        <f t="shared" si="71"/>
        <v>0</v>
      </c>
      <c r="G75" s="2"/>
      <c r="H75" s="6"/>
      <c r="I75" s="2"/>
      <c r="J75" s="7">
        <f t="shared" si="72"/>
        <v>0</v>
      </c>
      <c r="K75" s="2"/>
      <c r="L75" s="6">
        <f t="shared" si="73"/>
        <v>0</v>
      </c>
      <c r="M75" s="2"/>
      <c r="N75" s="7">
        <f t="shared" si="74"/>
        <v>0</v>
      </c>
      <c r="O75" s="10"/>
      <c r="P75" s="6"/>
      <c r="Q75" s="2"/>
      <c r="R75" s="7">
        <f t="shared" si="75"/>
        <v>0</v>
      </c>
      <c r="S75" s="2"/>
      <c r="T75" s="6">
        <v>3574.75</v>
      </c>
      <c r="U75" s="2"/>
      <c r="V75" s="7">
        <f t="shared" si="76"/>
        <v>3.3446520844669886E-3</v>
      </c>
      <c r="W75" s="2"/>
      <c r="X75" s="6">
        <f t="shared" si="77"/>
        <v>-3574.75</v>
      </c>
      <c r="Y75" s="2"/>
      <c r="Z75" s="7">
        <f t="shared" si="78"/>
        <v>-1</v>
      </c>
    </row>
    <row r="76" spans="1:26" s="23" customFormat="1" hidden="1" outlineLevel="2" x14ac:dyDescent="0.25">
      <c r="A76" s="27"/>
      <c r="B76" s="10" t="str">
        <f>CONCATENATE("          ", "6245", " - ", "PRINTING")</f>
        <v xml:space="preserve">          6245 - PRINTING</v>
      </c>
      <c r="C76" s="10"/>
      <c r="D76" s="6"/>
      <c r="E76" s="2"/>
      <c r="F76" s="7">
        <f t="shared" si="71"/>
        <v>0</v>
      </c>
      <c r="G76" s="2"/>
      <c r="H76" s="6"/>
      <c r="I76" s="2"/>
      <c r="J76" s="7">
        <f t="shared" si="72"/>
        <v>0</v>
      </c>
      <c r="K76" s="2"/>
      <c r="L76" s="6">
        <f t="shared" si="73"/>
        <v>0</v>
      </c>
      <c r="M76" s="2"/>
      <c r="N76" s="7">
        <f t="shared" si="74"/>
        <v>0</v>
      </c>
      <c r="O76" s="10"/>
      <c r="P76" s="6"/>
      <c r="Q76" s="2"/>
      <c r="R76" s="7">
        <f t="shared" si="75"/>
        <v>0</v>
      </c>
      <c r="S76" s="2"/>
      <c r="T76" s="6">
        <v>22.05</v>
      </c>
      <c r="U76" s="2"/>
      <c r="V76" s="7">
        <f t="shared" si="76"/>
        <v>2.0630695422756023E-5</v>
      </c>
      <c r="W76" s="2"/>
      <c r="X76" s="6">
        <f t="shared" si="77"/>
        <v>-22.05</v>
      </c>
      <c r="Y76" s="2"/>
      <c r="Z76" s="7">
        <f t="shared" si="78"/>
        <v>-1</v>
      </c>
    </row>
    <row r="77" spans="1:26" s="23" customFormat="1" hidden="1" outlineLevel="2" x14ac:dyDescent="0.25">
      <c r="A77" s="27"/>
      <c r="B77" s="10" t="str">
        <f>CONCATENATE("          ", "6247", " - ", "STORE SUPPLIES")</f>
        <v xml:space="preserve">          6247 - STORE SUPPLIES</v>
      </c>
      <c r="C77" s="10"/>
      <c r="D77" s="6"/>
      <c r="E77" s="2"/>
      <c r="F77" s="7">
        <f t="shared" si="71"/>
        <v>0</v>
      </c>
      <c r="G77" s="2"/>
      <c r="H77" s="6"/>
      <c r="I77" s="2"/>
      <c r="J77" s="7">
        <f t="shared" si="72"/>
        <v>0</v>
      </c>
      <c r="K77" s="2"/>
      <c r="L77" s="6">
        <f t="shared" si="73"/>
        <v>0</v>
      </c>
      <c r="M77" s="2"/>
      <c r="N77" s="7">
        <f t="shared" si="74"/>
        <v>0</v>
      </c>
      <c r="O77" s="10"/>
      <c r="P77" s="6"/>
      <c r="Q77" s="2"/>
      <c r="R77" s="7">
        <f t="shared" si="75"/>
        <v>0</v>
      </c>
      <c r="S77" s="2"/>
      <c r="T77" s="6">
        <v>1534.61</v>
      </c>
      <c r="U77" s="2"/>
      <c r="V77" s="7">
        <f t="shared" si="76"/>
        <v>1.4358309071526357E-3</v>
      </c>
      <c r="W77" s="2"/>
      <c r="X77" s="6">
        <f t="shared" si="77"/>
        <v>-1534.61</v>
      </c>
      <c r="Y77" s="2"/>
      <c r="Z77" s="7">
        <f t="shared" si="78"/>
        <v>-1</v>
      </c>
    </row>
    <row r="78" spans="1:26" s="23" customFormat="1" hidden="1" outlineLevel="2" x14ac:dyDescent="0.25">
      <c r="A78" s="27"/>
      <c r="B78" s="10" t="str">
        <f>CONCATENATE("          ", "6248", " - ", "UNIFORMS")</f>
        <v xml:space="preserve">          6248 - UNIFORMS</v>
      </c>
      <c r="C78" s="10"/>
      <c r="D78" s="6"/>
      <c r="E78" s="2"/>
      <c r="F78" s="7">
        <f t="shared" si="71"/>
        <v>0</v>
      </c>
      <c r="G78" s="2"/>
      <c r="H78" s="6"/>
      <c r="I78" s="2"/>
      <c r="J78" s="7">
        <f t="shared" si="72"/>
        <v>0</v>
      </c>
      <c r="K78" s="2"/>
      <c r="L78" s="6">
        <f t="shared" si="73"/>
        <v>0</v>
      </c>
      <c r="M78" s="2"/>
      <c r="N78" s="7">
        <f t="shared" si="74"/>
        <v>0</v>
      </c>
      <c r="O78" s="10"/>
      <c r="P78" s="6"/>
      <c r="Q78" s="2"/>
      <c r="R78" s="7">
        <f t="shared" si="75"/>
        <v>0</v>
      </c>
      <c r="S78" s="2"/>
      <c r="T78" s="6">
        <v>821.77</v>
      </c>
      <c r="U78" s="2"/>
      <c r="V78" s="7">
        <f t="shared" si="76"/>
        <v>7.6887467471919351E-4</v>
      </c>
      <c r="W78" s="2"/>
      <c r="X78" s="6">
        <f t="shared" si="77"/>
        <v>-821.77</v>
      </c>
      <c r="Y78" s="2"/>
      <c r="Z78" s="7">
        <f t="shared" si="78"/>
        <v>-1</v>
      </c>
    </row>
    <row r="79" spans="1:26" s="26" customFormat="1" outlineLevel="1" collapsed="1" x14ac:dyDescent="0.25">
      <c r="A79" s="25"/>
      <c r="B79" s="12" t="str">
        <f>CONCATENATE("     ","Telephone/Data Lines                              ")</f>
        <v xml:space="preserve">     Telephone/Data Lines                              </v>
      </c>
      <c r="C79" s="12"/>
      <c r="D79" s="1">
        <f>SUM(OSRRefD22_15x_0)</f>
        <v>0</v>
      </c>
      <c r="E79" s="1"/>
      <c r="F79" s="5">
        <f t="shared" ref="F79:F82" si="79">IF(D$12=0,0,D79/D$12)</f>
        <v>0</v>
      </c>
      <c r="G79" s="1"/>
      <c r="H79" s="1">
        <f>SUM(OSRRefH22_15x_0)</f>
        <v>106.15</v>
      </c>
      <c r="I79" s="1"/>
      <c r="J79" s="5">
        <f t="shared" ref="J79:J82" si="80">IF(H$12=0,0,H79/H$12)</f>
        <v>0</v>
      </c>
      <c r="K79" s="1"/>
      <c r="L79" s="1">
        <f t="shared" ref="L79:L82" si="81">+D79-H79</f>
        <v>-106.15</v>
      </c>
      <c r="M79" s="1"/>
      <c r="N79" s="5">
        <f t="shared" ref="N79:N82" si="82">IF(H79=0,0,L79/H79)</f>
        <v>-1</v>
      </c>
      <c r="O79" s="12"/>
      <c r="P79" s="1">
        <f>SUM(OSRRefP22_15x_0)</f>
        <v>250.87</v>
      </c>
      <c r="Q79" s="1"/>
      <c r="R79" s="5">
        <f t="shared" ref="R79:R82" si="83">IF(P$12=0,0,P79/P$12)</f>
        <v>0</v>
      </c>
      <c r="S79" s="1"/>
      <c r="T79" s="1">
        <f>SUM(OSRRefT22_15x_0)</f>
        <v>1460.34</v>
      </c>
      <c r="U79" s="1"/>
      <c r="V79" s="5">
        <f t="shared" ref="V79:V82" si="84">IF(T$12=0,0,T79/T$12)</f>
        <v>1.3663414854270988E-3</v>
      </c>
      <c r="W79" s="1"/>
      <c r="X79" s="1">
        <f t="shared" ref="X79:X82" si="85">+P79-T79</f>
        <v>-1209.4699999999998</v>
      </c>
      <c r="Y79" s="1"/>
      <c r="Z79" s="5">
        <f t="shared" ref="Z79:Z82" si="86">IF(T79=0,0,X79/T79)</f>
        <v>-0.82821123847871037</v>
      </c>
    </row>
    <row r="80" spans="1:26" s="23" customFormat="1" hidden="1" outlineLevel="2" x14ac:dyDescent="0.25">
      <c r="A80" s="27"/>
      <c r="B80" s="10" t="str">
        <f>CONCATENATE("          ", "6309", " - ", "TELEPHONE")</f>
        <v xml:space="preserve">          6309 - TELEPHONE</v>
      </c>
      <c r="C80" s="10"/>
      <c r="D80" s="6"/>
      <c r="E80" s="2"/>
      <c r="F80" s="7">
        <f t="shared" si="79"/>
        <v>0</v>
      </c>
      <c r="G80" s="2"/>
      <c r="H80" s="6">
        <v>106.15</v>
      </c>
      <c r="I80" s="2"/>
      <c r="J80" s="7">
        <f t="shared" si="80"/>
        <v>0</v>
      </c>
      <c r="K80" s="2"/>
      <c r="L80" s="6">
        <f t="shared" si="81"/>
        <v>-106.15</v>
      </c>
      <c r="M80" s="2"/>
      <c r="N80" s="7">
        <f t="shared" si="82"/>
        <v>-1</v>
      </c>
      <c r="O80" s="10"/>
      <c r="P80" s="6">
        <v>250.87</v>
      </c>
      <c r="Q80" s="2"/>
      <c r="R80" s="7">
        <f t="shared" si="83"/>
        <v>0</v>
      </c>
      <c r="S80" s="2"/>
      <c r="T80" s="6">
        <v>1460.34</v>
      </c>
      <c r="U80" s="2"/>
      <c r="V80" s="7">
        <f t="shared" si="84"/>
        <v>1.3663414854270988E-3</v>
      </c>
      <c r="W80" s="2"/>
      <c r="X80" s="6">
        <f t="shared" si="85"/>
        <v>-1209.4699999999998</v>
      </c>
      <c r="Y80" s="2"/>
      <c r="Z80" s="7">
        <f t="shared" si="86"/>
        <v>-0.82821123847871037</v>
      </c>
    </row>
    <row r="81" spans="1:26" s="26" customFormat="1" outlineLevel="1" collapsed="1" x14ac:dyDescent="0.25">
      <c r="A81" s="25"/>
      <c r="B81" s="12" t="str">
        <f>CONCATENATE("     ","Training                                          ")</f>
        <v xml:space="preserve">     Training                                          </v>
      </c>
      <c r="C81" s="12"/>
      <c r="D81" s="1">
        <f>SUM(OSRRefD22_16x_0)</f>
        <v>0</v>
      </c>
      <c r="E81" s="1"/>
      <c r="F81" s="5">
        <f t="shared" si="79"/>
        <v>0</v>
      </c>
      <c r="G81" s="1"/>
      <c r="H81" s="1">
        <f>SUM(OSRRefH22_16x_0)</f>
        <v>0</v>
      </c>
      <c r="I81" s="1"/>
      <c r="J81" s="5">
        <f t="shared" si="80"/>
        <v>0</v>
      </c>
      <c r="K81" s="1"/>
      <c r="L81" s="1">
        <f t="shared" si="81"/>
        <v>0</v>
      </c>
      <c r="M81" s="1"/>
      <c r="N81" s="5">
        <f t="shared" si="82"/>
        <v>0</v>
      </c>
      <c r="O81" s="12"/>
      <c r="P81" s="1">
        <f>SUM(OSRRefP22_16x_0)</f>
        <v>0</v>
      </c>
      <c r="Q81" s="1"/>
      <c r="R81" s="5">
        <f t="shared" si="83"/>
        <v>0</v>
      </c>
      <c r="S81" s="1"/>
      <c r="T81" s="1">
        <f>SUM(OSRRefT22_16x_0)</f>
        <v>279.95</v>
      </c>
      <c r="U81" s="1"/>
      <c r="V81" s="5">
        <f t="shared" si="84"/>
        <v>2.6193030311113597E-4</v>
      </c>
      <c r="W81" s="1"/>
      <c r="X81" s="1">
        <f t="shared" si="85"/>
        <v>-279.95</v>
      </c>
      <c r="Y81" s="1"/>
      <c r="Z81" s="5">
        <f t="shared" si="86"/>
        <v>-1</v>
      </c>
    </row>
    <row r="82" spans="1:26" s="23" customFormat="1" hidden="1" outlineLevel="2" x14ac:dyDescent="0.25">
      <c r="A82" s="27"/>
      <c r="B82" s="10" t="str">
        <f>CONCATENATE("          ", "6376", " - ", "TRAINING")</f>
        <v xml:space="preserve">          6376 - TRAINING</v>
      </c>
      <c r="C82" s="10"/>
      <c r="D82" s="6"/>
      <c r="E82" s="2"/>
      <c r="F82" s="7">
        <f t="shared" si="79"/>
        <v>0</v>
      </c>
      <c r="G82" s="2"/>
      <c r="H82" s="6"/>
      <c r="I82" s="2"/>
      <c r="J82" s="7">
        <f t="shared" si="80"/>
        <v>0</v>
      </c>
      <c r="K82" s="2"/>
      <c r="L82" s="6">
        <f t="shared" si="81"/>
        <v>0</v>
      </c>
      <c r="M82" s="2"/>
      <c r="N82" s="7">
        <f t="shared" si="82"/>
        <v>0</v>
      </c>
      <c r="O82" s="10"/>
      <c r="P82" s="6"/>
      <c r="Q82" s="2"/>
      <c r="R82" s="7">
        <f t="shared" si="83"/>
        <v>0</v>
      </c>
      <c r="S82" s="2"/>
      <c r="T82" s="6">
        <v>279.95</v>
      </c>
      <c r="U82" s="2"/>
      <c r="V82" s="7">
        <f t="shared" si="84"/>
        <v>2.6193030311113597E-4</v>
      </c>
      <c r="W82" s="2"/>
      <c r="X82" s="6">
        <f t="shared" si="85"/>
        <v>-279.95</v>
      </c>
      <c r="Y82" s="2"/>
      <c r="Z82" s="7">
        <f t="shared" si="86"/>
        <v>-1</v>
      </c>
    </row>
    <row r="83" spans="1:26" s="62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4" customFormat="1" collapsed="1" x14ac:dyDescent="0.25">
      <c r="A84" s="11"/>
      <c r="B84" s="28" t="s">
        <v>292</v>
      </c>
      <c r="C84" s="11"/>
      <c r="D84" s="4">
        <f>SUM(OSRRefD25x_0)</f>
        <v>0</v>
      </c>
      <c r="E84" s="4"/>
      <c r="F84" s="13">
        <f t="shared" ref="F84:F85" si="87">IF(D$12=0,0,D84/D$12)</f>
        <v>0</v>
      </c>
      <c r="G84" s="4"/>
      <c r="H84" s="4">
        <f>SUM(OSRRefH25x_0)</f>
        <v>0</v>
      </c>
      <c r="I84" s="4"/>
      <c r="J84" s="13">
        <f t="shared" ref="J84:J85" si="88">IF(H$12=0,0,H84/H$12)</f>
        <v>0</v>
      </c>
      <c r="K84" s="4"/>
      <c r="L84" s="4">
        <f t="shared" ref="L84:L85" si="89">+D84-H84</f>
        <v>0</v>
      </c>
      <c r="M84" s="4"/>
      <c r="N84" s="13">
        <f t="shared" ref="N84:N85" si="90">IF(H84=0,0,L84/H84)</f>
        <v>0</v>
      </c>
      <c r="O84" s="11"/>
      <c r="P84" s="4">
        <f>SUM(OSRRefP25x_0)</f>
        <v>111.42</v>
      </c>
      <c r="Q84" s="4"/>
      <c r="R84" s="13">
        <f t="shared" ref="R84:R85" si="91">IF(P$12=0,0,P84/P$12)</f>
        <v>0</v>
      </c>
      <c r="S84" s="4"/>
      <c r="T84" s="4">
        <f>SUM(OSRRefT25x_0)</f>
        <v>0</v>
      </c>
      <c r="U84" s="4"/>
      <c r="V84" s="13">
        <f t="shared" ref="V84:V85" si="92">IF(T$12=0,0,T84/T$12)</f>
        <v>0</v>
      </c>
      <c r="W84" s="4"/>
      <c r="X84" s="4">
        <f t="shared" ref="X84:X85" si="93">+P84-T84</f>
        <v>111.42</v>
      </c>
      <c r="Y84" s="4"/>
      <c r="Z84" s="13">
        <f t="shared" ref="Z84:Z85" si="94">IF(T84=0,0,X84/T84)</f>
        <v>0</v>
      </c>
    </row>
    <row r="85" spans="1:26" s="23" customFormat="1" hidden="1" outlineLevel="1" x14ac:dyDescent="0.25">
      <c r="A85" s="44"/>
      <c r="B85" s="10" t="str">
        <f>CONCATENATE("          ", "9150", " - ", "MISC. INCOME")</f>
        <v xml:space="preserve">          9150 - MISC. INCOME</v>
      </c>
      <c r="C85" s="10"/>
      <c r="D85" s="2">
        <f>0</f>
        <v>0</v>
      </c>
      <c r="E85" s="2"/>
      <c r="F85" s="19">
        <f t="shared" si="87"/>
        <v>0</v>
      </c>
      <c r="G85" s="2"/>
      <c r="H85" s="2">
        <f>0</f>
        <v>0</v>
      </c>
      <c r="I85" s="2"/>
      <c r="J85" s="19">
        <f t="shared" si="88"/>
        <v>0</v>
      </c>
      <c r="K85" s="2"/>
      <c r="L85" s="2">
        <f t="shared" si="89"/>
        <v>0</v>
      </c>
      <c r="M85" s="2"/>
      <c r="N85" s="19">
        <f t="shared" si="90"/>
        <v>0</v>
      </c>
      <c r="O85" s="10"/>
      <c r="P85" s="2">
        <f>--111.42</f>
        <v>111.42</v>
      </c>
      <c r="Q85" s="2"/>
      <c r="R85" s="19">
        <f t="shared" si="91"/>
        <v>0</v>
      </c>
      <c r="S85" s="2"/>
      <c r="T85" s="2">
        <f>0</f>
        <v>0</v>
      </c>
      <c r="U85" s="2"/>
      <c r="V85" s="19">
        <f t="shared" si="92"/>
        <v>0</v>
      </c>
      <c r="W85" s="2"/>
      <c r="X85" s="2">
        <f t="shared" si="93"/>
        <v>111.42</v>
      </c>
      <c r="Y85" s="2"/>
      <c r="Z85" s="19">
        <f t="shared" si="94"/>
        <v>0</v>
      </c>
    </row>
    <row r="86" spans="1:26" x14ac:dyDescent="0.25">
      <c r="A86" s="9"/>
      <c r="B86" s="11"/>
      <c r="C86" s="11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1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4" customFormat="1" x14ac:dyDescent="0.25">
      <c r="A87" s="11"/>
      <c r="B87" s="29" t="s">
        <v>276</v>
      </c>
      <c r="C87" s="29"/>
      <c r="D87" s="20">
        <f>+D20-D22+D84</f>
        <v>-6745.17</v>
      </c>
      <c r="E87" s="14"/>
      <c r="F87" s="22">
        <f>IF(D$12=0,0,D87/D$12)</f>
        <v>0</v>
      </c>
      <c r="G87" s="14"/>
      <c r="H87" s="20">
        <f>+H20-H22+H84</f>
        <v>-11868.49</v>
      </c>
      <c r="I87" s="14"/>
      <c r="J87" s="22">
        <f>IF(H$12=0,0,H87/H$12)</f>
        <v>0</v>
      </c>
      <c r="K87" s="16"/>
      <c r="L87" s="20">
        <f>+D87-H87</f>
        <v>5123.32</v>
      </c>
      <c r="M87" s="16"/>
      <c r="N87" s="22">
        <f>IF(H87=0,0,L87/H87)</f>
        <v>-0.43167412198181909</v>
      </c>
      <c r="O87" s="28"/>
      <c r="P87" s="20">
        <f>+P20-P22+P84</f>
        <v>-80733.090000000011</v>
      </c>
      <c r="Q87" s="14"/>
      <c r="R87" s="22">
        <f>IF(P$12=0,0,P87/P$12)</f>
        <v>0</v>
      </c>
      <c r="S87" s="14"/>
      <c r="T87" s="20">
        <f>+T20-T22+T84</f>
        <v>130225.10999999999</v>
      </c>
      <c r="U87" s="14"/>
      <c r="V87" s="22">
        <f>IF(T$12=0,0,T87/T$12)</f>
        <v>0.12184283813174147</v>
      </c>
      <c r="W87" s="16"/>
      <c r="X87" s="20">
        <f>+P87-T87</f>
        <v>-210958.2</v>
      </c>
      <c r="Y87" s="16"/>
      <c r="Z87" s="22">
        <f>IF(T87=0,0,X87/T87)</f>
        <v>-1.6199502538335351</v>
      </c>
    </row>
    <row r="88" spans="1:26" x14ac:dyDescent="0.25">
      <c r="A88" s="9"/>
      <c r="B88" s="11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4" customFormat="1" x14ac:dyDescent="0.25">
      <c r="A89" s="51"/>
      <c r="B89" s="11" t="s">
        <v>127</v>
      </c>
      <c r="C89" s="11"/>
      <c r="D89" s="4"/>
      <c r="E89" s="4"/>
      <c r="F89" s="13">
        <f>IF(D$12=0,0,D89/D$12)</f>
        <v>0</v>
      </c>
      <c r="G89" s="4"/>
      <c r="H89" s="4">
        <v>6830.05</v>
      </c>
      <c r="I89" s="4"/>
      <c r="J89" s="13">
        <f>IF(H$12=0,0,H89/H$12)</f>
        <v>0</v>
      </c>
      <c r="K89" s="4"/>
      <c r="L89" s="4">
        <f>+D89-H89</f>
        <v>-6830.05</v>
      </c>
      <c r="M89" s="4"/>
      <c r="N89" s="13">
        <f>IF(H89=0,0,L89/H89)</f>
        <v>-1</v>
      </c>
      <c r="O89" s="11"/>
      <c r="P89" s="4"/>
      <c r="Q89" s="4"/>
      <c r="R89" s="13">
        <f>IF(P$12=0,0,P89/P$12)</f>
        <v>0</v>
      </c>
      <c r="S89" s="4"/>
      <c r="T89" s="4">
        <v>121354.11</v>
      </c>
      <c r="U89" s="4"/>
      <c r="V89" s="13">
        <f>IF(T$12=0,0,T89/T$12)</f>
        <v>0.11354284270791977</v>
      </c>
      <c r="W89" s="4"/>
      <c r="X89" s="4">
        <f>+P89-T89</f>
        <v>-121354.11</v>
      </c>
      <c r="Y89" s="4"/>
      <c r="Z89" s="13">
        <f>IF(T89=0,0,X89/T89)</f>
        <v>-1</v>
      </c>
    </row>
    <row r="90" spans="1:26" x14ac:dyDescent="0.25">
      <c r="A90" s="9"/>
      <c r="B90" s="11"/>
      <c r="C90" s="11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1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4" customFormat="1" ht="15.75" thickBot="1" x14ac:dyDescent="0.3">
      <c r="A91" s="11"/>
      <c r="B91" s="29" t="s">
        <v>125</v>
      </c>
      <c r="C91" s="29"/>
      <c r="D91" s="30">
        <f>+D87-D89</f>
        <v>-6745.17</v>
      </c>
      <c r="E91" s="14"/>
      <c r="F91" s="34">
        <f>IF(D$12=0,0,D91/D$12)</f>
        <v>0</v>
      </c>
      <c r="G91" s="14"/>
      <c r="H91" s="30">
        <f>+H87-H89</f>
        <v>-18698.54</v>
      </c>
      <c r="I91" s="14"/>
      <c r="J91" s="34">
        <f>IF(H$12=0,0,H91/H$12)</f>
        <v>0</v>
      </c>
      <c r="K91" s="16"/>
      <c r="L91" s="30">
        <f>D91-H91</f>
        <v>11953.37</v>
      </c>
      <c r="M91" s="16"/>
      <c r="N91" s="34">
        <f>IF(H91=0,0,L91/H91)</f>
        <v>-0.6392675577879342</v>
      </c>
      <c r="O91" s="28"/>
      <c r="P91" s="30">
        <f>+P87-P89</f>
        <v>-80733.090000000011</v>
      </c>
      <c r="Q91" s="14"/>
      <c r="R91" s="34">
        <f>IF(P$12=0,0,P91/P$12)</f>
        <v>0</v>
      </c>
      <c r="S91" s="14"/>
      <c r="T91" s="30">
        <f>+T87-T89</f>
        <v>8870.9999999999854</v>
      </c>
      <c r="U91" s="14"/>
      <c r="V91" s="34">
        <f>IF(T$12=0,0,T91/T$12)</f>
        <v>8.2999954238216957E-3</v>
      </c>
      <c r="W91" s="16"/>
      <c r="X91" s="30">
        <f>P91-T91</f>
        <v>-89604.09</v>
      </c>
      <c r="Y91" s="16"/>
      <c r="Z91" s="34">
        <f>IF(T91=0,0,X91/T91)</f>
        <v>-10.100787960771068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4" customFormat="1" ht="15.75" thickBot="1" x14ac:dyDescent="0.3">
      <c r="A94" s="11"/>
      <c r="B94" s="29" t="s">
        <v>293</v>
      </c>
      <c r="C94" s="29"/>
      <c r="D94" s="32">
        <f>SUM(D91:D93)</f>
        <v>-6745.17</v>
      </c>
      <c r="E94" s="14"/>
      <c r="F94" s="35">
        <f>IF(D$12=0,0,D94/D$12)</f>
        <v>0</v>
      </c>
      <c r="G94" s="14"/>
      <c r="H94" s="32">
        <f>SUM(H91:H93)</f>
        <v>-18698.54</v>
      </c>
      <c r="I94" s="14"/>
      <c r="J94" s="35">
        <f>IF(H$12=0,0,H94/H$12)</f>
        <v>0</v>
      </c>
      <c r="K94" s="16"/>
      <c r="L94" s="32">
        <f>+D94-H94</f>
        <v>11953.37</v>
      </c>
      <c r="M94" s="16"/>
      <c r="N94" s="35">
        <f>IF(H94=0,0,L94/H94)</f>
        <v>-0.6392675577879342</v>
      </c>
      <c r="O94" s="28"/>
      <c r="P94" s="32">
        <f>SUM(P91:P93)</f>
        <v>-80733.090000000011</v>
      </c>
      <c r="Q94" s="14"/>
      <c r="R94" s="35">
        <f>IF(P$12=0,0,P94/P$12)</f>
        <v>0</v>
      </c>
      <c r="S94" s="14"/>
      <c r="T94" s="32">
        <f>SUM(T91:T93)</f>
        <v>8870.9999999999854</v>
      </c>
      <c r="U94" s="14"/>
      <c r="V94" s="35">
        <f>IF(T$12=0,0,T94/T$12)</f>
        <v>8.2999954238216957E-3</v>
      </c>
      <c r="W94" s="16"/>
      <c r="X94" s="32">
        <f>+P94-T94</f>
        <v>-89604.09</v>
      </c>
      <c r="Y94" s="16"/>
      <c r="Z94" s="35">
        <f>IF(T94=0,0,X94/T94)</f>
        <v>-10.100787960771068</v>
      </c>
    </row>
    <row r="95" spans="1:26" ht="15.75" thickTop="1" x14ac:dyDescent="0.25">
      <c r="A95" s="9"/>
      <c r="C95" s="9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9">
        <v>44330.00886898148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2" t="s">
        <v>56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55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","420", " - ", "Catering")</f>
        <v>Department 420 - Catering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60315.630000000005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60315.630000000005</v>
      </c>
      <c r="M12" s="4"/>
      <c r="N12" s="13">
        <f t="shared" ref="N12:N14" si="1">IF(H12=0,0,L12/H12)</f>
        <v>0</v>
      </c>
      <c r="O12" s="11"/>
      <c r="P12" s="4">
        <f>SUM(OSRRefP13x_0)</f>
        <v>392255.74</v>
      </c>
      <c r="Q12" s="4"/>
      <c r="R12" s="13"/>
      <c r="S12" s="4"/>
      <c r="T12" s="4">
        <f>SUM(OSRRefT13x_0)</f>
        <v>211082.08000000002</v>
      </c>
      <c r="U12" s="4"/>
      <c r="V12" s="13"/>
      <c r="W12" s="4"/>
      <c r="X12" s="4">
        <f t="shared" ref="X12:X14" si="2">+P12-T12</f>
        <v>181173.65999999997</v>
      </c>
      <c r="Y12" s="4"/>
      <c r="Z12" s="13">
        <f t="shared" ref="Z12:Z14" si="3">IF(T12=0,0,X12/T12)</f>
        <v>0.85830905209954322</v>
      </c>
    </row>
    <row r="13" spans="1:26" s="23" customFormat="1" hidden="1" outlineLevel="1" x14ac:dyDescent="0.25">
      <c r="A13" s="44"/>
      <c r="B13" s="10" t="str">
        <f>CONCATENATE("          ", "4052", " - ", "TAXABLE SALES-FOOD")</f>
        <v xml:space="preserve">          4052 - TAXABLE SALES-FOOD</v>
      </c>
      <c r="C13" s="10"/>
      <c r="D13" s="2">
        <f>--48734.68</f>
        <v>48734.68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48734.68</v>
      </c>
      <c r="M13" s="2"/>
      <c r="N13" s="19">
        <f t="shared" si="1"/>
        <v>0</v>
      </c>
      <c r="O13" s="10"/>
      <c r="P13" s="2">
        <f>--380674.79</f>
        <v>380674.79</v>
      </c>
      <c r="Q13" s="2"/>
      <c r="R13" s="19"/>
      <c r="S13" s="2"/>
      <c r="T13" s="2">
        <f>--210141.41</f>
        <v>210141.41</v>
      </c>
      <c r="U13" s="2"/>
      <c r="V13" s="19"/>
      <c r="W13" s="2"/>
      <c r="X13" s="2">
        <f t="shared" si="2"/>
        <v>170533.37999999998</v>
      </c>
      <c r="Y13" s="2"/>
      <c r="Z13" s="19">
        <f t="shared" si="3"/>
        <v>0.81151725402432573</v>
      </c>
    </row>
    <row r="14" spans="1:26" s="23" customFormat="1" hidden="1" outlineLevel="1" x14ac:dyDescent="0.25">
      <c r="A14" s="44"/>
      <c r="B14" s="10" t="str">
        <f>CONCATENATE("          ", "4152", " - ", "NON-TAXABLE SALES-FOOD")</f>
        <v xml:space="preserve">          4152 - NON-TAXABLE SALES-FOOD</v>
      </c>
      <c r="C14" s="10"/>
      <c r="D14" s="2">
        <f>--11580.95</f>
        <v>11580.95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11580.95</v>
      </c>
      <c r="M14" s="2"/>
      <c r="N14" s="19">
        <f t="shared" si="1"/>
        <v>0</v>
      </c>
      <c r="O14" s="10"/>
      <c r="P14" s="2">
        <f>--11580.95</f>
        <v>11580.95</v>
      </c>
      <c r="Q14" s="2"/>
      <c r="R14" s="19"/>
      <c r="S14" s="2"/>
      <c r="T14" s="2">
        <f>--940.67</f>
        <v>940.67</v>
      </c>
      <c r="U14" s="2"/>
      <c r="V14" s="19"/>
      <c r="W14" s="2"/>
      <c r="X14" s="2">
        <f t="shared" si="2"/>
        <v>10640.28</v>
      </c>
      <c r="Y14" s="2"/>
      <c r="Z14" s="19">
        <f t="shared" si="3"/>
        <v>11.311384438751103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5">IF(D$12=0,0,D16/D$12)</f>
        <v>0</v>
      </c>
      <c r="G16" s="4"/>
      <c r="H16" s="4">
        <f>SUM(OSRRefH16x_0)</f>
        <v>0</v>
      </c>
      <c r="I16" s="4"/>
      <c r="J16" s="13">
        <f t="shared" ref="J16:J18" si="6">IF(H$12=0,0,H16/H$12)</f>
        <v>0</v>
      </c>
      <c r="K16" s="4"/>
      <c r="L16" s="4">
        <f t="shared" ref="L16:L18" si="7">+D16-H16</f>
        <v>0</v>
      </c>
      <c r="M16" s="4"/>
      <c r="N16" s="13">
        <f t="shared" ref="N16:N18" si="8">IF(H16=0,0,L16/H16)</f>
        <v>0</v>
      </c>
      <c r="O16" s="11"/>
      <c r="P16" s="4">
        <f>SUM(OSRRefP16x_0)</f>
        <v>0</v>
      </c>
      <c r="Q16" s="4"/>
      <c r="R16" s="13">
        <f t="shared" ref="R16:R18" si="9">IF(P$12=0,0,P16/P$12)</f>
        <v>0</v>
      </c>
      <c r="S16" s="4"/>
      <c r="T16" s="4">
        <f>SUM(OSRRefT16x_0)</f>
        <v>9795.24</v>
      </c>
      <c r="U16" s="4"/>
      <c r="V16" s="13">
        <f t="shared" ref="V16:V18" si="10">IF(T$12=0,0,T16/T$12)</f>
        <v>4.6404886667783446E-2</v>
      </c>
      <c r="W16" s="4"/>
      <c r="X16" s="4">
        <f t="shared" ref="X16:X18" si="11">+P16-T16</f>
        <v>-9795.24</v>
      </c>
      <c r="Y16" s="4"/>
      <c r="Z16" s="13">
        <f t="shared" ref="Z16:Z18" si="12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5"/>
        <v>0</v>
      </c>
      <c r="G17" s="2"/>
      <c r="H17" s="2"/>
      <c r="I17" s="2"/>
      <c r="J17" s="19">
        <f t="shared" si="6"/>
        <v>0</v>
      </c>
      <c r="K17" s="2"/>
      <c r="L17" s="2">
        <f t="shared" si="7"/>
        <v>0</v>
      </c>
      <c r="M17" s="2"/>
      <c r="N17" s="19">
        <f t="shared" si="8"/>
        <v>0</v>
      </c>
      <c r="O17" s="10"/>
      <c r="P17" s="2"/>
      <c r="Q17" s="2"/>
      <c r="R17" s="19">
        <f t="shared" si="9"/>
        <v>0</v>
      </c>
      <c r="S17" s="2"/>
      <c r="T17" s="2">
        <v>373.24</v>
      </c>
      <c r="U17" s="2"/>
      <c r="V17" s="19">
        <f t="shared" si="10"/>
        <v>1.7682221058272687E-3</v>
      </c>
      <c r="W17" s="2"/>
      <c r="X17" s="2">
        <f t="shared" si="11"/>
        <v>-373.24</v>
      </c>
      <c r="Y17" s="2"/>
      <c r="Z17" s="19">
        <f t="shared" si="12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5"/>
        <v>0</v>
      </c>
      <c r="G18" s="2"/>
      <c r="H18" s="2"/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0"/>
      <c r="P18" s="2"/>
      <c r="Q18" s="2"/>
      <c r="R18" s="19">
        <f t="shared" si="9"/>
        <v>0</v>
      </c>
      <c r="S18" s="2"/>
      <c r="T18" s="2">
        <v>9422</v>
      </c>
      <c r="U18" s="2"/>
      <c r="V18" s="19">
        <f t="shared" si="10"/>
        <v>4.4636664561956182E-2</v>
      </c>
      <c r="W18" s="2"/>
      <c r="X18" s="2">
        <f t="shared" si="11"/>
        <v>-9422</v>
      </c>
      <c r="Y18" s="2"/>
      <c r="Z18" s="19">
        <f t="shared" si="12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0">
        <f>D12-D16</f>
        <v>60315.630000000005</v>
      </c>
      <c r="E20" s="14"/>
      <c r="F20" s="22">
        <f>IF(D$12=0,0,D20/D$12)</f>
        <v>1</v>
      </c>
      <c r="G20" s="14"/>
      <c r="H20" s="20">
        <f>H12-H16</f>
        <v>0</v>
      </c>
      <c r="I20" s="14"/>
      <c r="J20" s="22">
        <f>IF(H$12=0,0,H20/H$12)</f>
        <v>0</v>
      </c>
      <c r="K20" s="16"/>
      <c r="L20" s="20">
        <f>+D20-H20</f>
        <v>60315.630000000005</v>
      </c>
      <c r="M20" s="16"/>
      <c r="N20" s="22">
        <f>IF(H20=0,0,L20/H20)</f>
        <v>0</v>
      </c>
      <c r="O20" s="28"/>
      <c r="P20" s="20">
        <f>P12-P16</f>
        <v>392255.74</v>
      </c>
      <c r="Q20" s="14"/>
      <c r="R20" s="22">
        <f>IF(P$12=0,0,P20/P$12)</f>
        <v>1</v>
      </c>
      <c r="S20" s="14"/>
      <c r="T20" s="20">
        <f>T12-T16</f>
        <v>201286.84000000003</v>
      </c>
      <c r="U20" s="14"/>
      <c r="V20" s="22">
        <f>IF(T$12=0,0,T20/T$12)</f>
        <v>0.95359511333221658</v>
      </c>
      <c r="W20" s="16"/>
      <c r="X20" s="20">
        <f>+P20-T20</f>
        <v>190968.89999999997</v>
      </c>
      <c r="Y20" s="16"/>
      <c r="Z20" s="22">
        <f>IF(T20=0,0,X20/T20)</f>
        <v>0.94874011634342281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0</v>
      </c>
      <c r="E22" s="21"/>
      <c r="F22" s="31">
        <f t="shared" ref="F22:F31" si="13">IF(D$12=0,0,D22/D$12)</f>
        <v>0</v>
      </c>
      <c r="G22" s="21"/>
      <c r="H22" s="21">
        <f>SUM(OSRRefH22x_0)</f>
        <v>-29291.05</v>
      </c>
      <c r="I22" s="21"/>
      <c r="J22" s="31">
        <f t="shared" ref="J22:J31" si="14">IF(H$12=0,0,H22/H$12)</f>
        <v>0</v>
      </c>
      <c r="K22" s="4"/>
      <c r="L22" s="21">
        <f t="shared" ref="L22:L31" si="15">+D22-H22</f>
        <v>29291.05</v>
      </c>
      <c r="M22" s="4"/>
      <c r="N22" s="31">
        <f t="shared" ref="N22:N31" si="16">IF(H22=0,0,L22/H22)</f>
        <v>-1</v>
      </c>
      <c r="O22" s="11"/>
      <c r="P22" s="21">
        <f>SUM(OSRRefP22x_0)</f>
        <v>349.08000000000004</v>
      </c>
      <c r="Q22" s="21"/>
      <c r="R22" s="31">
        <f t="shared" ref="R22:R31" si="17">IF(P$12=0,0,P22/P$12)</f>
        <v>8.8992961581645699E-4</v>
      </c>
      <c r="S22" s="21"/>
      <c r="T22" s="21">
        <f>SUM(OSRRefT22x_0)</f>
        <v>200125.53999999998</v>
      </c>
      <c r="U22" s="21"/>
      <c r="V22" s="31">
        <f t="shared" ref="V22:V31" si="18">IF(T$12=0,0,T22/T$12)</f>
        <v>0.94809346203145228</v>
      </c>
      <c r="W22" s="4"/>
      <c r="X22" s="21">
        <f t="shared" ref="X22:X31" si="19">+P22-T22</f>
        <v>-199776.46</v>
      </c>
      <c r="Y22" s="4"/>
      <c r="Z22" s="31">
        <f t="shared" ref="Z22:Z31" si="20">IF(T22=0,0,X22/T22)</f>
        <v>-0.99825569490031119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-29291.05</v>
      </c>
      <c r="I23" s="1"/>
      <c r="J23" s="5">
        <f t="shared" si="14"/>
        <v>0</v>
      </c>
      <c r="K23" s="1"/>
      <c r="L23" s="1">
        <f t="shared" si="15"/>
        <v>29291.05</v>
      </c>
      <c r="M23" s="1"/>
      <c r="N23" s="5">
        <f t="shared" si="16"/>
        <v>-1</v>
      </c>
      <c r="O23" s="12"/>
      <c r="P23" s="1">
        <f>SUM(OSRRefP22_0x_0)</f>
        <v>7.86</v>
      </c>
      <c r="Q23" s="1"/>
      <c r="R23" s="5">
        <f t="shared" si="17"/>
        <v>2.0037947691982789E-5</v>
      </c>
      <c r="S23" s="1"/>
      <c r="T23" s="1">
        <f>SUM(OSRRefT22_0x_0)</f>
        <v>34814.620000000003</v>
      </c>
      <c r="U23" s="1"/>
      <c r="V23" s="5">
        <f t="shared" si="18"/>
        <v>0.1649340389293113</v>
      </c>
      <c r="W23" s="1"/>
      <c r="X23" s="1">
        <f t="shared" si="19"/>
        <v>-34806.76</v>
      </c>
      <c r="Y23" s="1"/>
      <c r="Z23" s="5">
        <f t="shared" si="20"/>
        <v>-0.9997742327792174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3"/>
        <v>0</v>
      </c>
      <c r="G24" s="2"/>
      <c r="H24" s="6"/>
      <c r="I24" s="2"/>
      <c r="J24" s="7">
        <f t="shared" si="14"/>
        <v>0</v>
      </c>
      <c r="K24" s="2"/>
      <c r="L24" s="6">
        <f t="shared" si="15"/>
        <v>0</v>
      </c>
      <c r="M24" s="2"/>
      <c r="N24" s="7">
        <f t="shared" si="16"/>
        <v>0</v>
      </c>
      <c r="O24" s="10"/>
      <c r="P24" s="6">
        <v>7.86</v>
      </c>
      <c r="Q24" s="2"/>
      <c r="R24" s="7">
        <f t="shared" si="17"/>
        <v>2.0037947691982789E-5</v>
      </c>
      <c r="S24" s="2"/>
      <c r="T24" s="6">
        <v>14309.01</v>
      </c>
      <c r="U24" s="2"/>
      <c r="V24" s="7">
        <f t="shared" si="18"/>
        <v>6.7788843088906453E-2</v>
      </c>
      <c r="W24" s="2"/>
      <c r="X24" s="6">
        <f t="shared" si="19"/>
        <v>-14301.15</v>
      </c>
      <c r="Y24" s="2"/>
      <c r="Z24" s="7">
        <f t="shared" si="20"/>
        <v>-0.99945069575043977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3"/>
        <v>0</v>
      </c>
      <c r="G25" s="2"/>
      <c r="H25" s="6"/>
      <c r="I25" s="2"/>
      <c r="J25" s="7">
        <f t="shared" si="14"/>
        <v>0</v>
      </c>
      <c r="K25" s="2"/>
      <c r="L25" s="6">
        <f t="shared" si="15"/>
        <v>0</v>
      </c>
      <c r="M25" s="2"/>
      <c r="N25" s="7">
        <f t="shared" si="16"/>
        <v>0</v>
      </c>
      <c r="O25" s="10"/>
      <c r="P25" s="6"/>
      <c r="Q25" s="2"/>
      <c r="R25" s="7">
        <f t="shared" si="17"/>
        <v>0</v>
      </c>
      <c r="S25" s="2"/>
      <c r="T25" s="6">
        <v>8030.89</v>
      </c>
      <c r="U25" s="2"/>
      <c r="V25" s="7">
        <f t="shared" si="18"/>
        <v>3.8046289860323525E-2</v>
      </c>
      <c r="W25" s="2"/>
      <c r="X25" s="6">
        <f t="shared" si="19"/>
        <v>-8030.89</v>
      </c>
      <c r="Y25" s="2"/>
      <c r="Z25" s="7">
        <f t="shared" si="20"/>
        <v>-1</v>
      </c>
    </row>
    <row r="26" spans="1:26" s="23" customFormat="1" hidden="1" outlineLevel="2" x14ac:dyDescent="0.25">
      <c r="A26" s="27"/>
      <c r="B26" s="10" t="str">
        <f>CONCATENATE("          ", "6113", " - ", "GROUP INSURANCE")</f>
        <v xml:space="preserve">          6113 - GROUP INSURANCE</v>
      </c>
      <c r="C26" s="10"/>
      <c r="D26" s="6"/>
      <c r="E26" s="2"/>
      <c r="F26" s="7">
        <f t="shared" si="13"/>
        <v>0</v>
      </c>
      <c r="G26" s="2"/>
      <c r="H26" s="6">
        <v>0</v>
      </c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0"/>
      <c r="P26" s="6"/>
      <c r="Q26" s="2"/>
      <c r="R26" s="7">
        <f t="shared" si="17"/>
        <v>0</v>
      </c>
      <c r="S26" s="2"/>
      <c r="T26" s="6">
        <v>19739.060000000001</v>
      </c>
      <c r="U26" s="2"/>
      <c r="V26" s="7">
        <f t="shared" si="18"/>
        <v>9.3513670132490637E-2</v>
      </c>
      <c r="W26" s="2"/>
      <c r="X26" s="6">
        <f t="shared" si="19"/>
        <v>-19739.060000000001</v>
      </c>
      <c r="Y26" s="2"/>
      <c r="Z26" s="7">
        <f t="shared" si="20"/>
        <v>-1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3"/>
        <v>0</v>
      </c>
      <c r="G27" s="2"/>
      <c r="H27" s="6"/>
      <c r="I27" s="2"/>
      <c r="J27" s="7">
        <f t="shared" si="14"/>
        <v>0</v>
      </c>
      <c r="K27" s="2"/>
      <c r="L27" s="6">
        <f t="shared" si="15"/>
        <v>0</v>
      </c>
      <c r="M27" s="2"/>
      <c r="N27" s="7">
        <f t="shared" si="16"/>
        <v>0</v>
      </c>
      <c r="O27" s="10"/>
      <c r="P27" s="6"/>
      <c r="Q27" s="2"/>
      <c r="R27" s="7">
        <f t="shared" si="17"/>
        <v>0</v>
      </c>
      <c r="S27" s="2"/>
      <c r="T27" s="6">
        <v>538.16</v>
      </c>
      <c r="U27" s="2"/>
      <c r="V27" s="7">
        <f t="shared" si="18"/>
        <v>2.5495295479369918E-3</v>
      </c>
      <c r="W27" s="2"/>
      <c r="X27" s="6">
        <f t="shared" si="19"/>
        <v>-538.16</v>
      </c>
      <c r="Y27" s="2"/>
      <c r="Z27" s="7">
        <f t="shared" si="20"/>
        <v>-1</v>
      </c>
    </row>
    <row r="28" spans="1:26" s="23" customFormat="1" hidden="1" outlineLevel="2" x14ac:dyDescent="0.25">
      <c r="A28" s="27"/>
      <c r="B28" s="10" t="str">
        <f>CONCATENATE("          ", "6115", " - ", "P.E.R.S.")</f>
        <v xml:space="preserve">          6115 - P.E.R.S.</v>
      </c>
      <c r="C28" s="10"/>
      <c r="D28" s="6"/>
      <c r="E28" s="2"/>
      <c r="F28" s="7">
        <f t="shared" si="13"/>
        <v>0</v>
      </c>
      <c r="G28" s="2"/>
      <c r="H28" s="6">
        <v>1708.59</v>
      </c>
      <c r="I28" s="2"/>
      <c r="J28" s="7">
        <f t="shared" si="14"/>
        <v>0</v>
      </c>
      <c r="K28" s="2"/>
      <c r="L28" s="6">
        <f t="shared" si="15"/>
        <v>-1708.59</v>
      </c>
      <c r="M28" s="2"/>
      <c r="N28" s="7">
        <f t="shared" si="16"/>
        <v>-1</v>
      </c>
      <c r="O28" s="10"/>
      <c r="P28" s="6"/>
      <c r="Q28" s="2"/>
      <c r="R28" s="7">
        <f t="shared" si="17"/>
        <v>0</v>
      </c>
      <c r="S28" s="2"/>
      <c r="T28" s="6">
        <v>10221.48</v>
      </c>
      <c r="U28" s="2"/>
      <c r="V28" s="7">
        <f t="shared" si="18"/>
        <v>4.8424195933638697E-2</v>
      </c>
      <c r="W28" s="2"/>
      <c r="X28" s="6">
        <f t="shared" si="19"/>
        <v>-10221.48</v>
      </c>
      <c r="Y28" s="2"/>
      <c r="Z28" s="7">
        <f t="shared" si="20"/>
        <v>-1</v>
      </c>
    </row>
    <row r="29" spans="1:26" s="23" customFormat="1" hidden="1" outlineLevel="2" x14ac:dyDescent="0.25">
      <c r="A29" s="27"/>
      <c r="B29" s="10" t="str">
        <f>CONCATENATE("          ", "6118", " - ", "VACATION")</f>
        <v xml:space="preserve">          6118 - VACATION</v>
      </c>
      <c r="C29" s="10"/>
      <c r="D29" s="6"/>
      <c r="E29" s="2"/>
      <c r="F29" s="7">
        <f t="shared" si="13"/>
        <v>0</v>
      </c>
      <c r="G29" s="2"/>
      <c r="H29" s="6"/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0"/>
      <c r="P29" s="6"/>
      <c r="Q29" s="2"/>
      <c r="R29" s="7">
        <f t="shared" si="17"/>
        <v>0</v>
      </c>
      <c r="S29" s="2"/>
      <c r="T29" s="6">
        <v>6534.07</v>
      </c>
      <c r="U29" s="2"/>
      <c r="V29" s="7">
        <f t="shared" si="18"/>
        <v>3.0955114711774676E-2</v>
      </c>
      <c r="W29" s="2"/>
      <c r="X29" s="6">
        <f t="shared" si="19"/>
        <v>-6534.07</v>
      </c>
      <c r="Y29" s="2"/>
      <c r="Z29" s="7">
        <f t="shared" si="20"/>
        <v>-1</v>
      </c>
    </row>
    <row r="30" spans="1:26" s="23" customFormat="1" hidden="1" outlineLevel="2" x14ac:dyDescent="0.25">
      <c r="A30" s="27"/>
      <c r="B30" s="10" t="str">
        <f>CONCATENATE("          ", "6119", " - ", "SICK LEAVE")</f>
        <v xml:space="preserve">          6119 - SICK LEAVE</v>
      </c>
      <c r="C30" s="10"/>
      <c r="D30" s="6"/>
      <c r="E30" s="2"/>
      <c r="F30" s="7">
        <f t="shared" si="13"/>
        <v>0</v>
      </c>
      <c r="G30" s="2"/>
      <c r="H30" s="6">
        <v>-30999.64</v>
      </c>
      <c r="I30" s="2"/>
      <c r="J30" s="7">
        <f t="shared" si="14"/>
        <v>0</v>
      </c>
      <c r="K30" s="2"/>
      <c r="L30" s="6">
        <f t="shared" si="15"/>
        <v>30999.64</v>
      </c>
      <c r="M30" s="2"/>
      <c r="N30" s="7">
        <f t="shared" si="16"/>
        <v>-1</v>
      </c>
      <c r="O30" s="10"/>
      <c r="P30" s="6"/>
      <c r="Q30" s="2"/>
      <c r="R30" s="7">
        <f t="shared" si="17"/>
        <v>0</v>
      </c>
      <c r="S30" s="2"/>
      <c r="T30" s="6">
        <v>-25661.23</v>
      </c>
      <c r="U30" s="2"/>
      <c r="V30" s="7">
        <f t="shared" si="18"/>
        <v>-0.12156991251933844</v>
      </c>
      <c r="W30" s="2"/>
      <c r="X30" s="6">
        <f t="shared" si="19"/>
        <v>25661.23</v>
      </c>
      <c r="Y30" s="2"/>
      <c r="Z30" s="7">
        <f t="shared" si="20"/>
        <v>-1</v>
      </c>
    </row>
    <row r="31" spans="1:26" s="23" customFormat="1" hidden="1" outlineLevel="2" x14ac:dyDescent="0.25">
      <c r="A31" s="27"/>
      <c r="B31" s="10" t="str">
        <f>CONCATENATE("          ", "6156", " - ", "EMPLOYEE MEALS")</f>
        <v xml:space="preserve">          6156 - EMPLOYEE MEALS</v>
      </c>
      <c r="C31" s="10"/>
      <c r="D31" s="6"/>
      <c r="E31" s="2"/>
      <c r="F31" s="7">
        <f t="shared" si="13"/>
        <v>0</v>
      </c>
      <c r="G31" s="2"/>
      <c r="H31" s="6"/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0"/>
      <c r="P31" s="6"/>
      <c r="Q31" s="2"/>
      <c r="R31" s="7">
        <f t="shared" si="17"/>
        <v>0</v>
      </c>
      <c r="S31" s="2"/>
      <c r="T31" s="6">
        <v>1103.18</v>
      </c>
      <c r="U31" s="2"/>
      <c r="V31" s="7">
        <f t="shared" si="18"/>
        <v>5.2263081735787328E-3</v>
      </c>
      <c r="W31" s="2"/>
      <c r="X31" s="6">
        <f t="shared" si="19"/>
        <v>-1103.18</v>
      </c>
      <c r="Y31" s="2"/>
      <c r="Z31" s="7">
        <f t="shared" si="20"/>
        <v>-1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6" si="21">IF(D$12=0,0,D32/D$12)</f>
        <v>0</v>
      </c>
      <c r="G32" s="1"/>
      <c r="H32" s="1">
        <f>SUM(OSRRefH22_1x_0)</f>
        <v>0</v>
      </c>
      <c r="I32" s="1"/>
      <c r="J32" s="5">
        <f t="shared" ref="J32:J36" si="22">IF(H$12=0,0,H32/H$12)</f>
        <v>0</v>
      </c>
      <c r="K32" s="1"/>
      <c r="L32" s="1">
        <f t="shared" ref="L32:L36" si="23">+D32-H32</f>
        <v>0</v>
      </c>
      <c r="M32" s="1"/>
      <c r="N32" s="5">
        <f t="shared" ref="N32:N36" si="24">IF(H32=0,0,L32/H32)</f>
        <v>0</v>
      </c>
      <c r="O32" s="12"/>
      <c r="P32" s="1">
        <f>SUM(OSRRefP22_1x_0)</f>
        <v>0</v>
      </c>
      <c r="Q32" s="1"/>
      <c r="R32" s="5">
        <f t="shared" ref="R32:R36" si="25">IF(P$12=0,0,P32/P$12)</f>
        <v>0</v>
      </c>
      <c r="S32" s="1"/>
      <c r="T32" s="1">
        <f>SUM(OSRRefT22_1x_0)</f>
        <v>160569.98000000001</v>
      </c>
      <c r="U32" s="1"/>
      <c r="V32" s="5">
        <f t="shared" ref="V32:V36" si="26">IF(T$12=0,0,T32/T$12)</f>
        <v>0.76069925026321517</v>
      </c>
      <c r="W32" s="1"/>
      <c r="X32" s="1">
        <f t="shared" ref="X32:X36" si="27">+P32-T32</f>
        <v>-160569.98000000001</v>
      </c>
      <c r="Y32" s="1"/>
      <c r="Z32" s="5">
        <f t="shared" ref="Z32:Z36" si="28">IF(T32=0,0,X32/T32)</f>
        <v>-1</v>
      </c>
    </row>
    <row r="33" spans="1:26" s="23" customFormat="1" hidden="1" outlineLevel="2" x14ac:dyDescent="0.25">
      <c r="A33" s="27"/>
      <c r="B33" s="10" t="str">
        <f>CONCATENATE("          ", "6002", " - ", "STAFF SALARIES")</f>
        <v xml:space="preserve">          6002 - STAFF SALARIES</v>
      </c>
      <c r="C33" s="10"/>
      <c r="D33" s="6"/>
      <c r="E33" s="2"/>
      <c r="F33" s="7">
        <f t="shared" si="21"/>
        <v>0</v>
      </c>
      <c r="G33" s="2"/>
      <c r="H33" s="6"/>
      <c r="I33" s="2"/>
      <c r="J33" s="7">
        <f t="shared" si="22"/>
        <v>0</v>
      </c>
      <c r="K33" s="2"/>
      <c r="L33" s="6">
        <f t="shared" si="23"/>
        <v>0</v>
      </c>
      <c r="M33" s="2"/>
      <c r="N33" s="7">
        <f t="shared" si="24"/>
        <v>0</v>
      </c>
      <c r="O33" s="10"/>
      <c r="P33" s="6"/>
      <c r="Q33" s="2"/>
      <c r="R33" s="7">
        <f t="shared" si="25"/>
        <v>0</v>
      </c>
      <c r="S33" s="2"/>
      <c r="T33" s="6">
        <v>113004.92</v>
      </c>
      <c r="U33" s="2"/>
      <c r="V33" s="7">
        <f t="shared" si="26"/>
        <v>0.53536008362244669</v>
      </c>
      <c r="W33" s="2"/>
      <c r="X33" s="6">
        <f t="shared" si="27"/>
        <v>-113004.92</v>
      </c>
      <c r="Y33" s="2"/>
      <c r="Z33" s="7">
        <f t="shared" si="28"/>
        <v>-1</v>
      </c>
    </row>
    <row r="34" spans="1:26" s="23" customFormat="1" hidden="1" outlineLevel="2" x14ac:dyDescent="0.25">
      <c r="A34" s="27"/>
      <c r="B34" s="10" t="str">
        <f>CONCATENATE("          ", "6005", " - ", "TEMPORARY WAGES-HOURLY")</f>
        <v xml:space="preserve">          6005 - TEMPORARY WAGES-HOURLY</v>
      </c>
      <c r="C34" s="10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0"/>
      <c r="P34" s="6"/>
      <c r="Q34" s="2"/>
      <c r="R34" s="7">
        <f t="shared" si="25"/>
        <v>0</v>
      </c>
      <c r="S34" s="2"/>
      <c r="T34" s="6">
        <v>18036.650000000001</v>
      </c>
      <c r="U34" s="2"/>
      <c r="V34" s="7">
        <f t="shared" si="26"/>
        <v>8.5448513677712487E-2</v>
      </c>
      <c r="W34" s="2"/>
      <c r="X34" s="6">
        <f t="shared" si="27"/>
        <v>-18036.650000000001</v>
      </c>
      <c r="Y34" s="2"/>
      <c r="Z34" s="7">
        <f t="shared" si="28"/>
        <v>-1</v>
      </c>
    </row>
    <row r="35" spans="1:26" s="23" customFormat="1" hidden="1" outlineLevel="2" x14ac:dyDescent="0.25">
      <c r="A35" s="27"/>
      <c r="B35" s="10" t="str">
        <f>CONCATENATE("          ", "6007", " - ", "STUDENT HOURLY")</f>
        <v xml:space="preserve">          6007 - STUDENT HOURLY</v>
      </c>
      <c r="C35" s="10"/>
      <c r="D35" s="6"/>
      <c r="E35" s="2"/>
      <c r="F35" s="7">
        <f t="shared" si="21"/>
        <v>0</v>
      </c>
      <c r="G35" s="2"/>
      <c r="H35" s="6"/>
      <c r="I35" s="2"/>
      <c r="J35" s="7">
        <f t="shared" si="22"/>
        <v>0</v>
      </c>
      <c r="K35" s="2"/>
      <c r="L35" s="6">
        <f t="shared" si="23"/>
        <v>0</v>
      </c>
      <c r="M35" s="2"/>
      <c r="N35" s="7">
        <f t="shared" si="24"/>
        <v>0</v>
      </c>
      <c r="O35" s="10"/>
      <c r="P35" s="6"/>
      <c r="Q35" s="2"/>
      <c r="R35" s="7">
        <f t="shared" si="25"/>
        <v>0</v>
      </c>
      <c r="S35" s="2"/>
      <c r="T35" s="6">
        <v>25720.959999999999</v>
      </c>
      <c r="U35" s="2"/>
      <c r="V35" s="7">
        <f t="shared" si="26"/>
        <v>0.12185288301119639</v>
      </c>
      <c r="W35" s="2"/>
      <c r="X35" s="6">
        <f t="shared" si="27"/>
        <v>-25720.959999999999</v>
      </c>
      <c r="Y35" s="2"/>
      <c r="Z35" s="7">
        <f t="shared" si="28"/>
        <v>-1</v>
      </c>
    </row>
    <row r="36" spans="1:26" s="23" customFormat="1" hidden="1" outlineLevel="2" x14ac:dyDescent="0.25">
      <c r="A36" s="27"/>
      <c r="B36" s="10" t="str">
        <f>CONCATENATE("          ", "6008", " - ", "STUDENT HOURLY-FICA EXEMPT")</f>
        <v xml:space="preserve">          6008 - STUDENT HOURLY-FICA EXEMPT</v>
      </c>
      <c r="C36" s="10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0"/>
      <c r="P36" s="6"/>
      <c r="Q36" s="2"/>
      <c r="R36" s="7">
        <f t="shared" si="25"/>
        <v>0</v>
      </c>
      <c r="S36" s="2"/>
      <c r="T36" s="6">
        <v>3807.45</v>
      </c>
      <c r="U36" s="2"/>
      <c r="V36" s="7">
        <f t="shared" si="26"/>
        <v>1.8037769951859482E-2</v>
      </c>
      <c r="W36" s="2"/>
      <c r="X36" s="6">
        <f t="shared" si="27"/>
        <v>-3807.45</v>
      </c>
      <c r="Y36" s="2"/>
      <c r="Z36" s="7">
        <f t="shared" si="28"/>
        <v>-1</v>
      </c>
    </row>
    <row r="37" spans="1:26" s="26" customFormat="1" outlineLevel="1" collapsed="1" x14ac:dyDescent="0.25">
      <c r="A37" s="25"/>
      <c r="B37" s="12" t="str">
        <f>CONCATENATE("     ","Advertising/Promo                                 ")</f>
        <v xml:space="preserve">     Advertising/Promo                                 </v>
      </c>
      <c r="C37" s="12"/>
      <c r="D37" s="1">
        <f>SUM(OSRRefD22_2x_0)</f>
        <v>0</v>
      </c>
      <c r="E37" s="1"/>
      <c r="F37" s="5">
        <f t="shared" ref="F37:F47" si="29">IF(D$12=0,0,D37/D$12)</f>
        <v>0</v>
      </c>
      <c r="G37" s="1"/>
      <c r="H37" s="1">
        <f>SUM(OSRRefH22_2x_0)</f>
        <v>0</v>
      </c>
      <c r="I37" s="1"/>
      <c r="J37" s="5">
        <f t="shared" ref="J37:J47" si="30">IF(H$12=0,0,H37/H$12)</f>
        <v>0</v>
      </c>
      <c r="K37" s="1"/>
      <c r="L37" s="1">
        <f t="shared" ref="L37:L47" si="31">+D37-H37</f>
        <v>0</v>
      </c>
      <c r="M37" s="1"/>
      <c r="N37" s="5">
        <f t="shared" ref="N37:N47" si="32">IF(H37=0,0,L37/H37)</f>
        <v>0</v>
      </c>
      <c r="O37" s="12"/>
      <c r="P37" s="1">
        <f>SUM(OSRRefP22_2x_0)</f>
        <v>0</v>
      </c>
      <c r="Q37" s="1"/>
      <c r="R37" s="5">
        <f t="shared" ref="R37:R47" si="33">IF(P$12=0,0,P37/P$12)</f>
        <v>0</v>
      </c>
      <c r="S37" s="1"/>
      <c r="T37" s="1">
        <f>SUM(OSRRefT22_2x_0)</f>
        <v>500</v>
      </c>
      <c r="U37" s="1"/>
      <c r="V37" s="5">
        <f t="shared" ref="V37:V47" si="34">IF(T$12=0,0,T37/T$12)</f>
        <v>2.3687467927168424E-3</v>
      </c>
      <c r="W37" s="1"/>
      <c r="X37" s="1">
        <f t="shared" ref="X37:X47" si="35">+P37-T37</f>
        <v>-500</v>
      </c>
      <c r="Y37" s="1"/>
      <c r="Z37" s="5">
        <f t="shared" ref="Z37:Z47" si="36">IF(T37=0,0,X37/T37)</f>
        <v>-1</v>
      </c>
    </row>
    <row r="38" spans="1:26" s="23" customFormat="1" hidden="1" outlineLevel="2" x14ac:dyDescent="0.25">
      <c r="A38" s="27"/>
      <c r="B38" s="10" t="str">
        <f>CONCATENATE("          ", "6362", " - ", "ADVERTISING EXPENSE")</f>
        <v xml:space="preserve">          6362 - ADVERTISING EXPENSE</v>
      </c>
      <c r="C38" s="10"/>
      <c r="D38" s="6"/>
      <c r="E38" s="2"/>
      <c r="F38" s="7">
        <f t="shared" si="29"/>
        <v>0</v>
      </c>
      <c r="G38" s="2"/>
      <c r="H38" s="6"/>
      <c r="I38" s="2"/>
      <c r="J38" s="7">
        <f t="shared" si="30"/>
        <v>0</v>
      </c>
      <c r="K38" s="2"/>
      <c r="L38" s="6">
        <f t="shared" si="31"/>
        <v>0</v>
      </c>
      <c r="M38" s="2"/>
      <c r="N38" s="7">
        <f t="shared" si="32"/>
        <v>0</v>
      </c>
      <c r="O38" s="10"/>
      <c r="P38" s="6"/>
      <c r="Q38" s="2"/>
      <c r="R38" s="7">
        <f t="shared" si="33"/>
        <v>0</v>
      </c>
      <c r="S38" s="2"/>
      <c r="T38" s="6">
        <v>500</v>
      </c>
      <c r="U38" s="2"/>
      <c r="V38" s="7">
        <f t="shared" si="34"/>
        <v>2.3687467927168424E-3</v>
      </c>
      <c r="W38" s="2"/>
      <c r="X38" s="6">
        <f t="shared" si="35"/>
        <v>-500</v>
      </c>
      <c r="Y38" s="2"/>
      <c r="Z38" s="7">
        <f t="shared" si="36"/>
        <v>-1</v>
      </c>
    </row>
    <row r="39" spans="1:26" s="26" customFormat="1" outlineLevel="1" collapsed="1" x14ac:dyDescent="0.25">
      <c r="A39" s="25"/>
      <c r="B39" s="12" t="str">
        <f>CONCATENATE("     ","Bad Debts/Over/Short                              ")</f>
        <v xml:space="preserve">     Bad Debts/Over/Short                              </v>
      </c>
      <c r="C39" s="12"/>
      <c r="D39" s="1">
        <f>SUM(OSRRefD22_3x_0)</f>
        <v>0</v>
      </c>
      <c r="E39" s="1"/>
      <c r="F39" s="5">
        <f t="shared" si="29"/>
        <v>0</v>
      </c>
      <c r="G39" s="1"/>
      <c r="H39" s="1">
        <f>SUM(OSRRefH22_3x_0)</f>
        <v>0</v>
      </c>
      <c r="I39" s="1"/>
      <c r="J39" s="5">
        <f t="shared" si="30"/>
        <v>0</v>
      </c>
      <c r="K39" s="1"/>
      <c r="L39" s="1">
        <f t="shared" si="31"/>
        <v>0</v>
      </c>
      <c r="M39" s="1"/>
      <c r="N39" s="5">
        <f t="shared" si="32"/>
        <v>0</v>
      </c>
      <c r="O39" s="12"/>
      <c r="P39" s="1">
        <f>SUM(OSRRefP22_3x_0)</f>
        <v>0</v>
      </c>
      <c r="Q39" s="1"/>
      <c r="R39" s="5">
        <f t="shared" si="33"/>
        <v>0</v>
      </c>
      <c r="S39" s="1"/>
      <c r="T39" s="1">
        <f>SUM(OSRRefT22_3x_0)</f>
        <v>-1.98</v>
      </c>
      <c r="U39" s="1"/>
      <c r="V39" s="5">
        <f t="shared" si="34"/>
        <v>-9.3802372991586962E-6</v>
      </c>
      <c r="W39" s="1"/>
      <c r="X39" s="1">
        <f t="shared" si="35"/>
        <v>1.98</v>
      </c>
      <c r="Y39" s="1"/>
      <c r="Z39" s="5">
        <f t="shared" si="36"/>
        <v>-1</v>
      </c>
    </row>
    <row r="40" spans="1:26" s="23" customFormat="1" hidden="1" outlineLevel="2" x14ac:dyDescent="0.25">
      <c r="A40" s="27"/>
      <c r="B40" s="10" t="str">
        <f>CONCATENATE("          ", "6272", " - ", "CASH (OVER/SHORT)")</f>
        <v xml:space="preserve">          6272 - CASH (OVER/SHORT)</v>
      </c>
      <c r="C40" s="10"/>
      <c r="D40" s="6"/>
      <c r="E40" s="2"/>
      <c r="F40" s="7">
        <f t="shared" si="29"/>
        <v>0</v>
      </c>
      <c r="G40" s="2"/>
      <c r="H40" s="6"/>
      <c r="I40" s="2"/>
      <c r="J40" s="7">
        <f t="shared" si="30"/>
        <v>0</v>
      </c>
      <c r="K40" s="2"/>
      <c r="L40" s="6">
        <f t="shared" si="31"/>
        <v>0</v>
      </c>
      <c r="M40" s="2"/>
      <c r="N40" s="7">
        <f t="shared" si="32"/>
        <v>0</v>
      </c>
      <c r="O40" s="10"/>
      <c r="P40" s="6"/>
      <c r="Q40" s="2"/>
      <c r="R40" s="7">
        <f t="shared" si="33"/>
        <v>0</v>
      </c>
      <c r="S40" s="2"/>
      <c r="T40" s="6">
        <v>-1.98</v>
      </c>
      <c r="U40" s="2"/>
      <c r="V40" s="7">
        <f t="shared" si="34"/>
        <v>-9.3802372991586962E-6</v>
      </c>
      <c r="W40" s="2"/>
      <c r="X40" s="6">
        <f t="shared" si="35"/>
        <v>1.98</v>
      </c>
      <c r="Y40" s="2"/>
      <c r="Z40" s="7">
        <f t="shared" si="36"/>
        <v>-1</v>
      </c>
    </row>
    <row r="41" spans="1:26" s="26" customFormat="1" outlineLevel="1" collapsed="1" x14ac:dyDescent="0.25">
      <c r="A41" s="25"/>
      <c r="B41" s="12" t="str">
        <f>CONCATENATE("     ","Bank/card Fees                                    ")</f>
        <v xml:space="preserve">     Bank/card Fees                                    </v>
      </c>
      <c r="C41" s="12"/>
      <c r="D41" s="1">
        <f>SUM(OSRRefD22_4x_0)</f>
        <v>0</v>
      </c>
      <c r="E41" s="1"/>
      <c r="F41" s="5">
        <f t="shared" si="29"/>
        <v>0</v>
      </c>
      <c r="G41" s="1"/>
      <c r="H41" s="1">
        <f>SUM(OSRRefH22_4x_0)</f>
        <v>0</v>
      </c>
      <c r="I41" s="1"/>
      <c r="J41" s="5">
        <f t="shared" si="30"/>
        <v>0</v>
      </c>
      <c r="K41" s="1"/>
      <c r="L41" s="1">
        <f t="shared" si="31"/>
        <v>0</v>
      </c>
      <c r="M41" s="1"/>
      <c r="N41" s="5">
        <f t="shared" si="32"/>
        <v>0</v>
      </c>
      <c r="O41" s="12"/>
      <c r="P41" s="1">
        <f>SUM(OSRRefP22_4x_0)</f>
        <v>0</v>
      </c>
      <c r="Q41" s="1"/>
      <c r="R41" s="5">
        <f t="shared" si="33"/>
        <v>0</v>
      </c>
      <c r="S41" s="1"/>
      <c r="T41" s="1">
        <f>SUM(OSRRefT22_4x_0)</f>
        <v>685.09</v>
      </c>
      <c r="U41" s="1"/>
      <c r="V41" s="5">
        <f t="shared" si="34"/>
        <v>3.2456094804447634E-3</v>
      </c>
      <c r="W41" s="1"/>
      <c r="X41" s="1">
        <f t="shared" si="35"/>
        <v>-685.09</v>
      </c>
      <c r="Y41" s="1"/>
      <c r="Z41" s="5">
        <f t="shared" si="36"/>
        <v>-1</v>
      </c>
    </row>
    <row r="42" spans="1:26" s="23" customFormat="1" hidden="1" outlineLevel="2" x14ac:dyDescent="0.25">
      <c r="A42" s="27"/>
      <c r="B42" s="10" t="str">
        <f>CONCATENATE("          ", "6381", " - ", "BANK/CREDIT CARD FEES")</f>
        <v xml:space="preserve">          6381 - BANK/CREDIT CARD FEES</v>
      </c>
      <c r="C42" s="10"/>
      <c r="D42" s="6"/>
      <c r="E42" s="2"/>
      <c r="F42" s="7">
        <f t="shared" si="29"/>
        <v>0</v>
      </c>
      <c r="G42" s="2"/>
      <c r="H42" s="6"/>
      <c r="I42" s="2"/>
      <c r="J42" s="7">
        <f t="shared" si="30"/>
        <v>0</v>
      </c>
      <c r="K42" s="2"/>
      <c r="L42" s="6">
        <f t="shared" si="31"/>
        <v>0</v>
      </c>
      <c r="M42" s="2"/>
      <c r="N42" s="7">
        <f t="shared" si="32"/>
        <v>0</v>
      </c>
      <c r="O42" s="10"/>
      <c r="P42" s="6"/>
      <c r="Q42" s="2"/>
      <c r="R42" s="7">
        <f t="shared" si="33"/>
        <v>0</v>
      </c>
      <c r="S42" s="2"/>
      <c r="T42" s="6">
        <v>685.09</v>
      </c>
      <c r="U42" s="2"/>
      <c r="V42" s="7">
        <f t="shared" si="34"/>
        <v>3.2456094804447634E-3</v>
      </c>
      <c r="W42" s="2"/>
      <c r="X42" s="6">
        <f t="shared" si="35"/>
        <v>-685.09</v>
      </c>
      <c r="Y42" s="2"/>
      <c r="Z42" s="7">
        <f t="shared" si="36"/>
        <v>-1</v>
      </c>
    </row>
    <row r="43" spans="1:26" s="26" customFormat="1" outlineLevel="1" collapsed="1" x14ac:dyDescent="0.25">
      <c r="A43" s="25"/>
      <c r="B43" s="12" t="str">
        <f>CONCATENATE("     ","Repair and Maintenance                            ")</f>
        <v xml:space="preserve">     Repair and Maintenance                            </v>
      </c>
      <c r="C43" s="12"/>
      <c r="D43" s="1">
        <f>SUM(OSRRefD22_5x_0)</f>
        <v>0</v>
      </c>
      <c r="E43" s="1"/>
      <c r="F43" s="5">
        <f t="shared" si="29"/>
        <v>0</v>
      </c>
      <c r="G43" s="1"/>
      <c r="H43" s="1">
        <f>SUM(OSRRefH22_5x_0)</f>
        <v>0</v>
      </c>
      <c r="I43" s="1"/>
      <c r="J43" s="5">
        <f t="shared" si="30"/>
        <v>0</v>
      </c>
      <c r="K43" s="1"/>
      <c r="L43" s="1">
        <f t="shared" si="31"/>
        <v>0</v>
      </c>
      <c r="M43" s="1"/>
      <c r="N43" s="5">
        <f t="shared" si="32"/>
        <v>0</v>
      </c>
      <c r="O43" s="12"/>
      <c r="P43" s="1">
        <f>SUM(OSRRefP22_5x_0)</f>
        <v>341.22</v>
      </c>
      <c r="Q43" s="1"/>
      <c r="R43" s="5">
        <f t="shared" si="33"/>
        <v>8.6989166812447417E-4</v>
      </c>
      <c r="S43" s="1"/>
      <c r="T43" s="1">
        <f>SUM(OSRRefT22_5x_0)</f>
        <v>1151.21</v>
      </c>
      <c r="U43" s="1"/>
      <c r="V43" s="5">
        <f t="shared" si="34"/>
        <v>5.4538499904871127E-3</v>
      </c>
      <c r="W43" s="1"/>
      <c r="X43" s="1">
        <f t="shared" si="35"/>
        <v>-809.99</v>
      </c>
      <c r="Y43" s="1"/>
      <c r="Z43" s="5">
        <f t="shared" si="36"/>
        <v>-0.70359882210891145</v>
      </c>
    </row>
    <row r="44" spans="1:26" s="23" customFormat="1" hidden="1" outlineLevel="2" x14ac:dyDescent="0.25">
      <c r="A44" s="27"/>
      <c r="B44" s="10" t="str">
        <f>CONCATENATE("          ", "6375", " - ", "OUTSIDE REPAIRS &amp; MAINTENANCE")</f>
        <v xml:space="preserve">          6375 - OUTSIDE REPAIRS &amp; MAINTENANCE</v>
      </c>
      <c r="C44" s="10"/>
      <c r="D44" s="6"/>
      <c r="E44" s="2"/>
      <c r="F44" s="7">
        <f t="shared" si="29"/>
        <v>0</v>
      </c>
      <c r="G44" s="2"/>
      <c r="H44" s="6"/>
      <c r="I44" s="2"/>
      <c r="J44" s="7">
        <f t="shared" si="30"/>
        <v>0</v>
      </c>
      <c r="K44" s="2"/>
      <c r="L44" s="6">
        <f t="shared" si="31"/>
        <v>0</v>
      </c>
      <c r="M44" s="2"/>
      <c r="N44" s="7">
        <f t="shared" si="32"/>
        <v>0</v>
      </c>
      <c r="O44" s="10"/>
      <c r="P44" s="6">
        <v>341.22</v>
      </c>
      <c r="Q44" s="2"/>
      <c r="R44" s="7">
        <f t="shared" si="33"/>
        <v>8.6989166812447417E-4</v>
      </c>
      <c r="S44" s="2"/>
      <c r="T44" s="6">
        <v>1151.21</v>
      </c>
      <c r="U44" s="2"/>
      <c r="V44" s="7">
        <f t="shared" si="34"/>
        <v>5.4538499904871127E-3</v>
      </c>
      <c r="W44" s="2"/>
      <c r="X44" s="6">
        <f t="shared" si="35"/>
        <v>-809.99</v>
      </c>
      <c r="Y44" s="2"/>
      <c r="Z44" s="7">
        <f t="shared" si="36"/>
        <v>-0.70359882210891145</v>
      </c>
    </row>
    <row r="45" spans="1:26" s="26" customFormat="1" outlineLevel="1" collapsed="1" x14ac:dyDescent="0.25">
      <c r="A45" s="25"/>
      <c r="B45" s="12" t="str">
        <f>CONCATENATE("     ","Supplies                                          ")</f>
        <v xml:space="preserve">     Supplies                                          </v>
      </c>
      <c r="C45" s="12"/>
      <c r="D45" s="1">
        <f>SUM(OSRRefD22_6x_0)</f>
        <v>0</v>
      </c>
      <c r="E45" s="1"/>
      <c r="F45" s="5">
        <f t="shared" si="29"/>
        <v>0</v>
      </c>
      <c r="G45" s="1"/>
      <c r="H45" s="1">
        <f>SUM(OSRRefH22_6x_0)</f>
        <v>0</v>
      </c>
      <c r="I45" s="1"/>
      <c r="J45" s="5">
        <f t="shared" si="30"/>
        <v>0</v>
      </c>
      <c r="K45" s="1"/>
      <c r="L45" s="1">
        <f t="shared" si="31"/>
        <v>0</v>
      </c>
      <c r="M45" s="1"/>
      <c r="N45" s="5">
        <f t="shared" si="32"/>
        <v>0</v>
      </c>
      <c r="O45" s="12"/>
      <c r="P45" s="1">
        <f>SUM(OSRRefP22_6x_0)</f>
        <v>0</v>
      </c>
      <c r="Q45" s="1"/>
      <c r="R45" s="5">
        <f t="shared" si="33"/>
        <v>0</v>
      </c>
      <c r="S45" s="1"/>
      <c r="T45" s="1">
        <f>SUM(OSRRefT22_6x_0)</f>
        <v>1137.47</v>
      </c>
      <c r="U45" s="1"/>
      <c r="V45" s="5">
        <f t="shared" si="34"/>
        <v>5.388756828623254E-3</v>
      </c>
      <c r="W45" s="1"/>
      <c r="X45" s="1">
        <f t="shared" si="35"/>
        <v>-1137.47</v>
      </c>
      <c r="Y45" s="1"/>
      <c r="Z45" s="5">
        <f t="shared" si="36"/>
        <v>-1</v>
      </c>
    </row>
    <row r="46" spans="1:26" s="23" customFormat="1" hidden="1" outlineLevel="2" x14ac:dyDescent="0.25">
      <c r="A46" s="27"/>
      <c r="B46" s="10" t="str">
        <f>CONCATENATE("          ", "6241", " - ", "OFFICE EXPENSE")</f>
        <v xml:space="preserve">          6241 - OFFICE EXPENSE</v>
      </c>
      <c r="C46" s="10"/>
      <c r="D46" s="6"/>
      <c r="E46" s="2"/>
      <c r="F46" s="7">
        <f t="shared" si="29"/>
        <v>0</v>
      </c>
      <c r="G46" s="2"/>
      <c r="H46" s="6"/>
      <c r="I46" s="2"/>
      <c r="J46" s="7">
        <f t="shared" si="30"/>
        <v>0</v>
      </c>
      <c r="K46" s="2"/>
      <c r="L46" s="6">
        <f t="shared" si="31"/>
        <v>0</v>
      </c>
      <c r="M46" s="2"/>
      <c r="N46" s="7">
        <f t="shared" si="32"/>
        <v>0</v>
      </c>
      <c r="O46" s="10"/>
      <c r="P46" s="6"/>
      <c r="Q46" s="2"/>
      <c r="R46" s="7">
        <f t="shared" si="33"/>
        <v>0</v>
      </c>
      <c r="S46" s="2"/>
      <c r="T46" s="6">
        <v>914.08</v>
      </c>
      <c r="U46" s="2"/>
      <c r="V46" s="7">
        <f t="shared" si="34"/>
        <v>4.330448136573223E-3</v>
      </c>
      <c r="W46" s="2"/>
      <c r="X46" s="6">
        <f t="shared" si="35"/>
        <v>-914.08</v>
      </c>
      <c r="Y46" s="2"/>
      <c r="Z46" s="7">
        <f t="shared" si="36"/>
        <v>-1</v>
      </c>
    </row>
    <row r="47" spans="1:26" s="23" customFormat="1" hidden="1" outlineLevel="2" x14ac:dyDescent="0.25">
      <c r="A47" s="27"/>
      <c r="B47" s="10" t="str">
        <f>CONCATENATE("          ", "6247", " - ", "STORE SUPPLIES")</f>
        <v xml:space="preserve">          6247 - STORE SUPPLIES</v>
      </c>
      <c r="C47" s="10"/>
      <c r="D47" s="6"/>
      <c r="E47" s="2"/>
      <c r="F47" s="7">
        <f t="shared" si="29"/>
        <v>0</v>
      </c>
      <c r="G47" s="2"/>
      <c r="H47" s="6"/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0"/>
      <c r="P47" s="6"/>
      <c r="Q47" s="2"/>
      <c r="R47" s="7">
        <f t="shared" si="33"/>
        <v>0</v>
      </c>
      <c r="S47" s="2"/>
      <c r="T47" s="6">
        <v>223.39</v>
      </c>
      <c r="U47" s="2"/>
      <c r="V47" s="7">
        <f t="shared" si="34"/>
        <v>1.0583086920500308E-3</v>
      </c>
      <c r="W47" s="2"/>
      <c r="X47" s="6">
        <f t="shared" si="35"/>
        <v>-223.39</v>
      </c>
      <c r="Y47" s="2"/>
      <c r="Z47" s="7">
        <f t="shared" si="36"/>
        <v>-1</v>
      </c>
    </row>
    <row r="48" spans="1:26" s="26" customFormat="1" outlineLevel="1" collapsed="1" x14ac:dyDescent="0.25">
      <c r="A48" s="25"/>
      <c r="B48" s="12" t="str">
        <f>CONCATENATE("     ","Travel                                            ")</f>
        <v xml:space="preserve">     Travel                                            </v>
      </c>
      <c r="C48" s="12"/>
      <c r="D48" s="1">
        <f>SUM(OSRRefD22_7x_0)</f>
        <v>0</v>
      </c>
      <c r="E48" s="1"/>
      <c r="F48" s="5">
        <f t="shared" ref="F48:F49" si="37">IF(D$12=0,0,D48/D$12)</f>
        <v>0</v>
      </c>
      <c r="G48" s="1"/>
      <c r="H48" s="1">
        <f>SUM(OSRRefH22_7x_0)</f>
        <v>0</v>
      </c>
      <c r="I48" s="1"/>
      <c r="J48" s="5">
        <f t="shared" ref="J48:J49" si="38">IF(H$12=0,0,H48/H$12)</f>
        <v>0</v>
      </c>
      <c r="K48" s="1"/>
      <c r="L48" s="1">
        <f t="shared" ref="L48:L49" si="39">+D48-H48</f>
        <v>0</v>
      </c>
      <c r="M48" s="1"/>
      <c r="N48" s="5">
        <f t="shared" ref="N48:N49" si="40">IF(H48=0,0,L48/H48)</f>
        <v>0</v>
      </c>
      <c r="O48" s="12"/>
      <c r="P48" s="1">
        <f>SUM(OSRRefP22_7x_0)</f>
        <v>0</v>
      </c>
      <c r="Q48" s="1"/>
      <c r="R48" s="5">
        <f t="shared" ref="R48:R49" si="41">IF(P$12=0,0,P48/P$12)</f>
        <v>0</v>
      </c>
      <c r="S48" s="1"/>
      <c r="T48" s="1">
        <f>SUM(OSRRefT22_7x_0)</f>
        <v>1269.1500000000001</v>
      </c>
      <c r="U48" s="1"/>
      <c r="V48" s="5">
        <f t="shared" ref="V48:V49" si="42">IF(T$12=0,0,T48/T$12)</f>
        <v>6.0125899839531616E-3</v>
      </c>
      <c r="W48" s="1"/>
      <c r="X48" s="1">
        <f t="shared" ref="X48:X49" si="43">+P48-T48</f>
        <v>-1269.1500000000001</v>
      </c>
      <c r="Y48" s="1"/>
      <c r="Z48" s="5">
        <f t="shared" ref="Z48:Z49" si="44">IF(T48=0,0,X48/T48)</f>
        <v>-1</v>
      </c>
    </row>
    <row r="49" spans="1:26" s="23" customFormat="1" hidden="1" outlineLevel="2" x14ac:dyDescent="0.25">
      <c r="A49" s="27"/>
      <c r="B49" s="10" t="str">
        <f>CONCATENATE("          ", "6292", " - ", "TRAVEL/CONFERENCE")</f>
        <v xml:space="preserve">          6292 - TRAVEL/CONFERENCE</v>
      </c>
      <c r="C49" s="10"/>
      <c r="D49" s="6"/>
      <c r="E49" s="2"/>
      <c r="F49" s="7">
        <f t="shared" si="37"/>
        <v>0</v>
      </c>
      <c r="G49" s="2"/>
      <c r="H49" s="6"/>
      <c r="I49" s="2"/>
      <c r="J49" s="7">
        <f t="shared" si="38"/>
        <v>0</v>
      </c>
      <c r="K49" s="2"/>
      <c r="L49" s="6">
        <f t="shared" si="39"/>
        <v>0</v>
      </c>
      <c r="M49" s="2"/>
      <c r="N49" s="7">
        <f t="shared" si="40"/>
        <v>0</v>
      </c>
      <c r="O49" s="10"/>
      <c r="P49" s="6"/>
      <c r="Q49" s="2"/>
      <c r="R49" s="7">
        <f t="shared" si="41"/>
        <v>0</v>
      </c>
      <c r="S49" s="2"/>
      <c r="T49" s="6">
        <v>1269.1500000000001</v>
      </c>
      <c r="U49" s="2"/>
      <c r="V49" s="7">
        <f t="shared" si="42"/>
        <v>6.0125899839531616E-3</v>
      </c>
      <c r="W49" s="2"/>
      <c r="X49" s="6">
        <f t="shared" si="43"/>
        <v>-1269.1500000000001</v>
      </c>
      <c r="Y49" s="2"/>
      <c r="Z49" s="7">
        <f t="shared" si="44"/>
        <v>-1</v>
      </c>
    </row>
    <row r="50" spans="1:26" s="62" customFormat="1" x14ac:dyDescent="0.25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4" customFormat="1" x14ac:dyDescent="0.25">
      <c r="A51" s="11"/>
      <c r="B51" s="28" t="s">
        <v>292</v>
      </c>
      <c r="C51" s="11"/>
      <c r="D51" s="4">
        <f>SUM(0)</f>
        <v>0</v>
      </c>
      <c r="E51" s="4"/>
      <c r="F51" s="13">
        <f>IF(D$12=0,0,D51/D$12)</f>
        <v>0</v>
      </c>
      <c r="G51" s="4"/>
      <c r="H51" s="4">
        <f>SUM(0)</f>
        <v>0</v>
      </c>
      <c r="I51" s="4"/>
      <c r="J51" s="13">
        <f>IF(H$12=0,0,H51/H$12)</f>
        <v>0</v>
      </c>
      <c r="K51" s="4"/>
      <c r="L51" s="4">
        <f>+D51-H51</f>
        <v>0</v>
      </c>
      <c r="M51" s="4"/>
      <c r="N51" s="13">
        <f>IF(H51=0,0,L51/H51)</f>
        <v>0</v>
      </c>
      <c r="O51" s="11"/>
      <c r="P51" s="4">
        <f>SUM(0)</f>
        <v>0</v>
      </c>
      <c r="Q51" s="4"/>
      <c r="R51" s="13">
        <f>IF(P$12=0,0,P51/P$12)</f>
        <v>0</v>
      </c>
      <c r="S51" s="4"/>
      <c r="T51" s="4">
        <f>SUM(0)</f>
        <v>0</v>
      </c>
      <c r="U51" s="4"/>
      <c r="V51" s="13">
        <f>IF(T$12=0,0,T51/T$12)</f>
        <v>0</v>
      </c>
      <c r="W51" s="4"/>
      <c r="X51" s="4">
        <f>+P51-T51</f>
        <v>0</v>
      </c>
      <c r="Y51" s="4"/>
      <c r="Z51" s="13">
        <f>IF(T51=0,0,X51/T51)</f>
        <v>0</v>
      </c>
    </row>
    <row r="52" spans="1:26" x14ac:dyDescent="0.25">
      <c r="A52" s="9"/>
      <c r="B52" s="11"/>
      <c r="C52" s="11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1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x14ac:dyDescent="0.25">
      <c r="A53" s="11"/>
      <c r="B53" s="29" t="s">
        <v>276</v>
      </c>
      <c r="C53" s="29"/>
      <c r="D53" s="20">
        <f>+D20-D22+D51</f>
        <v>60315.630000000005</v>
      </c>
      <c r="E53" s="14"/>
      <c r="F53" s="22">
        <f>IF(D$12=0,0,D53/D$12)</f>
        <v>1</v>
      </c>
      <c r="G53" s="14"/>
      <c r="H53" s="20">
        <f>+H20-H22+H51</f>
        <v>29291.05</v>
      </c>
      <c r="I53" s="14"/>
      <c r="J53" s="22">
        <f>IF(H$12=0,0,H53/H$12)</f>
        <v>0</v>
      </c>
      <c r="K53" s="16"/>
      <c r="L53" s="20">
        <f>+D53-H53</f>
        <v>31024.580000000005</v>
      </c>
      <c r="M53" s="16"/>
      <c r="N53" s="22">
        <f>IF(H53=0,0,L53/H53)</f>
        <v>1.0591829244769309</v>
      </c>
      <c r="O53" s="28"/>
      <c r="P53" s="20">
        <f>+P20-P22+P51</f>
        <v>391906.66</v>
      </c>
      <c r="Q53" s="14"/>
      <c r="R53" s="22">
        <f>IF(P$12=0,0,P53/P$12)</f>
        <v>0.99911007038418354</v>
      </c>
      <c r="S53" s="14"/>
      <c r="T53" s="20">
        <f>+T20-T22+T51</f>
        <v>1161.3000000000466</v>
      </c>
      <c r="U53" s="14"/>
      <c r="V53" s="22">
        <f>IF(T$12=0,0,T53/T$12)</f>
        <v>5.5016513007643594E-3</v>
      </c>
      <c r="W53" s="16"/>
      <c r="X53" s="20">
        <f>+P53-T53</f>
        <v>390745.35999999993</v>
      </c>
      <c r="Y53" s="16"/>
      <c r="Z53" s="22">
        <f>IF(T53=0,0,X53/T53)</f>
        <v>336.47236717470446</v>
      </c>
    </row>
    <row r="54" spans="1:26" x14ac:dyDescent="0.25">
      <c r="A54" s="9"/>
      <c r="B54" s="11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x14ac:dyDescent="0.25">
      <c r="A55" s="51"/>
      <c r="B55" s="11" t="s">
        <v>127</v>
      </c>
      <c r="C55" s="11"/>
      <c r="D55" s="4">
        <v>13651.45</v>
      </c>
      <c r="E55" s="4"/>
      <c r="F55" s="13">
        <f>IF(D$12=0,0,D55/D$12)</f>
        <v>0.22633353908431364</v>
      </c>
      <c r="G55" s="4"/>
      <c r="H55" s="4">
        <v>1348.9</v>
      </c>
      <c r="I55" s="4"/>
      <c r="J55" s="13">
        <f>IF(H$12=0,0,H55/H$12)</f>
        <v>0</v>
      </c>
      <c r="K55" s="4"/>
      <c r="L55" s="4">
        <f>+D55-H55</f>
        <v>12302.550000000001</v>
      </c>
      <c r="M55" s="4"/>
      <c r="N55" s="13">
        <f>IF(H55=0,0,L55/H55)</f>
        <v>9.1204314626732899</v>
      </c>
      <c r="O55" s="11"/>
      <c r="P55" s="4">
        <v>82061.490000000005</v>
      </c>
      <c r="Q55" s="4"/>
      <c r="R55" s="13">
        <f>IF(P$12=0,0,P55/P$12)</f>
        <v>0.20920405141808762</v>
      </c>
      <c r="S55" s="4"/>
      <c r="T55" s="4">
        <v>23966.86</v>
      </c>
      <c r="U55" s="4"/>
      <c r="V55" s="13">
        <f>IF(T$12=0,0,T55/T$12)</f>
        <v>0.11354284551298717</v>
      </c>
      <c r="W55" s="4"/>
      <c r="X55" s="4">
        <f>+P55-T55</f>
        <v>58094.630000000005</v>
      </c>
      <c r="Y55" s="4"/>
      <c r="Z55" s="13">
        <f>IF(T55=0,0,X55/T55)</f>
        <v>2.4239566634928398</v>
      </c>
    </row>
    <row r="56" spans="1:26" x14ac:dyDescent="0.25">
      <c r="A56" s="9"/>
      <c r="B56" s="11"/>
      <c r="C56" s="11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1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4" customFormat="1" ht="15.75" thickBot="1" x14ac:dyDescent="0.3">
      <c r="A57" s="11"/>
      <c r="B57" s="29" t="s">
        <v>125</v>
      </c>
      <c r="C57" s="29"/>
      <c r="D57" s="30">
        <f>+D53-D55</f>
        <v>46664.180000000008</v>
      </c>
      <c r="E57" s="14"/>
      <c r="F57" s="34">
        <f>IF(D$12=0,0,D57/D$12)</f>
        <v>0.77366646091568647</v>
      </c>
      <c r="G57" s="14"/>
      <c r="H57" s="30">
        <f>+H53-H55</f>
        <v>27942.149999999998</v>
      </c>
      <c r="I57" s="14"/>
      <c r="J57" s="34">
        <f>IF(H$12=0,0,H57/H$12)</f>
        <v>0</v>
      </c>
      <c r="K57" s="16"/>
      <c r="L57" s="30">
        <f>D57-H57</f>
        <v>18722.03000000001</v>
      </c>
      <c r="M57" s="16"/>
      <c r="N57" s="34">
        <f>IF(H57=0,0,L57/H57)</f>
        <v>0.67002825480501715</v>
      </c>
      <c r="O57" s="28"/>
      <c r="P57" s="30">
        <f>+P53-P55</f>
        <v>309845.17</v>
      </c>
      <c r="Q57" s="14"/>
      <c r="R57" s="34">
        <f>IF(P$12=0,0,P57/P$12)</f>
        <v>0.78990601896609591</v>
      </c>
      <c r="S57" s="14"/>
      <c r="T57" s="30">
        <f>+T53-T55</f>
        <v>-22805.559999999954</v>
      </c>
      <c r="U57" s="14"/>
      <c r="V57" s="34">
        <f>IF(T$12=0,0,T57/T$12)</f>
        <v>-0.10804119421222282</v>
      </c>
      <c r="W57" s="16"/>
      <c r="X57" s="30">
        <f>P57-T57</f>
        <v>332650.72999999992</v>
      </c>
      <c r="Y57" s="16"/>
      <c r="Z57" s="34">
        <f>IF(T57=0,0,X57/T57)</f>
        <v>-14.586387266964749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4" customFormat="1" ht="15.75" thickBot="1" x14ac:dyDescent="0.3">
      <c r="A60" s="11"/>
      <c r="B60" s="29" t="s">
        <v>293</v>
      </c>
      <c r="C60" s="29"/>
      <c r="D60" s="32">
        <f>SUM(D57:D59)</f>
        <v>46664.180000000008</v>
      </c>
      <c r="E60" s="14"/>
      <c r="F60" s="35">
        <f>IF(D$12=0,0,D60/D$12)</f>
        <v>0.77366646091568647</v>
      </c>
      <c r="G60" s="14"/>
      <c r="H60" s="32">
        <f>SUM(H57:H59)</f>
        <v>27942.149999999998</v>
      </c>
      <c r="I60" s="14"/>
      <c r="J60" s="35">
        <f>IF(H$12=0,0,H60/H$12)</f>
        <v>0</v>
      </c>
      <c r="K60" s="16"/>
      <c r="L60" s="32">
        <f>+D60-H60</f>
        <v>18722.03000000001</v>
      </c>
      <c r="M60" s="16"/>
      <c r="N60" s="35">
        <f>IF(H60=0,0,L60/H60)</f>
        <v>0.67002825480501715</v>
      </c>
      <c r="O60" s="28"/>
      <c r="P60" s="32">
        <f>SUM(P57:P59)</f>
        <v>309845.17</v>
      </c>
      <c r="Q60" s="14"/>
      <c r="R60" s="35">
        <f>IF(P$12=0,0,P60/P$12)</f>
        <v>0.78990601896609591</v>
      </c>
      <c r="S60" s="14"/>
      <c r="T60" s="32">
        <f>SUM(T57:T59)</f>
        <v>-22805.559999999954</v>
      </c>
      <c r="U60" s="14"/>
      <c r="V60" s="35">
        <f>IF(T$12=0,0,T60/T$12)</f>
        <v>-0.10804119421222282</v>
      </c>
      <c r="W60" s="16"/>
      <c r="X60" s="32">
        <f>+P60-T60</f>
        <v>332650.72999999992</v>
      </c>
      <c r="Y60" s="16"/>
      <c r="Z60" s="35">
        <f>IF(T60=0,0,X60/T60)</f>
        <v>-14.586387266964749</v>
      </c>
    </row>
    <row r="61" spans="1:26" ht="15.75" thickTop="1" x14ac:dyDescent="0.25">
      <c r="A61" s="9"/>
      <c r="C61" s="9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A62" s="9"/>
      <c r="B62" s="59">
        <v>44330.00886898148</v>
      </c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A63" s="9"/>
      <c r="B63" s="52" t="s">
        <v>56</v>
      </c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25">
      <c r="A64" s="9"/>
      <c r="B64" s="55"/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4:24" x14ac:dyDescent="0.25"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","423", " - ", "Contract/Vending Revenue")</f>
        <v>Department 423 - Contract/Vending Revenue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collapsed="1" x14ac:dyDescent="0.25">
      <c r="A14" s="11"/>
      <c r="B14" s="28" t="s">
        <v>256</v>
      </c>
      <c r="C14" s="11"/>
      <c r="D14" s="4">
        <f>SUM(OSRRefD16x_0)</f>
        <v>0</v>
      </c>
      <c r="E14" s="4"/>
      <c r="F14" s="13">
        <f t="shared" ref="F14:F15" si="0">IF(D$12=0,0,D14/D$12)</f>
        <v>0</v>
      </c>
      <c r="G14" s="4"/>
      <c r="H14" s="4">
        <f>SUM(OSRRefH16x_0)</f>
        <v>0</v>
      </c>
      <c r="I14" s="4"/>
      <c r="J14" s="13">
        <f t="shared" ref="J14:J15" si="1">IF(H$12=0,0,H14/H$12)</f>
        <v>0</v>
      </c>
      <c r="K14" s="4"/>
      <c r="L14" s="4">
        <f t="shared" ref="L14:L15" si="2">+D14-H14</f>
        <v>0</v>
      </c>
      <c r="M14" s="4"/>
      <c r="N14" s="13">
        <f t="shared" ref="N14:N15" si="3">IF(H14=0,0,L14/H14)</f>
        <v>0</v>
      </c>
      <c r="O14" s="11"/>
      <c r="P14" s="4">
        <f>SUM(OSRRefP16x_0)</f>
        <v>0</v>
      </c>
      <c r="Q14" s="4"/>
      <c r="R14" s="13">
        <f t="shared" ref="R14:R15" si="4">IF(P$12=0,0,P14/P$12)</f>
        <v>0</v>
      </c>
      <c r="S14" s="4"/>
      <c r="T14" s="4">
        <f>SUM(OSRRefT16x_0)</f>
        <v>-729.38</v>
      </c>
      <c r="U14" s="4"/>
      <c r="V14" s="13">
        <f t="shared" ref="V14:V15" si="5">IF(T$12=0,0,T14/T$12)</f>
        <v>0</v>
      </c>
      <c r="W14" s="4"/>
      <c r="X14" s="4">
        <f t="shared" ref="X14:X15" si="6">+P14-T14</f>
        <v>729.38</v>
      </c>
      <c r="Y14" s="4"/>
      <c r="Z14" s="13">
        <f t="shared" ref="Z14:Z15" si="7">IF(T14=0,0,X14/T14)</f>
        <v>-1</v>
      </c>
    </row>
    <row r="15" spans="1:26" s="23" customFormat="1" hidden="1" outlineLevel="1" x14ac:dyDescent="0.25">
      <c r="A15" s="44"/>
      <c r="B15" s="10" t="str">
        <f>CONCATENATE("          ", "5053", " - ", "PURCHASES @ COST-FOOD")</f>
        <v xml:space="preserve">          5053 - PURCHASES @ COST-FOOD</v>
      </c>
      <c r="C15" s="10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0"/>
      <c r="P15" s="2"/>
      <c r="Q15" s="2"/>
      <c r="R15" s="19">
        <f t="shared" si="4"/>
        <v>0</v>
      </c>
      <c r="S15" s="2"/>
      <c r="T15" s="2">
        <v>-729.38</v>
      </c>
      <c r="U15" s="2"/>
      <c r="V15" s="19">
        <f t="shared" si="5"/>
        <v>0</v>
      </c>
      <c r="W15" s="2"/>
      <c r="X15" s="2">
        <f t="shared" si="6"/>
        <v>729.38</v>
      </c>
      <c r="Y15" s="2"/>
      <c r="Z15" s="19">
        <f t="shared" si="7"/>
        <v>-1</v>
      </c>
    </row>
    <row r="16" spans="1:26" x14ac:dyDescent="0.25">
      <c r="A16" s="9"/>
      <c r="B16" s="11"/>
      <c r="C16" s="11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1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x14ac:dyDescent="0.25">
      <c r="A17" s="11"/>
      <c r="B17" s="29" t="s">
        <v>107</v>
      </c>
      <c r="C17" s="29"/>
      <c r="D17" s="20">
        <f>D12-D14</f>
        <v>0</v>
      </c>
      <c r="E17" s="14"/>
      <c r="F17" s="22">
        <f>IF(D$12=0,0,D17/D$12)</f>
        <v>0</v>
      </c>
      <c r="G17" s="14"/>
      <c r="H17" s="20">
        <f>H12-H14</f>
        <v>0</v>
      </c>
      <c r="I17" s="14"/>
      <c r="J17" s="22">
        <f>IF(H$12=0,0,H17/H$12)</f>
        <v>0</v>
      </c>
      <c r="K17" s="16"/>
      <c r="L17" s="20">
        <f>+D17-H17</f>
        <v>0</v>
      </c>
      <c r="M17" s="16"/>
      <c r="N17" s="22">
        <f>IF(H17=0,0,L17/H17)</f>
        <v>0</v>
      </c>
      <c r="O17" s="28"/>
      <c r="P17" s="20">
        <f>P12-P14</f>
        <v>0</v>
      </c>
      <c r="Q17" s="14"/>
      <c r="R17" s="22">
        <f>IF(P$12=0,0,P17/P$12)</f>
        <v>0</v>
      </c>
      <c r="S17" s="14"/>
      <c r="T17" s="20">
        <f>T12-T14</f>
        <v>729.38</v>
      </c>
      <c r="U17" s="14"/>
      <c r="V17" s="22">
        <f>IF(T$12=0,0,T17/T$12)</f>
        <v>0</v>
      </c>
      <c r="W17" s="16"/>
      <c r="X17" s="20">
        <f>+P17-T17</f>
        <v>-729.38</v>
      </c>
      <c r="Y17" s="16"/>
      <c r="Z17" s="22">
        <f>IF(T17=0,0,X17/T17)</f>
        <v>-1</v>
      </c>
    </row>
    <row r="18" spans="1:26" x14ac:dyDescent="0.25">
      <c r="A18" s="9"/>
      <c r="B18" s="11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4" customFormat="1" x14ac:dyDescent="0.25">
      <c r="A19" s="11"/>
      <c r="B19" s="28" t="s">
        <v>294</v>
      </c>
      <c r="C19" s="11"/>
      <c r="D19" s="21">
        <f>SUM(OSRRefD22x_0)</f>
        <v>-107.75</v>
      </c>
      <c r="E19" s="21"/>
      <c r="F19" s="31">
        <f t="shared" ref="F19:F28" si="8">IF(D$12=0,0,D19/D$12)</f>
        <v>0</v>
      </c>
      <c r="G19" s="21"/>
      <c r="H19" s="21">
        <f>SUM(OSRRefH22x_0)</f>
        <v>18465.259999999995</v>
      </c>
      <c r="I19" s="21"/>
      <c r="J19" s="31">
        <f t="shared" ref="J19:J28" si="9">IF(H$12=0,0,H19/H$12)</f>
        <v>0</v>
      </c>
      <c r="K19" s="4"/>
      <c r="L19" s="21">
        <f t="shared" ref="L19:L28" si="10">+D19-H19</f>
        <v>-18573.009999999995</v>
      </c>
      <c r="M19" s="4"/>
      <c r="N19" s="31">
        <f t="shared" ref="N19:N28" si="11">IF(H19=0,0,L19/H19)</f>
        <v>-1.0058352820377292</v>
      </c>
      <c r="O19" s="11"/>
      <c r="P19" s="21">
        <f>SUM(OSRRefP22x_0)</f>
        <v>3180.9900000000002</v>
      </c>
      <c r="Q19" s="21"/>
      <c r="R19" s="31">
        <f t="shared" ref="R19:R28" si="12">IF(P$12=0,0,P19/P$12)</f>
        <v>0</v>
      </c>
      <c r="S19" s="21"/>
      <c r="T19" s="21">
        <f>SUM(OSRRefT22x_0)</f>
        <v>136728.69</v>
      </c>
      <c r="U19" s="21"/>
      <c r="V19" s="31">
        <f t="shared" ref="V19:V28" si="13">IF(T$12=0,0,T19/T$12)</f>
        <v>0</v>
      </c>
      <c r="W19" s="4"/>
      <c r="X19" s="21">
        <f t="shared" ref="X19:X28" si="14">+P19-T19</f>
        <v>-133547.70000000001</v>
      </c>
      <c r="Y19" s="4"/>
      <c r="Z19" s="31">
        <f t="shared" ref="Z19:Z28" si="15">IF(T19=0,0,X19/T19)</f>
        <v>-0.97673502174269355</v>
      </c>
    </row>
    <row r="20" spans="1:26" s="26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6718.41</v>
      </c>
      <c r="I20" s="1"/>
      <c r="J20" s="5">
        <f t="shared" si="9"/>
        <v>0</v>
      </c>
      <c r="K20" s="1"/>
      <c r="L20" s="1">
        <f t="shared" si="10"/>
        <v>-6718.41</v>
      </c>
      <c r="M20" s="1"/>
      <c r="N20" s="5">
        <f t="shared" si="11"/>
        <v>-1</v>
      </c>
      <c r="O20" s="12"/>
      <c r="P20" s="1">
        <f>SUM(OSRRefP22_0x_0)</f>
        <v>2478.73</v>
      </c>
      <c r="Q20" s="1"/>
      <c r="R20" s="5">
        <f t="shared" si="12"/>
        <v>0</v>
      </c>
      <c r="S20" s="1"/>
      <c r="T20" s="1">
        <f>SUM(OSRRefT22_0x_0)</f>
        <v>58737.34</v>
      </c>
      <c r="U20" s="1"/>
      <c r="V20" s="5">
        <f t="shared" si="13"/>
        <v>0</v>
      </c>
      <c r="W20" s="1"/>
      <c r="X20" s="1">
        <f t="shared" si="14"/>
        <v>-56258.609999999993</v>
      </c>
      <c r="Y20" s="1"/>
      <c r="Z20" s="5">
        <f t="shared" si="15"/>
        <v>-0.95779975736047962</v>
      </c>
    </row>
    <row r="21" spans="1:26" s="23" customFormat="1" hidden="1" outlineLevel="2" x14ac:dyDescent="0.25">
      <c r="A21" s="27"/>
      <c r="B21" s="10" t="str">
        <f>CONCATENATE("          ", "6111", " - ", "F.I.C.A.")</f>
        <v xml:space="preserve">          6111 - F.I.C.A.</v>
      </c>
      <c r="C21" s="10"/>
      <c r="D21" s="6"/>
      <c r="E21" s="2"/>
      <c r="F21" s="7">
        <f t="shared" si="8"/>
        <v>0</v>
      </c>
      <c r="G21" s="2"/>
      <c r="H21" s="6">
        <v>1270.2</v>
      </c>
      <c r="I21" s="2"/>
      <c r="J21" s="7">
        <f t="shared" si="9"/>
        <v>0</v>
      </c>
      <c r="K21" s="2"/>
      <c r="L21" s="6">
        <f t="shared" si="10"/>
        <v>-1270.2</v>
      </c>
      <c r="M21" s="2"/>
      <c r="N21" s="7">
        <f t="shared" si="11"/>
        <v>-1</v>
      </c>
      <c r="O21" s="10"/>
      <c r="P21" s="6"/>
      <c r="Q21" s="2"/>
      <c r="R21" s="7">
        <f t="shared" si="12"/>
        <v>0</v>
      </c>
      <c r="S21" s="2"/>
      <c r="T21" s="6">
        <v>6676.15</v>
      </c>
      <c r="U21" s="2"/>
      <c r="V21" s="7">
        <f t="shared" si="13"/>
        <v>0</v>
      </c>
      <c r="W21" s="2"/>
      <c r="X21" s="6">
        <f t="shared" si="14"/>
        <v>-6676.15</v>
      </c>
      <c r="Y21" s="2"/>
      <c r="Z21" s="7">
        <f t="shared" si="15"/>
        <v>-1</v>
      </c>
    </row>
    <row r="22" spans="1:26" s="23" customFormat="1" hidden="1" outlineLevel="2" x14ac:dyDescent="0.25">
      <c r="A22" s="27"/>
      <c r="B22" s="10" t="str">
        <f>CONCATENATE("          ", "6112", " - ", "COMPENSATION INSURANCE")</f>
        <v xml:space="preserve">          6112 - COMPENSATION INSURANCE</v>
      </c>
      <c r="C22" s="10"/>
      <c r="D22" s="6"/>
      <c r="E22" s="2"/>
      <c r="F22" s="7">
        <f t="shared" si="8"/>
        <v>0</v>
      </c>
      <c r="G22" s="2"/>
      <c r="H22" s="6">
        <v>37.64</v>
      </c>
      <c r="I22" s="2"/>
      <c r="J22" s="7">
        <f t="shared" si="9"/>
        <v>0</v>
      </c>
      <c r="K22" s="2"/>
      <c r="L22" s="6">
        <f t="shared" si="10"/>
        <v>-37.64</v>
      </c>
      <c r="M22" s="2"/>
      <c r="N22" s="7">
        <f t="shared" si="11"/>
        <v>-1</v>
      </c>
      <c r="O22" s="10"/>
      <c r="P22" s="6"/>
      <c r="Q22" s="2"/>
      <c r="R22" s="7">
        <f t="shared" si="12"/>
        <v>0</v>
      </c>
      <c r="S22" s="2"/>
      <c r="T22" s="6">
        <v>234.6</v>
      </c>
      <c r="U22" s="2"/>
      <c r="V22" s="7">
        <f t="shared" si="13"/>
        <v>0</v>
      </c>
      <c r="W22" s="2"/>
      <c r="X22" s="6">
        <f t="shared" si="14"/>
        <v>-234.6</v>
      </c>
      <c r="Y22" s="2"/>
      <c r="Z22" s="7">
        <f t="shared" si="15"/>
        <v>-1</v>
      </c>
    </row>
    <row r="23" spans="1:26" s="23" customFormat="1" hidden="1" outlineLevel="2" x14ac:dyDescent="0.25">
      <c r="A23" s="27"/>
      <c r="B23" s="10" t="str">
        <f>CONCATENATE("          ", "6113", " - ", "GROUP INSURANCE")</f>
        <v xml:space="preserve">          6113 - GROUP INSURANCE</v>
      </c>
      <c r="C23" s="10"/>
      <c r="D23" s="6"/>
      <c r="E23" s="2"/>
      <c r="F23" s="7">
        <f t="shared" si="8"/>
        <v>0</v>
      </c>
      <c r="G23" s="2"/>
      <c r="H23" s="6">
        <v>1950.75</v>
      </c>
      <c r="I23" s="2"/>
      <c r="J23" s="7">
        <f t="shared" si="9"/>
        <v>0</v>
      </c>
      <c r="K23" s="2"/>
      <c r="L23" s="6">
        <f t="shared" si="10"/>
        <v>-1950.75</v>
      </c>
      <c r="M23" s="2"/>
      <c r="N23" s="7">
        <f t="shared" si="11"/>
        <v>-1</v>
      </c>
      <c r="O23" s="10"/>
      <c r="P23" s="6">
        <v>1868.2</v>
      </c>
      <c r="Q23" s="2"/>
      <c r="R23" s="7">
        <f t="shared" si="12"/>
        <v>0</v>
      </c>
      <c r="S23" s="2"/>
      <c r="T23" s="6">
        <v>11069.28</v>
      </c>
      <c r="U23" s="2"/>
      <c r="V23" s="7">
        <f t="shared" si="13"/>
        <v>0</v>
      </c>
      <c r="W23" s="2"/>
      <c r="X23" s="6">
        <f t="shared" si="14"/>
        <v>-9201.08</v>
      </c>
      <c r="Y23" s="2"/>
      <c r="Z23" s="7">
        <f t="shared" si="15"/>
        <v>-0.83122660191087405</v>
      </c>
    </row>
    <row r="24" spans="1:26" s="23" customFormat="1" hidden="1" outlineLevel="2" x14ac:dyDescent="0.25">
      <c r="A24" s="27"/>
      <c r="B24" s="10" t="str">
        <f>CONCATENATE("          ", "6114", " - ", "STATE UNEMPLOYMENT INSURANCE")</f>
        <v xml:space="preserve">          6114 - STATE UNEMPLOYMENT INSURANCE</v>
      </c>
      <c r="C24" s="10"/>
      <c r="D24" s="6"/>
      <c r="E24" s="2"/>
      <c r="F24" s="7">
        <f t="shared" si="8"/>
        <v>0</v>
      </c>
      <c r="G24" s="2"/>
      <c r="H24" s="6">
        <v>28.78</v>
      </c>
      <c r="I24" s="2"/>
      <c r="J24" s="7">
        <f t="shared" si="9"/>
        <v>0</v>
      </c>
      <c r="K24" s="2"/>
      <c r="L24" s="6">
        <f t="shared" si="10"/>
        <v>-28.78</v>
      </c>
      <c r="M24" s="2"/>
      <c r="N24" s="7">
        <f t="shared" si="11"/>
        <v>-1</v>
      </c>
      <c r="O24" s="10"/>
      <c r="P24" s="6"/>
      <c r="Q24" s="2"/>
      <c r="R24" s="7">
        <f t="shared" si="12"/>
        <v>0</v>
      </c>
      <c r="S24" s="2"/>
      <c r="T24" s="6">
        <v>191.87</v>
      </c>
      <c r="U24" s="2"/>
      <c r="V24" s="7">
        <f t="shared" si="13"/>
        <v>0</v>
      </c>
      <c r="W24" s="2"/>
      <c r="X24" s="6">
        <f t="shared" si="14"/>
        <v>-191.87</v>
      </c>
      <c r="Y24" s="2"/>
      <c r="Z24" s="7">
        <f t="shared" si="15"/>
        <v>-1</v>
      </c>
    </row>
    <row r="25" spans="1:26" s="23" customFormat="1" hidden="1" outlineLevel="2" x14ac:dyDescent="0.25">
      <c r="A25" s="27"/>
      <c r="B25" s="10" t="str">
        <f>CONCATENATE("          ", "6115", " - ", "P.E.R.S.")</f>
        <v xml:space="preserve">          6115 - P.E.R.S.</v>
      </c>
      <c r="C25" s="10"/>
      <c r="D25" s="6"/>
      <c r="E25" s="2"/>
      <c r="F25" s="7">
        <f t="shared" si="8"/>
        <v>0</v>
      </c>
      <c r="G25" s="2"/>
      <c r="H25" s="6">
        <v>1131.3900000000001</v>
      </c>
      <c r="I25" s="2"/>
      <c r="J25" s="7">
        <f t="shared" si="9"/>
        <v>0</v>
      </c>
      <c r="K25" s="2"/>
      <c r="L25" s="6">
        <f t="shared" si="10"/>
        <v>-1131.3900000000001</v>
      </c>
      <c r="M25" s="2"/>
      <c r="N25" s="7">
        <f t="shared" si="11"/>
        <v>-1</v>
      </c>
      <c r="O25" s="10"/>
      <c r="P25" s="6">
        <v>610.53</v>
      </c>
      <c r="Q25" s="2"/>
      <c r="R25" s="7">
        <f t="shared" si="12"/>
        <v>0</v>
      </c>
      <c r="S25" s="2"/>
      <c r="T25" s="6">
        <v>7543.39</v>
      </c>
      <c r="U25" s="2"/>
      <c r="V25" s="7">
        <f t="shared" si="13"/>
        <v>0</v>
      </c>
      <c r="W25" s="2"/>
      <c r="X25" s="6">
        <f t="shared" si="14"/>
        <v>-6932.8600000000006</v>
      </c>
      <c r="Y25" s="2"/>
      <c r="Z25" s="7">
        <f t="shared" si="15"/>
        <v>-0.91906424034817236</v>
      </c>
    </row>
    <row r="26" spans="1:26" s="23" customFormat="1" hidden="1" outlineLevel="2" x14ac:dyDescent="0.25">
      <c r="A26" s="27"/>
      <c r="B26" s="10" t="str">
        <f>CONCATENATE("          ", "6118", " - ", "VACATION")</f>
        <v xml:space="preserve">          6118 - VACATION</v>
      </c>
      <c r="C26" s="10"/>
      <c r="D26" s="6"/>
      <c r="E26" s="2"/>
      <c r="F26" s="7">
        <f t="shared" si="8"/>
        <v>0</v>
      </c>
      <c r="G26" s="2"/>
      <c r="H26" s="6">
        <v>1533.78</v>
      </c>
      <c r="I26" s="2"/>
      <c r="J26" s="7">
        <f t="shared" si="9"/>
        <v>0</v>
      </c>
      <c r="K26" s="2"/>
      <c r="L26" s="6">
        <f t="shared" si="10"/>
        <v>-1533.78</v>
      </c>
      <c r="M26" s="2"/>
      <c r="N26" s="7">
        <f t="shared" si="11"/>
        <v>-1</v>
      </c>
      <c r="O26" s="10"/>
      <c r="P26" s="6"/>
      <c r="Q26" s="2"/>
      <c r="R26" s="7">
        <f t="shared" si="12"/>
        <v>0</v>
      </c>
      <c r="S26" s="2"/>
      <c r="T26" s="6">
        <v>10220.459999999999</v>
      </c>
      <c r="U26" s="2"/>
      <c r="V26" s="7">
        <f t="shared" si="13"/>
        <v>0</v>
      </c>
      <c r="W26" s="2"/>
      <c r="X26" s="6">
        <f t="shared" si="14"/>
        <v>-10220.459999999999</v>
      </c>
      <c r="Y26" s="2"/>
      <c r="Z26" s="7">
        <f t="shared" si="15"/>
        <v>-1</v>
      </c>
    </row>
    <row r="27" spans="1:26" s="23" customFormat="1" hidden="1" outlineLevel="2" x14ac:dyDescent="0.25">
      <c r="A27" s="27"/>
      <c r="B27" s="10" t="str">
        <f>CONCATENATE("          ", "6119", " - ", "SICK LEAVE")</f>
        <v xml:space="preserve">          6119 - SICK LEAVE</v>
      </c>
      <c r="C27" s="10"/>
      <c r="D27" s="6"/>
      <c r="E27" s="2"/>
      <c r="F27" s="7">
        <f t="shared" si="8"/>
        <v>0</v>
      </c>
      <c r="G27" s="2"/>
      <c r="H27" s="6">
        <v>765.87</v>
      </c>
      <c r="I27" s="2"/>
      <c r="J27" s="7">
        <f t="shared" si="9"/>
        <v>0</v>
      </c>
      <c r="K27" s="2"/>
      <c r="L27" s="6">
        <f t="shared" si="10"/>
        <v>-765.87</v>
      </c>
      <c r="M27" s="2"/>
      <c r="N27" s="7">
        <f t="shared" si="11"/>
        <v>-1</v>
      </c>
      <c r="O27" s="10"/>
      <c r="P27" s="6"/>
      <c r="Q27" s="2"/>
      <c r="R27" s="7">
        <f t="shared" si="12"/>
        <v>0</v>
      </c>
      <c r="S27" s="2"/>
      <c r="T27" s="6">
        <v>21519.5</v>
      </c>
      <c r="U27" s="2"/>
      <c r="V27" s="7">
        <f t="shared" si="13"/>
        <v>0</v>
      </c>
      <c r="W27" s="2"/>
      <c r="X27" s="6">
        <f t="shared" si="14"/>
        <v>-21519.5</v>
      </c>
      <c r="Y27" s="2"/>
      <c r="Z27" s="7">
        <f t="shared" si="15"/>
        <v>-1</v>
      </c>
    </row>
    <row r="28" spans="1:26" s="23" customFormat="1" hidden="1" outlineLevel="2" x14ac:dyDescent="0.25">
      <c r="A28" s="27"/>
      <c r="B28" s="10" t="str">
        <f>CONCATENATE("          ", "6156", " - ", "EMPLOYEE MEALS")</f>
        <v xml:space="preserve">          6156 - EMPLOYEE MEALS</v>
      </c>
      <c r="C28" s="10"/>
      <c r="D28" s="6"/>
      <c r="E28" s="2"/>
      <c r="F28" s="7">
        <f t="shared" si="8"/>
        <v>0</v>
      </c>
      <c r="G28" s="2"/>
      <c r="H28" s="6"/>
      <c r="I28" s="2"/>
      <c r="J28" s="7">
        <f t="shared" si="9"/>
        <v>0</v>
      </c>
      <c r="K28" s="2"/>
      <c r="L28" s="6">
        <f t="shared" si="10"/>
        <v>0</v>
      </c>
      <c r="M28" s="2"/>
      <c r="N28" s="7">
        <f t="shared" si="11"/>
        <v>0</v>
      </c>
      <c r="O28" s="10"/>
      <c r="P28" s="6"/>
      <c r="Q28" s="2"/>
      <c r="R28" s="7">
        <f t="shared" si="12"/>
        <v>0</v>
      </c>
      <c r="S28" s="2"/>
      <c r="T28" s="6">
        <v>1282.0899999999999</v>
      </c>
      <c r="U28" s="2"/>
      <c r="V28" s="7">
        <f t="shared" si="13"/>
        <v>0</v>
      </c>
      <c r="W28" s="2"/>
      <c r="X28" s="6">
        <f t="shared" si="14"/>
        <v>-1282.0899999999999</v>
      </c>
      <c r="Y28" s="2"/>
      <c r="Z28" s="7">
        <f t="shared" si="15"/>
        <v>-1</v>
      </c>
    </row>
    <row r="29" spans="1:26" s="26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0</v>
      </c>
      <c r="E29" s="1"/>
      <c r="F29" s="5">
        <f t="shared" ref="F29:F31" si="16">IF(D$12=0,0,D29/D$12)</f>
        <v>0</v>
      </c>
      <c r="G29" s="1"/>
      <c r="H29" s="1">
        <f>SUM(OSRRefH22_1x_0)</f>
        <v>9962.6699999999983</v>
      </c>
      <c r="I29" s="1"/>
      <c r="J29" s="5">
        <f t="shared" ref="J29:J31" si="17">IF(H$12=0,0,H29/H$12)</f>
        <v>0</v>
      </c>
      <c r="K29" s="1"/>
      <c r="L29" s="1">
        <f t="shared" ref="L29:L31" si="18">+D29-H29</f>
        <v>-9962.6699999999983</v>
      </c>
      <c r="M29" s="1"/>
      <c r="N29" s="5">
        <f t="shared" ref="N29:N31" si="19">IF(H29=0,0,L29/H29)</f>
        <v>-1</v>
      </c>
      <c r="O29" s="12"/>
      <c r="P29" s="1">
        <f>SUM(OSRRefP22_1x_0)</f>
        <v>0</v>
      </c>
      <c r="Q29" s="1"/>
      <c r="R29" s="5">
        <f t="shared" ref="R29:R31" si="20">IF(P$12=0,0,P29/P$12)</f>
        <v>0</v>
      </c>
      <c r="S29" s="1"/>
      <c r="T29" s="1">
        <f>SUM(OSRRefT22_1x_0)</f>
        <v>60986.33</v>
      </c>
      <c r="U29" s="1"/>
      <c r="V29" s="5">
        <f t="shared" ref="V29:V31" si="21">IF(T$12=0,0,T29/T$12)</f>
        <v>0</v>
      </c>
      <c r="W29" s="1"/>
      <c r="X29" s="1">
        <f t="shared" ref="X29:X31" si="22">+P29-T29</f>
        <v>-60986.33</v>
      </c>
      <c r="Y29" s="1"/>
      <c r="Z29" s="5">
        <f t="shared" ref="Z29:Z31" si="23">IF(T29=0,0,X29/T29)</f>
        <v>-1</v>
      </c>
    </row>
    <row r="30" spans="1:26" s="23" customFormat="1" hidden="1" outlineLevel="2" x14ac:dyDescent="0.25">
      <c r="A30" s="27"/>
      <c r="B30" s="10" t="str">
        <f>CONCATENATE("          ", "6001", " - ", "ADMINISTRATIVE SALARIES")</f>
        <v xml:space="preserve">          6001 - ADMINISTRATIVE SALARIES</v>
      </c>
      <c r="C30" s="10"/>
      <c r="D30" s="6"/>
      <c r="E30" s="2"/>
      <c r="F30" s="7">
        <f t="shared" si="16"/>
        <v>0</v>
      </c>
      <c r="G30" s="2"/>
      <c r="H30" s="6">
        <v>16603.919999999998</v>
      </c>
      <c r="I30" s="2"/>
      <c r="J30" s="7">
        <f t="shared" si="17"/>
        <v>0</v>
      </c>
      <c r="K30" s="2"/>
      <c r="L30" s="6">
        <f t="shared" si="18"/>
        <v>-16603.919999999998</v>
      </c>
      <c r="M30" s="2"/>
      <c r="N30" s="7">
        <f t="shared" si="19"/>
        <v>-1</v>
      </c>
      <c r="O30" s="10"/>
      <c r="P30" s="6"/>
      <c r="Q30" s="2"/>
      <c r="R30" s="7">
        <f t="shared" si="20"/>
        <v>0</v>
      </c>
      <c r="S30" s="2"/>
      <c r="T30" s="6">
        <v>64860.58</v>
      </c>
      <c r="U30" s="2"/>
      <c r="V30" s="7">
        <f t="shared" si="21"/>
        <v>0</v>
      </c>
      <c r="W30" s="2"/>
      <c r="X30" s="6">
        <f t="shared" si="22"/>
        <v>-64860.58</v>
      </c>
      <c r="Y30" s="2"/>
      <c r="Z30" s="7">
        <f t="shared" si="23"/>
        <v>-1</v>
      </c>
    </row>
    <row r="31" spans="1:26" s="23" customFormat="1" hidden="1" outlineLevel="2" x14ac:dyDescent="0.25">
      <c r="A31" s="27"/>
      <c r="B31" s="10" t="str">
        <f>CONCATENATE("          ", "6002", " - ", "STAFF SALARIES")</f>
        <v xml:space="preserve">          6002 - STAFF SALARIES</v>
      </c>
      <c r="C31" s="10"/>
      <c r="D31" s="6"/>
      <c r="E31" s="2"/>
      <c r="F31" s="7">
        <f t="shared" si="16"/>
        <v>0</v>
      </c>
      <c r="G31" s="2"/>
      <c r="H31" s="6">
        <v>-6641.25</v>
      </c>
      <c r="I31" s="2"/>
      <c r="J31" s="7">
        <f t="shared" si="17"/>
        <v>0</v>
      </c>
      <c r="K31" s="2"/>
      <c r="L31" s="6">
        <f t="shared" si="18"/>
        <v>6641.25</v>
      </c>
      <c r="M31" s="2"/>
      <c r="N31" s="7">
        <f t="shared" si="19"/>
        <v>-1</v>
      </c>
      <c r="O31" s="10"/>
      <c r="P31" s="6"/>
      <c r="Q31" s="2"/>
      <c r="R31" s="7">
        <f t="shared" si="20"/>
        <v>0</v>
      </c>
      <c r="S31" s="2"/>
      <c r="T31" s="6">
        <v>-3874.25</v>
      </c>
      <c r="U31" s="2"/>
      <c r="V31" s="7">
        <f t="shared" si="21"/>
        <v>0</v>
      </c>
      <c r="W31" s="2"/>
      <c r="X31" s="6">
        <f t="shared" si="22"/>
        <v>3874.25</v>
      </c>
      <c r="Y31" s="2"/>
      <c r="Z31" s="7">
        <f t="shared" si="23"/>
        <v>-1</v>
      </c>
    </row>
    <row r="32" spans="1:26" s="26" customFormat="1" outlineLevel="1" collapsed="1" x14ac:dyDescent="0.25">
      <c r="A32" s="25"/>
      <c r="B32" s="12" t="str">
        <f>CONCATENATE("     ","General                                           ")</f>
        <v xml:space="preserve">     General                                           </v>
      </c>
      <c r="C32" s="12"/>
      <c r="D32" s="1">
        <f>SUM(OSRRefD22_2x_0)</f>
        <v>0</v>
      </c>
      <c r="E32" s="1"/>
      <c r="F32" s="5">
        <f t="shared" ref="F32:F41" si="24">IF(D$12=0,0,D32/D$12)</f>
        <v>0</v>
      </c>
      <c r="G32" s="1"/>
      <c r="H32" s="1">
        <f>SUM(OSRRefH22_2x_0)</f>
        <v>0</v>
      </c>
      <c r="I32" s="1"/>
      <c r="J32" s="5">
        <f t="shared" ref="J32:J41" si="25">IF(H$12=0,0,H32/H$12)</f>
        <v>0</v>
      </c>
      <c r="K32" s="1"/>
      <c r="L32" s="1">
        <f t="shared" ref="L32:L41" si="26">+D32-H32</f>
        <v>0</v>
      </c>
      <c r="M32" s="1"/>
      <c r="N32" s="5">
        <f t="shared" ref="N32:N41" si="27">IF(H32=0,0,L32/H32)</f>
        <v>0</v>
      </c>
      <c r="O32" s="12"/>
      <c r="P32" s="1">
        <f>SUM(OSRRefP22_2x_0)</f>
        <v>0</v>
      </c>
      <c r="Q32" s="1"/>
      <c r="R32" s="5">
        <f t="shared" ref="R32:R41" si="28">IF(P$12=0,0,P32/P$12)</f>
        <v>0</v>
      </c>
      <c r="S32" s="1"/>
      <c r="T32" s="1">
        <f>SUM(OSRRefT22_2x_0)</f>
        <v>2443.65</v>
      </c>
      <c r="U32" s="1"/>
      <c r="V32" s="5">
        <f t="shared" ref="V32:V41" si="29">IF(T$12=0,0,T32/T$12)</f>
        <v>0</v>
      </c>
      <c r="W32" s="1"/>
      <c r="X32" s="1">
        <f t="shared" ref="X32:X41" si="30">+P32-T32</f>
        <v>-2443.65</v>
      </c>
      <c r="Y32" s="1"/>
      <c r="Z32" s="5">
        <f t="shared" ref="Z32:Z41" si="31">IF(T32=0,0,X32/T32)</f>
        <v>-1</v>
      </c>
    </row>
    <row r="33" spans="1:26" s="23" customFormat="1" hidden="1" outlineLevel="2" x14ac:dyDescent="0.25">
      <c r="A33" s="27"/>
      <c r="B33" s="10" t="str">
        <f>CONCATENATE("          ", "6279", " - ", "GENERAL EXPENSE")</f>
        <v xml:space="preserve">          6279 - GENERAL EXPENSE</v>
      </c>
      <c r="C33" s="10"/>
      <c r="D33" s="6"/>
      <c r="E33" s="2"/>
      <c r="F33" s="7">
        <f t="shared" si="24"/>
        <v>0</v>
      </c>
      <c r="G33" s="2"/>
      <c r="H33" s="6"/>
      <c r="I33" s="2"/>
      <c r="J33" s="7">
        <f t="shared" si="25"/>
        <v>0</v>
      </c>
      <c r="K33" s="2"/>
      <c r="L33" s="6">
        <f t="shared" si="26"/>
        <v>0</v>
      </c>
      <c r="M33" s="2"/>
      <c r="N33" s="7">
        <f t="shared" si="27"/>
        <v>0</v>
      </c>
      <c r="O33" s="10"/>
      <c r="P33" s="6"/>
      <c r="Q33" s="2"/>
      <c r="R33" s="7">
        <f t="shared" si="28"/>
        <v>0</v>
      </c>
      <c r="S33" s="2"/>
      <c r="T33" s="6">
        <v>2443.65</v>
      </c>
      <c r="U33" s="2"/>
      <c r="V33" s="7">
        <f t="shared" si="29"/>
        <v>0</v>
      </c>
      <c r="W33" s="2"/>
      <c r="X33" s="6">
        <f t="shared" si="30"/>
        <v>-2443.65</v>
      </c>
      <c r="Y33" s="2"/>
      <c r="Z33" s="7">
        <f t="shared" si="31"/>
        <v>-1</v>
      </c>
    </row>
    <row r="34" spans="1:26" s="26" customFormat="1" outlineLevel="1" collapsed="1" x14ac:dyDescent="0.25">
      <c r="A34" s="25"/>
      <c r="B34" s="12" t="str">
        <f>CONCATENATE("     ","Royalty &amp; Commissions                             ")</f>
        <v xml:space="preserve">     Royalty &amp; Commissions                             </v>
      </c>
      <c r="C34" s="12"/>
      <c r="D34" s="1">
        <f>SUM(OSRRefD22_3x_0)</f>
        <v>0</v>
      </c>
      <c r="E34" s="1"/>
      <c r="F34" s="5">
        <f t="shared" si="24"/>
        <v>0</v>
      </c>
      <c r="G34" s="1"/>
      <c r="H34" s="1">
        <f>SUM(OSRRefH22_3x_0)</f>
        <v>0</v>
      </c>
      <c r="I34" s="1"/>
      <c r="J34" s="5">
        <f t="shared" si="25"/>
        <v>0</v>
      </c>
      <c r="K34" s="1"/>
      <c r="L34" s="1">
        <f t="shared" si="26"/>
        <v>0</v>
      </c>
      <c r="M34" s="1"/>
      <c r="N34" s="5">
        <f t="shared" si="27"/>
        <v>0</v>
      </c>
      <c r="O34" s="12"/>
      <c r="P34" s="1">
        <f>SUM(OSRRefP22_3x_0)</f>
        <v>0</v>
      </c>
      <c r="Q34" s="1"/>
      <c r="R34" s="5">
        <f t="shared" si="28"/>
        <v>0</v>
      </c>
      <c r="S34" s="1"/>
      <c r="T34" s="1">
        <f>SUM(OSRRefT22_3x_0)</f>
        <v>10393.31</v>
      </c>
      <c r="U34" s="1"/>
      <c r="V34" s="5">
        <f t="shared" si="29"/>
        <v>0</v>
      </c>
      <c r="W34" s="1"/>
      <c r="X34" s="1">
        <f t="shared" si="30"/>
        <v>-10393.31</v>
      </c>
      <c r="Y34" s="1"/>
      <c r="Z34" s="5">
        <f t="shared" si="31"/>
        <v>-1</v>
      </c>
    </row>
    <row r="35" spans="1:26" s="23" customFormat="1" hidden="1" outlineLevel="2" x14ac:dyDescent="0.25">
      <c r="A35" s="27"/>
      <c r="B35" s="10" t="str">
        <f>CONCATENATE("          ", "6254", " - ", "ROYALTY &amp; COMMISSIONS")</f>
        <v xml:space="preserve">          6254 - ROYALTY &amp; COMMISSIONS</v>
      </c>
      <c r="C35" s="10"/>
      <c r="D35" s="6"/>
      <c r="E35" s="2"/>
      <c r="F35" s="7">
        <f t="shared" si="24"/>
        <v>0</v>
      </c>
      <c r="G35" s="2"/>
      <c r="H35" s="6"/>
      <c r="I35" s="2"/>
      <c r="J35" s="7">
        <f t="shared" si="25"/>
        <v>0</v>
      </c>
      <c r="K35" s="2"/>
      <c r="L35" s="6">
        <f t="shared" si="26"/>
        <v>0</v>
      </c>
      <c r="M35" s="2"/>
      <c r="N35" s="7">
        <f t="shared" si="27"/>
        <v>0</v>
      </c>
      <c r="O35" s="10"/>
      <c r="P35" s="6"/>
      <c r="Q35" s="2"/>
      <c r="R35" s="7">
        <f t="shared" si="28"/>
        <v>0</v>
      </c>
      <c r="S35" s="2"/>
      <c r="T35" s="6">
        <v>10393.31</v>
      </c>
      <c r="U35" s="2"/>
      <c r="V35" s="7">
        <f t="shared" si="29"/>
        <v>0</v>
      </c>
      <c r="W35" s="2"/>
      <c r="X35" s="6">
        <f t="shared" si="30"/>
        <v>-10393.31</v>
      </c>
      <c r="Y35" s="2"/>
      <c r="Z35" s="7">
        <f t="shared" si="31"/>
        <v>-1</v>
      </c>
    </row>
    <row r="36" spans="1:26" s="26" customFormat="1" outlineLevel="1" collapsed="1" x14ac:dyDescent="0.25">
      <c r="A36" s="25"/>
      <c r="B36" s="12" t="str">
        <f>CONCATENATE("     ","Supplies                                          ")</f>
        <v xml:space="preserve">     Supplies                                          </v>
      </c>
      <c r="C36" s="12"/>
      <c r="D36" s="1">
        <f>SUM(OSRRefD22_4x_0)</f>
        <v>6.25</v>
      </c>
      <c r="E36" s="1"/>
      <c r="F36" s="5">
        <f t="shared" si="24"/>
        <v>0</v>
      </c>
      <c r="G36" s="1"/>
      <c r="H36" s="1">
        <f>SUM(OSRRefH22_4x_0)</f>
        <v>0</v>
      </c>
      <c r="I36" s="1"/>
      <c r="J36" s="5">
        <f t="shared" si="25"/>
        <v>0</v>
      </c>
      <c r="K36" s="1"/>
      <c r="L36" s="1">
        <f t="shared" si="26"/>
        <v>6.25</v>
      </c>
      <c r="M36" s="1"/>
      <c r="N36" s="5">
        <f t="shared" si="27"/>
        <v>0</v>
      </c>
      <c r="O36" s="12"/>
      <c r="P36" s="1">
        <f>SUM(OSRRefP22_4x_0)</f>
        <v>3.26</v>
      </c>
      <c r="Q36" s="1"/>
      <c r="R36" s="5">
        <f t="shared" si="28"/>
        <v>0</v>
      </c>
      <c r="S36" s="1"/>
      <c r="T36" s="1">
        <f>SUM(OSRRefT22_4x_0)</f>
        <v>140.55000000000001</v>
      </c>
      <c r="U36" s="1"/>
      <c r="V36" s="5">
        <f t="shared" si="29"/>
        <v>0</v>
      </c>
      <c r="W36" s="1"/>
      <c r="X36" s="1">
        <f t="shared" si="30"/>
        <v>-137.29000000000002</v>
      </c>
      <c r="Y36" s="1"/>
      <c r="Z36" s="5">
        <f t="shared" si="31"/>
        <v>-0.97680540732835297</v>
      </c>
    </row>
    <row r="37" spans="1:26" s="23" customFormat="1" hidden="1" outlineLevel="2" x14ac:dyDescent="0.25">
      <c r="A37" s="27"/>
      <c r="B37" s="10" t="str">
        <f>CONCATENATE("          ", "6241", " - ", "OFFICE EXPENSE")</f>
        <v xml:space="preserve">          6241 - OFFICE EXPENSE</v>
      </c>
      <c r="C37" s="10"/>
      <c r="D37" s="6">
        <v>6.25</v>
      </c>
      <c r="E37" s="2"/>
      <c r="F37" s="7">
        <f t="shared" si="24"/>
        <v>0</v>
      </c>
      <c r="G37" s="2"/>
      <c r="H37" s="6"/>
      <c r="I37" s="2"/>
      <c r="J37" s="7">
        <f t="shared" si="25"/>
        <v>0</v>
      </c>
      <c r="K37" s="2"/>
      <c r="L37" s="6">
        <f t="shared" si="26"/>
        <v>6.25</v>
      </c>
      <c r="M37" s="2"/>
      <c r="N37" s="7">
        <f t="shared" si="27"/>
        <v>0</v>
      </c>
      <c r="O37" s="10"/>
      <c r="P37" s="6">
        <v>3.26</v>
      </c>
      <c r="Q37" s="2"/>
      <c r="R37" s="7">
        <f t="shared" si="28"/>
        <v>0</v>
      </c>
      <c r="S37" s="2"/>
      <c r="T37" s="6">
        <v>140.55000000000001</v>
      </c>
      <c r="U37" s="2"/>
      <c r="V37" s="7">
        <f t="shared" si="29"/>
        <v>0</v>
      </c>
      <c r="W37" s="2"/>
      <c r="X37" s="6">
        <f t="shared" si="30"/>
        <v>-137.29000000000002</v>
      </c>
      <c r="Y37" s="2"/>
      <c r="Z37" s="7">
        <f t="shared" si="31"/>
        <v>-0.97680540732835297</v>
      </c>
    </row>
    <row r="38" spans="1:26" s="26" customFormat="1" outlineLevel="1" collapsed="1" x14ac:dyDescent="0.25">
      <c r="A38" s="25"/>
      <c r="B38" s="12" t="str">
        <f>CONCATENATE("     ","Telephone/Data Lines                              ")</f>
        <v xml:space="preserve">     Telephone/Data Lines                              </v>
      </c>
      <c r="C38" s="12"/>
      <c r="D38" s="1">
        <f>SUM(OSRRefD22_5x_0)</f>
        <v>-114</v>
      </c>
      <c r="E38" s="1"/>
      <c r="F38" s="5">
        <f t="shared" si="24"/>
        <v>0</v>
      </c>
      <c r="G38" s="1"/>
      <c r="H38" s="1">
        <f>SUM(OSRRefH22_5x_0)</f>
        <v>237.1</v>
      </c>
      <c r="I38" s="1"/>
      <c r="J38" s="5">
        <f t="shared" si="25"/>
        <v>0</v>
      </c>
      <c r="K38" s="1"/>
      <c r="L38" s="1">
        <f t="shared" si="26"/>
        <v>-351.1</v>
      </c>
      <c r="M38" s="1"/>
      <c r="N38" s="5">
        <f t="shared" si="27"/>
        <v>-1.4808097849008859</v>
      </c>
      <c r="O38" s="12"/>
      <c r="P38" s="1">
        <f>SUM(OSRRefP22_5x_0)</f>
        <v>699</v>
      </c>
      <c r="Q38" s="1"/>
      <c r="R38" s="5">
        <f t="shared" si="28"/>
        <v>0</v>
      </c>
      <c r="S38" s="1"/>
      <c r="T38" s="1">
        <f>SUM(OSRRefT22_5x_0)</f>
        <v>1267.7</v>
      </c>
      <c r="U38" s="1"/>
      <c r="V38" s="5">
        <f t="shared" si="29"/>
        <v>0</v>
      </c>
      <c r="W38" s="1"/>
      <c r="X38" s="1">
        <f t="shared" si="30"/>
        <v>-568.70000000000005</v>
      </c>
      <c r="Y38" s="1"/>
      <c r="Z38" s="5">
        <f t="shared" si="31"/>
        <v>-0.4486077147590124</v>
      </c>
    </row>
    <row r="39" spans="1:26" s="23" customFormat="1" hidden="1" outlineLevel="2" x14ac:dyDescent="0.25">
      <c r="A39" s="27"/>
      <c r="B39" s="10" t="str">
        <f>CONCATENATE("          ", "6309", " - ", "TELEPHONE")</f>
        <v xml:space="preserve">          6309 - TELEPHONE</v>
      </c>
      <c r="C39" s="10"/>
      <c r="D39" s="6">
        <v>-114</v>
      </c>
      <c r="E39" s="2"/>
      <c r="F39" s="7">
        <f t="shared" si="24"/>
        <v>0</v>
      </c>
      <c r="G39" s="2"/>
      <c r="H39" s="6">
        <v>237.1</v>
      </c>
      <c r="I39" s="2"/>
      <c r="J39" s="7">
        <f t="shared" si="25"/>
        <v>0</v>
      </c>
      <c r="K39" s="2"/>
      <c r="L39" s="6">
        <f t="shared" si="26"/>
        <v>-351.1</v>
      </c>
      <c r="M39" s="2"/>
      <c r="N39" s="7">
        <f t="shared" si="27"/>
        <v>-1.4808097849008859</v>
      </c>
      <c r="O39" s="10"/>
      <c r="P39" s="6">
        <v>699</v>
      </c>
      <c r="Q39" s="2"/>
      <c r="R39" s="7">
        <f t="shared" si="28"/>
        <v>0</v>
      </c>
      <c r="S39" s="2"/>
      <c r="T39" s="6">
        <v>1267.7</v>
      </c>
      <c r="U39" s="2"/>
      <c r="V39" s="7">
        <f t="shared" si="29"/>
        <v>0</v>
      </c>
      <c r="W39" s="2"/>
      <c r="X39" s="6">
        <f t="shared" si="30"/>
        <v>-568.70000000000005</v>
      </c>
      <c r="Y39" s="2"/>
      <c r="Z39" s="7">
        <f t="shared" si="31"/>
        <v>-0.4486077147590124</v>
      </c>
    </row>
    <row r="40" spans="1:26" s="26" customFormat="1" outlineLevel="1" collapsed="1" x14ac:dyDescent="0.25">
      <c r="A40" s="25"/>
      <c r="B40" s="12" t="str">
        <f>CONCATENATE("     ","Travel                                            ")</f>
        <v xml:space="preserve">     Travel                                            </v>
      </c>
      <c r="C40" s="12"/>
      <c r="D40" s="1">
        <f>SUM(OSRRefD22_6x_0)</f>
        <v>0</v>
      </c>
      <c r="E40" s="1"/>
      <c r="F40" s="5">
        <f t="shared" si="24"/>
        <v>0</v>
      </c>
      <c r="G40" s="1"/>
      <c r="H40" s="1">
        <f>SUM(OSRRefH22_6x_0)</f>
        <v>1547.08</v>
      </c>
      <c r="I40" s="1"/>
      <c r="J40" s="5">
        <f t="shared" si="25"/>
        <v>0</v>
      </c>
      <c r="K40" s="1"/>
      <c r="L40" s="1">
        <f t="shared" si="26"/>
        <v>-1547.08</v>
      </c>
      <c r="M40" s="1"/>
      <c r="N40" s="5">
        <f t="shared" si="27"/>
        <v>-1</v>
      </c>
      <c r="O40" s="12"/>
      <c r="P40" s="1">
        <f>SUM(OSRRefP22_6x_0)</f>
        <v>0</v>
      </c>
      <c r="Q40" s="1"/>
      <c r="R40" s="5">
        <f t="shared" si="28"/>
        <v>0</v>
      </c>
      <c r="S40" s="1"/>
      <c r="T40" s="1">
        <f>SUM(OSRRefT22_6x_0)</f>
        <v>2759.81</v>
      </c>
      <c r="U40" s="1"/>
      <c r="V40" s="5">
        <f t="shared" si="29"/>
        <v>0</v>
      </c>
      <c r="W40" s="1"/>
      <c r="X40" s="1">
        <f t="shared" si="30"/>
        <v>-2759.81</v>
      </c>
      <c r="Y40" s="1"/>
      <c r="Z40" s="5">
        <f t="shared" si="31"/>
        <v>-1</v>
      </c>
    </row>
    <row r="41" spans="1:26" s="23" customFormat="1" hidden="1" outlineLevel="2" x14ac:dyDescent="0.25">
      <c r="A41" s="27"/>
      <c r="B41" s="10" t="str">
        <f>CONCATENATE("          ", "6292", " - ", "TRAVEL/CONFERENCE")</f>
        <v xml:space="preserve">          6292 - TRAVEL/CONFERENCE</v>
      </c>
      <c r="C41" s="10"/>
      <c r="D41" s="6"/>
      <c r="E41" s="2"/>
      <c r="F41" s="7">
        <f t="shared" si="24"/>
        <v>0</v>
      </c>
      <c r="G41" s="2"/>
      <c r="H41" s="6">
        <v>1547.08</v>
      </c>
      <c r="I41" s="2"/>
      <c r="J41" s="7">
        <f t="shared" si="25"/>
        <v>0</v>
      </c>
      <c r="K41" s="2"/>
      <c r="L41" s="6">
        <f t="shared" si="26"/>
        <v>-1547.08</v>
      </c>
      <c r="M41" s="2"/>
      <c r="N41" s="7">
        <f t="shared" si="27"/>
        <v>-1</v>
      </c>
      <c r="O41" s="10"/>
      <c r="P41" s="6"/>
      <c r="Q41" s="2"/>
      <c r="R41" s="7">
        <f t="shared" si="28"/>
        <v>0</v>
      </c>
      <c r="S41" s="2"/>
      <c r="T41" s="6">
        <v>2759.81</v>
      </c>
      <c r="U41" s="2"/>
      <c r="V41" s="7">
        <f t="shared" si="29"/>
        <v>0</v>
      </c>
      <c r="W41" s="2"/>
      <c r="X41" s="6">
        <f t="shared" si="30"/>
        <v>-2759.81</v>
      </c>
      <c r="Y41" s="2"/>
      <c r="Z41" s="7">
        <f t="shared" si="31"/>
        <v>-1</v>
      </c>
    </row>
    <row r="42" spans="1:26" s="62" customFormat="1" x14ac:dyDescent="0.25">
      <c r="A42" s="37"/>
      <c r="B42" s="37"/>
      <c r="C42" s="37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7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4" customFormat="1" collapsed="1" x14ac:dyDescent="0.25">
      <c r="A43" s="11"/>
      <c r="B43" s="28" t="s">
        <v>292</v>
      </c>
      <c r="C43" s="11"/>
      <c r="D43" s="4">
        <f>SUM(OSRRefD25x_0)</f>
        <v>0</v>
      </c>
      <c r="E43" s="4"/>
      <c r="F43" s="13">
        <f t="shared" ref="F43:F44" si="32">IF(D$12=0,0,D43/D$12)</f>
        <v>0</v>
      </c>
      <c r="G43" s="4"/>
      <c r="H43" s="4">
        <f>SUM(OSRRefH25x_0)</f>
        <v>12874.51</v>
      </c>
      <c r="I43" s="4"/>
      <c r="J43" s="13">
        <f t="shared" ref="J43:J44" si="33">IF(H$12=0,0,H43/H$12)</f>
        <v>0</v>
      </c>
      <c r="K43" s="4"/>
      <c r="L43" s="4">
        <f t="shared" ref="L43:L44" si="34">+D43-H43</f>
        <v>-12874.51</v>
      </c>
      <c r="M43" s="4"/>
      <c r="N43" s="13">
        <f t="shared" ref="N43:N44" si="35">IF(H43=0,0,L43/H43)</f>
        <v>-1</v>
      </c>
      <c r="O43" s="11"/>
      <c r="P43" s="4">
        <f>SUM(OSRRefP25x_0)</f>
        <v>0</v>
      </c>
      <c r="Q43" s="4"/>
      <c r="R43" s="13">
        <f t="shared" ref="R43:R44" si="36">IF(P$12=0,0,P43/P$12)</f>
        <v>0</v>
      </c>
      <c r="S43" s="4"/>
      <c r="T43" s="4">
        <f>SUM(OSRRefT25x_0)</f>
        <v>155658.1</v>
      </c>
      <c r="U43" s="4"/>
      <c r="V43" s="13">
        <f t="shared" ref="V43:V44" si="37">IF(T$12=0,0,T43/T$12)</f>
        <v>0</v>
      </c>
      <c r="W43" s="4"/>
      <c r="X43" s="4">
        <f t="shared" ref="X43:X44" si="38">+P43-T43</f>
        <v>-155658.1</v>
      </c>
      <c r="Y43" s="4"/>
      <c r="Z43" s="13">
        <f t="shared" ref="Z43:Z44" si="39">IF(T43=0,0,X43/T43)</f>
        <v>-1</v>
      </c>
    </row>
    <row r="44" spans="1:26" s="23" customFormat="1" hidden="1" outlineLevel="1" x14ac:dyDescent="0.25">
      <c r="A44" s="44"/>
      <c r="B44" s="10" t="str">
        <f>CONCATENATE("          ", "9150", " - ", "MISC. INCOME")</f>
        <v xml:space="preserve">          9150 - MISC. INCOME</v>
      </c>
      <c r="C44" s="10"/>
      <c r="D44" s="2">
        <f>0</f>
        <v>0</v>
      </c>
      <c r="E44" s="2"/>
      <c r="F44" s="19">
        <f t="shared" si="32"/>
        <v>0</v>
      </c>
      <c r="G44" s="2"/>
      <c r="H44" s="2">
        <f>--12874.51</f>
        <v>12874.51</v>
      </c>
      <c r="I44" s="2"/>
      <c r="J44" s="19">
        <f t="shared" si="33"/>
        <v>0</v>
      </c>
      <c r="K44" s="2"/>
      <c r="L44" s="2">
        <f t="shared" si="34"/>
        <v>-12874.51</v>
      </c>
      <c r="M44" s="2"/>
      <c r="N44" s="19">
        <f t="shared" si="35"/>
        <v>-1</v>
      </c>
      <c r="O44" s="10"/>
      <c r="P44" s="2">
        <f>0</f>
        <v>0</v>
      </c>
      <c r="Q44" s="2"/>
      <c r="R44" s="19">
        <f t="shared" si="36"/>
        <v>0</v>
      </c>
      <c r="S44" s="2"/>
      <c r="T44" s="2">
        <f>--155658.1</f>
        <v>155658.1</v>
      </c>
      <c r="U44" s="2"/>
      <c r="V44" s="19">
        <f t="shared" si="37"/>
        <v>0</v>
      </c>
      <c r="W44" s="2"/>
      <c r="X44" s="2">
        <f t="shared" si="38"/>
        <v>-155658.1</v>
      </c>
      <c r="Y44" s="2"/>
      <c r="Z44" s="19">
        <f t="shared" si="39"/>
        <v>-1</v>
      </c>
    </row>
    <row r="45" spans="1:26" x14ac:dyDescent="0.25">
      <c r="A45" s="9"/>
      <c r="B45" s="11"/>
      <c r="C45" s="11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1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4" customFormat="1" x14ac:dyDescent="0.25">
      <c r="A46" s="11"/>
      <c r="B46" s="29" t="s">
        <v>276</v>
      </c>
      <c r="C46" s="29"/>
      <c r="D46" s="20">
        <f>+D17-D19+D43</f>
        <v>107.75</v>
      </c>
      <c r="E46" s="14"/>
      <c r="F46" s="22">
        <f>IF(D$12=0,0,D46/D$12)</f>
        <v>0</v>
      </c>
      <c r="G46" s="14"/>
      <c r="H46" s="20">
        <f>+H17-H19+H43</f>
        <v>-5590.7499999999945</v>
      </c>
      <c r="I46" s="14"/>
      <c r="J46" s="22">
        <f>IF(H$12=0,0,H46/H$12)</f>
        <v>0</v>
      </c>
      <c r="K46" s="16"/>
      <c r="L46" s="20">
        <f>+D46-H46</f>
        <v>5698.4999999999945</v>
      </c>
      <c r="M46" s="16"/>
      <c r="N46" s="22">
        <f>IF(H46=0,0,L46/H46)</f>
        <v>-1.0192729061396055</v>
      </c>
      <c r="O46" s="28"/>
      <c r="P46" s="20">
        <f>+P17-P19+P43</f>
        <v>-3180.9900000000002</v>
      </c>
      <c r="Q46" s="14"/>
      <c r="R46" s="22">
        <f>IF(P$12=0,0,P46/P$12)</f>
        <v>0</v>
      </c>
      <c r="S46" s="14"/>
      <c r="T46" s="20">
        <f>+T17-T19+T43</f>
        <v>19658.790000000008</v>
      </c>
      <c r="U46" s="14"/>
      <c r="V46" s="22">
        <f>IF(T$12=0,0,T46/T$12)</f>
        <v>0</v>
      </c>
      <c r="W46" s="16"/>
      <c r="X46" s="20">
        <f>+P46-T46</f>
        <v>-22839.78000000001</v>
      </c>
      <c r="Y46" s="16"/>
      <c r="Z46" s="22">
        <f>IF(T46=0,0,X46/T46)</f>
        <v>-1.1618100605378052</v>
      </c>
    </row>
    <row r="47" spans="1:26" x14ac:dyDescent="0.25">
      <c r="A47" s="9"/>
      <c r="B47" s="11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4" customFormat="1" x14ac:dyDescent="0.25">
      <c r="A48" s="51"/>
      <c r="B48" s="11" t="s">
        <v>127</v>
      </c>
      <c r="C48" s="11"/>
      <c r="D48" s="4"/>
      <c r="E48" s="4"/>
      <c r="F48" s="13">
        <f>IF(D$12=0,0,D48/D$12)</f>
        <v>0</v>
      </c>
      <c r="G48" s="4"/>
      <c r="H48" s="4"/>
      <c r="I48" s="4"/>
      <c r="J48" s="13">
        <f>IF(H$12=0,0,H48/H$12)</f>
        <v>0</v>
      </c>
      <c r="K48" s="4"/>
      <c r="L48" s="4">
        <f>+D48-H48</f>
        <v>0</v>
      </c>
      <c r="M48" s="4"/>
      <c r="N48" s="13">
        <f>IF(H48=0,0,L48/H48)</f>
        <v>0</v>
      </c>
      <c r="O48" s="11"/>
      <c r="P48" s="4"/>
      <c r="Q48" s="4"/>
      <c r="R48" s="13">
        <f>IF(P$12=0,0,P48/P$12)</f>
        <v>0</v>
      </c>
      <c r="S48" s="4"/>
      <c r="T48" s="4"/>
      <c r="U48" s="4"/>
      <c r="V48" s="13">
        <f>IF(T$12=0,0,T48/T$12)</f>
        <v>0</v>
      </c>
      <c r="W48" s="4"/>
      <c r="X48" s="4">
        <f>+P48-T48</f>
        <v>0</v>
      </c>
      <c r="Y48" s="4"/>
      <c r="Z48" s="13">
        <f>IF(T48=0,0,X48/T48)</f>
        <v>0</v>
      </c>
    </row>
    <row r="49" spans="1:26" x14ac:dyDescent="0.25">
      <c r="A49" s="9"/>
      <c r="B49" s="11"/>
      <c r="C49" s="11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1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4" customFormat="1" ht="15.75" thickBot="1" x14ac:dyDescent="0.3">
      <c r="A50" s="11"/>
      <c r="B50" s="29" t="s">
        <v>125</v>
      </c>
      <c r="C50" s="29"/>
      <c r="D50" s="30">
        <f>+D46-D48</f>
        <v>107.75</v>
      </c>
      <c r="E50" s="14"/>
      <c r="F50" s="34">
        <f>IF(D$12=0,0,D50/D$12)</f>
        <v>0</v>
      </c>
      <c r="G50" s="14"/>
      <c r="H50" s="30">
        <f>+H46-H48</f>
        <v>-5590.7499999999945</v>
      </c>
      <c r="I50" s="14"/>
      <c r="J50" s="34">
        <f>IF(H$12=0,0,H50/H$12)</f>
        <v>0</v>
      </c>
      <c r="K50" s="16"/>
      <c r="L50" s="30">
        <f>D50-H50</f>
        <v>5698.4999999999945</v>
      </c>
      <c r="M50" s="16"/>
      <c r="N50" s="34">
        <f>IF(H50=0,0,L50/H50)</f>
        <v>-1.0192729061396055</v>
      </c>
      <c r="O50" s="28"/>
      <c r="P50" s="30">
        <f>+P46-P48</f>
        <v>-3180.9900000000002</v>
      </c>
      <c r="Q50" s="14"/>
      <c r="R50" s="34">
        <f>IF(P$12=0,0,P50/P$12)</f>
        <v>0</v>
      </c>
      <c r="S50" s="14"/>
      <c r="T50" s="30">
        <f>+T46-T48</f>
        <v>19658.790000000008</v>
      </c>
      <c r="U50" s="14"/>
      <c r="V50" s="34">
        <f>IF(T$12=0,0,T50/T$12)</f>
        <v>0</v>
      </c>
      <c r="W50" s="16"/>
      <c r="X50" s="30">
        <f>P50-T50</f>
        <v>-22839.78000000001</v>
      </c>
      <c r="Y50" s="16"/>
      <c r="Z50" s="34">
        <f>IF(T50=0,0,X50/T50)</f>
        <v>-1.1618100605378052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ht="15.75" thickBot="1" x14ac:dyDescent="0.3">
      <c r="A53" s="11"/>
      <c r="B53" s="29" t="s">
        <v>293</v>
      </c>
      <c r="C53" s="29"/>
      <c r="D53" s="32">
        <f>SUM(D50:D52)</f>
        <v>107.75</v>
      </c>
      <c r="E53" s="14"/>
      <c r="F53" s="35">
        <f>IF(D$12=0,0,D53/D$12)</f>
        <v>0</v>
      </c>
      <c r="G53" s="14"/>
      <c r="H53" s="32">
        <f>SUM(H50:H52)</f>
        <v>-5590.7499999999945</v>
      </c>
      <c r="I53" s="14"/>
      <c r="J53" s="35">
        <f>IF(H$12=0,0,H53/H$12)</f>
        <v>0</v>
      </c>
      <c r="K53" s="16"/>
      <c r="L53" s="32">
        <f>+D53-H53</f>
        <v>5698.4999999999945</v>
      </c>
      <c r="M53" s="16"/>
      <c r="N53" s="35">
        <f>IF(H53=0,0,L53/H53)</f>
        <v>-1.0192729061396055</v>
      </c>
      <c r="O53" s="28"/>
      <c r="P53" s="32">
        <f>SUM(P50:P52)</f>
        <v>-3180.9900000000002</v>
      </c>
      <c r="Q53" s="14"/>
      <c r="R53" s="35">
        <f>IF(P$12=0,0,P53/P$12)</f>
        <v>0</v>
      </c>
      <c r="S53" s="14"/>
      <c r="T53" s="32">
        <f>SUM(T50:T52)</f>
        <v>19658.790000000008</v>
      </c>
      <c r="U53" s="14"/>
      <c r="V53" s="35">
        <f>IF(T$12=0,0,T53/T$12)</f>
        <v>0</v>
      </c>
      <c r="W53" s="16"/>
      <c r="X53" s="32">
        <f>+P53-T53</f>
        <v>-22839.78000000001</v>
      </c>
      <c r="Y53" s="16"/>
      <c r="Z53" s="35">
        <f>IF(T53=0,0,X53/T53)</f>
        <v>-1.1618100605378052</v>
      </c>
    </row>
    <row r="54" spans="1:26" ht="15.75" thickTop="1" x14ac:dyDescent="0.25">
      <c r="A54" s="9"/>
      <c r="C54" s="9"/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25">
      <c r="A55" s="9"/>
      <c r="B55" s="59">
        <v>44330.00886898148</v>
      </c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25">
      <c r="A56" s="9"/>
      <c r="B56" s="52" t="s">
        <v>56</v>
      </c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25">
      <c r="A57" s="9"/>
      <c r="B57" s="55"/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25"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","424", " - ", "Blair Field")</f>
        <v>Department 424 - Blair Field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157290.23000000001</v>
      </c>
      <c r="U12" s="4"/>
      <c r="V12" s="13"/>
      <c r="W12" s="4"/>
      <c r="X12" s="4">
        <f t="shared" ref="X12:X14" si="2">+P12-T12</f>
        <v>-157290.23000000001</v>
      </c>
      <c r="Y12" s="4"/>
      <c r="Z12" s="13">
        <f t="shared" ref="Z12:Z14" si="3">IF(T12=0,0,X12/T12)</f>
        <v>-1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4" si="6">0</f>
        <v>0</v>
      </c>
      <c r="Q13" s="2"/>
      <c r="R13" s="19"/>
      <c r="S13" s="2"/>
      <c r="T13" s="2">
        <f>--157788.64</f>
        <v>157788.64000000001</v>
      </c>
      <c r="U13" s="2"/>
      <c r="V13" s="19"/>
      <c r="W13" s="2"/>
      <c r="X13" s="2">
        <f t="shared" si="2"/>
        <v>-157788.64000000001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"4153", " - ", "NON-TAXABLE SALES-FOOD")</f>
        <v xml:space="preserve">          4153 -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-498.41</f>
        <v>-498.41</v>
      </c>
      <c r="U14" s="2"/>
      <c r="V14" s="19"/>
      <c r="W14" s="2"/>
      <c r="X14" s="2">
        <f t="shared" si="2"/>
        <v>498.41</v>
      </c>
      <c r="Y14" s="2"/>
      <c r="Z14" s="19">
        <f t="shared" si="3"/>
        <v>-1</v>
      </c>
    </row>
    <row r="15" spans="1:26" x14ac:dyDescent="0.25">
      <c r="A15" s="9"/>
      <c r="B15" s="11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collapsed="1" x14ac:dyDescent="0.25">
      <c r="A16" s="11"/>
      <c r="B16" s="28" t="s">
        <v>256</v>
      </c>
      <c r="C16" s="11"/>
      <c r="D16" s="4">
        <f>SUM(OSRRefD16x_0)</f>
        <v>0</v>
      </c>
      <c r="E16" s="4"/>
      <c r="F16" s="13">
        <f t="shared" ref="F16:F18" si="7">IF(D$12=0,0,D16/D$12)</f>
        <v>0</v>
      </c>
      <c r="G16" s="4"/>
      <c r="H16" s="4">
        <f>SUM(OSRRefH16x_0)</f>
        <v>4159</v>
      </c>
      <c r="I16" s="4"/>
      <c r="J16" s="13">
        <f t="shared" ref="J16:J18" si="8">IF(H$12=0,0,H16/H$12)</f>
        <v>0</v>
      </c>
      <c r="K16" s="4"/>
      <c r="L16" s="4">
        <f t="shared" ref="L16:L18" si="9">+D16-H16</f>
        <v>-4159</v>
      </c>
      <c r="M16" s="4"/>
      <c r="N16" s="13">
        <f t="shared" ref="N16:N18" si="10">IF(H16=0,0,L16/H16)</f>
        <v>-1</v>
      </c>
      <c r="O16" s="11"/>
      <c r="P16" s="4">
        <f>SUM(OSRRefP16x_0)</f>
        <v>0</v>
      </c>
      <c r="Q16" s="4"/>
      <c r="R16" s="13">
        <f t="shared" ref="R16:R18" si="11">IF(P$12=0,0,P16/P$12)</f>
        <v>0</v>
      </c>
      <c r="S16" s="4"/>
      <c r="T16" s="4">
        <f>SUM(OSRRefT16x_0)</f>
        <v>43321.25</v>
      </c>
      <c r="U16" s="4"/>
      <c r="V16" s="13">
        <f t="shared" ref="V16:V18" si="12">IF(T$12=0,0,T16/T$12)</f>
        <v>0.27542238319570134</v>
      </c>
      <c r="W16" s="4"/>
      <c r="X16" s="4">
        <f t="shared" ref="X16:X18" si="13">+P16-T16</f>
        <v>-43321.25</v>
      </c>
      <c r="Y16" s="4"/>
      <c r="Z16" s="13">
        <f t="shared" ref="Z16:Z18" si="14">IF(T16=0,0,X16/T16)</f>
        <v>-1</v>
      </c>
    </row>
    <row r="17" spans="1:26" s="23" customFormat="1" hidden="1" outlineLevel="1" x14ac:dyDescent="0.25">
      <c r="A17" s="44"/>
      <c r="B17" s="10" t="str">
        <f>CONCATENATE("          ", "5053", " - ", "PURCHASES @ COST-FOOD")</f>
        <v xml:space="preserve">          5053 - PURCHASES @ COST-FOOD</v>
      </c>
      <c r="C17" s="10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0"/>
      <c r="P17" s="2"/>
      <c r="Q17" s="2"/>
      <c r="R17" s="19">
        <f t="shared" si="11"/>
        <v>0</v>
      </c>
      <c r="S17" s="2"/>
      <c r="T17" s="2">
        <v>43126.25</v>
      </c>
      <c r="U17" s="2"/>
      <c r="V17" s="19">
        <f t="shared" si="12"/>
        <v>0.27418263677279892</v>
      </c>
      <c r="W17" s="2"/>
      <c r="X17" s="2">
        <f t="shared" si="13"/>
        <v>-43126.25</v>
      </c>
      <c r="Y17" s="2"/>
      <c r="Z17" s="19">
        <f t="shared" si="14"/>
        <v>-1</v>
      </c>
    </row>
    <row r="18" spans="1:26" s="23" customFormat="1" hidden="1" outlineLevel="1" x14ac:dyDescent="0.25">
      <c r="A18" s="44"/>
      <c r="B18" s="10" t="str">
        <f>CONCATENATE("          ", "5059", " - ", "PURCHASES @ COST-FOOD")</f>
        <v xml:space="preserve">          5059 - PURCHASES @ COST-FOOD</v>
      </c>
      <c r="C18" s="10"/>
      <c r="D18" s="2"/>
      <c r="E18" s="2"/>
      <c r="F18" s="19">
        <f t="shared" si="7"/>
        <v>0</v>
      </c>
      <c r="G18" s="2"/>
      <c r="H18" s="2">
        <v>4159</v>
      </c>
      <c r="I18" s="2"/>
      <c r="J18" s="19">
        <f t="shared" si="8"/>
        <v>0</v>
      </c>
      <c r="K18" s="2"/>
      <c r="L18" s="2">
        <f t="shared" si="9"/>
        <v>-4159</v>
      </c>
      <c r="M18" s="2"/>
      <c r="N18" s="19">
        <f t="shared" si="10"/>
        <v>-1</v>
      </c>
      <c r="O18" s="10"/>
      <c r="P18" s="2"/>
      <c r="Q18" s="2"/>
      <c r="R18" s="19">
        <f t="shared" si="11"/>
        <v>0</v>
      </c>
      <c r="S18" s="2"/>
      <c r="T18" s="2">
        <v>195</v>
      </c>
      <c r="U18" s="2"/>
      <c r="V18" s="19">
        <f t="shared" si="12"/>
        <v>1.239746422902427E-3</v>
      </c>
      <c r="W18" s="2"/>
      <c r="X18" s="2">
        <f t="shared" si="13"/>
        <v>-195</v>
      </c>
      <c r="Y18" s="2"/>
      <c r="Z18" s="19">
        <f t="shared" si="14"/>
        <v>-1</v>
      </c>
    </row>
    <row r="19" spans="1:26" x14ac:dyDescent="0.25">
      <c r="A19" s="9"/>
      <c r="B19" s="11"/>
      <c r="C19" s="11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1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4" customFormat="1" x14ac:dyDescent="0.25">
      <c r="A20" s="11"/>
      <c r="B20" s="29" t="s">
        <v>107</v>
      </c>
      <c r="C20" s="29"/>
      <c r="D20" s="20">
        <f>D12-D16</f>
        <v>0</v>
      </c>
      <c r="E20" s="14"/>
      <c r="F20" s="22">
        <f>IF(D$12=0,0,D20/D$12)</f>
        <v>0</v>
      </c>
      <c r="G20" s="14"/>
      <c r="H20" s="20">
        <f>H12-H16</f>
        <v>-4159</v>
      </c>
      <c r="I20" s="14"/>
      <c r="J20" s="22">
        <f>IF(H$12=0,0,H20/H$12)</f>
        <v>0</v>
      </c>
      <c r="K20" s="16"/>
      <c r="L20" s="20">
        <f>+D20-H20</f>
        <v>4159</v>
      </c>
      <c r="M20" s="16"/>
      <c r="N20" s="22">
        <f>IF(H20=0,0,L20/H20)</f>
        <v>-1</v>
      </c>
      <c r="O20" s="28"/>
      <c r="P20" s="20">
        <f>P12-P16</f>
        <v>0</v>
      </c>
      <c r="Q20" s="14"/>
      <c r="R20" s="22">
        <f>IF(P$12=0,0,P20/P$12)</f>
        <v>0</v>
      </c>
      <c r="S20" s="14"/>
      <c r="T20" s="20">
        <f>T12-T16</f>
        <v>113968.98000000001</v>
      </c>
      <c r="U20" s="14"/>
      <c r="V20" s="22">
        <f>IF(T$12=0,0,T20/T$12)</f>
        <v>0.72457761680429866</v>
      </c>
      <c r="W20" s="16"/>
      <c r="X20" s="20">
        <f>+P20-T20</f>
        <v>-113968.98000000001</v>
      </c>
      <c r="Y20" s="16"/>
      <c r="Z20" s="22">
        <f>IF(T20=0,0,X20/T20)</f>
        <v>-1</v>
      </c>
    </row>
    <row r="21" spans="1:26" x14ac:dyDescent="0.25">
      <c r="A21" s="9"/>
      <c r="B21" s="11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4" customFormat="1" x14ac:dyDescent="0.25">
      <c r="A22" s="11"/>
      <c r="B22" s="28" t="s">
        <v>294</v>
      </c>
      <c r="C22" s="11"/>
      <c r="D22" s="21">
        <f>SUM(OSRRefD22x_0)</f>
        <v>479.29</v>
      </c>
      <c r="E22" s="21"/>
      <c r="F22" s="31">
        <f t="shared" ref="F22:F25" si="15">IF(D$12=0,0,D22/D$12)</f>
        <v>0</v>
      </c>
      <c r="G22" s="21"/>
      <c r="H22" s="21">
        <f>SUM(OSRRefH22x_0)</f>
        <v>1291.0800000000002</v>
      </c>
      <c r="I22" s="21"/>
      <c r="J22" s="31">
        <f t="shared" ref="J22:J25" si="16">IF(H$12=0,0,H22/H$12)</f>
        <v>0</v>
      </c>
      <c r="K22" s="4"/>
      <c r="L22" s="21">
        <f t="shared" ref="L22:L25" si="17">+D22-H22</f>
        <v>-811.79000000000019</v>
      </c>
      <c r="M22" s="4"/>
      <c r="N22" s="31">
        <f t="shared" ref="N22:N25" si="18">IF(H22=0,0,L22/H22)</f>
        <v>-0.62876816308826722</v>
      </c>
      <c r="O22" s="11"/>
      <c r="P22" s="21">
        <f>SUM(OSRRefP22x_0)</f>
        <v>6353.79</v>
      </c>
      <c r="Q22" s="21"/>
      <c r="R22" s="31">
        <f t="shared" ref="R22:R25" si="19">IF(P$12=0,0,P22/P$12)</f>
        <v>0</v>
      </c>
      <c r="S22" s="21"/>
      <c r="T22" s="21">
        <f>SUM(OSRRefT22x_0)</f>
        <v>89538.939999999988</v>
      </c>
      <c r="U22" s="21"/>
      <c r="V22" s="31">
        <f t="shared" ref="V22:V25" si="20">IF(T$12=0,0,T22/T$12)</f>
        <v>0.56925938756653849</v>
      </c>
      <c r="W22" s="4"/>
      <c r="X22" s="21">
        <f t="shared" ref="X22:X25" si="21">+P22-T22</f>
        <v>-83185.149999999994</v>
      </c>
      <c r="Y22" s="4"/>
      <c r="Z22" s="31">
        <f t="shared" ref="Z22:Z25" si="22">IF(T22=0,0,X22/T22)</f>
        <v>-0.92903880702630615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0</v>
      </c>
      <c r="I23" s="1"/>
      <c r="J23" s="5">
        <f t="shared" si="16"/>
        <v>0</v>
      </c>
      <c r="K23" s="1"/>
      <c r="L23" s="1">
        <f t="shared" si="17"/>
        <v>0</v>
      </c>
      <c r="M23" s="1"/>
      <c r="N23" s="5">
        <f t="shared" si="18"/>
        <v>0</v>
      </c>
      <c r="O23" s="12"/>
      <c r="P23" s="1">
        <f>SUM(OSRRefP22_0x_0)</f>
        <v>0</v>
      </c>
      <c r="Q23" s="1"/>
      <c r="R23" s="5">
        <f t="shared" si="19"/>
        <v>0</v>
      </c>
      <c r="S23" s="1"/>
      <c r="T23" s="1">
        <f>SUM(OSRRefT22_0x_0)</f>
        <v>1171.8399999999999</v>
      </c>
      <c r="U23" s="1"/>
      <c r="V23" s="5">
        <f t="shared" si="20"/>
        <v>7.4501766575075885E-3</v>
      </c>
      <c r="W23" s="1"/>
      <c r="X23" s="1">
        <f t="shared" si="21"/>
        <v>-1171.8399999999999</v>
      </c>
      <c r="Y23" s="1"/>
      <c r="Z23" s="5">
        <f t="shared" si="22"/>
        <v>-1</v>
      </c>
    </row>
    <row r="24" spans="1:26" s="23" customFormat="1" hidden="1" outlineLevel="2" x14ac:dyDescent="0.25">
      <c r="A24" s="27"/>
      <c r="B24" s="10" t="str">
        <f>CONCATENATE("          ", "6111", " - ", "F.I.C.A.")</f>
        <v xml:space="preserve">          6111 - F.I.C.A.</v>
      </c>
      <c r="C24" s="10"/>
      <c r="D24" s="6"/>
      <c r="E24" s="2"/>
      <c r="F24" s="7">
        <f t="shared" si="15"/>
        <v>0</v>
      </c>
      <c r="G24" s="2"/>
      <c r="H24" s="6"/>
      <c r="I24" s="2"/>
      <c r="J24" s="7">
        <f t="shared" si="16"/>
        <v>0</v>
      </c>
      <c r="K24" s="2"/>
      <c r="L24" s="6">
        <f t="shared" si="17"/>
        <v>0</v>
      </c>
      <c r="M24" s="2"/>
      <c r="N24" s="7">
        <f t="shared" si="18"/>
        <v>0</v>
      </c>
      <c r="O24" s="10"/>
      <c r="P24" s="6"/>
      <c r="Q24" s="2"/>
      <c r="R24" s="7">
        <f t="shared" si="19"/>
        <v>0</v>
      </c>
      <c r="S24" s="2"/>
      <c r="T24" s="6">
        <v>1182.24</v>
      </c>
      <c r="U24" s="2"/>
      <c r="V24" s="7">
        <f t="shared" si="20"/>
        <v>7.5162964667290517E-3</v>
      </c>
      <c r="W24" s="2"/>
      <c r="X24" s="6">
        <f t="shared" si="21"/>
        <v>-1182.24</v>
      </c>
      <c r="Y24" s="2"/>
      <c r="Z24" s="7">
        <f t="shared" si="22"/>
        <v>-1</v>
      </c>
    </row>
    <row r="25" spans="1:26" s="23" customFormat="1" hidden="1" outlineLevel="2" x14ac:dyDescent="0.25">
      <c r="A25" s="27"/>
      <c r="B25" s="10" t="str">
        <f>CONCATENATE("          ", "6112", " - ", "COMPENSATION INSURANCE")</f>
        <v xml:space="preserve">          6112 - COMPENSATION INSURANCE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-10.4</v>
      </c>
      <c r="U25" s="2"/>
      <c r="V25" s="7">
        <f t="shared" si="20"/>
        <v>-6.6119809221462769E-5</v>
      </c>
      <c r="W25" s="2"/>
      <c r="X25" s="6">
        <f t="shared" si="21"/>
        <v>10.4</v>
      </c>
      <c r="Y25" s="2"/>
      <c r="Z25" s="7">
        <f t="shared" si="22"/>
        <v>-1</v>
      </c>
    </row>
    <row r="26" spans="1:26" s="26" customFormat="1" outlineLevel="1" collapsed="1" x14ac:dyDescent="0.25">
      <c r="A26" s="25"/>
      <c r="B26" s="12" t="str">
        <f>CONCATENATE("     ","*Payroll                                          ")</f>
        <v xml:space="preserve">     *Payroll                                          </v>
      </c>
      <c r="C26" s="12"/>
      <c r="D26" s="1">
        <f>SUM(OSRRefD22_1x_0)</f>
        <v>0</v>
      </c>
      <c r="E26" s="1"/>
      <c r="F26" s="5">
        <f t="shared" ref="F26:F31" si="23">IF(D$12=0,0,D26/D$12)</f>
        <v>0</v>
      </c>
      <c r="G26" s="1"/>
      <c r="H26" s="1">
        <f>SUM(OSRRefH22_1x_0)</f>
        <v>0</v>
      </c>
      <c r="I26" s="1"/>
      <c r="J26" s="5">
        <f t="shared" ref="J26:J31" si="24">IF(H$12=0,0,H26/H$12)</f>
        <v>0</v>
      </c>
      <c r="K26" s="1"/>
      <c r="L26" s="1">
        <f t="shared" ref="L26:L31" si="25">+D26-H26</f>
        <v>0</v>
      </c>
      <c r="M26" s="1"/>
      <c r="N26" s="5">
        <f t="shared" ref="N26:N31" si="26">IF(H26=0,0,L26/H26)</f>
        <v>0</v>
      </c>
      <c r="O26" s="12"/>
      <c r="P26" s="1">
        <f>SUM(OSRRefP22_1x_0)</f>
        <v>0</v>
      </c>
      <c r="Q26" s="1"/>
      <c r="R26" s="5">
        <f t="shared" ref="R26:R31" si="27">IF(P$12=0,0,P26/P$12)</f>
        <v>0</v>
      </c>
      <c r="S26" s="1"/>
      <c r="T26" s="1">
        <f>SUM(OSRRefT22_1x_0)</f>
        <v>29540.829999999998</v>
      </c>
      <c r="U26" s="1"/>
      <c r="V26" s="5">
        <f t="shared" ref="V26:V31" si="28">IF(T$12=0,0,T26/T$12)</f>
        <v>0.18781096575419845</v>
      </c>
      <c r="W26" s="1"/>
      <c r="X26" s="1">
        <f t="shared" ref="X26:X31" si="29">+P26-T26</f>
        <v>-29540.829999999998</v>
      </c>
      <c r="Y26" s="1"/>
      <c r="Z26" s="5">
        <f t="shared" ref="Z26:Z31" si="30">IF(T26=0,0,X26/T26)</f>
        <v>-1</v>
      </c>
    </row>
    <row r="27" spans="1:26" s="23" customFormat="1" hidden="1" outlineLevel="2" x14ac:dyDescent="0.25">
      <c r="A27" s="27"/>
      <c r="B27" s="10" t="str">
        <f>CONCATENATE("          ", "6004", " - ", "STAFF HOURLY")</f>
        <v xml:space="preserve">          6004 - STAFF HOURLY</v>
      </c>
      <c r="C27" s="10"/>
      <c r="D27" s="6"/>
      <c r="E27" s="2"/>
      <c r="F27" s="7">
        <f t="shared" si="23"/>
        <v>0</v>
      </c>
      <c r="G27" s="2"/>
      <c r="H27" s="6"/>
      <c r="I27" s="2"/>
      <c r="J27" s="7">
        <f t="shared" si="24"/>
        <v>0</v>
      </c>
      <c r="K27" s="2"/>
      <c r="L27" s="6">
        <f t="shared" si="25"/>
        <v>0</v>
      </c>
      <c r="M27" s="2"/>
      <c r="N27" s="7">
        <f t="shared" si="26"/>
        <v>0</v>
      </c>
      <c r="O27" s="10"/>
      <c r="P27" s="6"/>
      <c r="Q27" s="2"/>
      <c r="R27" s="7">
        <f t="shared" si="27"/>
        <v>0</v>
      </c>
      <c r="S27" s="2"/>
      <c r="T27" s="6">
        <v>3193.41</v>
      </c>
      <c r="U27" s="2"/>
      <c r="V27" s="7">
        <f t="shared" si="28"/>
        <v>2.0302659612106866E-2</v>
      </c>
      <c r="W27" s="2"/>
      <c r="X27" s="6">
        <f t="shared" si="29"/>
        <v>-3193.41</v>
      </c>
      <c r="Y27" s="2"/>
      <c r="Z27" s="7">
        <f t="shared" si="30"/>
        <v>-1</v>
      </c>
    </row>
    <row r="28" spans="1:26" s="23" customFormat="1" hidden="1" outlineLevel="2" x14ac:dyDescent="0.25">
      <c r="A28" s="27"/>
      <c r="B28" s="10" t="str">
        <f>CONCATENATE("          ", "6005", " - ", "TEMPORARY WAGES-HOURLY")</f>
        <v xml:space="preserve">          6005 - TEMPORARY WAGES-HOURLY</v>
      </c>
      <c r="C28" s="10"/>
      <c r="D28" s="6"/>
      <c r="E28" s="2"/>
      <c r="F28" s="7">
        <f t="shared" si="23"/>
        <v>0</v>
      </c>
      <c r="G28" s="2"/>
      <c r="H28" s="6"/>
      <c r="I28" s="2"/>
      <c r="J28" s="7">
        <f t="shared" si="24"/>
        <v>0</v>
      </c>
      <c r="K28" s="2"/>
      <c r="L28" s="6">
        <f t="shared" si="25"/>
        <v>0</v>
      </c>
      <c r="M28" s="2"/>
      <c r="N28" s="7">
        <f t="shared" si="26"/>
        <v>0</v>
      </c>
      <c r="O28" s="10"/>
      <c r="P28" s="6"/>
      <c r="Q28" s="2"/>
      <c r="R28" s="7">
        <f t="shared" si="27"/>
        <v>0</v>
      </c>
      <c r="S28" s="2"/>
      <c r="T28" s="6">
        <v>9782.57</v>
      </c>
      <c r="U28" s="2"/>
      <c r="V28" s="7">
        <f t="shared" si="28"/>
        <v>6.2194390586115866E-2</v>
      </c>
      <c r="W28" s="2"/>
      <c r="X28" s="6">
        <f t="shared" si="29"/>
        <v>-9782.57</v>
      </c>
      <c r="Y28" s="2"/>
      <c r="Z28" s="7">
        <f t="shared" si="30"/>
        <v>-1</v>
      </c>
    </row>
    <row r="29" spans="1:26" s="23" customFormat="1" hidden="1" outlineLevel="2" x14ac:dyDescent="0.25">
      <c r="A29" s="27"/>
      <c r="B29" s="10" t="str">
        <f>CONCATENATE("          ", "6006", " - ", "TEMPORARY PART TIME")</f>
        <v xml:space="preserve">          6006 - TEMPORARY PART TIME</v>
      </c>
      <c r="C29" s="10"/>
      <c r="D29" s="6"/>
      <c r="E29" s="2"/>
      <c r="F29" s="7">
        <f t="shared" si="23"/>
        <v>0</v>
      </c>
      <c r="G29" s="2"/>
      <c r="H29" s="6"/>
      <c r="I29" s="2"/>
      <c r="J29" s="7">
        <f t="shared" si="24"/>
        <v>0</v>
      </c>
      <c r="K29" s="2"/>
      <c r="L29" s="6">
        <f t="shared" si="25"/>
        <v>0</v>
      </c>
      <c r="M29" s="2"/>
      <c r="N29" s="7">
        <f t="shared" si="26"/>
        <v>0</v>
      </c>
      <c r="O29" s="10"/>
      <c r="P29" s="6"/>
      <c r="Q29" s="2"/>
      <c r="R29" s="7">
        <f t="shared" si="27"/>
        <v>0</v>
      </c>
      <c r="S29" s="2"/>
      <c r="T29" s="6">
        <v>247.5</v>
      </c>
      <c r="U29" s="2"/>
      <c r="V29" s="7">
        <f t="shared" si="28"/>
        <v>1.5735243059915418E-3</v>
      </c>
      <c r="W29" s="2"/>
      <c r="X29" s="6">
        <f t="shared" si="29"/>
        <v>-247.5</v>
      </c>
      <c r="Y29" s="2"/>
      <c r="Z29" s="7">
        <f t="shared" si="30"/>
        <v>-1</v>
      </c>
    </row>
    <row r="30" spans="1:26" s="23" customFormat="1" hidden="1" outlineLevel="2" x14ac:dyDescent="0.25">
      <c r="A30" s="27"/>
      <c r="B30" s="10" t="str">
        <f>CONCATENATE("          ", "6007", " - ", "STUDENT HOURLY")</f>
        <v xml:space="preserve">          6007 - STUDENT HOURLY</v>
      </c>
      <c r="C30" s="10"/>
      <c r="D30" s="6"/>
      <c r="E30" s="2"/>
      <c r="F30" s="7">
        <f t="shared" si="23"/>
        <v>0</v>
      </c>
      <c r="G30" s="2"/>
      <c r="H30" s="6"/>
      <c r="I30" s="2"/>
      <c r="J30" s="7">
        <f t="shared" si="24"/>
        <v>0</v>
      </c>
      <c r="K30" s="2"/>
      <c r="L30" s="6">
        <f t="shared" si="25"/>
        <v>0</v>
      </c>
      <c r="M30" s="2"/>
      <c r="N30" s="7">
        <f t="shared" si="26"/>
        <v>0</v>
      </c>
      <c r="O30" s="10"/>
      <c r="P30" s="6"/>
      <c r="Q30" s="2"/>
      <c r="R30" s="7">
        <f t="shared" si="27"/>
        <v>0</v>
      </c>
      <c r="S30" s="2"/>
      <c r="T30" s="6">
        <v>13228</v>
      </c>
      <c r="U30" s="2"/>
      <c r="V30" s="7">
        <f t="shared" si="28"/>
        <v>8.4099311190529755E-2</v>
      </c>
      <c r="W30" s="2"/>
      <c r="X30" s="6">
        <f t="shared" si="29"/>
        <v>-13228</v>
      </c>
      <c r="Y30" s="2"/>
      <c r="Z30" s="7">
        <f t="shared" si="30"/>
        <v>-1</v>
      </c>
    </row>
    <row r="31" spans="1:26" s="23" customFormat="1" hidden="1" outlineLevel="2" x14ac:dyDescent="0.25">
      <c r="A31" s="27"/>
      <c r="B31" s="10" t="str">
        <f>CONCATENATE("          ", "6008", " - ", "STUDENT HOURLY-FICA EXEMPT")</f>
        <v xml:space="preserve">          6008 - STUDENT HOURLY-FICA EXEMPT</v>
      </c>
      <c r="C31" s="10"/>
      <c r="D31" s="6"/>
      <c r="E31" s="2"/>
      <c r="F31" s="7">
        <f t="shared" si="23"/>
        <v>0</v>
      </c>
      <c r="G31" s="2"/>
      <c r="H31" s="6"/>
      <c r="I31" s="2"/>
      <c r="J31" s="7">
        <f t="shared" si="24"/>
        <v>0</v>
      </c>
      <c r="K31" s="2"/>
      <c r="L31" s="6">
        <f t="shared" si="25"/>
        <v>0</v>
      </c>
      <c r="M31" s="2"/>
      <c r="N31" s="7">
        <f t="shared" si="26"/>
        <v>0</v>
      </c>
      <c r="O31" s="10"/>
      <c r="P31" s="6"/>
      <c r="Q31" s="2"/>
      <c r="R31" s="7">
        <f t="shared" si="27"/>
        <v>0</v>
      </c>
      <c r="S31" s="2"/>
      <c r="T31" s="6">
        <v>3089.35</v>
      </c>
      <c r="U31" s="2"/>
      <c r="V31" s="7">
        <f t="shared" si="28"/>
        <v>1.9641080059454422E-2</v>
      </c>
      <c r="W31" s="2"/>
      <c r="X31" s="6">
        <f t="shared" si="29"/>
        <v>-3089.35</v>
      </c>
      <c r="Y31" s="2"/>
      <c r="Z31" s="7">
        <f t="shared" si="30"/>
        <v>-1</v>
      </c>
    </row>
    <row r="32" spans="1:26" s="26" customFormat="1" outlineLevel="1" collapsed="1" x14ac:dyDescent="0.25">
      <c r="A32" s="25"/>
      <c r="B32" s="12" t="str">
        <f>CONCATENATE("     ","Advertising/Promo                                 ")</f>
        <v xml:space="preserve">     Advertising/Promo                                 </v>
      </c>
      <c r="C32" s="12"/>
      <c r="D32" s="1">
        <f>SUM(OSRRefD22_2x_0)</f>
        <v>0</v>
      </c>
      <c r="E32" s="1"/>
      <c r="F32" s="5">
        <f t="shared" ref="F32:F46" si="31">IF(D$12=0,0,D32/D$12)</f>
        <v>0</v>
      </c>
      <c r="G32" s="1"/>
      <c r="H32" s="1">
        <f>SUM(OSRRefH22_2x_0)</f>
        <v>0</v>
      </c>
      <c r="I32" s="1"/>
      <c r="J32" s="5">
        <f t="shared" ref="J32:J46" si="32">IF(H$12=0,0,H32/H$12)</f>
        <v>0</v>
      </c>
      <c r="K32" s="1"/>
      <c r="L32" s="1">
        <f t="shared" ref="L32:L46" si="33">+D32-H32</f>
        <v>0</v>
      </c>
      <c r="M32" s="1"/>
      <c r="N32" s="5">
        <f t="shared" ref="N32:N46" si="34">IF(H32=0,0,L32/H32)</f>
        <v>0</v>
      </c>
      <c r="O32" s="12"/>
      <c r="P32" s="1">
        <f>SUM(OSRRefP22_2x_0)</f>
        <v>0</v>
      </c>
      <c r="Q32" s="1"/>
      <c r="R32" s="5">
        <f t="shared" ref="R32:R46" si="35">IF(P$12=0,0,P32/P$12)</f>
        <v>0</v>
      </c>
      <c r="S32" s="1"/>
      <c r="T32" s="1">
        <f>SUM(OSRRefT22_2x_0)</f>
        <v>3023.77</v>
      </c>
      <c r="U32" s="1"/>
      <c r="V32" s="5">
        <f t="shared" ref="V32:V46" si="36">IF(T$12=0,0,T32/T$12)</f>
        <v>1.9224143800921391E-2</v>
      </c>
      <c r="W32" s="1"/>
      <c r="X32" s="1">
        <f t="shared" ref="X32:X46" si="37">+P32-T32</f>
        <v>-3023.77</v>
      </c>
      <c r="Y32" s="1"/>
      <c r="Z32" s="5">
        <f t="shared" ref="Z32:Z46" si="38">IF(T32=0,0,X32/T32)</f>
        <v>-1</v>
      </c>
    </row>
    <row r="33" spans="1:26" s="23" customFormat="1" hidden="1" outlineLevel="2" x14ac:dyDescent="0.25">
      <c r="A33" s="27"/>
      <c r="B33" s="10" t="str">
        <f>CONCATENATE("          ", "6362", " - ", "ADVERTISING EXPENSE")</f>
        <v xml:space="preserve">          6362 - ADVERTISING EXPENSE</v>
      </c>
      <c r="C33" s="10"/>
      <c r="D33" s="6"/>
      <c r="E33" s="2"/>
      <c r="F33" s="7">
        <f t="shared" si="31"/>
        <v>0</v>
      </c>
      <c r="G33" s="2"/>
      <c r="H33" s="6"/>
      <c r="I33" s="2"/>
      <c r="J33" s="7">
        <f t="shared" si="32"/>
        <v>0</v>
      </c>
      <c r="K33" s="2"/>
      <c r="L33" s="6">
        <f t="shared" si="33"/>
        <v>0</v>
      </c>
      <c r="M33" s="2"/>
      <c r="N33" s="7">
        <f t="shared" si="34"/>
        <v>0</v>
      </c>
      <c r="O33" s="10"/>
      <c r="P33" s="6"/>
      <c r="Q33" s="2"/>
      <c r="R33" s="7">
        <f t="shared" si="35"/>
        <v>0</v>
      </c>
      <c r="S33" s="2"/>
      <c r="T33" s="6">
        <v>3023.77</v>
      </c>
      <c r="U33" s="2"/>
      <c r="V33" s="7">
        <f t="shared" si="36"/>
        <v>1.9224143800921391E-2</v>
      </c>
      <c r="W33" s="2"/>
      <c r="X33" s="6">
        <f t="shared" si="37"/>
        <v>-3023.77</v>
      </c>
      <c r="Y33" s="2"/>
      <c r="Z33" s="7">
        <f t="shared" si="38"/>
        <v>-1</v>
      </c>
    </row>
    <row r="34" spans="1:26" s="26" customFormat="1" outlineLevel="1" collapsed="1" x14ac:dyDescent="0.25">
      <c r="A34" s="25"/>
      <c r="B34" s="12" t="str">
        <f>CONCATENATE("     ","Bad Debts/Over/Short                              ")</f>
        <v xml:space="preserve">     Bad Debts/Over/Short                              </v>
      </c>
      <c r="C34" s="12"/>
      <c r="D34" s="1">
        <f>SUM(OSRRefD22_3x_0)</f>
        <v>0</v>
      </c>
      <c r="E34" s="1"/>
      <c r="F34" s="5">
        <f t="shared" si="31"/>
        <v>0</v>
      </c>
      <c r="G34" s="1"/>
      <c r="H34" s="1">
        <f>SUM(OSRRefH22_3x_0)</f>
        <v>0</v>
      </c>
      <c r="I34" s="1"/>
      <c r="J34" s="5">
        <f t="shared" si="32"/>
        <v>0</v>
      </c>
      <c r="K34" s="1"/>
      <c r="L34" s="1">
        <f t="shared" si="33"/>
        <v>0</v>
      </c>
      <c r="M34" s="1"/>
      <c r="N34" s="5">
        <f t="shared" si="34"/>
        <v>0</v>
      </c>
      <c r="O34" s="12"/>
      <c r="P34" s="1">
        <f>SUM(OSRRefP22_3x_0)</f>
        <v>0</v>
      </c>
      <c r="Q34" s="1"/>
      <c r="R34" s="5">
        <f t="shared" si="35"/>
        <v>0</v>
      </c>
      <c r="S34" s="1"/>
      <c r="T34" s="1">
        <f>SUM(OSRRefT22_3x_0)</f>
        <v>19.399999999999999</v>
      </c>
      <c r="U34" s="1"/>
      <c r="V34" s="5">
        <f t="shared" si="36"/>
        <v>1.2333887489388246E-4</v>
      </c>
      <c r="W34" s="1"/>
      <c r="X34" s="1">
        <f t="shared" si="37"/>
        <v>-19.399999999999999</v>
      </c>
      <c r="Y34" s="1"/>
      <c r="Z34" s="5">
        <f t="shared" si="38"/>
        <v>-1</v>
      </c>
    </row>
    <row r="35" spans="1:26" s="23" customFormat="1" hidden="1" outlineLevel="2" x14ac:dyDescent="0.25">
      <c r="A35" s="27"/>
      <c r="B35" s="10" t="str">
        <f>CONCATENATE("          ", "6272", " - ", "CASH (OVER/SHORT)")</f>
        <v xml:space="preserve">          6272 - CASH (OVER/SHORT)</v>
      </c>
      <c r="C35" s="10"/>
      <c r="D35" s="6"/>
      <c r="E35" s="2"/>
      <c r="F35" s="7">
        <f t="shared" si="31"/>
        <v>0</v>
      </c>
      <c r="G35" s="2"/>
      <c r="H35" s="6"/>
      <c r="I35" s="2"/>
      <c r="J35" s="7">
        <f t="shared" si="32"/>
        <v>0</v>
      </c>
      <c r="K35" s="2"/>
      <c r="L35" s="6">
        <f t="shared" si="33"/>
        <v>0</v>
      </c>
      <c r="M35" s="2"/>
      <c r="N35" s="7">
        <f t="shared" si="34"/>
        <v>0</v>
      </c>
      <c r="O35" s="10"/>
      <c r="P35" s="6"/>
      <c r="Q35" s="2"/>
      <c r="R35" s="7">
        <f t="shared" si="35"/>
        <v>0</v>
      </c>
      <c r="S35" s="2"/>
      <c r="T35" s="6">
        <v>19.399999999999999</v>
      </c>
      <c r="U35" s="2"/>
      <c r="V35" s="7">
        <f t="shared" si="36"/>
        <v>1.2333887489388246E-4</v>
      </c>
      <c r="W35" s="2"/>
      <c r="X35" s="6">
        <f t="shared" si="37"/>
        <v>-19.399999999999999</v>
      </c>
      <c r="Y35" s="2"/>
      <c r="Z35" s="7">
        <f t="shared" si="38"/>
        <v>-1</v>
      </c>
    </row>
    <row r="36" spans="1:26" s="26" customFormat="1" outlineLevel="1" collapsed="1" x14ac:dyDescent="0.25">
      <c r="A36" s="25"/>
      <c r="B36" s="12" t="str">
        <f>CONCATENATE("     ","Bank/card Fees                                    ")</f>
        <v xml:space="preserve">     Bank/card Fees                                    </v>
      </c>
      <c r="C36" s="12"/>
      <c r="D36" s="1">
        <f>SUM(OSRRefD22_4x_0)</f>
        <v>0</v>
      </c>
      <c r="E36" s="1"/>
      <c r="F36" s="5">
        <f t="shared" si="31"/>
        <v>0</v>
      </c>
      <c r="G36" s="1"/>
      <c r="H36" s="1">
        <f>SUM(OSRRefH22_4x_0)</f>
        <v>0</v>
      </c>
      <c r="I36" s="1"/>
      <c r="J36" s="5">
        <f t="shared" si="32"/>
        <v>0</v>
      </c>
      <c r="K36" s="1"/>
      <c r="L36" s="1">
        <f t="shared" si="33"/>
        <v>0</v>
      </c>
      <c r="M36" s="1"/>
      <c r="N36" s="5">
        <f t="shared" si="34"/>
        <v>0</v>
      </c>
      <c r="O36" s="12"/>
      <c r="P36" s="1">
        <f>SUM(OSRRefP22_4x_0)</f>
        <v>0</v>
      </c>
      <c r="Q36" s="1"/>
      <c r="R36" s="5">
        <f t="shared" si="35"/>
        <v>0</v>
      </c>
      <c r="S36" s="1"/>
      <c r="T36" s="1">
        <f>SUM(OSRRefT22_4x_0)</f>
        <v>4064.54</v>
      </c>
      <c r="U36" s="1"/>
      <c r="V36" s="5">
        <f t="shared" si="36"/>
        <v>2.5841020132019641E-2</v>
      </c>
      <c r="W36" s="1"/>
      <c r="X36" s="1">
        <f t="shared" si="37"/>
        <v>-4064.54</v>
      </c>
      <c r="Y36" s="1"/>
      <c r="Z36" s="5">
        <f t="shared" si="38"/>
        <v>-1</v>
      </c>
    </row>
    <row r="37" spans="1:26" s="23" customFormat="1" hidden="1" outlineLevel="2" x14ac:dyDescent="0.25">
      <c r="A37" s="27"/>
      <c r="B37" s="10" t="str">
        <f>CONCATENATE("          ", "6381", " - ", "BANK/CREDIT CARD FEES")</f>
        <v xml:space="preserve">          6381 - BANK/CREDIT CARD FEES</v>
      </c>
      <c r="C37" s="10"/>
      <c r="D37" s="6"/>
      <c r="E37" s="2"/>
      <c r="F37" s="7">
        <f t="shared" si="31"/>
        <v>0</v>
      </c>
      <c r="G37" s="2"/>
      <c r="H37" s="6"/>
      <c r="I37" s="2"/>
      <c r="J37" s="7">
        <f t="shared" si="32"/>
        <v>0</v>
      </c>
      <c r="K37" s="2"/>
      <c r="L37" s="6">
        <f t="shared" si="33"/>
        <v>0</v>
      </c>
      <c r="M37" s="2"/>
      <c r="N37" s="7">
        <f t="shared" si="34"/>
        <v>0</v>
      </c>
      <c r="O37" s="10"/>
      <c r="P37" s="6"/>
      <c r="Q37" s="2"/>
      <c r="R37" s="7">
        <f t="shared" si="35"/>
        <v>0</v>
      </c>
      <c r="S37" s="2"/>
      <c r="T37" s="6">
        <v>4064.54</v>
      </c>
      <c r="U37" s="2"/>
      <c r="V37" s="7">
        <f t="shared" si="36"/>
        <v>2.5841020132019641E-2</v>
      </c>
      <c r="W37" s="2"/>
      <c r="X37" s="6">
        <f t="shared" si="37"/>
        <v>-4064.54</v>
      </c>
      <c r="Y37" s="2"/>
      <c r="Z37" s="7">
        <f t="shared" si="38"/>
        <v>-1</v>
      </c>
    </row>
    <row r="38" spans="1:26" s="26" customFormat="1" outlineLevel="1" collapsed="1" x14ac:dyDescent="0.25">
      <c r="A38" s="25"/>
      <c r="B38" s="12" t="str">
        <f>CONCATENATE("     ","Depreciation                                      ")</f>
        <v xml:space="preserve">     Depreciation                                      </v>
      </c>
      <c r="C38" s="12"/>
      <c r="D38" s="1">
        <f>SUM(OSRRefD22_5x_0)</f>
        <v>479.29</v>
      </c>
      <c r="E38" s="1"/>
      <c r="F38" s="5">
        <f t="shared" si="31"/>
        <v>0</v>
      </c>
      <c r="G38" s="1"/>
      <c r="H38" s="1">
        <f>SUM(OSRRefH22_5x_0)</f>
        <v>479.29</v>
      </c>
      <c r="I38" s="1"/>
      <c r="J38" s="5">
        <f t="shared" si="32"/>
        <v>0</v>
      </c>
      <c r="K38" s="1"/>
      <c r="L38" s="1">
        <f t="shared" si="33"/>
        <v>0</v>
      </c>
      <c r="M38" s="1"/>
      <c r="N38" s="5">
        <f t="shared" si="34"/>
        <v>0</v>
      </c>
      <c r="O38" s="12"/>
      <c r="P38" s="1">
        <f>SUM(OSRRefP22_5x_0)</f>
        <v>4792.8999999999996</v>
      </c>
      <c r="Q38" s="1"/>
      <c r="R38" s="5">
        <f t="shared" si="35"/>
        <v>0</v>
      </c>
      <c r="S38" s="1"/>
      <c r="T38" s="1">
        <f>SUM(OSRRefT22_5x_0)</f>
        <v>958.58</v>
      </c>
      <c r="U38" s="1"/>
      <c r="V38" s="5">
        <f t="shared" si="36"/>
        <v>6.0943391080297863E-3</v>
      </c>
      <c r="W38" s="1"/>
      <c r="X38" s="1">
        <f t="shared" si="37"/>
        <v>3834.3199999999997</v>
      </c>
      <c r="Y38" s="1"/>
      <c r="Z38" s="5">
        <f t="shared" si="38"/>
        <v>3.9999999999999996</v>
      </c>
    </row>
    <row r="39" spans="1:26" s="23" customFormat="1" hidden="1" outlineLevel="2" x14ac:dyDescent="0.25">
      <c r="A39" s="27"/>
      <c r="B39" s="10" t="str">
        <f>CONCATENATE("          ", "6322", " - ", "EQUIPMENT DEPRECIATION EXPENSE")</f>
        <v xml:space="preserve">          6322 - EQUIPMENT DEPRECIATION EXPENSE</v>
      </c>
      <c r="C39" s="10"/>
      <c r="D39" s="6">
        <v>479.29</v>
      </c>
      <c r="E39" s="2"/>
      <c r="F39" s="7">
        <f t="shared" si="31"/>
        <v>0</v>
      </c>
      <c r="G39" s="2"/>
      <c r="H39" s="6">
        <v>479.29</v>
      </c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>
        <v>4792.8999999999996</v>
      </c>
      <c r="Q39" s="2"/>
      <c r="R39" s="7">
        <f t="shared" si="35"/>
        <v>0</v>
      </c>
      <c r="S39" s="2"/>
      <c r="T39" s="6">
        <v>958.58</v>
      </c>
      <c r="U39" s="2"/>
      <c r="V39" s="7">
        <f t="shared" si="36"/>
        <v>6.0943391080297863E-3</v>
      </c>
      <c r="W39" s="2"/>
      <c r="X39" s="6">
        <f t="shared" si="37"/>
        <v>3834.3199999999997</v>
      </c>
      <c r="Y39" s="2"/>
      <c r="Z39" s="7">
        <f t="shared" si="38"/>
        <v>3.9999999999999996</v>
      </c>
    </row>
    <row r="40" spans="1:26" s="26" customFormat="1" outlineLevel="1" collapsed="1" x14ac:dyDescent="0.25">
      <c r="A40" s="25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SUM(OSRRefD22_6x_0)</f>
        <v>0</v>
      </c>
      <c r="E40" s="1"/>
      <c r="F40" s="5">
        <f t="shared" si="31"/>
        <v>0</v>
      </c>
      <c r="G40" s="1"/>
      <c r="H40" s="1">
        <f>SUM(OSRRefH22_6x_0)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SUM(OSRRefP22_6x_0)</f>
        <v>0</v>
      </c>
      <c r="Q40" s="1"/>
      <c r="R40" s="5">
        <f t="shared" si="35"/>
        <v>0</v>
      </c>
      <c r="S40" s="1"/>
      <c r="T40" s="1">
        <f>SUM(OSRRefT22_6x_0)</f>
        <v>307.2</v>
      </c>
      <c r="U40" s="1"/>
      <c r="V40" s="5">
        <f t="shared" si="36"/>
        <v>1.9530774416185923E-3</v>
      </c>
      <c r="W40" s="1"/>
      <c r="X40" s="1">
        <f t="shared" si="37"/>
        <v>-307.2</v>
      </c>
      <c r="Y40" s="1"/>
      <c r="Z40" s="5">
        <f t="shared" si="38"/>
        <v>-1</v>
      </c>
    </row>
    <row r="41" spans="1:26" s="23" customFormat="1" hidden="1" outlineLevel="2" x14ac:dyDescent="0.25">
      <c r="A41" s="27"/>
      <c r="B41" s="10" t="str">
        <f>CONCATENATE("          ", "6277", " - ", "EMPLOYEE APPRECIATION")</f>
        <v xml:space="preserve">          6277 - EMPLOYEE APPRECIATION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307.2</v>
      </c>
      <c r="U41" s="2"/>
      <c r="V41" s="7">
        <f t="shared" si="36"/>
        <v>1.9530774416185923E-3</v>
      </c>
      <c r="W41" s="2"/>
      <c r="X41" s="6">
        <f t="shared" si="37"/>
        <v>-307.2</v>
      </c>
      <c r="Y41" s="2"/>
      <c r="Z41" s="7">
        <f t="shared" si="38"/>
        <v>-1</v>
      </c>
    </row>
    <row r="42" spans="1:26" s="26" customFormat="1" outlineLevel="1" collapsed="1" x14ac:dyDescent="0.25">
      <c r="A42" s="25"/>
      <c r="B42" s="12" t="str">
        <f>CONCATENATE("     ","General                                           ")</f>
        <v xml:space="preserve">     General                                           </v>
      </c>
      <c r="C42" s="12"/>
      <c r="D42" s="1">
        <f>SUM(OSRRefD22_7x_0)</f>
        <v>0</v>
      </c>
      <c r="E42" s="1"/>
      <c r="F42" s="5">
        <f t="shared" si="31"/>
        <v>0</v>
      </c>
      <c r="G42" s="1"/>
      <c r="H42" s="1">
        <f>SUM(OSRRefH22_7x_0)</f>
        <v>314.43</v>
      </c>
      <c r="I42" s="1"/>
      <c r="J42" s="5">
        <f t="shared" si="32"/>
        <v>0</v>
      </c>
      <c r="K42" s="1"/>
      <c r="L42" s="1">
        <f t="shared" si="33"/>
        <v>-314.43</v>
      </c>
      <c r="M42" s="1"/>
      <c r="N42" s="5">
        <f t="shared" si="34"/>
        <v>-1</v>
      </c>
      <c r="O42" s="12"/>
      <c r="P42" s="1">
        <f>SUM(OSRRefP22_7x_0)</f>
        <v>978.55</v>
      </c>
      <c r="Q42" s="1"/>
      <c r="R42" s="5">
        <f t="shared" si="35"/>
        <v>0</v>
      </c>
      <c r="S42" s="1"/>
      <c r="T42" s="1">
        <f>SUM(OSRRefT22_7x_0)</f>
        <v>5005.68</v>
      </c>
      <c r="U42" s="1"/>
      <c r="V42" s="5">
        <f t="shared" si="36"/>
        <v>3.1824481406124205E-2</v>
      </c>
      <c r="W42" s="1"/>
      <c r="X42" s="1">
        <f t="shared" si="37"/>
        <v>-4027.13</v>
      </c>
      <c r="Y42" s="1"/>
      <c r="Z42" s="5">
        <f t="shared" si="38"/>
        <v>-0.80451207428361382</v>
      </c>
    </row>
    <row r="43" spans="1:26" s="23" customFormat="1" hidden="1" outlineLevel="2" x14ac:dyDescent="0.25">
      <c r="A43" s="27"/>
      <c r="B43" s="10" t="str">
        <f>CONCATENATE("          ", "6279", " - ", "GENERAL EXPENSE")</f>
        <v xml:space="preserve">          6279 - GENERAL EXPENSE</v>
      </c>
      <c r="C43" s="10"/>
      <c r="D43" s="6"/>
      <c r="E43" s="2"/>
      <c r="F43" s="7">
        <f t="shared" si="31"/>
        <v>0</v>
      </c>
      <c r="G43" s="2"/>
      <c r="H43" s="6">
        <v>314.43</v>
      </c>
      <c r="I43" s="2"/>
      <c r="J43" s="7">
        <f t="shared" si="32"/>
        <v>0</v>
      </c>
      <c r="K43" s="2"/>
      <c r="L43" s="6">
        <f t="shared" si="33"/>
        <v>-314.43</v>
      </c>
      <c r="M43" s="2"/>
      <c r="N43" s="7">
        <f t="shared" si="34"/>
        <v>-1</v>
      </c>
      <c r="O43" s="10"/>
      <c r="P43" s="6">
        <v>978.55</v>
      </c>
      <c r="Q43" s="2"/>
      <c r="R43" s="7">
        <f t="shared" si="35"/>
        <v>0</v>
      </c>
      <c r="S43" s="2"/>
      <c r="T43" s="6">
        <v>5005.68</v>
      </c>
      <c r="U43" s="2"/>
      <c r="V43" s="7">
        <f t="shared" si="36"/>
        <v>3.1824481406124205E-2</v>
      </c>
      <c r="W43" s="2"/>
      <c r="X43" s="6">
        <f t="shared" si="37"/>
        <v>-4027.13</v>
      </c>
      <c r="Y43" s="2"/>
      <c r="Z43" s="7">
        <f t="shared" si="38"/>
        <v>-0.80451207428361382</v>
      </c>
    </row>
    <row r="44" spans="1:26" s="26" customFormat="1" outlineLevel="1" collapsed="1" x14ac:dyDescent="0.25">
      <c r="A44" s="25"/>
      <c r="B44" s="12" t="str">
        <f>CONCATENATE("     ","Repair and Maintenance                            ")</f>
        <v xml:space="preserve">     Repair and Maintenance                            </v>
      </c>
      <c r="C44" s="12"/>
      <c r="D44" s="1">
        <f>SUM(OSRRefD22_8x_0)</f>
        <v>0</v>
      </c>
      <c r="E44" s="1"/>
      <c r="F44" s="5">
        <f t="shared" si="31"/>
        <v>0</v>
      </c>
      <c r="G44" s="1"/>
      <c r="H44" s="1">
        <f>SUM(OSRRefH22_8x_0)</f>
        <v>0</v>
      </c>
      <c r="I44" s="1"/>
      <c r="J44" s="5">
        <f t="shared" si="32"/>
        <v>0</v>
      </c>
      <c r="K44" s="1"/>
      <c r="L44" s="1">
        <f t="shared" si="33"/>
        <v>0</v>
      </c>
      <c r="M44" s="1"/>
      <c r="N44" s="5">
        <f t="shared" si="34"/>
        <v>0</v>
      </c>
      <c r="O44" s="12"/>
      <c r="P44" s="1">
        <f>SUM(OSRRefP22_8x_0)</f>
        <v>154.33000000000001</v>
      </c>
      <c r="Q44" s="1"/>
      <c r="R44" s="5">
        <f t="shared" si="35"/>
        <v>0</v>
      </c>
      <c r="S44" s="1"/>
      <c r="T44" s="1">
        <f>SUM(OSRRefT22_8x_0)</f>
        <v>1797.2199999999998</v>
      </c>
      <c r="U44" s="1"/>
      <c r="V44" s="5">
        <f t="shared" si="36"/>
        <v>1.1426138800865125E-2</v>
      </c>
      <c r="W44" s="1"/>
      <c r="X44" s="1">
        <f t="shared" si="37"/>
        <v>-1642.8899999999999</v>
      </c>
      <c r="Y44" s="1"/>
      <c r="Z44" s="5">
        <f t="shared" si="38"/>
        <v>-0.91412848733043262</v>
      </c>
    </row>
    <row r="45" spans="1:26" s="23" customFormat="1" hidden="1" outlineLevel="2" x14ac:dyDescent="0.25">
      <c r="A45" s="27"/>
      <c r="B45" s="10" t="str">
        <f>CONCATENATE("          ", "6373", " - ", "MAINTENANCE CONTRACTS")</f>
        <v xml:space="preserve">          6373 - MAINTENANCE CONTRACTS</v>
      </c>
      <c r="C45" s="10"/>
      <c r="D45" s="6"/>
      <c r="E45" s="2"/>
      <c r="F45" s="7">
        <f t="shared" si="31"/>
        <v>0</v>
      </c>
      <c r="G45" s="2"/>
      <c r="H45" s="6"/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0"/>
      <c r="P45" s="6">
        <v>154.33000000000001</v>
      </c>
      <c r="Q45" s="2"/>
      <c r="R45" s="7">
        <f t="shared" si="35"/>
        <v>0</v>
      </c>
      <c r="S45" s="2"/>
      <c r="T45" s="6">
        <v>296.64</v>
      </c>
      <c r="U45" s="2"/>
      <c r="V45" s="7">
        <f t="shared" si="36"/>
        <v>1.8859404045629532E-3</v>
      </c>
      <c r="W45" s="2"/>
      <c r="X45" s="6">
        <f t="shared" si="37"/>
        <v>-142.30999999999997</v>
      </c>
      <c r="Y45" s="2"/>
      <c r="Z45" s="7">
        <f t="shared" si="38"/>
        <v>-0.4797397518878101</v>
      </c>
    </row>
    <row r="46" spans="1:26" s="23" customFormat="1" hidden="1" outlineLevel="2" x14ac:dyDescent="0.25">
      <c r="A46" s="27"/>
      <c r="B46" s="10" t="str">
        <f>CONCATENATE("          ", "6375", " - ", "OUTSIDE REPAIRS &amp; MAINTENANCE")</f>
        <v xml:space="preserve">          6375 - OUTSIDE REPAIRS &amp; MAINTENANCE</v>
      </c>
      <c r="C46" s="10"/>
      <c r="D46" s="6"/>
      <c r="E46" s="2"/>
      <c r="F46" s="7">
        <f t="shared" si="31"/>
        <v>0</v>
      </c>
      <c r="G46" s="2"/>
      <c r="H46" s="6"/>
      <c r="I46" s="2"/>
      <c r="J46" s="7">
        <f t="shared" si="32"/>
        <v>0</v>
      </c>
      <c r="K46" s="2"/>
      <c r="L46" s="6">
        <f t="shared" si="33"/>
        <v>0</v>
      </c>
      <c r="M46" s="2"/>
      <c r="N46" s="7">
        <f t="shared" si="34"/>
        <v>0</v>
      </c>
      <c r="O46" s="10"/>
      <c r="P46" s="6"/>
      <c r="Q46" s="2"/>
      <c r="R46" s="7">
        <f t="shared" si="35"/>
        <v>0</v>
      </c>
      <c r="S46" s="2"/>
      <c r="T46" s="6">
        <v>1500.58</v>
      </c>
      <c r="U46" s="2"/>
      <c r="V46" s="7">
        <f t="shared" si="36"/>
        <v>9.5401983963021731E-3</v>
      </c>
      <c r="W46" s="2"/>
      <c r="X46" s="6">
        <f t="shared" si="37"/>
        <v>-1500.58</v>
      </c>
      <c r="Y46" s="2"/>
      <c r="Z46" s="7">
        <f t="shared" si="38"/>
        <v>-1</v>
      </c>
    </row>
    <row r="47" spans="1:26" s="26" customFormat="1" outlineLevel="1" collapsed="1" x14ac:dyDescent="0.25">
      <c r="A47" s="25"/>
      <c r="B47" s="12" t="str">
        <f>CONCATENATE("     ","Royalty &amp; Commissions                             ")</f>
        <v xml:space="preserve">     Royalty &amp; Commissions                             </v>
      </c>
      <c r="C47" s="12"/>
      <c r="D47" s="1">
        <f>SUM(OSRRefD22_9x_0)</f>
        <v>0</v>
      </c>
      <c r="E47" s="1"/>
      <c r="F47" s="5">
        <f t="shared" ref="F47:F56" si="39">IF(D$12=0,0,D47/D$12)</f>
        <v>0</v>
      </c>
      <c r="G47" s="1"/>
      <c r="H47" s="1">
        <f>SUM(OSRRefH22_9x_0)</f>
        <v>0</v>
      </c>
      <c r="I47" s="1"/>
      <c r="J47" s="5">
        <f t="shared" ref="J47:J56" si="40">IF(H$12=0,0,H47/H$12)</f>
        <v>0</v>
      </c>
      <c r="K47" s="1"/>
      <c r="L47" s="1">
        <f t="shared" ref="L47:L56" si="41">+D47-H47</f>
        <v>0</v>
      </c>
      <c r="M47" s="1"/>
      <c r="N47" s="5">
        <f t="shared" ref="N47:N56" si="42">IF(H47=0,0,L47/H47)</f>
        <v>0</v>
      </c>
      <c r="O47" s="12"/>
      <c r="P47" s="1">
        <f>SUM(OSRRefP22_9x_0)</f>
        <v>0</v>
      </c>
      <c r="Q47" s="1"/>
      <c r="R47" s="5">
        <f t="shared" ref="R47:R56" si="43">IF(P$12=0,0,P47/P$12)</f>
        <v>0</v>
      </c>
      <c r="S47" s="1"/>
      <c r="T47" s="1">
        <f>SUM(OSRRefT22_9x_0)</f>
        <v>35313.08</v>
      </c>
      <c r="U47" s="1"/>
      <c r="V47" s="5">
        <f t="shared" ref="V47:V56" si="44">IF(T$12=0,0,T47/T$12)</f>
        <v>0.2245090492906012</v>
      </c>
      <c r="W47" s="1"/>
      <c r="X47" s="1">
        <f t="shared" ref="X47:X56" si="45">+P47-T47</f>
        <v>-35313.08</v>
      </c>
      <c r="Y47" s="1"/>
      <c r="Z47" s="5">
        <f t="shared" ref="Z47:Z56" si="46">IF(T47=0,0,X47/T47)</f>
        <v>-1</v>
      </c>
    </row>
    <row r="48" spans="1:26" s="23" customFormat="1" hidden="1" outlineLevel="2" x14ac:dyDescent="0.25">
      <c r="A48" s="27"/>
      <c r="B48" s="10" t="str">
        <f>CONCATENATE("          ", "6254", " - ", "ROYALTY &amp; COMMISSIONS")</f>
        <v xml:space="preserve">          6254 - ROYALTY &amp; COMMISSIONS</v>
      </c>
      <c r="C48" s="10"/>
      <c r="D48" s="6"/>
      <c r="E48" s="2"/>
      <c r="F48" s="7">
        <f t="shared" si="39"/>
        <v>0</v>
      </c>
      <c r="G48" s="2"/>
      <c r="H48" s="6"/>
      <c r="I48" s="2"/>
      <c r="J48" s="7">
        <f t="shared" si="40"/>
        <v>0</v>
      </c>
      <c r="K48" s="2"/>
      <c r="L48" s="6">
        <f t="shared" si="41"/>
        <v>0</v>
      </c>
      <c r="M48" s="2"/>
      <c r="N48" s="7">
        <f t="shared" si="42"/>
        <v>0</v>
      </c>
      <c r="O48" s="10"/>
      <c r="P48" s="6"/>
      <c r="Q48" s="2"/>
      <c r="R48" s="7">
        <f t="shared" si="43"/>
        <v>0</v>
      </c>
      <c r="S48" s="2"/>
      <c r="T48" s="6">
        <v>35313.08</v>
      </c>
      <c r="U48" s="2"/>
      <c r="V48" s="7">
        <f t="shared" si="44"/>
        <v>0.2245090492906012</v>
      </c>
      <c r="W48" s="2"/>
      <c r="X48" s="6">
        <f t="shared" si="45"/>
        <v>-35313.08</v>
      </c>
      <c r="Y48" s="2"/>
      <c r="Z48" s="7">
        <f t="shared" si="46"/>
        <v>-1</v>
      </c>
    </row>
    <row r="49" spans="1:26" s="26" customFormat="1" outlineLevel="1" collapsed="1" x14ac:dyDescent="0.25">
      <c r="A49" s="25"/>
      <c r="B49" s="12" t="str">
        <f>CONCATENATE("     ","Services                                          ")</f>
        <v xml:space="preserve">     Services                                          </v>
      </c>
      <c r="C49" s="12"/>
      <c r="D49" s="1">
        <f>SUM(OSRRefD22_10x_0)</f>
        <v>0</v>
      </c>
      <c r="E49" s="1"/>
      <c r="F49" s="5">
        <f t="shared" si="39"/>
        <v>0</v>
      </c>
      <c r="G49" s="1"/>
      <c r="H49" s="1">
        <f>SUM(OSRRefH22_10x_0)</f>
        <v>0</v>
      </c>
      <c r="I49" s="1"/>
      <c r="J49" s="5">
        <f t="shared" si="40"/>
        <v>0</v>
      </c>
      <c r="K49" s="1"/>
      <c r="L49" s="1">
        <f t="shared" si="41"/>
        <v>0</v>
      </c>
      <c r="M49" s="1"/>
      <c r="N49" s="5">
        <f t="shared" si="42"/>
        <v>0</v>
      </c>
      <c r="O49" s="12"/>
      <c r="P49" s="1">
        <f>SUM(OSRRefP22_10x_0)</f>
        <v>0</v>
      </c>
      <c r="Q49" s="1"/>
      <c r="R49" s="5">
        <f t="shared" si="43"/>
        <v>0</v>
      </c>
      <c r="S49" s="1"/>
      <c r="T49" s="1">
        <f>SUM(OSRRefT22_10x_0)</f>
        <v>126</v>
      </c>
      <c r="U49" s="1"/>
      <c r="V49" s="5">
        <f t="shared" si="44"/>
        <v>8.0106691941387578E-4</v>
      </c>
      <c r="W49" s="1"/>
      <c r="X49" s="1">
        <f t="shared" si="45"/>
        <v>-126</v>
      </c>
      <c r="Y49" s="1"/>
      <c r="Z49" s="5">
        <f t="shared" si="46"/>
        <v>-1</v>
      </c>
    </row>
    <row r="50" spans="1:26" s="23" customFormat="1" hidden="1" outlineLevel="2" x14ac:dyDescent="0.25">
      <c r="A50" s="27"/>
      <c r="B50" s="10" t="str">
        <f>CONCATENATE("          ", "6286", " - ", "LAUNDRY EXPENSE")</f>
        <v xml:space="preserve">          6286 - LAUNDRY EXPENSE</v>
      </c>
      <c r="C50" s="10"/>
      <c r="D50" s="6"/>
      <c r="E50" s="2"/>
      <c r="F50" s="7">
        <f t="shared" si="39"/>
        <v>0</v>
      </c>
      <c r="G50" s="2"/>
      <c r="H50" s="6"/>
      <c r="I50" s="2"/>
      <c r="J50" s="7">
        <f t="shared" si="40"/>
        <v>0</v>
      </c>
      <c r="K50" s="2"/>
      <c r="L50" s="6">
        <f t="shared" si="41"/>
        <v>0</v>
      </c>
      <c r="M50" s="2"/>
      <c r="N50" s="7">
        <f t="shared" si="42"/>
        <v>0</v>
      </c>
      <c r="O50" s="10"/>
      <c r="P50" s="6"/>
      <c r="Q50" s="2"/>
      <c r="R50" s="7">
        <f t="shared" si="43"/>
        <v>0</v>
      </c>
      <c r="S50" s="2"/>
      <c r="T50" s="6">
        <v>126</v>
      </c>
      <c r="U50" s="2"/>
      <c r="V50" s="7">
        <f t="shared" si="44"/>
        <v>8.0106691941387578E-4</v>
      </c>
      <c r="W50" s="2"/>
      <c r="X50" s="6">
        <f t="shared" si="45"/>
        <v>-126</v>
      </c>
      <c r="Y50" s="2"/>
      <c r="Z50" s="7">
        <f t="shared" si="46"/>
        <v>-1</v>
      </c>
    </row>
    <row r="51" spans="1:26" s="26" customFormat="1" outlineLevel="1" collapsed="1" x14ac:dyDescent="0.25">
      <c r="A51" s="25"/>
      <c r="B51" s="12" t="str">
        <f>CONCATENATE("     ","Supplies                                          ")</f>
        <v xml:space="preserve">     Supplies                                          </v>
      </c>
      <c r="C51" s="12"/>
      <c r="D51" s="1">
        <f>SUM(OSRRefD22_11x_0)</f>
        <v>0</v>
      </c>
      <c r="E51" s="1"/>
      <c r="F51" s="5">
        <f t="shared" si="39"/>
        <v>0</v>
      </c>
      <c r="G51" s="1"/>
      <c r="H51" s="1">
        <f>SUM(OSRRefH22_11x_0)</f>
        <v>283.35000000000002</v>
      </c>
      <c r="I51" s="1"/>
      <c r="J51" s="5">
        <f t="shared" si="40"/>
        <v>0</v>
      </c>
      <c r="K51" s="1"/>
      <c r="L51" s="1">
        <f t="shared" si="41"/>
        <v>-283.35000000000002</v>
      </c>
      <c r="M51" s="1"/>
      <c r="N51" s="5">
        <f t="shared" si="42"/>
        <v>-1</v>
      </c>
      <c r="O51" s="12"/>
      <c r="P51" s="1">
        <f>SUM(OSRRefP22_11x_0)</f>
        <v>0</v>
      </c>
      <c r="Q51" s="1"/>
      <c r="R51" s="5">
        <f t="shared" si="43"/>
        <v>0</v>
      </c>
      <c r="S51" s="1"/>
      <c r="T51" s="1">
        <f>SUM(OSRRefT22_11x_0)</f>
        <v>6070.7100000000009</v>
      </c>
      <c r="U51" s="1"/>
      <c r="V51" s="5">
        <f t="shared" si="44"/>
        <v>3.8595594907579453E-2</v>
      </c>
      <c r="W51" s="1"/>
      <c r="X51" s="1">
        <f t="shared" si="45"/>
        <v>-6070.7100000000009</v>
      </c>
      <c r="Y51" s="1"/>
      <c r="Z51" s="5">
        <f t="shared" si="46"/>
        <v>-1</v>
      </c>
    </row>
    <row r="52" spans="1:26" s="23" customFormat="1" hidden="1" outlineLevel="2" x14ac:dyDescent="0.25">
      <c r="A52" s="27"/>
      <c r="B52" s="10" t="str">
        <f>CONCATENATE("          ", "6237", " - ", "JANITORIAL SUPPLIES")</f>
        <v xml:space="preserve">          6237 - JANITORIAL SUPPLIES</v>
      </c>
      <c r="C52" s="10"/>
      <c r="D52" s="6"/>
      <c r="E52" s="2"/>
      <c r="F52" s="7">
        <f t="shared" si="39"/>
        <v>0</v>
      </c>
      <c r="G52" s="2"/>
      <c r="H52" s="6"/>
      <c r="I52" s="2"/>
      <c r="J52" s="7">
        <f t="shared" si="40"/>
        <v>0</v>
      </c>
      <c r="K52" s="2"/>
      <c r="L52" s="6">
        <f t="shared" si="41"/>
        <v>0</v>
      </c>
      <c r="M52" s="2"/>
      <c r="N52" s="7">
        <f t="shared" si="42"/>
        <v>0</v>
      </c>
      <c r="O52" s="10"/>
      <c r="P52" s="6"/>
      <c r="Q52" s="2"/>
      <c r="R52" s="7">
        <f t="shared" si="43"/>
        <v>0</v>
      </c>
      <c r="S52" s="2"/>
      <c r="T52" s="6">
        <v>78.81</v>
      </c>
      <c r="U52" s="2"/>
      <c r="V52" s="7">
        <f t="shared" si="44"/>
        <v>5.0104828507148858E-4</v>
      </c>
      <c r="W52" s="2"/>
      <c r="X52" s="6">
        <f t="shared" si="45"/>
        <v>-78.81</v>
      </c>
      <c r="Y52" s="2"/>
      <c r="Z52" s="7">
        <f t="shared" si="46"/>
        <v>-1</v>
      </c>
    </row>
    <row r="53" spans="1:26" s="23" customFormat="1" hidden="1" outlineLevel="2" x14ac:dyDescent="0.25">
      <c r="A53" s="27"/>
      <c r="B53" s="10" t="str">
        <f>CONCATENATE("          ", "6239", " - ", "KITCHEN SUPPLIES")</f>
        <v xml:space="preserve">          6239 - KITCHEN SUPPLIES</v>
      </c>
      <c r="C53" s="10"/>
      <c r="D53" s="6"/>
      <c r="E53" s="2"/>
      <c r="F53" s="7">
        <f t="shared" si="39"/>
        <v>0</v>
      </c>
      <c r="G53" s="2"/>
      <c r="H53" s="6">
        <v>283.35000000000002</v>
      </c>
      <c r="I53" s="2"/>
      <c r="J53" s="7">
        <f t="shared" si="40"/>
        <v>0</v>
      </c>
      <c r="K53" s="2"/>
      <c r="L53" s="6">
        <f t="shared" si="41"/>
        <v>-283.35000000000002</v>
      </c>
      <c r="M53" s="2"/>
      <c r="N53" s="7">
        <f t="shared" si="42"/>
        <v>-1</v>
      </c>
      <c r="O53" s="10"/>
      <c r="P53" s="6"/>
      <c r="Q53" s="2"/>
      <c r="R53" s="7">
        <f t="shared" si="43"/>
        <v>0</v>
      </c>
      <c r="S53" s="2"/>
      <c r="T53" s="6">
        <v>4802.42</v>
      </c>
      <c r="U53" s="2"/>
      <c r="V53" s="7">
        <f t="shared" si="44"/>
        <v>3.0532220596282425E-2</v>
      </c>
      <c r="W53" s="2"/>
      <c r="X53" s="6">
        <f t="shared" si="45"/>
        <v>-4802.42</v>
      </c>
      <c r="Y53" s="2"/>
      <c r="Z53" s="7">
        <f t="shared" si="46"/>
        <v>-1</v>
      </c>
    </row>
    <row r="54" spans="1:26" s="23" customFormat="1" hidden="1" outlineLevel="2" x14ac:dyDescent="0.25">
      <c r="A54" s="27"/>
      <c r="B54" s="10" t="str">
        <f>CONCATENATE("          ", "6241", " - ", "OFFICE EXPENSE")</f>
        <v xml:space="preserve">          6241 - OFFICE EXPENSE</v>
      </c>
      <c r="C54" s="10"/>
      <c r="D54" s="6"/>
      <c r="E54" s="2"/>
      <c r="F54" s="7">
        <f t="shared" si="39"/>
        <v>0</v>
      </c>
      <c r="G54" s="2"/>
      <c r="H54" s="6"/>
      <c r="I54" s="2"/>
      <c r="J54" s="7">
        <f t="shared" si="40"/>
        <v>0</v>
      </c>
      <c r="K54" s="2"/>
      <c r="L54" s="6">
        <f t="shared" si="41"/>
        <v>0</v>
      </c>
      <c r="M54" s="2"/>
      <c r="N54" s="7">
        <f t="shared" si="42"/>
        <v>0</v>
      </c>
      <c r="O54" s="10"/>
      <c r="P54" s="6"/>
      <c r="Q54" s="2"/>
      <c r="R54" s="7">
        <f t="shared" si="43"/>
        <v>0</v>
      </c>
      <c r="S54" s="2"/>
      <c r="T54" s="6">
        <v>135.93</v>
      </c>
      <c r="U54" s="2"/>
      <c r="V54" s="7">
        <f t="shared" si="44"/>
        <v>8.6419862187244562E-4</v>
      </c>
      <c r="W54" s="2"/>
      <c r="X54" s="6">
        <f t="shared" si="45"/>
        <v>-135.93</v>
      </c>
      <c r="Y54" s="2"/>
      <c r="Z54" s="7">
        <f t="shared" si="46"/>
        <v>-1</v>
      </c>
    </row>
    <row r="55" spans="1:26" s="23" customFormat="1" hidden="1" outlineLevel="2" x14ac:dyDescent="0.25">
      <c r="A55" s="27"/>
      <c r="B55" s="10" t="str">
        <f>CONCATENATE("          ", "6243", " - ", "PAPER SUPPLIES")</f>
        <v xml:space="preserve">          6243 - PAPER SUPPLIES</v>
      </c>
      <c r="C55" s="10"/>
      <c r="D55" s="6"/>
      <c r="E55" s="2"/>
      <c r="F55" s="7">
        <f t="shared" si="39"/>
        <v>0</v>
      </c>
      <c r="G55" s="2"/>
      <c r="H55" s="6"/>
      <c r="I55" s="2"/>
      <c r="J55" s="7">
        <f t="shared" si="40"/>
        <v>0</v>
      </c>
      <c r="K55" s="2"/>
      <c r="L55" s="6">
        <f t="shared" si="41"/>
        <v>0</v>
      </c>
      <c r="M55" s="2"/>
      <c r="N55" s="7">
        <f t="shared" si="42"/>
        <v>0</v>
      </c>
      <c r="O55" s="10"/>
      <c r="P55" s="6"/>
      <c r="Q55" s="2"/>
      <c r="R55" s="7">
        <f t="shared" si="43"/>
        <v>0</v>
      </c>
      <c r="S55" s="2"/>
      <c r="T55" s="6">
        <v>-642.03</v>
      </c>
      <c r="U55" s="2"/>
      <c r="V55" s="7">
        <f t="shared" si="44"/>
        <v>-4.0818174148515131E-3</v>
      </c>
      <c r="W55" s="2"/>
      <c r="X55" s="6">
        <f t="shared" si="45"/>
        <v>642.03</v>
      </c>
      <c r="Y55" s="2"/>
      <c r="Z55" s="7">
        <f t="shared" si="46"/>
        <v>-1</v>
      </c>
    </row>
    <row r="56" spans="1:26" s="23" customFormat="1" hidden="1" outlineLevel="2" x14ac:dyDescent="0.25">
      <c r="A56" s="27"/>
      <c r="B56" s="10" t="str">
        <f>CONCATENATE("          ", "6247", " - ", "STORE SUPPLIES")</f>
        <v xml:space="preserve">          6247 - STORE SUPPLIES</v>
      </c>
      <c r="C56" s="10"/>
      <c r="D56" s="6"/>
      <c r="E56" s="2"/>
      <c r="F56" s="7">
        <f t="shared" si="39"/>
        <v>0</v>
      </c>
      <c r="G56" s="2"/>
      <c r="H56" s="6"/>
      <c r="I56" s="2"/>
      <c r="J56" s="7">
        <f t="shared" si="40"/>
        <v>0</v>
      </c>
      <c r="K56" s="2"/>
      <c r="L56" s="6">
        <f t="shared" si="41"/>
        <v>0</v>
      </c>
      <c r="M56" s="2"/>
      <c r="N56" s="7">
        <f t="shared" si="42"/>
        <v>0</v>
      </c>
      <c r="O56" s="10"/>
      <c r="P56" s="6"/>
      <c r="Q56" s="2"/>
      <c r="R56" s="7">
        <f t="shared" si="43"/>
        <v>0</v>
      </c>
      <c r="S56" s="2"/>
      <c r="T56" s="6">
        <v>1695.58</v>
      </c>
      <c r="U56" s="2"/>
      <c r="V56" s="7">
        <f t="shared" si="44"/>
        <v>1.07799448192046E-2</v>
      </c>
      <c r="W56" s="2"/>
      <c r="X56" s="6">
        <f t="shared" si="45"/>
        <v>-1695.58</v>
      </c>
      <c r="Y56" s="2"/>
      <c r="Z56" s="7">
        <f t="shared" si="46"/>
        <v>-1</v>
      </c>
    </row>
    <row r="57" spans="1:26" s="26" customFormat="1" outlineLevel="1" collapsed="1" x14ac:dyDescent="0.25">
      <c r="A57" s="25"/>
      <c r="B57" s="12" t="str">
        <f>CONCATENATE("     ","Telephone/Data Lines                              ")</f>
        <v xml:space="preserve">     Telephone/Data Lines                              </v>
      </c>
      <c r="C57" s="12"/>
      <c r="D57" s="1">
        <f>SUM(OSRRefD22_12x_0)</f>
        <v>0</v>
      </c>
      <c r="E57" s="1"/>
      <c r="F57" s="5">
        <f t="shared" ref="F57:F58" si="47">IF(D$12=0,0,D57/D$12)</f>
        <v>0</v>
      </c>
      <c r="G57" s="1"/>
      <c r="H57" s="1">
        <f>SUM(OSRRefH22_12x_0)</f>
        <v>214.01</v>
      </c>
      <c r="I57" s="1"/>
      <c r="J57" s="5">
        <f t="shared" ref="J57:J58" si="48">IF(H$12=0,0,H57/H$12)</f>
        <v>0</v>
      </c>
      <c r="K57" s="1"/>
      <c r="L57" s="1">
        <f t="shared" ref="L57:L58" si="49">+D57-H57</f>
        <v>-214.01</v>
      </c>
      <c r="M57" s="1"/>
      <c r="N57" s="5">
        <f t="shared" ref="N57:N58" si="50">IF(H57=0,0,L57/H57)</f>
        <v>-1</v>
      </c>
      <c r="O57" s="12"/>
      <c r="P57" s="1">
        <f>SUM(OSRRefP22_12x_0)</f>
        <v>428.01</v>
      </c>
      <c r="Q57" s="1"/>
      <c r="R57" s="5">
        <f t="shared" ref="R57:R58" si="51">IF(P$12=0,0,P57/P$12)</f>
        <v>0</v>
      </c>
      <c r="S57" s="1"/>
      <c r="T57" s="1">
        <f>SUM(OSRRefT22_12x_0)</f>
        <v>2140.09</v>
      </c>
      <c r="U57" s="1"/>
      <c r="V57" s="5">
        <f t="shared" ref="V57:V58" si="52">IF(T$12=0,0,T57/T$12)</f>
        <v>1.360599447276541E-2</v>
      </c>
      <c r="W57" s="1"/>
      <c r="X57" s="1">
        <f t="shared" ref="X57:X58" si="53">+P57-T57</f>
        <v>-1712.0800000000002</v>
      </c>
      <c r="Y57" s="1"/>
      <c r="Z57" s="5">
        <f t="shared" ref="Z57:Z58" si="54">IF(T57=0,0,X57/T57)</f>
        <v>-0.80000373816054471</v>
      </c>
    </row>
    <row r="58" spans="1:26" s="23" customFormat="1" hidden="1" outlineLevel="2" x14ac:dyDescent="0.25">
      <c r="A58" s="27"/>
      <c r="B58" s="10" t="str">
        <f>CONCATENATE("          ", "6309", " - ", "TELEPHONE")</f>
        <v xml:space="preserve">          6309 - TELEPHONE</v>
      </c>
      <c r="C58" s="10"/>
      <c r="D58" s="6"/>
      <c r="E58" s="2"/>
      <c r="F58" s="7">
        <f t="shared" si="47"/>
        <v>0</v>
      </c>
      <c r="G58" s="2"/>
      <c r="H58" s="6">
        <v>214.01</v>
      </c>
      <c r="I58" s="2"/>
      <c r="J58" s="7">
        <f t="shared" si="48"/>
        <v>0</v>
      </c>
      <c r="K58" s="2"/>
      <c r="L58" s="6">
        <f t="shared" si="49"/>
        <v>-214.01</v>
      </c>
      <c r="M58" s="2"/>
      <c r="N58" s="7">
        <f t="shared" si="50"/>
        <v>-1</v>
      </c>
      <c r="O58" s="10"/>
      <c r="P58" s="6">
        <v>428.01</v>
      </c>
      <c r="Q58" s="2"/>
      <c r="R58" s="7">
        <f t="shared" si="51"/>
        <v>0</v>
      </c>
      <c r="S58" s="2"/>
      <c r="T58" s="6">
        <v>2140.09</v>
      </c>
      <c r="U58" s="2"/>
      <c r="V58" s="7">
        <f t="shared" si="52"/>
        <v>1.360599447276541E-2</v>
      </c>
      <c r="W58" s="2"/>
      <c r="X58" s="6">
        <f t="shared" si="53"/>
        <v>-1712.0800000000002</v>
      </c>
      <c r="Y58" s="2"/>
      <c r="Z58" s="7">
        <f t="shared" si="54"/>
        <v>-0.80000373816054471</v>
      </c>
    </row>
    <row r="59" spans="1:26" s="62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4" customFormat="1" collapsed="1" x14ac:dyDescent="0.25">
      <c r="A60" s="11"/>
      <c r="B60" s="28" t="s">
        <v>292</v>
      </c>
      <c r="C60" s="11"/>
      <c r="D60" s="4">
        <f>SUM(OSRRefD25x_0)</f>
        <v>0</v>
      </c>
      <c r="E60" s="4"/>
      <c r="F60" s="13">
        <f t="shared" ref="F60:F61" si="55">IF(D$12=0,0,D60/D$12)</f>
        <v>0</v>
      </c>
      <c r="G60" s="4"/>
      <c r="H60" s="4">
        <f>SUM(OSRRefH25x_0)</f>
        <v>0</v>
      </c>
      <c r="I60" s="4"/>
      <c r="J60" s="13">
        <f t="shared" ref="J60:J61" si="56">IF(H$12=0,0,H60/H$12)</f>
        <v>0</v>
      </c>
      <c r="K60" s="4"/>
      <c r="L60" s="4">
        <f t="shared" ref="L60:L61" si="57">+D60-H60</f>
        <v>0</v>
      </c>
      <c r="M60" s="4"/>
      <c r="N60" s="13">
        <f t="shared" ref="N60:N61" si="58">IF(H60=0,0,L60/H60)</f>
        <v>0</v>
      </c>
      <c r="O60" s="11"/>
      <c r="P60" s="4">
        <f>SUM(OSRRefP25x_0)</f>
        <v>0</v>
      </c>
      <c r="Q60" s="4"/>
      <c r="R60" s="13">
        <f t="shared" ref="R60:R61" si="59">IF(P$12=0,0,P60/P$12)</f>
        <v>0</v>
      </c>
      <c r="S60" s="4"/>
      <c r="T60" s="4">
        <f>SUM(OSRRefT25x_0)</f>
        <v>8452.17</v>
      </c>
      <c r="U60" s="4"/>
      <c r="V60" s="13">
        <f t="shared" ref="V60:V61" si="60">IF(T$12=0,0,T60/T$12)</f>
        <v>5.3736141144939513E-2</v>
      </c>
      <c r="W60" s="4"/>
      <c r="X60" s="4">
        <f t="shared" ref="X60:X61" si="61">+P60-T60</f>
        <v>-8452.17</v>
      </c>
      <c r="Y60" s="4"/>
      <c r="Z60" s="13">
        <f t="shared" ref="Z60:Z61" si="62">IF(T60=0,0,X60/T60)</f>
        <v>-1</v>
      </c>
    </row>
    <row r="61" spans="1:26" s="23" customFormat="1" hidden="1" outlineLevel="1" x14ac:dyDescent="0.25">
      <c r="A61" s="44"/>
      <c r="B61" s="10" t="str">
        <f>CONCATENATE("          ", "9150", " - ", "MISC. INCOME")</f>
        <v xml:space="preserve">          9150 - MISC. INCOME</v>
      </c>
      <c r="C61" s="10"/>
      <c r="D61" s="2">
        <f>0</f>
        <v>0</v>
      </c>
      <c r="E61" s="2"/>
      <c r="F61" s="19">
        <f t="shared" si="55"/>
        <v>0</v>
      </c>
      <c r="G61" s="2"/>
      <c r="H61" s="2">
        <f>0</f>
        <v>0</v>
      </c>
      <c r="I61" s="2"/>
      <c r="J61" s="19">
        <f t="shared" si="56"/>
        <v>0</v>
      </c>
      <c r="K61" s="2"/>
      <c r="L61" s="2">
        <f t="shared" si="57"/>
        <v>0</v>
      </c>
      <c r="M61" s="2"/>
      <c r="N61" s="19">
        <f t="shared" si="58"/>
        <v>0</v>
      </c>
      <c r="O61" s="10"/>
      <c r="P61" s="2">
        <f>0</f>
        <v>0</v>
      </c>
      <c r="Q61" s="2"/>
      <c r="R61" s="19">
        <f t="shared" si="59"/>
        <v>0</v>
      </c>
      <c r="S61" s="2"/>
      <c r="T61" s="2">
        <f>--8452.17</f>
        <v>8452.17</v>
      </c>
      <c r="U61" s="2"/>
      <c r="V61" s="19">
        <f t="shared" si="60"/>
        <v>5.3736141144939513E-2</v>
      </c>
      <c r="W61" s="2"/>
      <c r="X61" s="2">
        <f t="shared" si="61"/>
        <v>-8452.17</v>
      </c>
      <c r="Y61" s="2"/>
      <c r="Z61" s="19">
        <f t="shared" si="62"/>
        <v>-1</v>
      </c>
    </row>
    <row r="62" spans="1:26" x14ac:dyDescent="0.25">
      <c r="A62" s="9"/>
      <c r="B62" s="11"/>
      <c r="C62" s="11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1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4" customFormat="1" x14ac:dyDescent="0.25">
      <c r="A63" s="11"/>
      <c r="B63" s="29" t="s">
        <v>276</v>
      </c>
      <c r="C63" s="29"/>
      <c r="D63" s="20">
        <f>+D20-D22+D60</f>
        <v>-479.29</v>
      </c>
      <c r="E63" s="14"/>
      <c r="F63" s="22">
        <f>IF(D$12=0,0,D63/D$12)</f>
        <v>0</v>
      </c>
      <c r="G63" s="14"/>
      <c r="H63" s="20">
        <f>+H20-H22+H60</f>
        <v>-5450.08</v>
      </c>
      <c r="I63" s="14"/>
      <c r="J63" s="22">
        <f>IF(H$12=0,0,H63/H$12)</f>
        <v>0</v>
      </c>
      <c r="K63" s="16"/>
      <c r="L63" s="20">
        <f>+D63-H63</f>
        <v>4970.79</v>
      </c>
      <c r="M63" s="16"/>
      <c r="N63" s="22">
        <f>IF(H63=0,0,L63/H63)</f>
        <v>-0.91205817162316882</v>
      </c>
      <c r="O63" s="28"/>
      <c r="P63" s="20">
        <f>+P20-P22+P60</f>
        <v>-6353.79</v>
      </c>
      <c r="Q63" s="14"/>
      <c r="R63" s="22">
        <f>IF(P$12=0,0,P63/P$12)</f>
        <v>0</v>
      </c>
      <c r="S63" s="14"/>
      <c r="T63" s="20">
        <f>+T20-T22+T60</f>
        <v>32882.210000000021</v>
      </c>
      <c r="U63" s="14"/>
      <c r="V63" s="22">
        <f>IF(T$12=0,0,T63/T$12)</f>
        <v>0.20905437038269967</v>
      </c>
      <c r="W63" s="16"/>
      <c r="X63" s="20">
        <f>+P63-T63</f>
        <v>-39236.000000000022</v>
      </c>
      <c r="Y63" s="16"/>
      <c r="Z63" s="22">
        <f>IF(T63=0,0,X63/T63)</f>
        <v>-1.1932288006189364</v>
      </c>
    </row>
    <row r="64" spans="1:26" x14ac:dyDescent="0.25">
      <c r="A64" s="9"/>
      <c r="B64" s="11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4" customFormat="1" x14ac:dyDescent="0.25">
      <c r="A65" s="51"/>
      <c r="B65" s="11" t="s">
        <v>127</v>
      </c>
      <c r="C65" s="11"/>
      <c r="D65" s="4"/>
      <c r="E65" s="4"/>
      <c r="F65" s="13">
        <f>IF(D$12=0,0,D65/D$12)</f>
        <v>0</v>
      </c>
      <c r="G65" s="4"/>
      <c r="H65" s="4">
        <v>1005.15</v>
      </c>
      <c r="I65" s="4"/>
      <c r="J65" s="13">
        <f>IF(H$12=0,0,H65/H$12)</f>
        <v>0</v>
      </c>
      <c r="K65" s="4"/>
      <c r="L65" s="4">
        <f>+D65-H65</f>
        <v>-1005.15</v>
      </c>
      <c r="M65" s="4"/>
      <c r="N65" s="13">
        <f>IF(H65=0,0,L65/H65)</f>
        <v>-1</v>
      </c>
      <c r="O65" s="11"/>
      <c r="P65" s="4"/>
      <c r="Q65" s="4"/>
      <c r="R65" s="13">
        <f>IF(P$12=0,0,P65/P$12)</f>
        <v>0</v>
      </c>
      <c r="S65" s="4"/>
      <c r="T65" s="4">
        <v>17859.18</v>
      </c>
      <c r="U65" s="4"/>
      <c r="V65" s="13">
        <f>IF(T$12=0,0,T65/T$12)</f>
        <v>0.11354284369728494</v>
      </c>
      <c r="W65" s="4"/>
      <c r="X65" s="4">
        <f>+P65-T65</f>
        <v>-17859.18</v>
      </c>
      <c r="Y65" s="4"/>
      <c r="Z65" s="13">
        <f>IF(T65=0,0,X65/T65)</f>
        <v>-1</v>
      </c>
    </row>
    <row r="66" spans="1:26" x14ac:dyDescent="0.25">
      <c r="A66" s="9"/>
      <c r="B66" s="11"/>
      <c r="C66" s="11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1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4" customFormat="1" ht="15.75" thickBot="1" x14ac:dyDescent="0.3">
      <c r="A67" s="11"/>
      <c r="B67" s="29" t="s">
        <v>125</v>
      </c>
      <c r="C67" s="29"/>
      <c r="D67" s="30">
        <f>+D63-D65</f>
        <v>-479.29</v>
      </c>
      <c r="E67" s="14"/>
      <c r="F67" s="34">
        <f>IF(D$12=0,0,D67/D$12)</f>
        <v>0</v>
      </c>
      <c r="G67" s="14"/>
      <c r="H67" s="30">
        <f>+H63-H65</f>
        <v>-6455.23</v>
      </c>
      <c r="I67" s="14"/>
      <c r="J67" s="34">
        <f>IF(H$12=0,0,H67/H$12)</f>
        <v>0</v>
      </c>
      <c r="K67" s="16"/>
      <c r="L67" s="30">
        <f>D67-H67</f>
        <v>5975.94</v>
      </c>
      <c r="M67" s="16"/>
      <c r="N67" s="34">
        <f>IF(H67=0,0,L67/H67)</f>
        <v>-0.92575167732210939</v>
      </c>
      <c r="O67" s="28"/>
      <c r="P67" s="30">
        <f>+P63-P65</f>
        <v>-6353.79</v>
      </c>
      <c r="Q67" s="14"/>
      <c r="R67" s="34">
        <f>IF(P$12=0,0,P67/P$12)</f>
        <v>0</v>
      </c>
      <c r="S67" s="14"/>
      <c r="T67" s="30">
        <f>+T63-T65</f>
        <v>15023.030000000021</v>
      </c>
      <c r="U67" s="14"/>
      <c r="V67" s="34">
        <f>IF(T$12=0,0,T67/T$12)</f>
        <v>9.5511526685414724E-2</v>
      </c>
      <c r="W67" s="16"/>
      <c r="X67" s="30">
        <f>P67-T67</f>
        <v>-21376.820000000022</v>
      </c>
      <c r="Y67" s="16"/>
      <c r="Z67" s="34">
        <f>IF(T67=0,0,X67/T67)</f>
        <v>-1.4229366512614294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4" customFormat="1" ht="15.75" thickBot="1" x14ac:dyDescent="0.3">
      <c r="A70" s="11"/>
      <c r="B70" s="29" t="s">
        <v>293</v>
      </c>
      <c r="C70" s="29"/>
      <c r="D70" s="32">
        <f>SUM(D67:D69)</f>
        <v>-479.29</v>
      </c>
      <c r="E70" s="14"/>
      <c r="F70" s="35">
        <f>IF(D$12=0,0,D70/D$12)</f>
        <v>0</v>
      </c>
      <c r="G70" s="14"/>
      <c r="H70" s="32">
        <f>SUM(H67:H69)</f>
        <v>-6455.23</v>
      </c>
      <c r="I70" s="14"/>
      <c r="J70" s="35">
        <f>IF(H$12=0,0,H70/H$12)</f>
        <v>0</v>
      </c>
      <c r="K70" s="16"/>
      <c r="L70" s="32">
        <f>+D70-H70</f>
        <v>5975.94</v>
      </c>
      <c r="M70" s="16"/>
      <c r="N70" s="35">
        <f>IF(H70=0,0,L70/H70)</f>
        <v>-0.92575167732210939</v>
      </c>
      <c r="O70" s="28"/>
      <c r="P70" s="32">
        <f>SUM(P67:P69)</f>
        <v>-6353.79</v>
      </c>
      <c r="Q70" s="14"/>
      <c r="R70" s="35">
        <f>IF(P$12=0,0,P70/P$12)</f>
        <v>0</v>
      </c>
      <c r="S70" s="14"/>
      <c r="T70" s="32">
        <f>SUM(T67:T69)</f>
        <v>15023.030000000021</v>
      </c>
      <c r="U70" s="14"/>
      <c r="V70" s="35">
        <f>IF(T$12=0,0,T70/T$12)</f>
        <v>9.5511526685414724E-2</v>
      </c>
      <c r="W70" s="16"/>
      <c r="X70" s="32">
        <f>+P70-T70</f>
        <v>-21376.820000000022</v>
      </c>
      <c r="Y70" s="16"/>
      <c r="Z70" s="35">
        <f>IF(T70=0,0,X70/T70)</f>
        <v>-1.4229366512614294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59">
        <v>44330.00886898148</v>
      </c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A73" s="9"/>
      <c r="B73" s="52" t="s">
        <v>56</v>
      </c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A74" s="9"/>
      <c r="B74" s="55"/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25"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","425", " - ", "Events Center")</f>
        <v>Department 425 - Events Center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7" si="0">+D12-H12</f>
        <v>0</v>
      </c>
      <c r="M12" s="4"/>
      <c r="N12" s="13">
        <f t="shared" ref="N12:N17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392328.46</v>
      </c>
      <c r="U12" s="4"/>
      <c r="V12" s="13"/>
      <c r="W12" s="4"/>
      <c r="X12" s="4">
        <f t="shared" ref="X12:X17" si="2">+P12-T12</f>
        <v>-392328.46</v>
      </c>
      <c r="Y12" s="4"/>
      <c r="Z12" s="13">
        <f t="shared" ref="Z12:Z17" si="3">IF(T12=0,0,X12/T12)</f>
        <v>-1</v>
      </c>
    </row>
    <row r="13" spans="1:26" s="23" customFormat="1" hidden="1" outlineLevel="1" x14ac:dyDescent="0.25">
      <c r="A13" s="44"/>
      <c r="B13" s="10" t="str">
        <f>CONCATENATE("          ", "4051", " - ", "TAXABLE SALES-FOOD")</f>
        <v xml:space="preserve">          4051 - TAXABLE SALES-FOOD</v>
      </c>
      <c r="C13" s="10"/>
      <c r="D13" s="2">
        <f t="shared" ref="D13:D17" si="4">0</f>
        <v>0</v>
      </c>
      <c r="E13" s="2"/>
      <c r="F13" s="19"/>
      <c r="G13" s="2"/>
      <c r="H13" s="2">
        <f t="shared" ref="H13:H17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7" si="6"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3" customFormat="1" hidden="1" outlineLevel="1" x14ac:dyDescent="0.25">
      <c r="A14" s="44"/>
      <c r="B14" s="10" t="str">
        <f>CONCATENATE("          ", "4052", " - ", "TAXABLE SALES-FOOD")</f>
        <v xml:space="preserve">          4052 - 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--296449.41</f>
        <v>296449.40999999997</v>
      </c>
      <c r="U14" s="2"/>
      <c r="V14" s="19"/>
      <c r="W14" s="2"/>
      <c r="X14" s="2">
        <f t="shared" si="2"/>
        <v>-296449.40999999997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"4053", " - ", "TAXABLE SALES-FOOD")</f>
        <v xml:space="preserve">          4053 - TAXABLE SALES-FOOD</v>
      </c>
      <c r="C15" s="10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6"/>
        <v>0</v>
      </c>
      <c r="Q15" s="2"/>
      <c r="R15" s="19"/>
      <c r="S15" s="2"/>
      <c r="T15" s="2">
        <f>--95481.76</f>
        <v>95481.76</v>
      </c>
      <c r="U15" s="2"/>
      <c r="V15" s="19"/>
      <c r="W15" s="2"/>
      <c r="X15" s="2">
        <f t="shared" si="2"/>
        <v>-95481.76</v>
      </c>
      <c r="Y15" s="2"/>
      <c r="Z15" s="19">
        <f t="shared" si="3"/>
        <v>-1</v>
      </c>
    </row>
    <row r="16" spans="1:26" s="23" customFormat="1" hidden="1" outlineLevel="1" x14ac:dyDescent="0.25">
      <c r="A16" s="44"/>
      <c r="B16" s="10" t="str">
        <f>CONCATENATE("          ", "4151", " - ", "NON-TAXABLE SALES-FOOD")</f>
        <v xml:space="preserve">          4151 - NON-TAXABLE SALES-FOOD</v>
      </c>
      <c r="C16" s="10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0"/>
      <c r="P16" s="2">
        <f t="shared" si="6"/>
        <v>0</v>
      </c>
      <c r="Q16" s="2"/>
      <c r="R16" s="19"/>
      <c r="S16" s="2"/>
      <c r="T16" s="2">
        <f>--0.08</f>
        <v>0.08</v>
      </c>
      <c r="U16" s="2"/>
      <c r="V16" s="19"/>
      <c r="W16" s="2"/>
      <c r="X16" s="2">
        <f t="shared" si="2"/>
        <v>-0.08</v>
      </c>
      <c r="Y16" s="2"/>
      <c r="Z16" s="19">
        <f t="shared" si="3"/>
        <v>-1</v>
      </c>
    </row>
    <row r="17" spans="1:26" s="23" customFormat="1" hidden="1" outlineLevel="1" x14ac:dyDescent="0.25">
      <c r="A17" s="44"/>
      <c r="B17" s="10" t="str">
        <f>CONCATENATE("          ", "4152", " - ", "NON-TAXABLE SALES-FOOD")</f>
        <v xml:space="preserve">          4152 - NON-TAXABLE SALES-FOOD</v>
      </c>
      <c r="C17" s="10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 t="shared" si="6"/>
        <v>0</v>
      </c>
      <c r="Q17" s="2"/>
      <c r="R17" s="19"/>
      <c r="S17" s="2"/>
      <c r="T17" s="2">
        <f>--397.21</f>
        <v>397.21</v>
      </c>
      <c r="U17" s="2"/>
      <c r="V17" s="19"/>
      <c r="W17" s="2"/>
      <c r="X17" s="2">
        <f t="shared" si="2"/>
        <v>-397.21</v>
      </c>
      <c r="Y17" s="2"/>
      <c r="Z17" s="19">
        <f t="shared" si="3"/>
        <v>-1</v>
      </c>
    </row>
    <row r="18" spans="1:26" x14ac:dyDescent="0.25">
      <c r="A18" s="9"/>
      <c r="B18" s="11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4" customFormat="1" collapsed="1" x14ac:dyDescent="0.25">
      <c r="A19" s="11"/>
      <c r="B19" s="28" t="s">
        <v>256</v>
      </c>
      <c r="C19" s="11"/>
      <c r="D19" s="4">
        <f>SUM(OSRRefD16x_0)</f>
        <v>0</v>
      </c>
      <c r="E19" s="4"/>
      <c r="F19" s="13">
        <f t="shared" ref="F19:F21" si="7">IF(D$12=0,0,D19/D$12)</f>
        <v>0</v>
      </c>
      <c r="G19" s="4"/>
      <c r="H19" s="4">
        <f>SUM(OSRRefH16x_0)</f>
        <v>39084.400000000001</v>
      </c>
      <c r="I19" s="4"/>
      <c r="J19" s="13">
        <f t="shared" ref="J19:J21" si="8">IF(H$12=0,0,H19/H$12)</f>
        <v>0</v>
      </c>
      <c r="K19" s="4"/>
      <c r="L19" s="4">
        <f t="shared" ref="L19:L21" si="9">+D19-H19</f>
        <v>-39084.400000000001</v>
      </c>
      <c r="M19" s="4"/>
      <c r="N19" s="13">
        <f t="shared" ref="N19:N21" si="10">IF(H19=0,0,L19/H19)</f>
        <v>-1</v>
      </c>
      <c r="O19" s="11"/>
      <c r="P19" s="4">
        <f>SUM(OSRRefP16x_0)</f>
        <v>-6593.4</v>
      </c>
      <c r="Q19" s="4"/>
      <c r="R19" s="13">
        <f t="shared" ref="R19:R21" si="11">IF(P$12=0,0,P19/P$12)</f>
        <v>0</v>
      </c>
      <c r="S19" s="4"/>
      <c r="T19" s="4">
        <f>SUM(OSRRefT16x_0)</f>
        <v>141393.09</v>
      </c>
      <c r="U19" s="4"/>
      <c r="V19" s="13">
        <f t="shared" ref="V19:V21" si="12">IF(T$12=0,0,T19/T$12)</f>
        <v>0.36039468051846146</v>
      </c>
      <c r="W19" s="4"/>
      <c r="X19" s="4">
        <f t="shared" ref="X19:X21" si="13">+P19-T19</f>
        <v>-147986.49</v>
      </c>
      <c r="Y19" s="4"/>
      <c r="Z19" s="13">
        <f t="shared" ref="Z19:Z21" si="14">IF(T19=0,0,X19/T19)</f>
        <v>-1.0466316989040978</v>
      </c>
    </row>
    <row r="20" spans="1:26" s="23" customFormat="1" hidden="1" outlineLevel="1" x14ac:dyDescent="0.25">
      <c r="A20" s="44"/>
      <c r="B20" s="10" t="str">
        <f>CONCATENATE("          ", "5053", " - ", "PURCHASES @ COST-FOOD")</f>
        <v xml:space="preserve">          5053 - PURCHASES @ COST-FOOD</v>
      </c>
      <c r="C20" s="10"/>
      <c r="D20" s="2"/>
      <c r="E20" s="2"/>
      <c r="F20" s="19">
        <f t="shared" si="7"/>
        <v>0</v>
      </c>
      <c r="G20" s="2"/>
      <c r="H20" s="2">
        <v>-580.6</v>
      </c>
      <c r="I20" s="2"/>
      <c r="J20" s="19">
        <f t="shared" si="8"/>
        <v>0</v>
      </c>
      <c r="K20" s="2"/>
      <c r="L20" s="2">
        <f t="shared" si="9"/>
        <v>580.6</v>
      </c>
      <c r="M20" s="2"/>
      <c r="N20" s="19">
        <f t="shared" si="10"/>
        <v>-1</v>
      </c>
      <c r="O20" s="10"/>
      <c r="P20" s="2">
        <v>-6593.4</v>
      </c>
      <c r="Q20" s="2"/>
      <c r="R20" s="19">
        <f t="shared" si="11"/>
        <v>0</v>
      </c>
      <c r="S20" s="2"/>
      <c r="T20" s="2">
        <v>115476.09</v>
      </c>
      <c r="U20" s="2"/>
      <c r="V20" s="19">
        <f t="shared" si="12"/>
        <v>0.29433523634762565</v>
      </c>
      <c r="W20" s="2"/>
      <c r="X20" s="2">
        <f t="shared" si="13"/>
        <v>-122069.48999999999</v>
      </c>
      <c r="Y20" s="2"/>
      <c r="Z20" s="19">
        <f t="shared" si="14"/>
        <v>-1.0570975342168236</v>
      </c>
    </row>
    <row r="21" spans="1:26" s="23" customFormat="1" hidden="1" outlineLevel="1" x14ac:dyDescent="0.25">
      <c r="A21" s="44"/>
      <c r="B21" s="10" t="str">
        <f>CONCATENATE("          ", "5059", " - ", "PURCHASES @ COST-FOOD")</f>
        <v xml:space="preserve">          5059 - PURCHASES @ COST-FOOD</v>
      </c>
      <c r="C21" s="10"/>
      <c r="D21" s="2"/>
      <c r="E21" s="2"/>
      <c r="F21" s="19">
        <f t="shared" si="7"/>
        <v>0</v>
      </c>
      <c r="G21" s="2"/>
      <c r="H21" s="2">
        <v>39665</v>
      </c>
      <c r="I21" s="2"/>
      <c r="J21" s="19">
        <f t="shared" si="8"/>
        <v>0</v>
      </c>
      <c r="K21" s="2"/>
      <c r="L21" s="2">
        <f t="shared" si="9"/>
        <v>-39665</v>
      </c>
      <c r="M21" s="2"/>
      <c r="N21" s="19">
        <f t="shared" si="10"/>
        <v>-1</v>
      </c>
      <c r="O21" s="10"/>
      <c r="P21" s="2"/>
      <c r="Q21" s="2"/>
      <c r="R21" s="19">
        <f t="shared" si="11"/>
        <v>0</v>
      </c>
      <c r="S21" s="2"/>
      <c r="T21" s="2">
        <v>25917</v>
      </c>
      <c r="U21" s="2"/>
      <c r="V21" s="19">
        <f t="shared" si="12"/>
        <v>6.6059444170835827E-2</v>
      </c>
      <c r="W21" s="2"/>
      <c r="X21" s="2">
        <f t="shared" si="13"/>
        <v>-25917</v>
      </c>
      <c r="Y21" s="2"/>
      <c r="Z21" s="19">
        <f t="shared" si="14"/>
        <v>-1</v>
      </c>
    </row>
    <row r="22" spans="1:26" x14ac:dyDescent="0.25">
      <c r="A22" s="9"/>
      <c r="B22" s="11"/>
      <c r="C22" s="11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1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4" customFormat="1" x14ac:dyDescent="0.25">
      <c r="A23" s="11"/>
      <c r="B23" s="29" t="s">
        <v>107</v>
      </c>
      <c r="C23" s="29"/>
      <c r="D23" s="20">
        <f>D12-D19</f>
        <v>0</v>
      </c>
      <c r="E23" s="14"/>
      <c r="F23" s="22">
        <f>IF(D$12=0,0,D23/D$12)</f>
        <v>0</v>
      </c>
      <c r="G23" s="14"/>
      <c r="H23" s="20">
        <f>H12-H19</f>
        <v>-39084.400000000001</v>
      </c>
      <c r="I23" s="14"/>
      <c r="J23" s="22">
        <f>IF(H$12=0,0,H23/H$12)</f>
        <v>0</v>
      </c>
      <c r="K23" s="16"/>
      <c r="L23" s="20">
        <f>+D23-H23</f>
        <v>39084.400000000001</v>
      </c>
      <c r="M23" s="16"/>
      <c r="N23" s="22">
        <f>IF(H23=0,0,L23/H23)</f>
        <v>-1</v>
      </c>
      <c r="O23" s="28"/>
      <c r="P23" s="20">
        <f>P12-P19</f>
        <v>6593.4</v>
      </c>
      <c r="Q23" s="14"/>
      <c r="R23" s="22">
        <f>IF(P$12=0,0,P23/P$12)</f>
        <v>0</v>
      </c>
      <c r="S23" s="14"/>
      <c r="T23" s="20">
        <f>T12-T19</f>
        <v>250935.37000000002</v>
      </c>
      <c r="U23" s="14"/>
      <c r="V23" s="22">
        <f>IF(T$12=0,0,T23/T$12)</f>
        <v>0.63960531948153854</v>
      </c>
      <c r="W23" s="16"/>
      <c r="X23" s="20">
        <f>+P23-T23</f>
        <v>-244341.97000000003</v>
      </c>
      <c r="Y23" s="16"/>
      <c r="Z23" s="22">
        <f>IF(T23=0,0,X23/T23)</f>
        <v>-0.97372470847772474</v>
      </c>
    </row>
    <row r="24" spans="1:26" x14ac:dyDescent="0.25">
      <c r="A24" s="9"/>
      <c r="B24" s="11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4" customFormat="1" x14ac:dyDescent="0.25">
      <c r="A25" s="11"/>
      <c r="B25" s="28" t="s">
        <v>294</v>
      </c>
      <c r="C25" s="11"/>
      <c r="D25" s="21">
        <f>SUM(OSRRefD22x_0)</f>
        <v>1000.91</v>
      </c>
      <c r="E25" s="21"/>
      <c r="F25" s="31">
        <f t="shared" ref="F25:F35" si="15">IF(D$12=0,0,D25/D$12)</f>
        <v>0</v>
      </c>
      <c r="G25" s="21"/>
      <c r="H25" s="21">
        <f>SUM(OSRRefH22x_0)</f>
        <v>6467.9199999999992</v>
      </c>
      <c r="I25" s="21"/>
      <c r="J25" s="31">
        <f t="shared" ref="J25:J35" si="16">IF(H$12=0,0,H25/H$12)</f>
        <v>0</v>
      </c>
      <c r="K25" s="4"/>
      <c r="L25" s="21">
        <f t="shared" ref="L25:L35" si="17">+D25-H25</f>
        <v>-5467.0099999999993</v>
      </c>
      <c r="M25" s="4"/>
      <c r="N25" s="31">
        <f t="shared" ref="N25:N35" si="18">IF(H25=0,0,L25/H25)</f>
        <v>-0.84525009585771005</v>
      </c>
      <c r="O25" s="11"/>
      <c r="P25" s="21">
        <f>SUM(OSRRefP22x_0)</f>
        <v>13637.779999999999</v>
      </c>
      <c r="Q25" s="21"/>
      <c r="R25" s="31">
        <f t="shared" ref="R25:R35" si="19">IF(P$12=0,0,P25/P$12)</f>
        <v>0</v>
      </c>
      <c r="S25" s="21"/>
      <c r="T25" s="21">
        <f>SUM(OSRRefT22x_0)</f>
        <v>324306.27999999991</v>
      </c>
      <c r="U25" s="21"/>
      <c r="V25" s="31">
        <f t="shared" ref="V25:V35" si="20">IF(T$12=0,0,T25/T$12)</f>
        <v>0.82661930770966729</v>
      </c>
      <c r="W25" s="4"/>
      <c r="X25" s="21">
        <f t="shared" ref="X25:X35" si="21">+P25-T25</f>
        <v>-310668.49999999988</v>
      </c>
      <c r="Y25" s="4"/>
      <c r="Z25" s="31">
        <f t="shared" ref="Z25:Z35" si="22">IF(T25=0,0,X25/T25)</f>
        <v>-0.95794783869125189</v>
      </c>
    </row>
    <row r="26" spans="1:26" s="26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0</v>
      </c>
      <c r="E26" s="1"/>
      <c r="F26" s="5">
        <f t="shared" si="15"/>
        <v>0</v>
      </c>
      <c r="G26" s="1"/>
      <c r="H26" s="1">
        <f>SUM(OSRRefH22_0x_0)</f>
        <v>2374.8200000000002</v>
      </c>
      <c r="I26" s="1"/>
      <c r="J26" s="5">
        <f t="shared" si="16"/>
        <v>0</v>
      </c>
      <c r="K26" s="1"/>
      <c r="L26" s="1">
        <f t="shared" si="17"/>
        <v>-2374.8200000000002</v>
      </c>
      <c r="M26" s="1"/>
      <c r="N26" s="5">
        <f t="shared" si="18"/>
        <v>-1</v>
      </c>
      <c r="O26" s="12"/>
      <c r="P26" s="1">
        <f>SUM(OSRRefP22_0x_0)</f>
        <v>1420.5</v>
      </c>
      <c r="Q26" s="1"/>
      <c r="R26" s="5">
        <f t="shared" si="19"/>
        <v>0</v>
      </c>
      <c r="S26" s="1"/>
      <c r="T26" s="1">
        <f>SUM(OSRRefT22_0x_0)</f>
        <v>34366.06</v>
      </c>
      <c r="U26" s="1"/>
      <c r="V26" s="5">
        <f t="shared" si="20"/>
        <v>8.7595123738920172E-2</v>
      </c>
      <c r="W26" s="1"/>
      <c r="X26" s="1">
        <f t="shared" si="21"/>
        <v>-32945.56</v>
      </c>
      <c r="Y26" s="1"/>
      <c r="Z26" s="5">
        <f t="shared" si="22"/>
        <v>-0.95866561368978576</v>
      </c>
    </row>
    <row r="27" spans="1:26" s="23" customFormat="1" hidden="1" outlineLevel="2" x14ac:dyDescent="0.25">
      <c r="A27" s="27"/>
      <c r="B27" s="10" t="str">
        <f>CONCATENATE("          ", "6111", " - ", "F.I.C.A.")</f>
        <v xml:space="preserve">          6111 - F.I.C.A.</v>
      </c>
      <c r="C27" s="10"/>
      <c r="D27" s="6"/>
      <c r="E27" s="2"/>
      <c r="F27" s="7">
        <f t="shared" si="15"/>
        <v>0</v>
      </c>
      <c r="G27" s="2"/>
      <c r="H27" s="6">
        <v>523.19000000000005</v>
      </c>
      <c r="I27" s="2"/>
      <c r="J27" s="7">
        <f t="shared" si="16"/>
        <v>0</v>
      </c>
      <c r="K27" s="2"/>
      <c r="L27" s="6">
        <f t="shared" si="17"/>
        <v>-523.19000000000005</v>
      </c>
      <c r="M27" s="2"/>
      <c r="N27" s="7">
        <f t="shared" si="18"/>
        <v>-1</v>
      </c>
      <c r="O27" s="10"/>
      <c r="P27" s="6">
        <v>171.54</v>
      </c>
      <c r="Q27" s="2"/>
      <c r="R27" s="7">
        <f t="shared" si="19"/>
        <v>0</v>
      </c>
      <c r="S27" s="2"/>
      <c r="T27" s="6">
        <v>7981.21</v>
      </c>
      <c r="U27" s="2"/>
      <c r="V27" s="7">
        <f t="shared" si="20"/>
        <v>2.0343183872003574E-2</v>
      </c>
      <c r="W27" s="2"/>
      <c r="X27" s="6">
        <f t="shared" si="21"/>
        <v>-7809.67</v>
      </c>
      <c r="Y27" s="2"/>
      <c r="Z27" s="7">
        <f t="shared" si="22"/>
        <v>-0.97850701835937159</v>
      </c>
    </row>
    <row r="28" spans="1:26" s="23" customFormat="1" hidden="1" outlineLevel="2" x14ac:dyDescent="0.25">
      <c r="A28" s="27"/>
      <c r="B28" s="10" t="str">
        <f>CONCATENATE("          ", "6112", " - ", "COMPENSATION INSURANCE")</f>
        <v xml:space="preserve">          6112 - COMPENSATION INSURANCE</v>
      </c>
      <c r="C28" s="10"/>
      <c r="D28" s="6"/>
      <c r="E28" s="2"/>
      <c r="F28" s="7">
        <f t="shared" si="15"/>
        <v>0</v>
      </c>
      <c r="G28" s="2"/>
      <c r="H28" s="6">
        <v>173.25</v>
      </c>
      <c r="I28" s="2"/>
      <c r="J28" s="7">
        <f t="shared" si="16"/>
        <v>0</v>
      </c>
      <c r="K28" s="2"/>
      <c r="L28" s="6">
        <f t="shared" si="17"/>
        <v>-173.25</v>
      </c>
      <c r="M28" s="2"/>
      <c r="N28" s="7">
        <f t="shared" si="18"/>
        <v>-1</v>
      </c>
      <c r="O28" s="10"/>
      <c r="P28" s="6"/>
      <c r="Q28" s="2"/>
      <c r="R28" s="7">
        <f t="shared" si="19"/>
        <v>0</v>
      </c>
      <c r="S28" s="2"/>
      <c r="T28" s="6">
        <v>6317.59</v>
      </c>
      <c r="U28" s="2"/>
      <c r="V28" s="7">
        <f t="shared" si="20"/>
        <v>1.6102808345843683E-2</v>
      </c>
      <c r="W28" s="2"/>
      <c r="X28" s="6">
        <f t="shared" si="21"/>
        <v>-6317.59</v>
      </c>
      <c r="Y28" s="2"/>
      <c r="Z28" s="7">
        <f t="shared" si="22"/>
        <v>-1</v>
      </c>
    </row>
    <row r="29" spans="1:26" s="23" customFormat="1" hidden="1" outlineLevel="2" x14ac:dyDescent="0.25">
      <c r="A29" s="27"/>
      <c r="B29" s="10" t="str">
        <f>CONCATENATE("          ", "6113", " - ", "GROUP INSURANCE")</f>
        <v xml:space="preserve">          6113 - GROUP INSURANCE</v>
      </c>
      <c r="C29" s="10"/>
      <c r="D29" s="6"/>
      <c r="E29" s="2"/>
      <c r="F29" s="7">
        <f t="shared" si="15"/>
        <v>0</v>
      </c>
      <c r="G29" s="2"/>
      <c r="H29" s="6">
        <v>699.3</v>
      </c>
      <c r="I29" s="2"/>
      <c r="J29" s="7">
        <f t="shared" si="16"/>
        <v>0</v>
      </c>
      <c r="K29" s="2"/>
      <c r="L29" s="6">
        <f t="shared" si="17"/>
        <v>-699.3</v>
      </c>
      <c r="M29" s="2"/>
      <c r="N29" s="7">
        <f t="shared" si="18"/>
        <v>-1</v>
      </c>
      <c r="O29" s="10"/>
      <c r="P29" s="6">
        <v>699.3</v>
      </c>
      <c r="Q29" s="2"/>
      <c r="R29" s="7">
        <f t="shared" si="19"/>
        <v>0</v>
      </c>
      <c r="S29" s="2"/>
      <c r="T29" s="6">
        <v>8374.83</v>
      </c>
      <c r="U29" s="2"/>
      <c r="V29" s="7">
        <f t="shared" si="20"/>
        <v>2.1346475858519159E-2</v>
      </c>
      <c r="W29" s="2"/>
      <c r="X29" s="6">
        <f t="shared" si="21"/>
        <v>-7675.53</v>
      </c>
      <c r="Y29" s="2"/>
      <c r="Z29" s="7">
        <f t="shared" si="22"/>
        <v>-0.91649979760783207</v>
      </c>
    </row>
    <row r="30" spans="1:26" s="23" customFormat="1" hidden="1" outlineLevel="2" x14ac:dyDescent="0.25">
      <c r="A30" s="27"/>
      <c r="B30" s="10" t="str">
        <f>CONCATENATE("          ", "6114", " - ", "STATE UNEMPLOYMENT INSURANCE")</f>
        <v xml:space="preserve">          6114 - STATE UNEMPLOYMENT INSURANCE</v>
      </c>
      <c r="C30" s="10"/>
      <c r="D30" s="6"/>
      <c r="E30" s="2"/>
      <c r="F30" s="7">
        <f t="shared" si="15"/>
        <v>0</v>
      </c>
      <c r="G30" s="2"/>
      <c r="H30" s="6">
        <v>11.61</v>
      </c>
      <c r="I30" s="2"/>
      <c r="J30" s="7">
        <f t="shared" si="16"/>
        <v>0</v>
      </c>
      <c r="K30" s="2"/>
      <c r="L30" s="6">
        <f t="shared" si="17"/>
        <v>-11.61</v>
      </c>
      <c r="M30" s="2"/>
      <c r="N30" s="7">
        <f t="shared" si="18"/>
        <v>-1</v>
      </c>
      <c r="O30" s="10"/>
      <c r="P30" s="6"/>
      <c r="Q30" s="2"/>
      <c r="R30" s="7">
        <f t="shared" si="19"/>
        <v>0</v>
      </c>
      <c r="S30" s="2"/>
      <c r="T30" s="6">
        <v>496.8</v>
      </c>
      <c r="U30" s="2"/>
      <c r="V30" s="7">
        <f t="shared" si="20"/>
        <v>1.2662859074766078E-3</v>
      </c>
      <c r="W30" s="2"/>
      <c r="X30" s="6">
        <f t="shared" si="21"/>
        <v>-496.8</v>
      </c>
      <c r="Y30" s="2"/>
      <c r="Z30" s="7">
        <f t="shared" si="22"/>
        <v>-1</v>
      </c>
    </row>
    <row r="31" spans="1:26" s="23" customFormat="1" hidden="1" outlineLevel="2" x14ac:dyDescent="0.25">
      <c r="A31" s="27"/>
      <c r="B31" s="10" t="str">
        <f>CONCATENATE("          ", "6115", " - ", "P.E.R.S.")</f>
        <v xml:space="preserve">          6115 - P.E.R.S.</v>
      </c>
      <c r="C31" s="10"/>
      <c r="D31" s="6"/>
      <c r="E31" s="2"/>
      <c r="F31" s="7">
        <f t="shared" si="15"/>
        <v>0</v>
      </c>
      <c r="G31" s="2"/>
      <c r="H31" s="6">
        <v>320.99</v>
      </c>
      <c r="I31" s="2"/>
      <c r="J31" s="7">
        <f t="shared" si="16"/>
        <v>0</v>
      </c>
      <c r="K31" s="2"/>
      <c r="L31" s="6">
        <f t="shared" si="17"/>
        <v>-320.99</v>
      </c>
      <c r="M31" s="2"/>
      <c r="N31" s="7">
        <f t="shared" si="18"/>
        <v>-1</v>
      </c>
      <c r="O31" s="10"/>
      <c r="P31" s="6">
        <v>355.22</v>
      </c>
      <c r="Q31" s="2"/>
      <c r="R31" s="7">
        <f t="shared" si="19"/>
        <v>0</v>
      </c>
      <c r="S31" s="2"/>
      <c r="T31" s="6">
        <v>3370.39</v>
      </c>
      <c r="U31" s="2"/>
      <c r="V31" s="7">
        <f t="shared" si="20"/>
        <v>8.590735426127382E-3</v>
      </c>
      <c r="W31" s="2"/>
      <c r="X31" s="6">
        <f t="shared" si="21"/>
        <v>-3015.17</v>
      </c>
      <c r="Y31" s="2"/>
      <c r="Z31" s="7">
        <f t="shared" si="22"/>
        <v>-0.89460566878017089</v>
      </c>
    </row>
    <row r="32" spans="1:26" s="23" customFormat="1" hidden="1" outlineLevel="2" x14ac:dyDescent="0.25">
      <c r="A32" s="27"/>
      <c r="B32" s="10" t="str">
        <f>CONCATENATE("          ", "6117", " - ", "RETIREMENT STAFF HOURLY")</f>
        <v xml:space="preserve">          6117 - RETIREMENT STAFF HOURLY</v>
      </c>
      <c r="C32" s="10"/>
      <c r="D32" s="6"/>
      <c r="E32" s="2"/>
      <c r="F32" s="7">
        <f t="shared" si="15"/>
        <v>0</v>
      </c>
      <c r="G32" s="2"/>
      <c r="H32" s="6">
        <v>421.87</v>
      </c>
      <c r="I32" s="2"/>
      <c r="J32" s="7">
        <f t="shared" si="16"/>
        <v>0</v>
      </c>
      <c r="K32" s="2"/>
      <c r="L32" s="6">
        <f t="shared" si="17"/>
        <v>-421.87</v>
      </c>
      <c r="M32" s="2"/>
      <c r="N32" s="7">
        <f t="shared" si="18"/>
        <v>-1</v>
      </c>
      <c r="O32" s="10"/>
      <c r="P32" s="6"/>
      <c r="Q32" s="2"/>
      <c r="R32" s="7">
        <f t="shared" si="19"/>
        <v>0</v>
      </c>
      <c r="S32" s="2"/>
      <c r="T32" s="6">
        <v>764.45</v>
      </c>
      <c r="U32" s="2"/>
      <c r="V32" s="7">
        <f t="shared" si="20"/>
        <v>1.9484948912449533E-3</v>
      </c>
      <c r="W32" s="2"/>
      <c r="X32" s="6">
        <f t="shared" si="21"/>
        <v>-764.45</v>
      </c>
      <c r="Y32" s="2"/>
      <c r="Z32" s="7">
        <f t="shared" si="22"/>
        <v>-1</v>
      </c>
    </row>
    <row r="33" spans="1:26" s="23" customFormat="1" hidden="1" outlineLevel="2" x14ac:dyDescent="0.25">
      <c r="A33" s="27"/>
      <c r="B33" s="10" t="str">
        <f>CONCATENATE("          ", "6118", " - ", "VACATION")</f>
        <v xml:space="preserve">          6118 - VACATION</v>
      </c>
      <c r="C33" s="10"/>
      <c r="D33" s="6"/>
      <c r="E33" s="2"/>
      <c r="F33" s="7">
        <f t="shared" si="15"/>
        <v>0</v>
      </c>
      <c r="G33" s="2"/>
      <c r="H33" s="6">
        <v>265.38</v>
      </c>
      <c r="I33" s="2"/>
      <c r="J33" s="7">
        <f t="shared" si="16"/>
        <v>0</v>
      </c>
      <c r="K33" s="2"/>
      <c r="L33" s="6">
        <f t="shared" si="17"/>
        <v>-265.38</v>
      </c>
      <c r="M33" s="2"/>
      <c r="N33" s="7">
        <f t="shared" si="18"/>
        <v>-1</v>
      </c>
      <c r="O33" s="10"/>
      <c r="P33" s="6">
        <v>88.46</v>
      </c>
      <c r="Q33" s="2"/>
      <c r="R33" s="7">
        <f t="shared" si="19"/>
        <v>0</v>
      </c>
      <c r="S33" s="2"/>
      <c r="T33" s="6">
        <v>2462.14</v>
      </c>
      <c r="U33" s="2"/>
      <c r="V33" s="7">
        <f t="shared" si="20"/>
        <v>6.2757109183463255E-3</v>
      </c>
      <c r="W33" s="2"/>
      <c r="X33" s="6">
        <f t="shared" si="21"/>
        <v>-2373.6799999999998</v>
      </c>
      <c r="Y33" s="2"/>
      <c r="Z33" s="7">
        <f t="shared" si="22"/>
        <v>-0.96407190492823314</v>
      </c>
    </row>
    <row r="34" spans="1:26" s="23" customFormat="1" hidden="1" outlineLevel="2" x14ac:dyDescent="0.25">
      <c r="A34" s="27"/>
      <c r="B34" s="10" t="str">
        <f>CONCATENATE("          ", "6119", " - ", "SICK LEAVE")</f>
        <v xml:space="preserve">          6119 - SICK LEAVE</v>
      </c>
      <c r="C34" s="10"/>
      <c r="D34" s="6"/>
      <c r="E34" s="2"/>
      <c r="F34" s="7">
        <f t="shared" si="15"/>
        <v>0</v>
      </c>
      <c r="G34" s="2"/>
      <c r="H34" s="6">
        <v>-56.77</v>
      </c>
      <c r="I34" s="2"/>
      <c r="J34" s="7">
        <f t="shared" si="16"/>
        <v>0</v>
      </c>
      <c r="K34" s="2"/>
      <c r="L34" s="6">
        <f t="shared" si="17"/>
        <v>56.77</v>
      </c>
      <c r="M34" s="2"/>
      <c r="N34" s="7">
        <f t="shared" si="18"/>
        <v>-1</v>
      </c>
      <c r="O34" s="10"/>
      <c r="P34" s="6">
        <v>105.98</v>
      </c>
      <c r="Q34" s="2"/>
      <c r="R34" s="7">
        <f t="shared" si="19"/>
        <v>0</v>
      </c>
      <c r="S34" s="2"/>
      <c r="T34" s="6">
        <v>2637.43</v>
      </c>
      <c r="U34" s="2"/>
      <c r="V34" s="7">
        <f t="shared" si="20"/>
        <v>6.7225049133575465E-3</v>
      </c>
      <c r="W34" s="2"/>
      <c r="X34" s="6">
        <f t="shared" si="21"/>
        <v>-2531.4499999999998</v>
      </c>
      <c r="Y34" s="2"/>
      <c r="Z34" s="7">
        <f t="shared" si="22"/>
        <v>-0.95981694300891396</v>
      </c>
    </row>
    <row r="35" spans="1:26" s="23" customFormat="1" hidden="1" outlineLevel="2" x14ac:dyDescent="0.25">
      <c r="A35" s="27"/>
      <c r="B35" s="10" t="str">
        <f>CONCATENATE("          ", "6156", " - ", "EMPLOYEE MEALS")</f>
        <v xml:space="preserve">          6156 - EMPLOYEE MEALS</v>
      </c>
      <c r="C35" s="10"/>
      <c r="D35" s="6"/>
      <c r="E35" s="2"/>
      <c r="F35" s="7">
        <f t="shared" si="15"/>
        <v>0</v>
      </c>
      <c r="G35" s="2"/>
      <c r="H35" s="6">
        <v>16</v>
      </c>
      <c r="I35" s="2"/>
      <c r="J35" s="7">
        <f t="shared" si="16"/>
        <v>0</v>
      </c>
      <c r="K35" s="2"/>
      <c r="L35" s="6">
        <f t="shared" si="17"/>
        <v>-16</v>
      </c>
      <c r="M35" s="2"/>
      <c r="N35" s="7">
        <f t="shared" si="18"/>
        <v>-1</v>
      </c>
      <c r="O35" s="10"/>
      <c r="P35" s="6"/>
      <c r="Q35" s="2"/>
      <c r="R35" s="7">
        <f t="shared" si="19"/>
        <v>0</v>
      </c>
      <c r="S35" s="2"/>
      <c r="T35" s="6">
        <v>1961.22</v>
      </c>
      <c r="U35" s="2"/>
      <c r="V35" s="7">
        <f t="shared" si="20"/>
        <v>4.9989236060009514E-3</v>
      </c>
      <c r="W35" s="2"/>
      <c r="X35" s="6">
        <f t="shared" si="21"/>
        <v>-1961.22</v>
      </c>
      <c r="Y35" s="2"/>
      <c r="Z35" s="7">
        <f t="shared" si="22"/>
        <v>-1</v>
      </c>
    </row>
    <row r="36" spans="1:26" s="26" customFormat="1" outlineLevel="1" collapsed="1" x14ac:dyDescent="0.25">
      <c r="A36" s="25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0</v>
      </c>
      <c r="E36" s="1"/>
      <c r="F36" s="5">
        <f t="shared" ref="F36:F42" si="23">IF(D$12=0,0,D36/D$12)</f>
        <v>0</v>
      </c>
      <c r="G36" s="1"/>
      <c r="H36" s="1">
        <f>SUM(OSRRefH22_1x_0)</f>
        <v>2367.9700000000003</v>
      </c>
      <c r="I36" s="1"/>
      <c r="J36" s="5">
        <f t="shared" ref="J36:J42" si="24">IF(H$12=0,0,H36/H$12)</f>
        <v>0</v>
      </c>
      <c r="K36" s="1"/>
      <c r="L36" s="1">
        <f t="shared" ref="L36:L42" si="25">+D36-H36</f>
        <v>-2367.9700000000003</v>
      </c>
      <c r="M36" s="1"/>
      <c r="N36" s="5">
        <f t="shared" ref="N36:N42" si="26">IF(H36=0,0,L36/H36)</f>
        <v>-1</v>
      </c>
      <c r="O36" s="12"/>
      <c r="P36" s="1">
        <f>SUM(OSRRefP22_1x_0)</f>
        <v>1378.61</v>
      </c>
      <c r="Q36" s="1"/>
      <c r="R36" s="5">
        <f t="shared" ref="R36:R42" si="27">IF(P$12=0,0,P36/P$12)</f>
        <v>0</v>
      </c>
      <c r="S36" s="1"/>
      <c r="T36" s="1">
        <f>SUM(OSRRefT22_1x_0)</f>
        <v>148522.79999999999</v>
      </c>
      <c r="U36" s="1"/>
      <c r="V36" s="5">
        <f t="shared" ref="V36:V42" si="28">IF(T$12=0,0,T36/T$12)</f>
        <v>0.37856748908809723</v>
      </c>
      <c r="W36" s="1"/>
      <c r="X36" s="1">
        <f t="shared" ref="X36:X42" si="29">+P36-T36</f>
        <v>-147144.19</v>
      </c>
      <c r="Y36" s="1"/>
      <c r="Z36" s="5">
        <f t="shared" ref="Z36:Z42" si="30">IF(T36=0,0,X36/T36)</f>
        <v>-0.99071785611367424</v>
      </c>
    </row>
    <row r="37" spans="1:26" s="23" customFormat="1" hidden="1" outlineLevel="2" x14ac:dyDescent="0.25">
      <c r="A37" s="27"/>
      <c r="B37" s="10" t="str">
        <f>CONCATENATE("          ", "6002", " - ", "STAFF SALARIES")</f>
        <v xml:space="preserve">          6002 - STAFF SALARIES</v>
      </c>
      <c r="C37" s="10"/>
      <c r="D37" s="6"/>
      <c r="E37" s="2"/>
      <c r="F37" s="7">
        <f t="shared" si="23"/>
        <v>0</v>
      </c>
      <c r="G37" s="2"/>
      <c r="H37" s="6">
        <v>2297.5300000000002</v>
      </c>
      <c r="I37" s="2"/>
      <c r="J37" s="7">
        <f t="shared" si="24"/>
        <v>0</v>
      </c>
      <c r="K37" s="2"/>
      <c r="L37" s="6">
        <f t="shared" si="25"/>
        <v>-2297.5300000000002</v>
      </c>
      <c r="M37" s="2"/>
      <c r="N37" s="7">
        <f t="shared" si="26"/>
        <v>-1</v>
      </c>
      <c r="O37" s="10"/>
      <c r="P37" s="6">
        <v>1378.61</v>
      </c>
      <c r="Q37" s="2"/>
      <c r="R37" s="7">
        <f t="shared" si="27"/>
        <v>0</v>
      </c>
      <c r="S37" s="2"/>
      <c r="T37" s="6">
        <v>46183.56</v>
      </c>
      <c r="U37" s="2"/>
      <c r="V37" s="7">
        <f t="shared" si="28"/>
        <v>0.11771656840801199</v>
      </c>
      <c r="W37" s="2"/>
      <c r="X37" s="6">
        <f t="shared" si="29"/>
        <v>-44804.95</v>
      </c>
      <c r="Y37" s="2"/>
      <c r="Z37" s="7">
        <f t="shared" si="30"/>
        <v>-0.97014933452509944</v>
      </c>
    </row>
    <row r="38" spans="1:26" s="23" customFormat="1" hidden="1" outlineLevel="2" x14ac:dyDescent="0.25">
      <c r="A38" s="27"/>
      <c r="B38" s="10" t="str">
        <f>CONCATENATE("          ", "6004", " - ", "STAFF HOURLY")</f>
        <v xml:space="preserve">          6004 - STAFF HOURLY</v>
      </c>
      <c r="C38" s="10"/>
      <c r="D38" s="6"/>
      <c r="E38" s="2"/>
      <c r="F38" s="7">
        <f t="shared" si="23"/>
        <v>0</v>
      </c>
      <c r="G38" s="2"/>
      <c r="H38" s="6">
        <v>141.44</v>
      </c>
      <c r="I38" s="2"/>
      <c r="J38" s="7">
        <f t="shared" si="24"/>
        <v>0</v>
      </c>
      <c r="K38" s="2"/>
      <c r="L38" s="6">
        <f t="shared" si="25"/>
        <v>-141.44</v>
      </c>
      <c r="M38" s="2"/>
      <c r="N38" s="7">
        <f t="shared" si="26"/>
        <v>-1</v>
      </c>
      <c r="O38" s="10"/>
      <c r="P38" s="6"/>
      <c r="Q38" s="2"/>
      <c r="R38" s="7">
        <f t="shared" si="27"/>
        <v>0</v>
      </c>
      <c r="S38" s="2"/>
      <c r="T38" s="6">
        <v>12512.45</v>
      </c>
      <c r="U38" s="2"/>
      <c r="V38" s="7">
        <f t="shared" si="28"/>
        <v>3.189279207529324E-2</v>
      </c>
      <c r="W38" s="2"/>
      <c r="X38" s="6">
        <f t="shared" si="29"/>
        <v>-12512.45</v>
      </c>
      <c r="Y38" s="2"/>
      <c r="Z38" s="7">
        <f t="shared" si="30"/>
        <v>-1</v>
      </c>
    </row>
    <row r="39" spans="1:26" s="23" customFormat="1" hidden="1" outlineLevel="2" x14ac:dyDescent="0.25">
      <c r="A39" s="27"/>
      <c r="B39" s="10" t="str">
        <f>CONCATENATE("          ", "6005", " - ", "TEMPORARY WAGES-HOURLY")</f>
        <v xml:space="preserve">          6005 - TEMPORARY WAGES-HOURLY</v>
      </c>
      <c r="C39" s="10"/>
      <c r="D39" s="6"/>
      <c r="E39" s="2"/>
      <c r="F39" s="7">
        <f t="shared" si="23"/>
        <v>0</v>
      </c>
      <c r="G39" s="2"/>
      <c r="H39" s="6"/>
      <c r="I39" s="2"/>
      <c r="J39" s="7">
        <f t="shared" si="24"/>
        <v>0</v>
      </c>
      <c r="K39" s="2"/>
      <c r="L39" s="6">
        <f t="shared" si="25"/>
        <v>0</v>
      </c>
      <c r="M39" s="2"/>
      <c r="N39" s="7">
        <f t="shared" si="26"/>
        <v>0</v>
      </c>
      <c r="O39" s="10"/>
      <c r="P39" s="6"/>
      <c r="Q39" s="2"/>
      <c r="R39" s="7">
        <f t="shared" si="27"/>
        <v>0</v>
      </c>
      <c r="S39" s="2"/>
      <c r="T39" s="6">
        <v>32469.93</v>
      </c>
      <c r="U39" s="2"/>
      <c r="V39" s="7">
        <f t="shared" si="28"/>
        <v>8.2762107036537691E-2</v>
      </c>
      <c r="W39" s="2"/>
      <c r="X39" s="6">
        <f t="shared" si="29"/>
        <v>-32469.93</v>
      </c>
      <c r="Y39" s="2"/>
      <c r="Z39" s="7">
        <f t="shared" si="30"/>
        <v>-1</v>
      </c>
    </row>
    <row r="40" spans="1:26" s="23" customFormat="1" hidden="1" outlineLevel="2" x14ac:dyDescent="0.25">
      <c r="A40" s="27"/>
      <c r="B40" s="10" t="str">
        <f>CONCATENATE("          ", "6006", " - ", "TEMPORARY PART TIME")</f>
        <v xml:space="preserve">          6006 - TEMPORARY PART TIME</v>
      </c>
      <c r="C40" s="10"/>
      <c r="D40" s="6"/>
      <c r="E40" s="2"/>
      <c r="F40" s="7">
        <f t="shared" si="23"/>
        <v>0</v>
      </c>
      <c r="G40" s="2"/>
      <c r="H40" s="6"/>
      <c r="I40" s="2"/>
      <c r="J40" s="7">
        <f t="shared" si="24"/>
        <v>0</v>
      </c>
      <c r="K40" s="2"/>
      <c r="L40" s="6">
        <f t="shared" si="25"/>
        <v>0</v>
      </c>
      <c r="M40" s="2"/>
      <c r="N40" s="7">
        <f t="shared" si="26"/>
        <v>0</v>
      </c>
      <c r="O40" s="10"/>
      <c r="P40" s="6"/>
      <c r="Q40" s="2"/>
      <c r="R40" s="7">
        <f t="shared" si="27"/>
        <v>0</v>
      </c>
      <c r="S40" s="2"/>
      <c r="T40" s="6">
        <v>303.38</v>
      </c>
      <c r="U40" s="2"/>
      <c r="V40" s="7">
        <f t="shared" si="28"/>
        <v>7.7328063327345656E-4</v>
      </c>
      <c r="W40" s="2"/>
      <c r="X40" s="6">
        <f t="shared" si="29"/>
        <v>-303.38</v>
      </c>
      <c r="Y40" s="2"/>
      <c r="Z40" s="7">
        <f t="shared" si="30"/>
        <v>-1</v>
      </c>
    </row>
    <row r="41" spans="1:26" s="23" customFormat="1" hidden="1" outlineLevel="2" x14ac:dyDescent="0.25">
      <c r="A41" s="27"/>
      <c r="B41" s="10" t="str">
        <f>CONCATENATE("          ", "6007", " - ", "STUDENT HOURLY")</f>
        <v xml:space="preserve">          6007 - STUDENT HOURLY</v>
      </c>
      <c r="C41" s="10"/>
      <c r="D41" s="6"/>
      <c r="E41" s="2"/>
      <c r="F41" s="7">
        <f t="shared" si="23"/>
        <v>0</v>
      </c>
      <c r="G41" s="2"/>
      <c r="H41" s="6">
        <v>-71</v>
      </c>
      <c r="I41" s="2"/>
      <c r="J41" s="7">
        <f t="shared" si="24"/>
        <v>0</v>
      </c>
      <c r="K41" s="2"/>
      <c r="L41" s="6">
        <f t="shared" si="25"/>
        <v>71</v>
      </c>
      <c r="M41" s="2"/>
      <c r="N41" s="7">
        <f t="shared" si="26"/>
        <v>-1</v>
      </c>
      <c r="O41" s="10"/>
      <c r="P41" s="6"/>
      <c r="Q41" s="2"/>
      <c r="R41" s="7">
        <f t="shared" si="27"/>
        <v>0</v>
      </c>
      <c r="S41" s="2"/>
      <c r="T41" s="6">
        <v>49893.74</v>
      </c>
      <c r="U41" s="2"/>
      <c r="V41" s="7">
        <f t="shared" si="28"/>
        <v>0.12717338935849823</v>
      </c>
      <c r="W41" s="2"/>
      <c r="X41" s="6">
        <f t="shared" si="29"/>
        <v>-49893.74</v>
      </c>
      <c r="Y41" s="2"/>
      <c r="Z41" s="7">
        <f t="shared" si="30"/>
        <v>-1</v>
      </c>
    </row>
    <row r="42" spans="1:26" s="23" customFormat="1" hidden="1" outlineLevel="2" x14ac:dyDescent="0.25">
      <c r="A42" s="27"/>
      <c r="B42" s="10" t="str">
        <f>CONCATENATE("          ", "6008", " - ", "STUDENT HOURLY-FICA EXEMPT")</f>
        <v xml:space="preserve">          6008 - STUDENT HOURLY-FICA EXEMPT</v>
      </c>
      <c r="C42" s="10"/>
      <c r="D42" s="6"/>
      <c r="E42" s="2"/>
      <c r="F42" s="7">
        <f t="shared" si="23"/>
        <v>0</v>
      </c>
      <c r="G42" s="2"/>
      <c r="H42" s="6"/>
      <c r="I42" s="2"/>
      <c r="J42" s="7">
        <f t="shared" si="24"/>
        <v>0</v>
      </c>
      <c r="K42" s="2"/>
      <c r="L42" s="6">
        <f t="shared" si="25"/>
        <v>0</v>
      </c>
      <c r="M42" s="2"/>
      <c r="N42" s="7">
        <f t="shared" si="26"/>
        <v>0</v>
      </c>
      <c r="O42" s="10"/>
      <c r="P42" s="6"/>
      <c r="Q42" s="2"/>
      <c r="R42" s="7">
        <f t="shared" si="27"/>
        <v>0</v>
      </c>
      <c r="S42" s="2"/>
      <c r="T42" s="6">
        <v>7159.74</v>
      </c>
      <c r="U42" s="2"/>
      <c r="V42" s="7">
        <f t="shared" si="28"/>
        <v>1.8249351576482623E-2</v>
      </c>
      <c r="W42" s="2"/>
      <c r="X42" s="6">
        <f t="shared" si="29"/>
        <v>-7159.74</v>
      </c>
      <c r="Y42" s="2"/>
      <c r="Z42" s="7">
        <f t="shared" si="30"/>
        <v>-1</v>
      </c>
    </row>
    <row r="43" spans="1:26" s="26" customFormat="1" outlineLevel="1" collapsed="1" x14ac:dyDescent="0.25">
      <c r="A43" s="25"/>
      <c r="B43" s="12" t="str">
        <f>CONCATENATE("     ","Advertising/Promo                                 ")</f>
        <v xml:space="preserve">     Advertising/Promo                                 </v>
      </c>
      <c r="C43" s="12"/>
      <c r="D43" s="1">
        <f>SUM(OSRRefD22_2x_0)</f>
        <v>0</v>
      </c>
      <c r="E43" s="1"/>
      <c r="F43" s="5">
        <f t="shared" ref="F43:F60" si="31">IF(D$12=0,0,D43/D$12)</f>
        <v>0</v>
      </c>
      <c r="G43" s="1"/>
      <c r="H43" s="1">
        <f>SUM(OSRRefH22_2x_0)</f>
        <v>0</v>
      </c>
      <c r="I43" s="1"/>
      <c r="J43" s="5">
        <f t="shared" ref="J43:J60" si="32">IF(H$12=0,0,H43/H$12)</f>
        <v>0</v>
      </c>
      <c r="K43" s="1"/>
      <c r="L43" s="1">
        <f t="shared" ref="L43:L60" si="33">+D43-H43</f>
        <v>0</v>
      </c>
      <c r="M43" s="1"/>
      <c r="N43" s="5">
        <f t="shared" ref="N43:N60" si="34">IF(H43=0,0,L43/H43)</f>
        <v>0</v>
      </c>
      <c r="O43" s="12"/>
      <c r="P43" s="1">
        <f>SUM(OSRRefP22_2x_0)</f>
        <v>0</v>
      </c>
      <c r="Q43" s="1"/>
      <c r="R43" s="5">
        <f t="shared" ref="R43:R60" si="35">IF(P$12=0,0,P43/P$12)</f>
        <v>0</v>
      </c>
      <c r="S43" s="1"/>
      <c r="T43" s="1">
        <f>SUM(OSRRefT22_2x_0)</f>
        <v>1868.45</v>
      </c>
      <c r="U43" s="1"/>
      <c r="V43" s="5">
        <f t="shared" ref="V43:V60" si="36">IF(T$12=0,0,T43/T$12)</f>
        <v>4.7624635745263039E-3</v>
      </c>
      <c r="W43" s="1"/>
      <c r="X43" s="1">
        <f t="shared" ref="X43:X60" si="37">+P43-T43</f>
        <v>-1868.45</v>
      </c>
      <c r="Y43" s="1"/>
      <c r="Z43" s="5">
        <f t="shared" ref="Z43:Z60" si="38">IF(T43=0,0,X43/T43)</f>
        <v>-1</v>
      </c>
    </row>
    <row r="44" spans="1:26" s="23" customFormat="1" hidden="1" outlineLevel="2" x14ac:dyDescent="0.25">
      <c r="A44" s="27"/>
      <c r="B44" s="10" t="str">
        <f>CONCATENATE("          ", "6362", " - ", "ADVERTISING EXPENSE")</f>
        <v xml:space="preserve">          6362 - ADVERTISING EXPENSE</v>
      </c>
      <c r="C44" s="10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/>
      <c r="Q44" s="2"/>
      <c r="R44" s="7">
        <f t="shared" si="35"/>
        <v>0</v>
      </c>
      <c r="S44" s="2"/>
      <c r="T44" s="6">
        <v>1868.45</v>
      </c>
      <c r="U44" s="2"/>
      <c r="V44" s="7">
        <f t="shared" si="36"/>
        <v>4.7624635745263039E-3</v>
      </c>
      <c r="W44" s="2"/>
      <c r="X44" s="6">
        <f t="shared" si="37"/>
        <v>-1868.45</v>
      </c>
      <c r="Y44" s="2"/>
      <c r="Z44" s="7">
        <f t="shared" si="38"/>
        <v>-1</v>
      </c>
    </row>
    <row r="45" spans="1:26" s="26" customFormat="1" outlineLevel="1" collapsed="1" x14ac:dyDescent="0.25">
      <c r="A45" s="25"/>
      <c r="B45" s="12" t="str">
        <f>CONCATENATE("     ","Bad Debts/Over/Short                              ")</f>
        <v xml:space="preserve">     Bad Debts/Over/Short                              </v>
      </c>
      <c r="C45" s="12"/>
      <c r="D45" s="1">
        <f>SUM(OSRRefD22_3x_0)</f>
        <v>0</v>
      </c>
      <c r="E45" s="1"/>
      <c r="F45" s="5">
        <f t="shared" si="31"/>
        <v>0</v>
      </c>
      <c r="G45" s="1"/>
      <c r="H45" s="1">
        <f>SUM(OSRRefH22_3x_0)</f>
        <v>0</v>
      </c>
      <c r="I45" s="1"/>
      <c r="J45" s="5">
        <f t="shared" si="32"/>
        <v>0</v>
      </c>
      <c r="K45" s="1"/>
      <c r="L45" s="1">
        <f t="shared" si="33"/>
        <v>0</v>
      </c>
      <c r="M45" s="1"/>
      <c r="N45" s="5">
        <f t="shared" si="34"/>
        <v>0</v>
      </c>
      <c r="O45" s="12"/>
      <c r="P45" s="1">
        <f>SUM(OSRRefP22_3x_0)</f>
        <v>0</v>
      </c>
      <c r="Q45" s="1"/>
      <c r="R45" s="5">
        <f t="shared" si="35"/>
        <v>0</v>
      </c>
      <c r="S45" s="1"/>
      <c r="T45" s="1">
        <f>SUM(OSRRefT22_3x_0)</f>
        <v>-144.01</v>
      </c>
      <c r="U45" s="1"/>
      <c r="V45" s="5">
        <f t="shared" si="36"/>
        <v>-3.6706488231824934E-4</v>
      </c>
      <c r="W45" s="1"/>
      <c r="X45" s="1">
        <f t="shared" si="37"/>
        <v>144.01</v>
      </c>
      <c r="Y45" s="1"/>
      <c r="Z45" s="5">
        <f t="shared" si="38"/>
        <v>-1</v>
      </c>
    </row>
    <row r="46" spans="1:26" s="23" customFormat="1" hidden="1" outlineLevel="2" x14ac:dyDescent="0.25">
      <c r="A46" s="27"/>
      <c r="B46" s="10" t="str">
        <f>CONCATENATE("          ", "6272", " - ", "CASH (OVER/SHORT)")</f>
        <v xml:space="preserve">          6272 - CASH (OVER/SHORT)</v>
      </c>
      <c r="C46" s="10"/>
      <c r="D46" s="6"/>
      <c r="E46" s="2"/>
      <c r="F46" s="7">
        <f t="shared" si="31"/>
        <v>0</v>
      </c>
      <c r="G46" s="2"/>
      <c r="H46" s="6"/>
      <c r="I46" s="2"/>
      <c r="J46" s="7">
        <f t="shared" si="32"/>
        <v>0</v>
      </c>
      <c r="K46" s="2"/>
      <c r="L46" s="6">
        <f t="shared" si="33"/>
        <v>0</v>
      </c>
      <c r="M46" s="2"/>
      <c r="N46" s="7">
        <f t="shared" si="34"/>
        <v>0</v>
      </c>
      <c r="O46" s="10"/>
      <c r="P46" s="6"/>
      <c r="Q46" s="2"/>
      <c r="R46" s="7">
        <f t="shared" si="35"/>
        <v>0</v>
      </c>
      <c r="S46" s="2"/>
      <c r="T46" s="6">
        <v>-144.01</v>
      </c>
      <c r="U46" s="2"/>
      <c r="V46" s="7">
        <f t="shared" si="36"/>
        <v>-3.6706488231824934E-4</v>
      </c>
      <c r="W46" s="2"/>
      <c r="X46" s="6">
        <f t="shared" si="37"/>
        <v>144.01</v>
      </c>
      <c r="Y46" s="2"/>
      <c r="Z46" s="7">
        <f t="shared" si="38"/>
        <v>-1</v>
      </c>
    </row>
    <row r="47" spans="1:26" s="26" customFormat="1" outlineLevel="1" collapsed="1" x14ac:dyDescent="0.25">
      <c r="A47" s="25"/>
      <c r="B47" s="12" t="str">
        <f>CONCATENATE("     ","Bank/card Fees                                    ")</f>
        <v xml:space="preserve">     Bank/card Fees                                    </v>
      </c>
      <c r="C47" s="12"/>
      <c r="D47" s="1">
        <f>SUM(OSRRefD22_4x_0)</f>
        <v>0</v>
      </c>
      <c r="E47" s="1"/>
      <c r="F47" s="5">
        <f t="shared" si="31"/>
        <v>0</v>
      </c>
      <c r="G47" s="1"/>
      <c r="H47" s="1">
        <f>SUM(OSRRefH22_4x_0)</f>
        <v>0</v>
      </c>
      <c r="I47" s="1"/>
      <c r="J47" s="5">
        <f t="shared" si="32"/>
        <v>0</v>
      </c>
      <c r="K47" s="1"/>
      <c r="L47" s="1">
        <f t="shared" si="33"/>
        <v>0</v>
      </c>
      <c r="M47" s="1"/>
      <c r="N47" s="5">
        <f t="shared" si="34"/>
        <v>0</v>
      </c>
      <c r="O47" s="12"/>
      <c r="P47" s="1">
        <f>SUM(OSRRefP22_4x_0)</f>
        <v>0</v>
      </c>
      <c r="Q47" s="1"/>
      <c r="R47" s="5">
        <f t="shared" si="35"/>
        <v>0</v>
      </c>
      <c r="S47" s="1"/>
      <c r="T47" s="1">
        <f>SUM(OSRRefT22_4x_0)</f>
        <v>7654.91</v>
      </c>
      <c r="U47" s="1"/>
      <c r="V47" s="5">
        <f t="shared" si="36"/>
        <v>1.9511482801935907E-2</v>
      </c>
      <c r="W47" s="1"/>
      <c r="X47" s="1">
        <f t="shared" si="37"/>
        <v>-7654.91</v>
      </c>
      <c r="Y47" s="1"/>
      <c r="Z47" s="5">
        <f t="shared" si="38"/>
        <v>-1</v>
      </c>
    </row>
    <row r="48" spans="1:26" s="23" customFormat="1" hidden="1" outlineLevel="2" x14ac:dyDescent="0.25">
      <c r="A48" s="27"/>
      <c r="B48" s="10" t="str">
        <f>CONCATENATE("          ", "6381", " - ", "BANK/CREDIT CARD FEES")</f>
        <v xml:space="preserve">          6381 - BANK/CREDIT CARD FEES</v>
      </c>
      <c r="C48" s="10"/>
      <c r="D48" s="6"/>
      <c r="E48" s="2"/>
      <c r="F48" s="7">
        <f t="shared" si="31"/>
        <v>0</v>
      </c>
      <c r="G48" s="2"/>
      <c r="H48" s="6"/>
      <c r="I48" s="2"/>
      <c r="J48" s="7">
        <f t="shared" si="32"/>
        <v>0</v>
      </c>
      <c r="K48" s="2"/>
      <c r="L48" s="6">
        <f t="shared" si="33"/>
        <v>0</v>
      </c>
      <c r="M48" s="2"/>
      <c r="N48" s="7">
        <f t="shared" si="34"/>
        <v>0</v>
      </c>
      <c r="O48" s="10"/>
      <c r="P48" s="6"/>
      <c r="Q48" s="2"/>
      <c r="R48" s="7">
        <f t="shared" si="35"/>
        <v>0</v>
      </c>
      <c r="S48" s="2"/>
      <c r="T48" s="6">
        <v>7654.91</v>
      </c>
      <c r="U48" s="2"/>
      <c r="V48" s="7">
        <f t="shared" si="36"/>
        <v>1.9511482801935907E-2</v>
      </c>
      <c r="W48" s="2"/>
      <c r="X48" s="6">
        <f t="shared" si="37"/>
        <v>-7654.91</v>
      </c>
      <c r="Y48" s="2"/>
      <c r="Z48" s="7">
        <f t="shared" si="38"/>
        <v>-1</v>
      </c>
    </row>
    <row r="49" spans="1:26" s="26" customFormat="1" outlineLevel="1" collapsed="1" x14ac:dyDescent="0.25">
      <c r="A49" s="25"/>
      <c r="B49" s="12" t="str">
        <f>CONCATENATE("     ","Depreciation                                      ")</f>
        <v xml:space="preserve">     Depreciation                                      </v>
      </c>
      <c r="C49" s="12"/>
      <c r="D49" s="1">
        <f>SUM(OSRRefD22_5x_0)</f>
        <v>1000.91</v>
      </c>
      <c r="E49" s="1"/>
      <c r="F49" s="5">
        <f t="shared" si="31"/>
        <v>0</v>
      </c>
      <c r="G49" s="1"/>
      <c r="H49" s="1">
        <f>SUM(OSRRefH22_5x_0)</f>
        <v>1000.91</v>
      </c>
      <c r="I49" s="1"/>
      <c r="J49" s="5">
        <f t="shared" si="32"/>
        <v>0</v>
      </c>
      <c r="K49" s="1"/>
      <c r="L49" s="1">
        <f t="shared" si="33"/>
        <v>0</v>
      </c>
      <c r="M49" s="1"/>
      <c r="N49" s="5">
        <f t="shared" si="34"/>
        <v>0</v>
      </c>
      <c r="O49" s="12"/>
      <c r="P49" s="1">
        <f>SUM(OSRRefP22_5x_0)</f>
        <v>10009.1</v>
      </c>
      <c r="Q49" s="1"/>
      <c r="R49" s="5">
        <f t="shared" si="35"/>
        <v>0</v>
      </c>
      <c r="S49" s="1"/>
      <c r="T49" s="1">
        <f>SUM(OSRRefT22_5x_0)</f>
        <v>4044.62</v>
      </c>
      <c r="U49" s="1"/>
      <c r="V49" s="5">
        <f t="shared" si="36"/>
        <v>1.0309269941823745E-2</v>
      </c>
      <c r="W49" s="1"/>
      <c r="X49" s="1">
        <f t="shared" si="37"/>
        <v>5964.4800000000005</v>
      </c>
      <c r="Y49" s="1"/>
      <c r="Z49" s="5">
        <f t="shared" si="38"/>
        <v>1.4746700555305567</v>
      </c>
    </row>
    <row r="50" spans="1:26" s="23" customFormat="1" hidden="1" outlineLevel="2" x14ac:dyDescent="0.25">
      <c r="A50" s="27"/>
      <c r="B50" s="10" t="str">
        <f>CONCATENATE("          ", "6322", " - ", "EQUIPMENT DEPRECIATION EXPENSE")</f>
        <v xml:space="preserve">          6322 - EQUIPMENT DEPRECIATION EXPENSE</v>
      </c>
      <c r="C50" s="10"/>
      <c r="D50" s="6">
        <v>1000.91</v>
      </c>
      <c r="E50" s="2"/>
      <c r="F50" s="7">
        <f t="shared" si="31"/>
        <v>0</v>
      </c>
      <c r="G50" s="2"/>
      <c r="H50" s="6">
        <v>1000.91</v>
      </c>
      <c r="I50" s="2"/>
      <c r="J50" s="7">
        <f t="shared" si="32"/>
        <v>0</v>
      </c>
      <c r="K50" s="2"/>
      <c r="L50" s="6">
        <f t="shared" si="33"/>
        <v>0</v>
      </c>
      <c r="M50" s="2"/>
      <c r="N50" s="7">
        <f t="shared" si="34"/>
        <v>0</v>
      </c>
      <c r="O50" s="10"/>
      <c r="P50" s="6">
        <v>10009.1</v>
      </c>
      <c r="Q50" s="2"/>
      <c r="R50" s="7">
        <f t="shared" si="35"/>
        <v>0</v>
      </c>
      <c r="S50" s="2"/>
      <c r="T50" s="6">
        <v>4044.62</v>
      </c>
      <c r="U50" s="2"/>
      <c r="V50" s="7">
        <f t="shared" si="36"/>
        <v>1.0309269941823745E-2</v>
      </c>
      <c r="W50" s="2"/>
      <c r="X50" s="6">
        <f t="shared" si="37"/>
        <v>5964.4800000000005</v>
      </c>
      <c r="Y50" s="2"/>
      <c r="Z50" s="7">
        <f t="shared" si="38"/>
        <v>1.4746700555305567</v>
      </c>
    </row>
    <row r="51" spans="1:26" s="26" customFormat="1" outlineLevel="1" collapsed="1" x14ac:dyDescent="0.25">
      <c r="A51" s="25"/>
      <c r="B51" s="12" t="str">
        <f>CONCATENATE("     ","Employees' Appreciation                           ")</f>
        <v xml:space="preserve">     Employees' Appreciation                           </v>
      </c>
      <c r="C51" s="12"/>
      <c r="D51" s="1">
        <f>SUM(OSRRefD22_6x_0)</f>
        <v>0</v>
      </c>
      <c r="E51" s="1"/>
      <c r="F51" s="5">
        <f t="shared" si="31"/>
        <v>0</v>
      </c>
      <c r="G51" s="1"/>
      <c r="H51" s="1">
        <f>SUM(OSRRefH22_6x_0)</f>
        <v>0</v>
      </c>
      <c r="I51" s="1"/>
      <c r="J51" s="5">
        <f t="shared" si="32"/>
        <v>0</v>
      </c>
      <c r="K51" s="1"/>
      <c r="L51" s="1">
        <f t="shared" si="33"/>
        <v>0</v>
      </c>
      <c r="M51" s="1"/>
      <c r="N51" s="5">
        <f t="shared" si="34"/>
        <v>0</v>
      </c>
      <c r="O51" s="12"/>
      <c r="P51" s="1">
        <f>SUM(OSRRefP22_6x_0)</f>
        <v>0</v>
      </c>
      <c r="Q51" s="1"/>
      <c r="R51" s="5">
        <f t="shared" si="35"/>
        <v>0</v>
      </c>
      <c r="S51" s="1"/>
      <c r="T51" s="1">
        <f>SUM(OSRRefT22_6x_0)</f>
        <v>118.6</v>
      </c>
      <c r="U51" s="1"/>
      <c r="V51" s="5">
        <f t="shared" si="36"/>
        <v>3.022977226785943E-4</v>
      </c>
      <c r="W51" s="1"/>
      <c r="X51" s="1">
        <f t="shared" si="37"/>
        <v>-118.6</v>
      </c>
      <c r="Y51" s="1"/>
      <c r="Z51" s="5">
        <f t="shared" si="38"/>
        <v>-1</v>
      </c>
    </row>
    <row r="52" spans="1:26" s="23" customFormat="1" hidden="1" outlineLevel="2" x14ac:dyDescent="0.25">
      <c r="A52" s="27"/>
      <c r="B52" s="10" t="str">
        <f>CONCATENATE("          ", "6277", " - ", "EMPLOYEE APPRECIATION")</f>
        <v xml:space="preserve">          6277 - EMPLOYEE APPRECIATION</v>
      </c>
      <c r="C52" s="10"/>
      <c r="D52" s="6"/>
      <c r="E52" s="2"/>
      <c r="F52" s="7">
        <f t="shared" si="31"/>
        <v>0</v>
      </c>
      <c r="G52" s="2"/>
      <c r="H52" s="6"/>
      <c r="I52" s="2"/>
      <c r="J52" s="7">
        <f t="shared" si="32"/>
        <v>0</v>
      </c>
      <c r="K52" s="2"/>
      <c r="L52" s="6">
        <f t="shared" si="33"/>
        <v>0</v>
      </c>
      <c r="M52" s="2"/>
      <c r="N52" s="7">
        <f t="shared" si="34"/>
        <v>0</v>
      </c>
      <c r="O52" s="10"/>
      <c r="P52" s="6"/>
      <c r="Q52" s="2"/>
      <c r="R52" s="7">
        <f t="shared" si="35"/>
        <v>0</v>
      </c>
      <c r="S52" s="2"/>
      <c r="T52" s="6">
        <v>118.6</v>
      </c>
      <c r="U52" s="2"/>
      <c r="V52" s="7">
        <f t="shared" si="36"/>
        <v>3.022977226785943E-4</v>
      </c>
      <c r="W52" s="2"/>
      <c r="X52" s="6">
        <f t="shared" si="37"/>
        <v>-118.6</v>
      </c>
      <c r="Y52" s="2"/>
      <c r="Z52" s="7">
        <f t="shared" si="38"/>
        <v>-1</v>
      </c>
    </row>
    <row r="53" spans="1:26" s="26" customFormat="1" outlineLevel="1" collapsed="1" x14ac:dyDescent="0.25">
      <c r="A53" s="25"/>
      <c r="B53" s="12" t="str">
        <f>CONCATENATE("     ","Equipment Rental                                  ")</f>
        <v xml:space="preserve">     Equipment Rental                                  </v>
      </c>
      <c r="C53" s="12"/>
      <c r="D53" s="1">
        <f>SUM(OSRRefD22_7x_0)</f>
        <v>0</v>
      </c>
      <c r="E53" s="1"/>
      <c r="F53" s="5">
        <f t="shared" si="31"/>
        <v>0</v>
      </c>
      <c r="G53" s="1"/>
      <c r="H53" s="1">
        <f>SUM(OSRRefH22_7x_0)</f>
        <v>0</v>
      </c>
      <c r="I53" s="1"/>
      <c r="J53" s="5">
        <f t="shared" si="32"/>
        <v>0</v>
      </c>
      <c r="K53" s="1"/>
      <c r="L53" s="1">
        <f t="shared" si="33"/>
        <v>0</v>
      </c>
      <c r="M53" s="1"/>
      <c r="N53" s="5">
        <f t="shared" si="34"/>
        <v>0</v>
      </c>
      <c r="O53" s="12"/>
      <c r="P53" s="1">
        <f>SUM(OSRRefP22_7x_0)</f>
        <v>0</v>
      </c>
      <c r="Q53" s="1"/>
      <c r="R53" s="5">
        <f t="shared" si="35"/>
        <v>0</v>
      </c>
      <c r="S53" s="1"/>
      <c r="T53" s="1">
        <f>SUM(OSRRefT22_7x_0)</f>
        <v>350</v>
      </c>
      <c r="U53" s="1"/>
      <c r="V53" s="5">
        <f t="shared" si="36"/>
        <v>8.9210963690984841E-4</v>
      </c>
      <c r="W53" s="1"/>
      <c r="X53" s="1">
        <f t="shared" si="37"/>
        <v>-350</v>
      </c>
      <c r="Y53" s="1"/>
      <c r="Z53" s="5">
        <f t="shared" si="38"/>
        <v>-1</v>
      </c>
    </row>
    <row r="54" spans="1:26" s="23" customFormat="1" hidden="1" outlineLevel="2" x14ac:dyDescent="0.25">
      <c r="A54" s="27"/>
      <c r="B54" s="10" t="str">
        <f>CONCATENATE("          ", "6351", " - ", "EQUIPMENT RENTAL")</f>
        <v xml:space="preserve">          6351 - EQUIPMENT RENTAL</v>
      </c>
      <c r="C54" s="10"/>
      <c r="D54" s="6"/>
      <c r="E54" s="2"/>
      <c r="F54" s="7">
        <f t="shared" si="31"/>
        <v>0</v>
      </c>
      <c r="G54" s="2"/>
      <c r="H54" s="6"/>
      <c r="I54" s="2"/>
      <c r="J54" s="7">
        <f t="shared" si="32"/>
        <v>0</v>
      </c>
      <c r="K54" s="2"/>
      <c r="L54" s="6">
        <f t="shared" si="33"/>
        <v>0</v>
      </c>
      <c r="M54" s="2"/>
      <c r="N54" s="7">
        <f t="shared" si="34"/>
        <v>0</v>
      </c>
      <c r="O54" s="10"/>
      <c r="P54" s="6"/>
      <c r="Q54" s="2"/>
      <c r="R54" s="7">
        <f t="shared" si="35"/>
        <v>0</v>
      </c>
      <c r="S54" s="2"/>
      <c r="T54" s="6">
        <v>350</v>
      </c>
      <c r="U54" s="2"/>
      <c r="V54" s="7">
        <f t="shared" si="36"/>
        <v>8.9210963690984841E-4</v>
      </c>
      <c r="W54" s="2"/>
      <c r="X54" s="6">
        <f t="shared" si="37"/>
        <v>-350</v>
      </c>
      <c r="Y54" s="2"/>
      <c r="Z54" s="7">
        <f t="shared" si="38"/>
        <v>-1</v>
      </c>
    </row>
    <row r="55" spans="1:26" s="26" customFormat="1" outlineLevel="1" collapsed="1" x14ac:dyDescent="0.25">
      <c r="A55" s="25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SUM(OSRRefD22_8x_0)</f>
        <v>0</v>
      </c>
      <c r="E55" s="1"/>
      <c r="F55" s="5">
        <f t="shared" si="31"/>
        <v>0</v>
      </c>
      <c r="G55" s="1"/>
      <c r="H55" s="1">
        <f>SUM(OSRRefH22_8x_0)</f>
        <v>0</v>
      </c>
      <c r="I55" s="1"/>
      <c r="J55" s="5">
        <f t="shared" si="32"/>
        <v>0</v>
      </c>
      <c r="K55" s="1"/>
      <c r="L55" s="1">
        <f t="shared" si="33"/>
        <v>0</v>
      </c>
      <c r="M55" s="1"/>
      <c r="N55" s="5">
        <f t="shared" si="34"/>
        <v>0</v>
      </c>
      <c r="O55" s="12"/>
      <c r="P55" s="1">
        <f>SUM(OSRRefP22_8x_0)</f>
        <v>455</v>
      </c>
      <c r="Q55" s="1"/>
      <c r="R55" s="5">
        <f t="shared" si="35"/>
        <v>0</v>
      </c>
      <c r="S55" s="1"/>
      <c r="T55" s="1">
        <f>SUM(OSRRefT22_8x_0)</f>
        <v>15629.04</v>
      </c>
      <c r="U55" s="1"/>
      <c r="V55" s="5">
        <f t="shared" si="36"/>
        <v>3.9836620570427139E-2</v>
      </c>
      <c r="W55" s="1"/>
      <c r="X55" s="1">
        <f t="shared" si="37"/>
        <v>-15174.04</v>
      </c>
      <c r="Y55" s="1"/>
      <c r="Z55" s="5">
        <f t="shared" si="38"/>
        <v>-0.97088752732093586</v>
      </c>
    </row>
    <row r="56" spans="1:26" s="23" customFormat="1" hidden="1" outlineLevel="2" x14ac:dyDescent="0.25">
      <c r="A56" s="27"/>
      <c r="B56" s="10" t="str">
        <f>CONCATENATE("          ", "6279", " - ", "GENERAL EXPENSE")</f>
        <v xml:space="preserve">          6279 - GENERAL EXPENSE</v>
      </c>
      <c r="C56" s="10"/>
      <c r="D56" s="6"/>
      <c r="E56" s="2"/>
      <c r="F56" s="7">
        <f t="shared" si="31"/>
        <v>0</v>
      </c>
      <c r="G56" s="2"/>
      <c r="H56" s="6"/>
      <c r="I56" s="2"/>
      <c r="J56" s="7">
        <f t="shared" si="32"/>
        <v>0</v>
      </c>
      <c r="K56" s="2"/>
      <c r="L56" s="6">
        <f t="shared" si="33"/>
        <v>0</v>
      </c>
      <c r="M56" s="2"/>
      <c r="N56" s="7">
        <f t="shared" si="34"/>
        <v>0</v>
      </c>
      <c r="O56" s="10"/>
      <c r="P56" s="6">
        <v>455</v>
      </c>
      <c r="Q56" s="2"/>
      <c r="R56" s="7">
        <f t="shared" si="35"/>
        <v>0</v>
      </c>
      <c r="S56" s="2"/>
      <c r="T56" s="6">
        <v>15629.04</v>
      </c>
      <c r="U56" s="2"/>
      <c r="V56" s="7">
        <f t="shared" si="36"/>
        <v>3.9836620570427139E-2</v>
      </c>
      <c r="W56" s="2"/>
      <c r="X56" s="6">
        <f t="shared" si="37"/>
        <v>-15174.04</v>
      </c>
      <c r="Y56" s="2"/>
      <c r="Z56" s="7">
        <f t="shared" si="38"/>
        <v>-0.97088752732093586</v>
      </c>
    </row>
    <row r="57" spans="1:26" s="26" customFormat="1" outlineLevel="1" collapsed="1" x14ac:dyDescent="0.25">
      <c r="A57" s="25"/>
      <c r="B57" s="12" t="str">
        <f>CONCATENATE("     ","Repair and Maintenance                            ")</f>
        <v xml:space="preserve">     Repair and Maintenance                            </v>
      </c>
      <c r="C57" s="12"/>
      <c r="D57" s="1">
        <f>SUM(OSRRefD22_9x_0)</f>
        <v>0</v>
      </c>
      <c r="E57" s="1"/>
      <c r="F57" s="5">
        <f t="shared" si="31"/>
        <v>0</v>
      </c>
      <c r="G57" s="1"/>
      <c r="H57" s="1">
        <f>SUM(OSRRefH22_9x_0)</f>
        <v>307.69</v>
      </c>
      <c r="I57" s="1"/>
      <c r="J57" s="5">
        <f t="shared" si="32"/>
        <v>0</v>
      </c>
      <c r="K57" s="1"/>
      <c r="L57" s="1">
        <f t="shared" si="33"/>
        <v>-307.69</v>
      </c>
      <c r="M57" s="1"/>
      <c r="N57" s="5">
        <f t="shared" si="34"/>
        <v>-1</v>
      </c>
      <c r="O57" s="12"/>
      <c r="P57" s="1">
        <f>SUM(OSRRefP22_9x_0)</f>
        <v>242.03</v>
      </c>
      <c r="Q57" s="1"/>
      <c r="R57" s="5">
        <f t="shared" si="35"/>
        <v>0</v>
      </c>
      <c r="S57" s="1"/>
      <c r="T57" s="1">
        <f>SUM(OSRRefT22_9x_0)</f>
        <v>5688.74</v>
      </c>
      <c r="U57" s="1"/>
      <c r="V57" s="5">
        <f t="shared" si="36"/>
        <v>1.4499942216784373E-2</v>
      </c>
      <c r="W57" s="1"/>
      <c r="X57" s="1">
        <f t="shared" si="37"/>
        <v>-5446.71</v>
      </c>
      <c r="Y57" s="1"/>
      <c r="Z57" s="5">
        <f t="shared" si="38"/>
        <v>-0.95745455056831574</v>
      </c>
    </row>
    <row r="58" spans="1:26" s="23" customFormat="1" hidden="1" outlineLevel="2" x14ac:dyDescent="0.25">
      <c r="A58" s="27"/>
      <c r="B58" s="10" t="str">
        <f>CONCATENATE("          ", "6371", " - ", "COMPUTER SOFTWARE MAINTENANCE")</f>
        <v xml:space="preserve">          6371 - COMPUTER SOFTWARE MAINTENANCE</v>
      </c>
      <c r="C58" s="10"/>
      <c r="D58" s="6"/>
      <c r="E58" s="2"/>
      <c r="F58" s="7">
        <f t="shared" si="31"/>
        <v>0</v>
      </c>
      <c r="G58" s="2"/>
      <c r="H58" s="6"/>
      <c r="I58" s="2"/>
      <c r="J58" s="7">
        <f t="shared" si="32"/>
        <v>0</v>
      </c>
      <c r="K58" s="2"/>
      <c r="L58" s="6">
        <f t="shared" si="33"/>
        <v>0</v>
      </c>
      <c r="M58" s="2"/>
      <c r="N58" s="7">
        <f t="shared" si="34"/>
        <v>0</v>
      </c>
      <c r="O58" s="10"/>
      <c r="P58" s="6"/>
      <c r="Q58" s="2"/>
      <c r="R58" s="7">
        <f t="shared" si="35"/>
        <v>0</v>
      </c>
      <c r="S58" s="2"/>
      <c r="T58" s="6">
        <v>2623.84</v>
      </c>
      <c r="U58" s="2"/>
      <c r="V58" s="7">
        <f t="shared" si="36"/>
        <v>6.6878655705986763E-3</v>
      </c>
      <c r="W58" s="2"/>
      <c r="X58" s="6">
        <f t="shared" si="37"/>
        <v>-2623.84</v>
      </c>
      <c r="Y58" s="2"/>
      <c r="Z58" s="7">
        <f t="shared" si="38"/>
        <v>-1</v>
      </c>
    </row>
    <row r="59" spans="1:26" s="23" customFormat="1" hidden="1" outlineLevel="2" x14ac:dyDescent="0.25">
      <c r="A59" s="27"/>
      <c r="B59" s="10" t="str">
        <f>CONCATENATE("          ", "6373", " - ", "MAINTENANCE CONTRACTS")</f>
        <v xml:space="preserve">          6373 - MAINTENANCE CONTRACTS</v>
      </c>
      <c r="C59" s="10"/>
      <c r="D59" s="6"/>
      <c r="E59" s="2"/>
      <c r="F59" s="7">
        <f t="shared" si="31"/>
        <v>0</v>
      </c>
      <c r="G59" s="2"/>
      <c r="H59" s="6"/>
      <c r="I59" s="2"/>
      <c r="J59" s="7">
        <f t="shared" si="32"/>
        <v>0</v>
      </c>
      <c r="K59" s="2"/>
      <c r="L59" s="6">
        <f t="shared" si="33"/>
        <v>0</v>
      </c>
      <c r="M59" s="2"/>
      <c r="N59" s="7">
        <f t="shared" si="34"/>
        <v>0</v>
      </c>
      <c r="O59" s="10"/>
      <c r="P59" s="6">
        <v>235.8</v>
      </c>
      <c r="Q59" s="2"/>
      <c r="R59" s="7">
        <f t="shared" si="35"/>
        <v>0</v>
      </c>
      <c r="S59" s="2"/>
      <c r="T59" s="6">
        <v>573</v>
      </c>
      <c r="U59" s="2"/>
      <c r="V59" s="7">
        <f t="shared" si="36"/>
        <v>1.4605109198552661E-3</v>
      </c>
      <c r="W59" s="2"/>
      <c r="X59" s="6">
        <f t="shared" si="37"/>
        <v>-337.2</v>
      </c>
      <c r="Y59" s="2"/>
      <c r="Z59" s="7">
        <f t="shared" si="38"/>
        <v>-0.58848167539267016</v>
      </c>
    </row>
    <row r="60" spans="1:26" s="23" customFormat="1" hidden="1" outlineLevel="2" x14ac:dyDescent="0.25">
      <c r="A60" s="27"/>
      <c r="B60" s="10" t="str">
        <f>CONCATENATE("          ", "6375", " - ", "OUTSIDE REPAIRS &amp; MAINTENANCE")</f>
        <v xml:space="preserve">          6375 - OUTSIDE REPAIRS &amp; MAINTENANCE</v>
      </c>
      <c r="C60" s="10"/>
      <c r="D60" s="6"/>
      <c r="E60" s="2"/>
      <c r="F60" s="7">
        <f t="shared" si="31"/>
        <v>0</v>
      </c>
      <c r="G60" s="2"/>
      <c r="H60" s="6">
        <v>307.69</v>
      </c>
      <c r="I60" s="2"/>
      <c r="J60" s="7">
        <f t="shared" si="32"/>
        <v>0</v>
      </c>
      <c r="K60" s="2"/>
      <c r="L60" s="6">
        <f t="shared" si="33"/>
        <v>-307.69</v>
      </c>
      <c r="M60" s="2"/>
      <c r="N60" s="7">
        <f t="shared" si="34"/>
        <v>-1</v>
      </c>
      <c r="O60" s="10"/>
      <c r="P60" s="6">
        <v>6.23</v>
      </c>
      <c r="Q60" s="2"/>
      <c r="R60" s="7">
        <f t="shared" si="35"/>
        <v>0</v>
      </c>
      <c r="S60" s="2"/>
      <c r="T60" s="6">
        <v>2491.9</v>
      </c>
      <c r="U60" s="2"/>
      <c r="V60" s="7">
        <f t="shared" si="36"/>
        <v>6.3515657263304324E-3</v>
      </c>
      <c r="W60" s="2"/>
      <c r="X60" s="6">
        <f t="shared" si="37"/>
        <v>-2485.67</v>
      </c>
      <c r="Y60" s="2"/>
      <c r="Z60" s="7">
        <f t="shared" si="38"/>
        <v>-0.99749989967494679</v>
      </c>
    </row>
    <row r="61" spans="1:26" s="26" customFormat="1" outlineLevel="1" collapsed="1" x14ac:dyDescent="0.25">
      <c r="A61" s="25"/>
      <c r="B61" s="12" t="str">
        <f>CONCATENATE("     ","Royalty &amp; Commissions                             ")</f>
        <v xml:space="preserve">     Royalty &amp; Commissions                             </v>
      </c>
      <c r="C61" s="12"/>
      <c r="D61" s="1">
        <f>SUM(OSRRefD22_10x_0)</f>
        <v>0</v>
      </c>
      <c r="E61" s="1"/>
      <c r="F61" s="5">
        <f t="shared" ref="F61:F66" si="39">IF(D$12=0,0,D61/D$12)</f>
        <v>0</v>
      </c>
      <c r="G61" s="1"/>
      <c r="H61" s="1">
        <f>SUM(OSRRefH22_10x_0)</f>
        <v>0</v>
      </c>
      <c r="I61" s="1"/>
      <c r="J61" s="5">
        <f t="shared" ref="J61:J66" si="40">IF(H$12=0,0,H61/H$12)</f>
        <v>0</v>
      </c>
      <c r="K61" s="1"/>
      <c r="L61" s="1">
        <f t="shared" ref="L61:L66" si="41">+D61-H61</f>
        <v>0</v>
      </c>
      <c r="M61" s="1"/>
      <c r="N61" s="5">
        <f t="shared" ref="N61:N66" si="42">IF(H61=0,0,L61/H61)</f>
        <v>0</v>
      </c>
      <c r="O61" s="12"/>
      <c r="P61" s="1">
        <f>SUM(OSRRefP22_10x_0)</f>
        <v>0</v>
      </c>
      <c r="Q61" s="1"/>
      <c r="R61" s="5">
        <f t="shared" ref="R61:R66" si="43">IF(P$12=0,0,P61/P$12)</f>
        <v>0</v>
      </c>
      <c r="S61" s="1"/>
      <c r="T61" s="1">
        <f>SUM(OSRRefT22_10x_0)</f>
        <v>83387.12</v>
      </c>
      <c r="U61" s="1"/>
      <c r="V61" s="5">
        <f t="shared" ref="V61:V66" si="44">IF(T$12=0,0,T61/T$12)</f>
        <v>0.21254415241759414</v>
      </c>
      <c r="W61" s="1"/>
      <c r="X61" s="1">
        <f t="shared" ref="X61:X66" si="45">+P61-T61</f>
        <v>-83387.12</v>
      </c>
      <c r="Y61" s="1"/>
      <c r="Z61" s="5">
        <f t="shared" ref="Z61:Z66" si="46">IF(T61=0,0,X61/T61)</f>
        <v>-1</v>
      </c>
    </row>
    <row r="62" spans="1:26" s="23" customFormat="1" hidden="1" outlineLevel="2" x14ac:dyDescent="0.25">
      <c r="A62" s="27"/>
      <c r="B62" s="10" t="str">
        <f>CONCATENATE("          ", "6254", " - ", "ROYALTY &amp; COMMISSIONS")</f>
        <v xml:space="preserve">          6254 - ROYALTY &amp; COMMISSIONS</v>
      </c>
      <c r="C62" s="10"/>
      <c r="D62" s="6"/>
      <c r="E62" s="2"/>
      <c r="F62" s="7">
        <f t="shared" si="39"/>
        <v>0</v>
      </c>
      <c r="G62" s="2"/>
      <c r="H62" s="6"/>
      <c r="I62" s="2"/>
      <c r="J62" s="7">
        <f t="shared" si="40"/>
        <v>0</v>
      </c>
      <c r="K62" s="2"/>
      <c r="L62" s="6">
        <f t="shared" si="41"/>
        <v>0</v>
      </c>
      <c r="M62" s="2"/>
      <c r="N62" s="7">
        <f t="shared" si="42"/>
        <v>0</v>
      </c>
      <c r="O62" s="10"/>
      <c r="P62" s="6"/>
      <c r="Q62" s="2"/>
      <c r="R62" s="7">
        <f t="shared" si="43"/>
        <v>0</v>
      </c>
      <c r="S62" s="2"/>
      <c r="T62" s="6">
        <v>83387.12</v>
      </c>
      <c r="U62" s="2"/>
      <c r="V62" s="7">
        <f t="shared" si="44"/>
        <v>0.21254415241759414</v>
      </c>
      <c r="W62" s="2"/>
      <c r="X62" s="6">
        <f t="shared" si="45"/>
        <v>-83387.12</v>
      </c>
      <c r="Y62" s="2"/>
      <c r="Z62" s="7">
        <f t="shared" si="46"/>
        <v>-1</v>
      </c>
    </row>
    <row r="63" spans="1:26" s="26" customFormat="1" outlineLevel="1" collapsed="1" x14ac:dyDescent="0.25">
      <c r="A63" s="25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SUM(OSRRefD22_11x_0)</f>
        <v>0</v>
      </c>
      <c r="E63" s="1"/>
      <c r="F63" s="5">
        <f t="shared" si="39"/>
        <v>0</v>
      </c>
      <c r="G63" s="1"/>
      <c r="H63" s="1">
        <f>SUM(OSRRefH22_11x_0)</f>
        <v>0</v>
      </c>
      <c r="I63" s="1"/>
      <c r="J63" s="5">
        <f t="shared" si="40"/>
        <v>0</v>
      </c>
      <c r="K63" s="1"/>
      <c r="L63" s="1">
        <f t="shared" si="41"/>
        <v>0</v>
      </c>
      <c r="M63" s="1"/>
      <c r="N63" s="5">
        <f t="shared" si="42"/>
        <v>0</v>
      </c>
      <c r="O63" s="12"/>
      <c r="P63" s="1">
        <f>SUM(OSRRefP22_11x_0)</f>
        <v>0</v>
      </c>
      <c r="Q63" s="1"/>
      <c r="R63" s="5">
        <f t="shared" si="43"/>
        <v>0</v>
      </c>
      <c r="S63" s="1"/>
      <c r="T63" s="1">
        <f>SUM(OSRRefT22_11x_0)</f>
        <v>3287.06</v>
      </c>
      <c r="U63" s="1"/>
      <c r="V63" s="5">
        <f t="shared" si="44"/>
        <v>8.378336866002532E-3</v>
      </c>
      <c r="W63" s="1"/>
      <c r="X63" s="1">
        <f t="shared" si="45"/>
        <v>-3287.06</v>
      </c>
      <c r="Y63" s="1"/>
      <c r="Z63" s="5">
        <f t="shared" si="46"/>
        <v>-1</v>
      </c>
    </row>
    <row r="64" spans="1:26" s="23" customFormat="1" hidden="1" outlineLevel="2" x14ac:dyDescent="0.25">
      <c r="A64" s="27"/>
      <c r="B64" s="10" t="str">
        <f>CONCATENATE("          ", "6282", " - ", "JANITORIAL/EXTERMINATOR EXPENS")</f>
        <v xml:space="preserve">          6282 - JANITORIAL/EXTERMINATOR EXPENS</v>
      </c>
      <c r="C64" s="10"/>
      <c r="D64" s="6"/>
      <c r="E64" s="2"/>
      <c r="F64" s="7">
        <f t="shared" si="39"/>
        <v>0</v>
      </c>
      <c r="G64" s="2"/>
      <c r="H64" s="6"/>
      <c r="I64" s="2"/>
      <c r="J64" s="7">
        <f t="shared" si="40"/>
        <v>0</v>
      </c>
      <c r="K64" s="2"/>
      <c r="L64" s="6">
        <f t="shared" si="41"/>
        <v>0</v>
      </c>
      <c r="M64" s="2"/>
      <c r="N64" s="7">
        <f t="shared" si="42"/>
        <v>0</v>
      </c>
      <c r="O64" s="10"/>
      <c r="P64" s="6"/>
      <c r="Q64" s="2"/>
      <c r="R64" s="7">
        <f t="shared" si="43"/>
        <v>0</v>
      </c>
      <c r="S64" s="2"/>
      <c r="T64" s="6">
        <v>2258.1</v>
      </c>
      <c r="U64" s="2"/>
      <c r="V64" s="7">
        <f t="shared" si="44"/>
        <v>5.7556364888746532E-3</v>
      </c>
      <c r="W64" s="2"/>
      <c r="X64" s="6">
        <f t="shared" si="45"/>
        <v>-2258.1</v>
      </c>
      <c r="Y64" s="2"/>
      <c r="Z64" s="7">
        <f t="shared" si="46"/>
        <v>-1</v>
      </c>
    </row>
    <row r="65" spans="1:26" s="23" customFormat="1" hidden="1" outlineLevel="2" x14ac:dyDescent="0.25">
      <c r="A65" s="27"/>
      <c r="B65" s="10" t="str">
        <f>CONCATENATE("          ", "6285", " - ", "JANITORIAL SERVICES")</f>
        <v xml:space="preserve">          6285 - JANITORIAL SERVICES</v>
      </c>
      <c r="C65" s="10"/>
      <c r="D65" s="6"/>
      <c r="E65" s="2"/>
      <c r="F65" s="7">
        <f t="shared" si="39"/>
        <v>0</v>
      </c>
      <c r="G65" s="2"/>
      <c r="H65" s="6"/>
      <c r="I65" s="2"/>
      <c r="J65" s="7">
        <f t="shared" si="40"/>
        <v>0</v>
      </c>
      <c r="K65" s="2"/>
      <c r="L65" s="6">
        <f t="shared" si="41"/>
        <v>0</v>
      </c>
      <c r="M65" s="2"/>
      <c r="N65" s="7">
        <f t="shared" si="42"/>
        <v>0</v>
      </c>
      <c r="O65" s="10"/>
      <c r="P65" s="6"/>
      <c r="Q65" s="2"/>
      <c r="R65" s="7">
        <f t="shared" si="43"/>
        <v>0</v>
      </c>
      <c r="S65" s="2"/>
      <c r="T65" s="6">
        <v>549.6</v>
      </c>
      <c r="U65" s="2"/>
      <c r="V65" s="7">
        <f t="shared" si="44"/>
        <v>1.4008670184161506E-3</v>
      </c>
      <c r="W65" s="2"/>
      <c r="X65" s="6">
        <f t="shared" si="45"/>
        <v>-549.6</v>
      </c>
      <c r="Y65" s="2"/>
      <c r="Z65" s="7">
        <f t="shared" si="46"/>
        <v>-1</v>
      </c>
    </row>
    <row r="66" spans="1:26" s="23" customFormat="1" hidden="1" outlineLevel="2" x14ac:dyDescent="0.25">
      <c r="A66" s="27"/>
      <c r="B66" s="10" t="str">
        <f>CONCATENATE("          ", "6286", " - ", "LAUNDRY EXPENSE")</f>
        <v xml:space="preserve">          6286 - LAUNDRY EXPENSE</v>
      </c>
      <c r="C66" s="10"/>
      <c r="D66" s="6"/>
      <c r="E66" s="2"/>
      <c r="F66" s="7">
        <f t="shared" si="39"/>
        <v>0</v>
      </c>
      <c r="G66" s="2"/>
      <c r="H66" s="6"/>
      <c r="I66" s="2"/>
      <c r="J66" s="7">
        <f t="shared" si="40"/>
        <v>0</v>
      </c>
      <c r="K66" s="2"/>
      <c r="L66" s="6">
        <f t="shared" si="41"/>
        <v>0</v>
      </c>
      <c r="M66" s="2"/>
      <c r="N66" s="7">
        <f t="shared" si="42"/>
        <v>0</v>
      </c>
      <c r="O66" s="10"/>
      <c r="P66" s="6"/>
      <c r="Q66" s="2"/>
      <c r="R66" s="7">
        <f t="shared" si="43"/>
        <v>0</v>
      </c>
      <c r="S66" s="2"/>
      <c r="T66" s="6">
        <v>479.36</v>
      </c>
      <c r="U66" s="2"/>
      <c r="V66" s="7">
        <f t="shared" si="44"/>
        <v>1.2218333587117284E-3</v>
      </c>
      <c r="W66" s="2"/>
      <c r="X66" s="6">
        <f t="shared" si="45"/>
        <v>-479.36</v>
      </c>
      <c r="Y66" s="2"/>
      <c r="Z66" s="7">
        <f t="shared" si="46"/>
        <v>-1</v>
      </c>
    </row>
    <row r="67" spans="1:26" s="26" customFormat="1" outlineLevel="1" collapsed="1" x14ac:dyDescent="0.25">
      <c r="A67" s="25"/>
      <c r="B67" s="12" t="str">
        <f>CONCATENATE("     ","Supplies                                          ")</f>
        <v xml:space="preserve">     Supplies                                          </v>
      </c>
      <c r="C67" s="12"/>
      <c r="D67" s="1">
        <f>SUM(OSRRefD22_12x_0)</f>
        <v>0</v>
      </c>
      <c r="E67" s="1"/>
      <c r="F67" s="5">
        <f t="shared" ref="F67:F74" si="47">IF(D$12=0,0,D67/D$12)</f>
        <v>0</v>
      </c>
      <c r="G67" s="1"/>
      <c r="H67" s="1">
        <f>SUM(OSRRefH22_12x_0)</f>
        <v>106.94</v>
      </c>
      <c r="I67" s="1"/>
      <c r="J67" s="5">
        <f t="shared" ref="J67:J74" si="48">IF(H$12=0,0,H67/H$12)</f>
        <v>0</v>
      </c>
      <c r="K67" s="1"/>
      <c r="L67" s="1">
        <f t="shared" ref="L67:L74" si="49">+D67-H67</f>
        <v>-106.94</v>
      </c>
      <c r="M67" s="1"/>
      <c r="N67" s="5">
        <f t="shared" ref="N67:N74" si="50">IF(H67=0,0,L67/H67)</f>
        <v>-1</v>
      </c>
      <c r="O67" s="12"/>
      <c r="P67" s="1">
        <f>SUM(OSRRefP22_12x_0)</f>
        <v>0</v>
      </c>
      <c r="Q67" s="1"/>
      <c r="R67" s="5">
        <f t="shared" ref="R67:R74" si="51">IF(P$12=0,0,P67/P$12)</f>
        <v>0</v>
      </c>
      <c r="S67" s="1"/>
      <c r="T67" s="1">
        <f>SUM(OSRRefT22_12x_0)</f>
        <v>15992.96</v>
      </c>
      <c r="U67" s="1"/>
      <c r="V67" s="5">
        <f t="shared" ref="V67:V74" si="52">IF(T$12=0,0,T67/T$12)</f>
        <v>4.0764210682039226E-2</v>
      </c>
      <c r="W67" s="1"/>
      <c r="X67" s="1">
        <f t="shared" ref="X67:X74" si="53">+P67-T67</f>
        <v>-15992.96</v>
      </c>
      <c r="Y67" s="1"/>
      <c r="Z67" s="5">
        <f t="shared" ref="Z67:Z74" si="54">IF(T67=0,0,X67/T67)</f>
        <v>-1</v>
      </c>
    </row>
    <row r="68" spans="1:26" s="23" customFormat="1" hidden="1" outlineLevel="2" x14ac:dyDescent="0.25">
      <c r="A68" s="27"/>
      <c r="B68" s="10" t="str">
        <f>CONCATENATE("          ", "6234", " - ", "EXPENDABLE SUPPLIES &amp; EQUIPMEN")</f>
        <v xml:space="preserve">          6234 - EXPENDABLE SUPPLIES &amp; EQUIPMEN</v>
      </c>
      <c r="C68" s="10"/>
      <c r="D68" s="6"/>
      <c r="E68" s="2"/>
      <c r="F68" s="7">
        <f t="shared" si="47"/>
        <v>0</v>
      </c>
      <c r="G68" s="2"/>
      <c r="H68" s="6"/>
      <c r="I68" s="2"/>
      <c r="J68" s="7">
        <f t="shared" si="48"/>
        <v>0</v>
      </c>
      <c r="K68" s="2"/>
      <c r="L68" s="6">
        <f t="shared" si="49"/>
        <v>0</v>
      </c>
      <c r="M68" s="2"/>
      <c r="N68" s="7">
        <f t="shared" si="50"/>
        <v>0</v>
      </c>
      <c r="O68" s="10"/>
      <c r="P68" s="6"/>
      <c r="Q68" s="2"/>
      <c r="R68" s="7">
        <f t="shared" si="51"/>
        <v>0</v>
      </c>
      <c r="S68" s="2"/>
      <c r="T68" s="6">
        <v>3756.46</v>
      </c>
      <c r="U68" s="2"/>
      <c r="V68" s="7">
        <f t="shared" si="52"/>
        <v>9.574783333332483E-3</v>
      </c>
      <c r="W68" s="2"/>
      <c r="X68" s="6">
        <f t="shared" si="53"/>
        <v>-3756.46</v>
      </c>
      <c r="Y68" s="2"/>
      <c r="Z68" s="7">
        <f t="shared" si="54"/>
        <v>-1</v>
      </c>
    </row>
    <row r="69" spans="1:26" s="23" customFormat="1" hidden="1" outlineLevel="2" x14ac:dyDescent="0.25">
      <c r="A69" s="27"/>
      <c r="B69" s="10" t="str">
        <f>CONCATENATE("          ", "6237", " - ", "JANITORIAL SUPPLIES")</f>
        <v xml:space="preserve">          6237 - JANITORIAL SUPPLIES</v>
      </c>
      <c r="C69" s="10"/>
      <c r="D69" s="6"/>
      <c r="E69" s="2"/>
      <c r="F69" s="7">
        <f t="shared" si="47"/>
        <v>0</v>
      </c>
      <c r="G69" s="2"/>
      <c r="H69" s="6"/>
      <c r="I69" s="2"/>
      <c r="J69" s="7">
        <f t="shared" si="48"/>
        <v>0</v>
      </c>
      <c r="K69" s="2"/>
      <c r="L69" s="6">
        <f t="shared" si="49"/>
        <v>0</v>
      </c>
      <c r="M69" s="2"/>
      <c r="N69" s="7">
        <f t="shared" si="50"/>
        <v>0</v>
      </c>
      <c r="O69" s="10"/>
      <c r="P69" s="6"/>
      <c r="Q69" s="2"/>
      <c r="R69" s="7">
        <f t="shared" si="51"/>
        <v>0</v>
      </c>
      <c r="S69" s="2"/>
      <c r="T69" s="6">
        <v>1507.19</v>
      </c>
      <c r="U69" s="2"/>
      <c r="V69" s="7">
        <f t="shared" si="52"/>
        <v>3.8416534961547271E-3</v>
      </c>
      <c r="W69" s="2"/>
      <c r="X69" s="6">
        <f t="shared" si="53"/>
        <v>-1507.19</v>
      </c>
      <c r="Y69" s="2"/>
      <c r="Z69" s="7">
        <f t="shared" si="54"/>
        <v>-1</v>
      </c>
    </row>
    <row r="70" spans="1:26" s="23" customFormat="1" hidden="1" outlineLevel="2" x14ac:dyDescent="0.25">
      <c r="A70" s="27"/>
      <c r="B70" s="10" t="str">
        <f>CONCATENATE("          ", "6239", " - ", "KITCHEN SUPPLIES")</f>
        <v xml:space="preserve">          6239 - KITCHEN SUPPLIES</v>
      </c>
      <c r="C70" s="10"/>
      <c r="D70" s="6"/>
      <c r="E70" s="2"/>
      <c r="F70" s="7">
        <f t="shared" si="47"/>
        <v>0</v>
      </c>
      <c r="G70" s="2"/>
      <c r="H70" s="6">
        <v>106.94</v>
      </c>
      <c r="I70" s="2"/>
      <c r="J70" s="7">
        <f t="shared" si="48"/>
        <v>0</v>
      </c>
      <c r="K70" s="2"/>
      <c r="L70" s="6">
        <f t="shared" si="49"/>
        <v>-106.94</v>
      </c>
      <c r="M70" s="2"/>
      <c r="N70" s="7">
        <f t="shared" si="50"/>
        <v>-1</v>
      </c>
      <c r="O70" s="10"/>
      <c r="P70" s="6"/>
      <c r="Q70" s="2"/>
      <c r="R70" s="7">
        <f t="shared" si="51"/>
        <v>0</v>
      </c>
      <c r="S70" s="2"/>
      <c r="T70" s="6">
        <v>7140.25</v>
      </c>
      <c r="U70" s="2"/>
      <c r="V70" s="7">
        <f t="shared" si="52"/>
        <v>1.8199673814130127E-2</v>
      </c>
      <c r="W70" s="2"/>
      <c r="X70" s="6">
        <f t="shared" si="53"/>
        <v>-7140.25</v>
      </c>
      <c r="Y70" s="2"/>
      <c r="Z70" s="7">
        <f t="shared" si="54"/>
        <v>-1</v>
      </c>
    </row>
    <row r="71" spans="1:26" s="23" customFormat="1" hidden="1" outlineLevel="2" x14ac:dyDescent="0.25">
      <c r="A71" s="27"/>
      <c r="B71" s="10" t="str">
        <f>CONCATENATE("          ", "6241", " - ", "OFFICE EXPENSE")</f>
        <v xml:space="preserve">          6241 - OFFICE EXPENSE</v>
      </c>
      <c r="C71" s="10"/>
      <c r="D71" s="6"/>
      <c r="E71" s="2"/>
      <c r="F71" s="7">
        <f t="shared" si="47"/>
        <v>0</v>
      </c>
      <c r="G71" s="2"/>
      <c r="H71" s="6"/>
      <c r="I71" s="2"/>
      <c r="J71" s="7">
        <f t="shared" si="48"/>
        <v>0</v>
      </c>
      <c r="K71" s="2"/>
      <c r="L71" s="6">
        <f t="shared" si="49"/>
        <v>0</v>
      </c>
      <c r="M71" s="2"/>
      <c r="N71" s="7">
        <f t="shared" si="50"/>
        <v>0</v>
      </c>
      <c r="O71" s="10"/>
      <c r="P71" s="6"/>
      <c r="Q71" s="2"/>
      <c r="R71" s="7">
        <f t="shared" si="51"/>
        <v>0</v>
      </c>
      <c r="S71" s="2"/>
      <c r="T71" s="6">
        <v>599.88</v>
      </c>
      <c r="U71" s="2"/>
      <c r="V71" s="7">
        <f t="shared" si="52"/>
        <v>1.5290249399699425E-3</v>
      </c>
      <c r="W71" s="2"/>
      <c r="X71" s="6">
        <f t="shared" si="53"/>
        <v>-599.88</v>
      </c>
      <c r="Y71" s="2"/>
      <c r="Z71" s="7">
        <f t="shared" si="54"/>
        <v>-1</v>
      </c>
    </row>
    <row r="72" spans="1:26" s="23" customFormat="1" hidden="1" outlineLevel="2" x14ac:dyDescent="0.25">
      <c r="A72" s="27"/>
      <c r="B72" s="10" t="str">
        <f>CONCATENATE("          ", "6243", " - ", "PAPER SUPPLIES")</f>
        <v xml:space="preserve">          6243 - PAPER SUPPLIES</v>
      </c>
      <c r="C72" s="10"/>
      <c r="D72" s="6"/>
      <c r="E72" s="2"/>
      <c r="F72" s="7">
        <f t="shared" si="47"/>
        <v>0</v>
      </c>
      <c r="G72" s="2"/>
      <c r="H72" s="6"/>
      <c r="I72" s="2"/>
      <c r="J72" s="7">
        <f t="shared" si="48"/>
        <v>0</v>
      </c>
      <c r="K72" s="2"/>
      <c r="L72" s="6">
        <f t="shared" si="49"/>
        <v>0</v>
      </c>
      <c r="M72" s="2"/>
      <c r="N72" s="7">
        <f t="shared" si="50"/>
        <v>0</v>
      </c>
      <c r="O72" s="10"/>
      <c r="P72" s="6"/>
      <c r="Q72" s="2"/>
      <c r="R72" s="7">
        <f t="shared" si="51"/>
        <v>0</v>
      </c>
      <c r="S72" s="2"/>
      <c r="T72" s="6">
        <v>2632.41</v>
      </c>
      <c r="U72" s="2"/>
      <c r="V72" s="7">
        <f t="shared" si="52"/>
        <v>6.7097095122795828E-3</v>
      </c>
      <c r="W72" s="2"/>
      <c r="X72" s="6">
        <f t="shared" si="53"/>
        <v>-2632.41</v>
      </c>
      <c r="Y72" s="2"/>
      <c r="Z72" s="7">
        <f t="shared" si="54"/>
        <v>-1</v>
      </c>
    </row>
    <row r="73" spans="1:26" s="23" customFormat="1" hidden="1" outlineLevel="2" x14ac:dyDescent="0.25">
      <c r="A73" s="27"/>
      <c r="B73" s="10" t="str">
        <f>CONCATENATE("          ", "6247", " - ", "STORE SUPPLIES")</f>
        <v xml:space="preserve">          6247 - STORE SUPPLIES</v>
      </c>
      <c r="C73" s="10"/>
      <c r="D73" s="6"/>
      <c r="E73" s="2"/>
      <c r="F73" s="7">
        <f t="shared" si="47"/>
        <v>0</v>
      </c>
      <c r="G73" s="2"/>
      <c r="H73" s="6"/>
      <c r="I73" s="2"/>
      <c r="J73" s="7">
        <f t="shared" si="48"/>
        <v>0</v>
      </c>
      <c r="K73" s="2"/>
      <c r="L73" s="6">
        <f t="shared" si="49"/>
        <v>0</v>
      </c>
      <c r="M73" s="2"/>
      <c r="N73" s="7">
        <f t="shared" si="50"/>
        <v>0</v>
      </c>
      <c r="O73" s="10"/>
      <c r="P73" s="6"/>
      <c r="Q73" s="2"/>
      <c r="R73" s="7">
        <f t="shared" si="51"/>
        <v>0</v>
      </c>
      <c r="S73" s="2"/>
      <c r="T73" s="6">
        <v>-97.67</v>
      </c>
      <c r="U73" s="2"/>
      <c r="V73" s="7">
        <f t="shared" si="52"/>
        <v>-2.4894956639138539E-4</v>
      </c>
      <c r="W73" s="2"/>
      <c r="X73" s="6">
        <f t="shared" si="53"/>
        <v>97.67</v>
      </c>
      <c r="Y73" s="2"/>
      <c r="Z73" s="7">
        <f t="shared" si="54"/>
        <v>-1</v>
      </c>
    </row>
    <row r="74" spans="1:26" s="23" customFormat="1" hidden="1" outlineLevel="2" x14ac:dyDescent="0.25">
      <c r="A74" s="27"/>
      <c r="B74" s="10" t="str">
        <f>CONCATENATE("          ", "6248", " - ", "UNIFORMS")</f>
        <v xml:space="preserve">          6248 - UNIFORMS</v>
      </c>
      <c r="C74" s="10"/>
      <c r="D74" s="6"/>
      <c r="E74" s="2"/>
      <c r="F74" s="7">
        <f t="shared" si="47"/>
        <v>0</v>
      </c>
      <c r="G74" s="2"/>
      <c r="H74" s="6"/>
      <c r="I74" s="2"/>
      <c r="J74" s="7">
        <f t="shared" si="48"/>
        <v>0</v>
      </c>
      <c r="K74" s="2"/>
      <c r="L74" s="6">
        <f t="shared" si="49"/>
        <v>0</v>
      </c>
      <c r="M74" s="2"/>
      <c r="N74" s="7">
        <f t="shared" si="50"/>
        <v>0</v>
      </c>
      <c r="O74" s="10"/>
      <c r="P74" s="6"/>
      <c r="Q74" s="2"/>
      <c r="R74" s="7">
        <f t="shared" si="51"/>
        <v>0</v>
      </c>
      <c r="S74" s="2"/>
      <c r="T74" s="6">
        <v>454.44</v>
      </c>
      <c r="U74" s="2"/>
      <c r="V74" s="7">
        <f t="shared" si="52"/>
        <v>1.158315152563747E-3</v>
      </c>
      <c r="W74" s="2"/>
      <c r="X74" s="6">
        <f t="shared" si="53"/>
        <v>-454.44</v>
      </c>
      <c r="Y74" s="2"/>
      <c r="Z74" s="7">
        <f t="shared" si="54"/>
        <v>-1</v>
      </c>
    </row>
    <row r="75" spans="1:26" s="26" customFormat="1" outlineLevel="1" collapsed="1" x14ac:dyDescent="0.25">
      <c r="A75" s="25"/>
      <c r="B75" s="12" t="str">
        <f>CONCATENATE("     ","Telephone/Data Lines                              ")</f>
        <v xml:space="preserve">     Telephone/Data Lines                              </v>
      </c>
      <c r="C75" s="12"/>
      <c r="D75" s="1">
        <f>SUM(OSRRefD22_13x_0)</f>
        <v>0</v>
      </c>
      <c r="E75" s="1"/>
      <c r="F75" s="5">
        <f t="shared" ref="F75:F78" si="55">IF(D$12=0,0,D75/D$12)</f>
        <v>0</v>
      </c>
      <c r="G75" s="1"/>
      <c r="H75" s="1">
        <f>SUM(OSRRefH22_13x_0)</f>
        <v>309.58999999999997</v>
      </c>
      <c r="I75" s="1"/>
      <c r="J75" s="5">
        <f t="shared" ref="J75:J78" si="56">IF(H$12=0,0,H75/H$12)</f>
        <v>0</v>
      </c>
      <c r="K75" s="1"/>
      <c r="L75" s="1">
        <f t="shared" ref="L75:L78" si="57">+D75-H75</f>
        <v>-309.58999999999997</v>
      </c>
      <c r="M75" s="1"/>
      <c r="N75" s="5">
        <f t="shared" ref="N75:N78" si="58">IF(H75=0,0,L75/H75)</f>
        <v>-1</v>
      </c>
      <c r="O75" s="12"/>
      <c r="P75" s="1">
        <f>SUM(OSRRefP22_13x_0)</f>
        <v>132.54</v>
      </c>
      <c r="Q75" s="1"/>
      <c r="R75" s="5">
        <f t="shared" ref="R75:R78" si="59">IF(P$12=0,0,P75/P$12)</f>
        <v>0</v>
      </c>
      <c r="S75" s="1"/>
      <c r="T75" s="1">
        <f>SUM(OSRRefT22_13x_0)</f>
        <v>3201.97</v>
      </c>
      <c r="U75" s="1"/>
      <c r="V75" s="5">
        <f t="shared" ref="V75:V78" si="60">IF(T$12=0,0,T75/T$12)</f>
        <v>8.1614522688463632E-3</v>
      </c>
      <c r="W75" s="1"/>
      <c r="X75" s="1">
        <f t="shared" ref="X75:X78" si="61">+P75-T75</f>
        <v>-3069.43</v>
      </c>
      <c r="Y75" s="1"/>
      <c r="Z75" s="5">
        <f t="shared" ref="Z75:Z78" si="62">IF(T75=0,0,X75/T75)</f>
        <v>-0.95860673273016295</v>
      </c>
    </row>
    <row r="76" spans="1:26" s="23" customFormat="1" hidden="1" outlineLevel="2" x14ac:dyDescent="0.25">
      <c r="A76" s="27"/>
      <c r="B76" s="10" t="str">
        <f>CONCATENATE("          ", "6309", " - ", "TELEPHONE")</f>
        <v xml:space="preserve">          6309 - TELEPHONE</v>
      </c>
      <c r="C76" s="10"/>
      <c r="D76" s="6"/>
      <c r="E76" s="2"/>
      <c r="F76" s="7">
        <f t="shared" si="55"/>
        <v>0</v>
      </c>
      <c r="G76" s="2"/>
      <c r="H76" s="6">
        <v>309.58999999999997</v>
      </c>
      <c r="I76" s="2"/>
      <c r="J76" s="7">
        <f t="shared" si="56"/>
        <v>0</v>
      </c>
      <c r="K76" s="2"/>
      <c r="L76" s="6">
        <f t="shared" si="57"/>
        <v>-309.58999999999997</v>
      </c>
      <c r="M76" s="2"/>
      <c r="N76" s="7">
        <f t="shared" si="58"/>
        <v>-1</v>
      </c>
      <c r="O76" s="10"/>
      <c r="P76" s="6">
        <v>132.54</v>
      </c>
      <c r="Q76" s="2"/>
      <c r="R76" s="7">
        <f t="shared" si="59"/>
        <v>0</v>
      </c>
      <c r="S76" s="2"/>
      <c r="T76" s="6">
        <v>3201.97</v>
      </c>
      <c r="U76" s="2"/>
      <c r="V76" s="7">
        <f t="shared" si="60"/>
        <v>8.1614522688463632E-3</v>
      </c>
      <c r="W76" s="2"/>
      <c r="X76" s="6">
        <f t="shared" si="61"/>
        <v>-3069.43</v>
      </c>
      <c r="Y76" s="2"/>
      <c r="Z76" s="7">
        <f t="shared" si="62"/>
        <v>-0.95860673273016295</v>
      </c>
    </row>
    <row r="77" spans="1:26" s="26" customFormat="1" outlineLevel="1" collapsed="1" x14ac:dyDescent="0.25">
      <c r="A77" s="25"/>
      <c r="B77" s="12" t="str">
        <f>CONCATENATE("     ","Training                                          ")</f>
        <v xml:space="preserve">     Training                                          </v>
      </c>
      <c r="C77" s="12"/>
      <c r="D77" s="1">
        <f>SUM(OSRRefD22_14x_0)</f>
        <v>0</v>
      </c>
      <c r="E77" s="1"/>
      <c r="F77" s="5">
        <f t="shared" si="55"/>
        <v>0</v>
      </c>
      <c r="G77" s="1"/>
      <c r="H77" s="1">
        <f>SUM(OSRRefH22_14x_0)</f>
        <v>0</v>
      </c>
      <c r="I77" s="1"/>
      <c r="J77" s="5">
        <f t="shared" si="56"/>
        <v>0</v>
      </c>
      <c r="K77" s="1"/>
      <c r="L77" s="1">
        <f t="shared" si="57"/>
        <v>0</v>
      </c>
      <c r="M77" s="1"/>
      <c r="N77" s="5">
        <f t="shared" si="58"/>
        <v>0</v>
      </c>
      <c r="O77" s="12"/>
      <c r="P77" s="1">
        <f>SUM(OSRRefP22_14x_0)</f>
        <v>0</v>
      </c>
      <c r="Q77" s="1"/>
      <c r="R77" s="5">
        <f t="shared" si="59"/>
        <v>0</v>
      </c>
      <c r="S77" s="1"/>
      <c r="T77" s="1">
        <f>SUM(OSRRefT22_14x_0)</f>
        <v>337.96</v>
      </c>
      <c r="U77" s="1"/>
      <c r="V77" s="5">
        <f t="shared" si="60"/>
        <v>8.6142106540014962E-4</v>
      </c>
      <c r="W77" s="1"/>
      <c r="X77" s="1">
        <f t="shared" si="61"/>
        <v>-337.96</v>
      </c>
      <c r="Y77" s="1"/>
      <c r="Z77" s="5">
        <f t="shared" si="62"/>
        <v>-1</v>
      </c>
    </row>
    <row r="78" spans="1:26" s="23" customFormat="1" hidden="1" outlineLevel="2" x14ac:dyDescent="0.25">
      <c r="A78" s="27"/>
      <c r="B78" s="10" t="str">
        <f>CONCATENATE("          ", "6376", " - ", "TRAINING")</f>
        <v xml:space="preserve">          6376 - TRAINING</v>
      </c>
      <c r="C78" s="10"/>
      <c r="D78" s="6"/>
      <c r="E78" s="2"/>
      <c r="F78" s="7">
        <f t="shared" si="55"/>
        <v>0</v>
      </c>
      <c r="G78" s="2"/>
      <c r="H78" s="6"/>
      <c r="I78" s="2"/>
      <c r="J78" s="7">
        <f t="shared" si="56"/>
        <v>0</v>
      </c>
      <c r="K78" s="2"/>
      <c r="L78" s="6">
        <f t="shared" si="57"/>
        <v>0</v>
      </c>
      <c r="M78" s="2"/>
      <c r="N78" s="7">
        <f t="shared" si="58"/>
        <v>0</v>
      </c>
      <c r="O78" s="10"/>
      <c r="P78" s="6"/>
      <c r="Q78" s="2"/>
      <c r="R78" s="7">
        <f t="shared" si="59"/>
        <v>0</v>
      </c>
      <c r="S78" s="2"/>
      <c r="T78" s="6">
        <v>337.96</v>
      </c>
      <c r="U78" s="2"/>
      <c r="V78" s="7">
        <f t="shared" si="60"/>
        <v>8.6142106540014962E-4</v>
      </c>
      <c r="W78" s="2"/>
      <c r="X78" s="6">
        <f t="shared" si="61"/>
        <v>-337.96</v>
      </c>
      <c r="Y78" s="2"/>
      <c r="Z78" s="7">
        <f t="shared" si="62"/>
        <v>-1</v>
      </c>
    </row>
    <row r="79" spans="1:26" s="62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4" customFormat="1" collapsed="1" x14ac:dyDescent="0.25">
      <c r="A80" s="11"/>
      <c r="B80" s="28" t="s">
        <v>292</v>
      </c>
      <c r="C80" s="11"/>
      <c r="D80" s="4">
        <f>SUM(OSRRefD25x_0)</f>
        <v>0</v>
      </c>
      <c r="E80" s="4"/>
      <c r="F80" s="13">
        <f t="shared" ref="F80:F81" si="63">IF(D$12=0,0,D80/D$12)</f>
        <v>0</v>
      </c>
      <c r="G80" s="4"/>
      <c r="H80" s="4">
        <f>SUM(OSRRefH25x_0)</f>
        <v>0</v>
      </c>
      <c r="I80" s="4"/>
      <c r="J80" s="13">
        <f t="shared" ref="J80:J81" si="64">IF(H$12=0,0,H80/H$12)</f>
        <v>0</v>
      </c>
      <c r="K80" s="4"/>
      <c r="L80" s="4">
        <f t="shared" ref="L80:L81" si="65">+D80-H80</f>
        <v>0</v>
      </c>
      <c r="M80" s="4"/>
      <c r="N80" s="13">
        <f t="shared" ref="N80:N81" si="66">IF(H80=0,0,L80/H80)</f>
        <v>0</v>
      </c>
      <c r="O80" s="11"/>
      <c r="P80" s="4">
        <f>SUM(OSRRefP25x_0)</f>
        <v>0</v>
      </c>
      <c r="Q80" s="4"/>
      <c r="R80" s="13">
        <f t="shared" ref="R80:R81" si="67">IF(P$12=0,0,P80/P$12)</f>
        <v>0</v>
      </c>
      <c r="S80" s="4"/>
      <c r="T80" s="4">
        <f>SUM(OSRRefT25x_0)</f>
        <v>39607.82</v>
      </c>
      <c r="U80" s="4"/>
      <c r="V80" s="13">
        <f t="shared" ref="V80:V81" si="68">IF(T$12=0,0,T80/T$12)</f>
        <v>0.10095576548283038</v>
      </c>
      <c r="W80" s="4"/>
      <c r="X80" s="4">
        <f t="shared" ref="X80:X81" si="69">+P80-T80</f>
        <v>-39607.82</v>
      </c>
      <c r="Y80" s="4"/>
      <c r="Z80" s="13">
        <f t="shared" ref="Z80:Z81" si="70">IF(T80=0,0,X80/T80)</f>
        <v>-1</v>
      </c>
    </row>
    <row r="81" spans="1:26" s="23" customFormat="1" hidden="1" outlineLevel="1" x14ac:dyDescent="0.25">
      <c r="A81" s="44"/>
      <c r="B81" s="10" t="str">
        <f>CONCATENATE("          ", "9150", " - ", "MISC. INCOME")</f>
        <v xml:space="preserve">          9150 - MISC. INCOME</v>
      </c>
      <c r="C81" s="10"/>
      <c r="D81" s="2">
        <f>0</f>
        <v>0</v>
      </c>
      <c r="E81" s="2"/>
      <c r="F81" s="19">
        <f t="shared" si="63"/>
        <v>0</v>
      </c>
      <c r="G81" s="2"/>
      <c r="H81" s="2">
        <f>0</f>
        <v>0</v>
      </c>
      <c r="I81" s="2"/>
      <c r="J81" s="19">
        <f t="shared" si="64"/>
        <v>0</v>
      </c>
      <c r="K81" s="2"/>
      <c r="L81" s="2">
        <f t="shared" si="65"/>
        <v>0</v>
      </c>
      <c r="M81" s="2"/>
      <c r="N81" s="19">
        <f t="shared" si="66"/>
        <v>0</v>
      </c>
      <c r="O81" s="10"/>
      <c r="P81" s="2">
        <f>0</f>
        <v>0</v>
      </c>
      <c r="Q81" s="2"/>
      <c r="R81" s="19">
        <f t="shared" si="67"/>
        <v>0</v>
      </c>
      <c r="S81" s="2"/>
      <c r="T81" s="2">
        <f>--39607.82</f>
        <v>39607.82</v>
      </c>
      <c r="U81" s="2"/>
      <c r="V81" s="19">
        <f t="shared" si="68"/>
        <v>0.10095576548283038</v>
      </c>
      <c r="W81" s="2"/>
      <c r="X81" s="2">
        <f t="shared" si="69"/>
        <v>-39607.82</v>
      </c>
      <c r="Y81" s="2"/>
      <c r="Z81" s="19">
        <f t="shared" si="70"/>
        <v>-1</v>
      </c>
    </row>
    <row r="82" spans="1:26" x14ac:dyDescent="0.25">
      <c r="A82" s="9"/>
      <c r="B82" s="11"/>
      <c r="C82" s="11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1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4" customFormat="1" x14ac:dyDescent="0.25">
      <c r="A83" s="11"/>
      <c r="B83" s="29" t="s">
        <v>276</v>
      </c>
      <c r="C83" s="29"/>
      <c r="D83" s="20">
        <f>+D23-D25+D80</f>
        <v>-1000.91</v>
      </c>
      <c r="E83" s="14"/>
      <c r="F83" s="22">
        <f>IF(D$12=0,0,D83/D$12)</f>
        <v>0</v>
      </c>
      <c r="G83" s="14"/>
      <c r="H83" s="20">
        <f>+H23-H25+H80</f>
        <v>-45552.32</v>
      </c>
      <c r="I83" s="14"/>
      <c r="J83" s="22">
        <f>IF(H$12=0,0,H83/H$12)</f>
        <v>0</v>
      </c>
      <c r="K83" s="16"/>
      <c r="L83" s="20">
        <f>+D83-H83</f>
        <v>44551.409999999996</v>
      </c>
      <c r="M83" s="16"/>
      <c r="N83" s="22">
        <f>IF(H83=0,0,L83/H83)</f>
        <v>-0.97802724427647147</v>
      </c>
      <c r="O83" s="28"/>
      <c r="P83" s="20">
        <f>+P23-P25+P80</f>
        <v>-7044.3799999999992</v>
      </c>
      <c r="Q83" s="14"/>
      <c r="R83" s="22">
        <f>IF(P$12=0,0,P83/P$12)</f>
        <v>0</v>
      </c>
      <c r="S83" s="14"/>
      <c r="T83" s="20">
        <f>+T23-T25+T80</f>
        <v>-33763.089999999887</v>
      </c>
      <c r="U83" s="14"/>
      <c r="V83" s="22">
        <f>IF(T$12=0,0,T83/T$12)</f>
        <v>-8.6058222745298382E-2</v>
      </c>
      <c r="W83" s="16"/>
      <c r="X83" s="20">
        <f>+P83-T83</f>
        <v>26718.70999999989</v>
      </c>
      <c r="Y83" s="16"/>
      <c r="Z83" s="22">
        <f>IF(T83=0,0,X83/T83)</f>
        <v>-0.79135855160176327</v>
      </c>
    </row>
    <row r="84" spans="1:26" x14ac:dyDescent="0.25">
      <c r="A84" s="9"/>
      <c r="B84" s="11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4" customFormat="1" x14ac:dyDescent="0.25">
      <c r="A85" s="51"/>
      <c r="B85" s="11" t="s">
        <v>127</v>
      </c>
      <c r="C85" s="11"/>
      <c r="D85" s="4"/>
      <c r="E85" s="4"/>
      <c r="F85" s="13">
        <f>IF(D$12=0,0,D85/D$12)</f>
        <v>0</v>
      </c>
      <c r="G85" s="4"/>
      <c r="H85" s="4">
        <v>2507.14</v>
      </c>
      <c r="I85" s="4"/>
      <c r="J85" s="13">
        <f>IF(H$12=0,0,H85/H$12)</f>
        <v>0</v>
      </c>
      <c r="K85" s="4"/>
      <c r="L85" s="4">
        <f>+D85-H85</f>
        <v>-2507.14</v>
      </c>
      <c r="M85" s="4"/>
      <c r="N85" s="13">
        <f>IF(H85=0,0,L85/H85)</f>
        <v>-1</v>
      </c>
      <c r="O85" s="11"/>
      <c r="P85" s="4"/>
      <c r="Q85" s="4"/>
      <c r="R85" s="13">
        <f>IF(P$12=0,0,P85/P$12)</f>
        <v>0</v>
      </c>
      <c r="S85" s="4"/>
      <c r="T85" s="4">
        <v>44546.09</v>
      </c>
      <c r="U85" s="4"/>
      <c r="V85" s="13">
        <f>IF(T$12=0,0,T85/T$12)</f>
        <v>0.11354284621615264</v>
      </c>
      <c r="W85" s="4"/>
      <c r="X85" s="4">
        <f>+P85-T85</f>
        <v>-44546.09</v>
      </c>
      <c r="Y85" s="4"/>
      <c r="Z85" s="13">
        <f>IF(T85=0,0,X85/T85)</f>
        <v>-1</v>
      </c>
    </row>
    <row r="86" spans="1:26" x14ac:dyDescent="0.25">
      <c r="A86" s="9"/>
      <c r="B86" s="11"/>
      <c r="C86" s="11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1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4" customFormat="1" ht="15.75" thickBot="1" x14ac:dyDescent="0.3">
      <c r="A87" s="11"/>
      <c r="B87" s="29" t="s">
        <v>125</v>
      </c>
      <c r="C87" s="29"/>
      <c r="D87" s="30">
        <f>+D83-D85</f>
        <v>-1000.91</v>
      </c>
      <c r="E87" s="14"/>
      <c r="F87" s="34">
        <f>IF(D$12=0,0,D87/D$12)</f>
        <v>0</v>
      </c>
      <c r="G87" s="14"/>
      <c r="H87" s="30">
        <f>+H83-H85</f>
        <v>-48059.46</v>
      </c>
      <c r="I87" s="14"/>
      <c r="J87" s="34">
        <f>IF(H$12=0,0,H87/H$12)</f>
        <v>0</v>
      </c>
      <c r="K87" s="16"/>
      <c r="L87" s="30">
        <f>D87-H87</f>
        <v>47058.549999999996</v>
      </c>
      <c r="M87" s="16"/>
      <c r="N87" s="34">
        <f>IF(H87=0,0,L87/H87)</f>
        <v>-0.97917350715134954</v>
      </c>
      <c r="O87" s="28"/>
      <c r="P87" s="30">
        <f>+P83-P85</f>
        <v>-7044.3799999999992</v>
      </c>
      <c r="Q87" s="14"/>
      <c r="R87" s="34">
        <f>IF(P$12=0,0,P87/P$12)</f>
        <v>0</v>
      </c>
      <c r="S87" s="14"/>
      <c r="T87" s="30">
        <f>+T83-T85</f>
        <v>-78309.179999999877</v>
      </c>
      <c r="U87" s="14"/>
      <c r="V87" s="34">
        <f>IF(T$12=0,0,T87/T$12)</f>
        <v>-0.19960106896145099</v>
      </c>
      <c r="W87" s="16"/>
      <c r="X87" s="30">
        <f>P87-T87</f>
        <v>71264.799999999872</v>
      </c>
      <c r="Y87" s="16"/>
      <c r="Z87" s="34">
        <f>IF(T87=0,0,X87/T87)</f>
        <v>-0.91004400761187876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ht="15.75" thickBot="1" x14ac:dyDescent="0.3">
      <c r="A90" s="11"/>
      <c r="B90" s="29" t="s">
        <v>293</v>
      </c>
      <c r="C90" s="29"/>
      <c r="D90" s="32">
        <f>SUM(D87:D89)</f>
        <v>-1000.91</v>
      </c>
      <c r="E90" s="14"/>
      <c r="F90" s="35">
        <f>IF(D$12=0,0,D90/D$12)</f>
        <v>0</v>
      </c>
      <c r="G90" s="14"/>
      <c r="H90" s="32">
        <f>SUM(H87:H89)</f>
        <v>-48059.46</v>
      </c>
      <c r="I90" s="14"/>
      <c r="J90" s="35">
        <f>IF(H$12=0,0,H90/H$12)</f>
        <v>0</v>
      </c>
      <c r="K90" s="16"/>
      <c r="L90" s="32">
        <f>+D90-H90</f>
        <v>47058.549999999996</v>
      </c>
      <c r="M90" s="16"/>
      <c r="N90" s="35">
        <f>IF(H90=0,0,L90/H90)</f>
        <v>-0.97917350715134954</v>
      </c>
      <c r="O90" s="28"/>
      <c r="P90" s="32">
        <f>SUM(P87:P89)</f>
        <v>-7044.3799999999992</v>
      </c>
      <c r="Q90" s="14"/>
      <c r="R90" s="35">
        <f>IF(P$12=0,0,P90/P$12)</f>
        <v>0</v>
      </c>
      <c r="S90" s="14"/>
      <c r="T90" s="32">
        <f>SUM(T87:T89)</f>
        <v>-78309.179999999877</v>
      </c>
      <c r="U90" s="14"/>
      <c r="V90" s="35">
        <f>IF(T$12=0,0,T90/T$12)</f>
        <v>-0.19960106896145099</v>
      </c>
      <c r="W90" s="16"/>
      <c r="X90" s="32">
        <f>+P90-T90</f>
        <v>71264.799999999872</v>
      </c>
      <c r="Y90" s="16"/>
      <c r="Z90" s="35">
        <f>IF(T90=0,0,X90/T90)</f>
        <v>-0.91004400761187876</v>
      </c>
    </row>
    <row r="91" spans="1:26" ht="15.75" thickTop="1" x14ac:dyDescent="0.25">
      <c r="A91" s="9"/>
      <c r="C91" s="9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59">
        <v>44330.00886898148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52" t="s">
        <v>56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5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","455", " - ", "Vending (old)")</f>
        <v>Department 455 - Vending (old)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0</v>
      </c>
      <c r="E18" s="21"/>
      <c r="F18" s="31">
        <f t="shared" ref="F18:F26" si="0">IF(D$12=0,0,D18/D$12)</f>
        <v>0</v>
      </c>
      <c r="G18" s="21"/>
      <c r="H18" s="21">
        <f>SUM(OSRRefH22x_0)</f>
        <v>0</v>
      </c>
      <c r="I18" s="21"/>
      <c r="J18" s="31">
        <f t="shared" ref="J18:J26" si="1">IF(H$12=0,0,H18/H$12)</f>
        <v>0</v>
      </c>
      <c r="K18" s="4"/>
      <c r="L18" s="21">
        <f t="shared" ref="L18:L26" si="2">+D18-H18</f>
        <v>0</v>
      </c>
      <c r="M18" s="4"/>
      <c r="N18" s="31">
        <f t="shared" ref="N18:N26" si="3">IF(H18=0,0,L18/H18)</f>
        <v>0</v>
      </c>
      <c r="O18" s="11"/>
      <c r="P18" s="21">
        <f>SUM(OSRRefP22x_0)</f>
        <v>0</v>
      </c>
      <c r="Q18" s="21"/>
      <c r="R18" s="31">
        <f t="shared" ref="R18:R26" si="4">IF(P$12=0,0,P18/P$12)</f>
        <v>0</v>
      </c>
      <c r="S18" s="21"/>
      <c r="T18" s="21">
        <f>SUM(OSRRefT22x_0)</f>
        <v>67961.41</v>
      </c>
      <c r="U18" s="21"/>
      <c r="V18" s="31">
        <f t="shared" ref="V18:V26" si="5">IF(T$12=0,0,T18/T$12)</f>
        <v>0</v>
      </c>
      <c r="W18" s="4"/>
      <c r="X18" s="21">
        <f t="shared" ref="X18:X26" si="6">+P18-T18</f>
        <v>-67961.41</v>
      </c>
      <c r="Y18" s="4"/>
      <c r="Z18" s="31">
        <f t="shared" ref="Z18:Z26" si="7">IF(T18=0,0,X18/T18)</f>
        <v>-1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2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30774.21</v>
      </c>
      <c r="U19" s="1"/>
      <c r="V19" s="5">
        <f t="shared" si="5"/>
        <v>0</v>
      </c>
      <c r="W19" s="1"/>
      <c r="X19" s="1">
        <f t="shared" si="6"/>
        <v>-30774.21</v>
      </c>
      <c r="Y19" s="1"/>
      <c r="Z19" s="5">
        <f t="shared" si="7"/>
        <v>-1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0"/>
      <c r="P20" s="6"/>
      <c r="Q20" s="2"/>
      <c r="R20" s="7">
        <f t="shared" si="4"/>
        <v>0</v>
      </c>
      <c r="S20" s="2"/>
      <c r="T20" s="6">
        <v>2908.48</v>
      </c>
      <c r="U20" s="2"/>
      <c r="V20" s="7">
        <f t="shared" si="5"/>
        <v>0</v>
      </c>
      <c r="W20" s="2"/>
      <c r="X20" s="6">
        <f t="shared" si="6"/>
        <v>-2908.48</v>
      </c>
      <c r="Y20" s="2"/>
      <c r="Z20" s="7">
        <f t="shared" si="7"/>
        <v>-1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/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0"/>
      <c r="P21" s="6"/>
      <c r="Q21" s="2"/>
      <c r="R21" s="7">
        <f t="shared" si="4"/>
        <v>0</v>
      </c>
      <c r="S21" s="2"/>
      <c r="T21" s="6">
        <v>159.32</v>
      </c>
      <c r="U21" s="2"/>
      <c r="V21" s="7">
        <f t="shared" si="5"/>
        <v>0</v>
      </c>
      <c r="W21" s="2"/>
      <c r="X21" s="6">
        <f t="shared" si="6"/>
        <v>-159.32</v>
      </c>
      <c r="Y21" s="2"/>
      <c r="Z21" s="7">
        <f t="shared" si="7"/>
        <v>-1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/>
      <c r="E22" s="2"/>
      <c r="F22" s="7">
        <f t="shared" si="0"/>
        <v>0</v>
      </c>
      <c r="G22" s="2"/>
      <c r="H22" s="6">
        <v>0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0"/>
      <c r="P22" s="6"/>
      <c r="Q22" s="2"/>
      <c r="R22" s="7">
        <f t="shared" si="4"/>
        <v>0</v>
      </c>
      <c r="S22" s="2"/>
      <c r="T22" s="6">
        <v>8394</v>
      </c>
      <c r="U22" s="2"/>
      <c r="V22" s="7">
        <f t="shared" si="5"/>
        <v>0</v>
      </c>
      <c r="W22" s="2"/>
      <c r="X22" s="6">
        <f t="shared" si="6"/>
        <v>-8394</v>
      </c>
      <c r="Y22" s="2"/>
      <c r="Z22" s="7">
        <f t="shared" si="7"/>
        <v>-1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/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0</v>
      </c>
      <c r="M23" s="2"/>
      <c r="N23" s="7">
        <f t="shared" si="3"/>
        <v>0</v>
      </c>
      <c r="O23" s="10"/>
      <c r="P23" s="6"/>
      <c r="Q23" s="2"/>
      <c r="R23" s="7">
        <f t="shared" si="4"/>
        <v>0</v>
      </c>
      <c r="S23" s="2"/>
      <c r="T23" s="6">
        <v>134.31</v>
      </c>
      <c r="U23" s="2"/>
      <c r="V23" s="7">
        <f t="shared" si="5"/>
        <v>0</v>
      </c>
      <c r="W23" s="2"/>
      <c r="X23" s="6">
        <f t="shared" si="6"/>
        <v>-134.31</v>
      </c>
      <c r="Y23" s="2"/>
      <c r="Z23" s="7">
        <f t="shared" si="7"/>
        <v>-1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0"/>
      <c r="P24" s="6"/>
      <c r="Q24" s="2"/>
      <c r="R24" s="7">
        <f t="shared" si="4"/>
        <v>0</v>
      </c>
      <c r="S24" s="2"/>
      <c r="T24" s="6">
        <v>5280.61</v>
      </c>
      <c r="U24" s="2"/>
      <c r="V24" s="7">
        <f t="shared" si="5"/>
        <v>0</v>
      </c>
      <c r="W24" s="2"/>
      <c r="X24" s="6">
        <f t="shared" si="6"/>
        <v>-5280.61</v>
      </c>
      <c r="Y24" s="2"/>
      <c r="Z24" s="7">
        <f t="shared" si="7"/>
        <v>-1</v>
      </c>
    </row>
    <row r="25" spans="1:26" s="23" customFormat="1" hidden="1" outlineLevel="2" x14ac:dyDescent="0.25">
      <c r="A25" s="27"/>
      <c r="B25" s="10" t="str">
        <f>CONCATENATE("          ", "6118", " - ", "VACATION")</f>
        <v xml:space="preserve">          6118 - VACATION</v>
      </c>
      <c r="C25" s="10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0"/>
      <c r="P25" s="6"/>
      <c r="Q25" s="2"/>
      <c r="R25" s="7">
        <f t="shared" si="4"/>
        <v>0</v>
      </c>
      <c r="S25" s="2"/>
      <c r="T25" s="6">
        <v>5313.38</v>
      </c>
      <c r="U25" s="2"/>
      <c r="V25" s="7">
        <f t="shared" si="5"/>
        <v>0</v>
      </c>
      <c r="W25" s="2"/>
      <c r="X25" s="6">
        <f t="shared" si="6"/>
        <v>-5313.38</v>
      </c>
      <c r="Y25" s="2"/>
      <c r="Z25" s="7">
        <f t="shared" si="7"/>
        <v>-1</v>
      </c>
    </row>
    <row r="26" spans="1:26" s="23" customFormat="1" hidden="1" outlineLevel="2" x14ac:dyDescent="0.25">
      <c r="A26" s="27"/>
      <c r="B26" s="10" t="str">
        <f>CONCATENATE("          ", "6119", " - ", "SICK LEAVE")</f>
        <v xml:space="preserve">          6119 - SICK LEAVE</v>
      </c>
      <c r="C26" s="10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/>
      <c r="Q26" s="2"/>
      <c r="R26" s="7">
        <f t="shared" si="4"/>
        <v>0</v>
      </c>
      <c r="S26" s="2"/>
      <c r="T26" s="6">
        <v>8584.11</v>
      </c>
      <c r="U26" s="2"/>
      <c r="V26" s="7">
        <f t="shared" si="5"/>
        <v>0</v>
      </c>
      <c r="W26" s="2"/>
      <c r="X26" s="6">
        <f t="shared" si="6"/>
        <v>-8584.11</v>
      </c>
      <c r="Y26" s="2"/>
      <c r="Z26" s="7">
        <f t="shared" si="7"/>
        <v>-1</v>
      </c>
    </row>
    <row r="27" spans="1:26" s="26" customFormat="1" outlineLevel="1" collapsed="1" x14ac:dyDescent="0.25">
      <c r="A27" s="25"/>
      <c r="B27" s="12" t="str">
        <f>CONCATENATE("     ","*Payroll                                          ")</f>
        <v xml:space="preserve">     *Payroll                                          </v>
      </c>
      <c r="C27" s="12"/>
      <c r="D27" s="1">
        <f>SUM(OSRRefD22_1x_0)</f>
        <v>0</v>
      </c>
      <c r="E27" s="1"/>
      <c r="F27" s="5">
        <f t="shared" ref="F27:F29" si="8">IF(D$12=0,0,D27/D$12)</f>
        <v>0</v>
      </c>
      <c r="G27" s="1"/>
      <c r="H27" s="1">
        <f>SUM(OSRRefH22_1x_0)</f>
        <v>0</v>
      </c>
      <c r="I27" s="1"/>
      <c r="J27" s="5">
        <f t="shared" ref="J27:J29" si="9">IF(H$12=0,0,H27/H$12)</f>
        <v>0</v>
      </c>
      <c r="K27" s="1"/>
      <c r="L27" s="1">
        <f t="shared" ref="L27:L29" si="10">+D27-H27</f>
        <v>0</v>
      </c>
      <c r="M27" s="1"/>
      <c r="N27" s="5">
        <f t="shared" ref="N27:N29" si="11">IF(H27=0,0,L27/H27)</f>
        <v>0</v>
      </c>
      <c r="O27" s="12"/>
      <c r="P27" s="1">
        <f>SUM(OSRRefP22_1x_0)</f>
        <v>0</v>
      </c>
      <c r="Q27" s="1"/>
      <c r="R27" s="5">
        <f t="shared" ref="R27:R29" si="12">IF(P$12=0,0,P27/P$12)</f>
        <v>0</v>
      </c>
      <c r="S27" s="1"/>
      <c r="T27" s="1">
        <f>SUM(OSRRefT22_1x_0)</f>
        <v>37187.199999999997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-37187.199999999997</v>
      </c>
      <c r="Y27" s="1"/>
      <c r="Z27" s="5">
        <f t="shared" ref="Z27:Z29" si="15">IF(T27=0,0,X27/T27)</f>
        <v>-1</v>
      </c>
    </row>
    <row r="28" spans="1:26" s="23" customFormat="1" hidden="1" outlineLevel="2" x14ac:dyDescent="0.25">
      <c r="A28" s="27"/>
      <c r="B28" s="10" t="str">
        <f>CONCATENATE("          ", "6001", " - ", "ADMINISTRATIVE SALARIES")</f>
        <v xml:space="preserve">          6001 - ADMINISTRATIVE SALARIES</v>
      </c>
      <c r="C28" s="10"/>
      <c r="D28" s="6"/>
      <c r="E28" s="2"/>
      <c r="F28" s="7">
        <f t="shared" si="8"/>
        <v>0</v>
      </c>
      <c r="G28" s="2"/>
      <c r="H28" s="6"/>
      <c r="I28" s="2"/>
      <c r="J28" s="7">
        <f t="shared" si="9"/>
        <v>0</v>
      </c>
      <c r="K28" s="2"/>
      <c r="L28" s="6">
        <f t="shared" si="10"/>
        <v>0</v>
      </c>
      <c r="M28" s="2"/>
      <c r="N28" s="7">
        <f t="shared" si="11"/>
        <v>0</v>
      </c>
      <c r="O28" s="10"/>
      <c r="P28" s="6"/>
      <c r="Q28" s="2"/>
      <c r="R28" s="7">
        <f t="shared" si="12"/>
        <v>0</v>
      </c>
      <c r="S28" s="2"/>
      <c r="T28" s="6">
        <v>37187.199999999997</v>
      </c>
      <c r="U28" s="2"/>
      <c r="V28" s="7">
        <f t="shared" si="13"/>
        <v>0</v>
      </c>
      <c r="W28" s="2"/>
      <c r="X28" s="6">
        <f t="shared" si="14"/>
        <v>-37187.199999999997</v>
      </c>
      <c r="Y28" s="2"/>
      <c r="Z28" s="7">
        <f t="shared" si="15"/>
        <v>-1</v>
      </c>
    </row>
    <row r="29" spans="1:26" s="23" customFormat="1" hidden="1" outlineLevel="2" x14ac:dyDescent="0.25">
      <c r="A29" s="27"/>
      <c r="B29" s="10" t="str">
        <f>CONCATENATE("          ", "6002", " - ", "STAFF SALARIES")</f>
        <v xml:space="preserve">          6002 - STAFF SALARIES</v>
      </c>
      <c r="C29" s="10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0"/>
      <c r="P29" s="6"/>
      <c r="Q29" s="2"/>
      <c r="R29" s="7">
        <f t="shared" si="12"/>
        <v>0</v>
      </c>
      <c r="S29" s="2"/>
      <c r="T29" s="6">
        <v>0</v>
      </c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62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4" customFormat="1" collapsed="1" x14ac:dyDescent="0.25">
      <c r="A31" s="11"/>
      <c r="B31" s="28" t="s">
        <v>292</v>
      </c>
      <c r="C31" s="11"/>
      <c r="D31" s="4">
        <f>SUM(OSRRefD25x_0)</f>
        <v>1082.75</v>
      </c>
      <c r="E31" s="4"/>
      <c r="F31" s="13">
        <f t="shared" ref="F31:F34" si="16">IF(D$12=0,0,D31/D$12)</f>
        <v>0</v>
      </c>
      <c r="G31" s="4"/>
      <c r="H31" s="4">
        <f>SUM(OSRRefH25x_0)</f>
        <v>3632.85</v>
      </c>
      <c r="I31" s="4"/>
      <c r="J31" s="13">
        <f t="shared" ref="J31:J34" si="17">IF(H$12=0,0,H31/H$12)</f>
        <v>0</v>
      </c>
      <c r="K31" s="4"/>
      <c r="L31" s="4">
        <f t="shared" ref="L31:L34" si="18">+D31-H31</f>
        <v>-2550.1</v>
      </c>
      <c r="M31" s="4"/>
      <c r="N31" s="13">
        <f t="shared" ref="N31:N34" si="19">IF(H31=0,0,L31/H31)</f>
        <v>-0.70195576475769716</v>
      </c>
      <c r="O31" s="11"/>
      <c r="P31" s="4">
        <f>SUM(OSRRefP25x_0)</f>
        <v>16287.57</v>
      </c>
      <c r="Q31" s="4"/>
      <c r="R31" s="13">
        <f t="shared" ref="R31:R34" si="20">IF(P$12=0,0,P31/P$12)</f>
        <v>0</v>
      </c>
      <c r="S31" s="4"/>
      <c r="T31" s="4">
        <f>SUM(OSRRefT25x_0)</f>
        <v>364539.42</v>
      </c>
      <c r="U31" s="4"/>
      <c r="V31" s="13">
        <f t="shared" ref="V31:V34" si="21">IF(T$12=0,0,T31/T$12)</f>
        <v>0</v>
      </c>
      <c r="W31" s="4"/>
      <c r="X31" s="4">
        <f t="shared" ref="X31:X34" si="22">+P31-T31</f>
        <v>-348251.85</v>
      </c>
      <c r="Y31" s="4"/>
      <c r="Z31" s="13">
        <f t="shared" ref="Z31:Z34" si="23">IF(T31=0,0,X31/T31)</f>
        <v>-0.95532014068601956</v>
      </c>
    </row>
    <row r="32" spans="1:26" s="23" customFormat="1" hidden="1" outlineLevel="1" x14ac:dyDescent="0.25">
      <c r="A32" s="44"/>
      <c r="B32" s="10" t="str">
        <f>CONCATENATE("          ", "9150", " - ", "MISC. INCOME")</f>
        <v xml:space="preserve">          9150 - MISC. INCOME</v>
      </c>
      <c r="C32" s="10"/>
      <c r="D32" s="2">
        <f>0</f>
        <v>0</v>
      </c>
      <c r="E32" s="2"/>
      <c r="F32" s="19">
        <f t="shared" si="16"/>
        <v>0</v>
      </c>
      <c r="G32" s="2"/>
      <c r="H32" s="2">
        <f t="shared" ref="H32:H33" si="24">0</f>
        <v>0</v>
      </c>
      <c r="I32" s="2"/>
      <c r="J32" s="19">
        <f t="shared" si="17"/>
        <v>0</v>
      </c>
      <c r="K32" s="2"/>
      <c r="L32" s="2">
        <f t="shared" si="18"/>
        <v>0</v>
      </c>
      <c r="M32" s="2"/>
      <c r="N32" s="19">
        <f t="shared" si="19"/>
        <v>0</v>
      </c>
      <c r="O32" s="10"/>
      <c r="P32" s="2">
        <f>0</f>
        <v>0</v>
      </c>
      <c r="Q32" s="2"/>
      <c r="R32" s="19">
        <f t="shared" si="20"/>
        <v>0</v>
      </c>
      <c r="S32" s="2"/>
      <c r="T32" s="2">
        <f>0</f>
        <v>0</v>
      </c>
      <c r="U32" s="2"/>
      <c r="V32" s="19">
        <f t="shared" si="21"/>
        <v>0</v>
      </c>
      <c r="W32" s="2"/>
      <c r="X32" s="2">
        <f t="shared" si="22"/>
        <v>0</v>
      </c>
      <c r="Y32" s="2"/>
      <c r="Z32" s="19">
        <f t="shared" si="23"/>
        <v>0</v>
      </c>
    </row>
    <row r="33" spans="1:26" s="23" customFormat="1" hidden="1" outlineLevel="1" x14ac:dyDescent="0.25">
      <c r="A33" s="44"/>
      <c r="B33" s="10" t="str">
        <f>CONCATENATE("          ", "9160", " - ", "MISC. INCOME")</f>
        <v xml:space="preserve">          9160 - MISC. INCOME</v>
      </c>
      <c r="C33" s="10"/>
      <c r="D33" s="2">
        <f>--732.1</f>
        <v>732.1</v>
      </c>
      <c r="E33" s="2"/>
      <c r="F33" s="19">
        <f t="shared" si="16"/>
        <v>0</v>
      </c>
      <c r="G33" s="2"/>
      <c r="H33" s="2">
        <f t="shared" si="24"/>
        <v>0</v>
      </c>
      <c r="I33" s="2"/>
      <c r="J33" s="19">
        <f t="shared" si="17"/>
        <v>0</v>
      </c>
      <c r="K33" s="2"/>
      <c r="L33" s="2">
        <f t="shared" si="18"/>
        <v>732.1</v>
      </c>
      <c r="M33" s="2"/>
      <c r="N33" s="19">
        <f t="shared" si="19"/>
        <v>0</v>
      </c>
      <c r="O33" s="10"/>
      <c r="P33" s="2">
        <f>--12798.71</f>
        <v>12798.71</v>
      </c>
      <c r="Q33" s="2"/>
      <c r="R33" s="19">
        <f t="shared" si="20"/>
        <v>0</v>
      </c>
      <c r="S33" s="2"/>
      <c r="T33" s="2">
        <f>--128039.29</f>
        <v>128039.29</v>
      </c>
      <c r="U33" s="2"/>
      <c r="V33" s="19">
        <f t="shared" si="21"/>
        <v>0</v>
      </c>
      <c r="W33" s="2"/>
      <c r="X33" s="2">
        <f t="shared" si="22"/>
        <v>-115240.57999999999</v>
      </c>
      <c r="Y33" s="2"/>
      <c r="Z33" s="19">
        <f t="shared" si="23"/>
        <v>-0.90004076092580643</v>
      </c>
    </row>
    <row r="34" spans="1:26" s="23" customFormat="1" hidden="1" outlineLevel="1" x14ac:dyDescent="0.25">
      <c r="A34" s="44"/>
      <c r="B34" s="10" t="str">
        <f>CONCATENATE("          ", "9165", " - ", "OTHER INCOME")</f>
        <v xml:space="preserve">          9165 - OTHER INCOME</v>
      </c>
      <c r="C34" s="10"/>
      <c r="D34" s="2">
        <f>--350.65</f>
        <v>350.65</v>
      </c>
      <c r="E34" s="2"/>
      <c r="F34" s="19">
        <f t="shared" si="16"/>
        <v>0</v>
      </c>
      <c r="G34" s="2"/>
      <c r="H34" s="2">
        <f>--3632.85</f>
        <v>3632.85</v>
      </c>
      <c r="I34" s="2"/>
      <c r="J34" s="19">
        <f t="shared" si="17"/>
        <v>0</v>
      </c>
      <c r="K34" s="2"/>
      <c r="L34" s="2">
        <f t="shared" si="18"/>
        <v>-3282.2</v>
      </c>
      <c r="M34" s="2"/>
      <c r="N34" s="19">
        <f t="shared" si="19"/>
        <v>-0.9034779856035895</v>
      </c>
      <c r="O34" s="10"/>
      <c r="P34" s="2">
        <f>--3488.86</f>
        <v>3488.86</v>
      </c>
      <c r="Q34" s="2"/>
      <c r="R34" s="19">
        <f t="shared" si="20"/>
        <v>0</v>
      </c>
      <c r="S34" s="2"/>
      <c r="T34" s="2">
        <f>--236500.13</f>
        <v>236500.13</v>
      </c>
      <c r="U34" s="2"/>
      <c r="V34" s="19">
        <f t="shared" si="21"/>
        <v>0</v>
      </c>
      <c r="W34" s="2"/>
      <c r="X34" s="2">
        <f t="shared" si="22"/>
        <v>-233011.27000000002</v>
      </c>
      <c r="Y34" s="2"/>
      <c r="Z34" s="19">
        <f t="shared" si="23"/>
        <v>-0.98524795736898751</v>
      </c>
    </row>
    <row r="35" spans="1:26" x14ac:dyDescent="0.25">
      <c r="A35" s="9"/>
      <c r="B35" s="11"/>
      <c r="C35" s="11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1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x14ac:dyDescent="0.25">
      <c r="A36" s="11"/>
      <c r="B36" s="29" t="s">
        <v>276</v>
      </c>
      <c r="C36" s="29"/>
      <c r="D36" s="20">
        <f>+D16-D18+D31</f>
        <v>1082.75</v>
      </c>
      <c r="E36" s="14"/>
      <c r="F36" s="22">
        <f>IF(D$12=0,0,D36/D$12)</f>
        <v>0</v>
      </c>
      <c r="G36" s="14"/>
      <c r="H36" s="20">
        <f>+H16-H18+H31</f>
        <v>3632.85</v>
      </c>
      <c r="I36" s="14"/>
      <c r="J36" s="22">
        <f>IF(H$12=0,0,H36/H$12)</f>
        <v>0</v>
      </c>
      <c r="K36" s="16"/>
      <c r="L36" s="20">
        <f>+D36-H36</f>
        <v>-2550.1</v>
      </c>
      <c r="M36" s="16"/>
      <c r="N36" s="22">
        <f>IF(H36=0,0,L36/H36)</f>
        <v>-0.70195576475769716</v>
      </c>
      <c r="O36" s="28"/>
      <c r="P36" s="20">
        <f>+P16-P18+P31</f>
        <v>16287.57</v>
      </c>
      <c r="Q36" s="14"/>
      <c r="R36" s="22">
        <f>IF(P$12=0,0,P36/P$12)</f>
        <v>0</v>
      </c>
      <c r="S36" s="14"/>
      <c r="T36" s="20">
        <f>+T16-T18+T31</f>
        <v>296578.01</v>
      </c>
      <c r="U36" s="14"/>
      <c r="V36" s="22">
        <f>IF(T$12=0,0,T36/T$12)</f>
        <v>0</v>
      </c>
      <c r="W36" s="16"/>
      <c r="X36" s="20">
        <f>+P36-T36</f>
        <v>-280290.44</v>
      </c>
      <c r="Y36" s="16"/>
      <c r="Z36" s="22">
        <f>IF(T36=0,0,X36/T36)</f>
        <v>-0.94508166670887028</v>
      </c>
    </row>
    <row r="37" spans="1:26" x14ac:dyDescent="0.25">
      <c r="A37" s="9"/>
      <c r="B37" s="11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4" customFormat="1" x14ac:dyDescent="0.25">
      <c r="A38" s="51"/>
      <c r="B38" s="11" t="s">
        <v>127</v>
      </c>
      <c r="C38" s="11"/>
      <c r="D38" s="4"/>
      <c r="E38" s="4"/>
      <c r="F38" s="13">
        <f>IF(D$12=0,0,D38/D$12)</f>
        <v>0</v>
      </c>
      <c r="G38" s="4"/>
      <c r="H38" s="4"/>
      <c r="I38" s="4"/>
      <c r="J38" s="13">
        <f>IF(H$12=0,0,H38/H$12)</f>
        <v>0</v>
      </c>
      <c r="K38" s="4"/>
      <c r="L38" s="4">
        <f>+D38-H38</f>
        <v>0</v>
      </c>
      <c r="M38" s="4"/>
      <c r="N38" s="13">
        <f>IF(H38=0,0,L38/H38)</f>
        <v>0</v>
      </c>
      <c r="O38" s="11"/>
      <c r="P38" s="4"/>
      <c r="Q38" s="4"/>
      <c r="R38" s="13">
        <f>IF(P$12=0,0,P38/P$12)</f>
        <v>0</v>
      </c>
      <c r="S38" s="4"/>
      <c r="T38" s="4"/>
      <c r="U38" s="4"/>
      <c r="V38" s="13">
        <f>IF(T$12=0,0,T38/T$12)</f>
        <v>0</v>
      </c>
      <c r="W38" s="4"/>
      <c r="X38" s="4">
        <f>+P38-T38</f>
        <v>0</v>
      </c>
      <c r="Y38" s="4"/>
      <c r="Z38" s="13">
        <f>IF(T38=0,0,X38/T38)</f>
        <v>0</v>
      </c>
    </row>
    <row r="39" spans="1:26" x14ac:dyDescent="0.25">
      <c r="A39" s="9"/>
      <c r="B39" s="11"/>
      <c r="C39" s="11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1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4" customFormat="1" ht="15.75" thickBot="1" x14ac:dyDescent="0.3">
      <c r="A40" s="11"/>
      <c r="B40" s="29" t="s">
        <v>125</v>
      </c>
      <c r="C40" s="29"/>
      <c r="D40" s="30">
        <f>+D36-D38</f>
        <v>1082.75</v>
      </c>
      <c r="E40" s="14"/>
      <c r="F40" s="34">
        <f>IF(D$12=0,0,D40/D$12)</f>
        <v>0</v>
      </c>
      <c r="G40" s="14"/>
      <c r="H40" s="30">
        <f>+H36-H38</f>
        <v>3632.85</v>
      </c>
      <c r="I40" s="14"/>
      <c r="J40" s="34">
        <f>IF(H$12=0,0,H40/H$12)</f>
        <v>0</v>
      </c>
      <c r="K40" s="16"/>
      <c r="L40" s="30">
        <f>D40-H40</f>
        <v>-2550.1</v>
      </c>
      <c r="M40" s="16"/>
      <c r="N40" s="34">
        <f>IF(H40=0,0,L40/H40)</f>
        <v>-0.70195576475769716</v>
      </c>
      <c r="O40" s="28"/>
      <c r="P40" s="30">
        <f>+P36-P38</f>
        <v>16287.57</v>
      </c>
      <c r="Q40" s="14"/>
      <c r="R40" s="34">
        <f>IF(P$12=0,0,P40/P$12)</f>
        <v>0</v>
      </c>
      <c r="S40" s="14"/>
      <c r="T40" s="30">
        <f>+T36-T38</f>
        <v>296578.01</v>
      </c>
      <c r="U40" s="14"/>
      <c r="V40" s="34">
        <f>IF(T$12=0,0,T40/T$12)</f>
        <v>0</v>
      </c>
      <c r="W40" s="16"/>
      <c r="X40" s="30">
        <f>P40-T40</f>
        <v>-280290.44</v>
      </c>
      <c r="Y40" s="16"/>
      <c r="Z40" s="34">
        <f>IF(T40=0,0,X40/T40)</f>
        <v>-0.94508166670887028</v>
      </c>
    </row>
    <row r="41" spans="1:26" ht="15.75" thickTop="1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x14ac:dyDescent="0.2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4" customFormat="1" ht="15.75" thickBot="1" x14ac:dyDescent="0.3">
      <c r="A43" s="11"/>
      <c r="B43" s="29" t="s">
        <v>293</v>
      </c>
      <c r="C43" s="29"/>
      <c r="D43" s="32">
        <f>SUM(D40:D42)</f>
        <v>1082.75</v>
      </c>
      <c r="E43" s="14"/>
      <c r="F43" s="35">
        <f>IF(D$12=0,0,D43/D$12)</f>
        <v>0</v>
      </c>
      <c r="G43" s="14"/>
      <c r="H43" s="32">
        <f>SUM(H40:H42)</f>
        <v>3632.85</v>
      </c>
      <c r="I43" s="14"/>
      <c r="J43" s="35">
        <f>IF(H$12=0,0,H43/H$12)</f>
        <v>0</v>
      </c>
      <c r="K43" s="16"/>
      <c r="L43" s="32">
        <f>+D43-H43</f>
        <v>-2550.1</v>
      </c>
      <c r="M43" s="16"/>
      <c r="N43" s="35">
        <f>IF(H43=0,0,L43/H43)</f>
        <v>-0.70195576475769716</v>
      </c>
      <c r="O43" s="28"/>
      <c r="P43" s="32">
        <f>SUM(P40:P42)</f>
        <v>16287.57</v>
      </c>
      <c r="Q43" s="14"/>
      <c r="R43" s="35">
        <f>IF(P$12=0,0,P43/P$12)</f>
        <v>0</v>
      </c>
      <c r="S43" s="14"/>
      <c r="T43" s="32">
        <f>SUM(T40:T42)</f>
        <v>296578.01</v>
      </c>
      <c r="U43" s="14"/>
      <c r="V43" s="35">
        <f>IF(T$12=0,0,T43/T$12)</f>
        <v>0</v>
      </c>
      <c r="W43" s="16"/>
      <c r="X43" s="32">
        <f>+P43-T43</f>
        <v>-280290.44</v>
      </c>
      <c r="Y43" s="16"/>
      <c r="Z43" s="35">
        <f>IF(T43=0,0,X43/T43)</f>
        <v>-0.94508166670887028</v>
      </c>
    </row>
    <row r="44" spans="1:26" ht="15.75" thickTop="1" x14ac:dyDescent="0.25">
      <c r="A44" s="9"/>
      <c r="C44" s="9"/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  <row r="45" spans="1:26" x14ac:dyDescent="0.25">
      <c r="A45" s="9"/>
      <c r="B45" s="59">
        <v>44330.00886898148</v>
      </c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  <row r="46" spans="1:26" x14ac:dyDescent="0.25">
      <c r="A46" s="9"/>
      <c r="B46" s="52" t="s">
        <v>56</v>
      </c>
      <c r="D46" s="17"/>
      <c r="E46" s="17"/>
      <c r="G46" s="17"/>
      <c r="H46" s="17"/>
      <c r="I46" s="17"/>
      <c r="J46" s="42"/>
      <c r="K46" s="17"/>
      <c r="L46" s="17"/>
      <c r="M46" s="17"/>
      <c r="P46" s="17"/>
      <c r="Q46" s="17"/>
      <c r="R46" s="42"/>
      <c r="S46" s="17"/>
      <c r="T46" s="17"/>
      <c r="U46" s="17"/>
      <c r="V46" s="42"/>
      <c r="W46" s="17"/>
      <c r="X46" s="17"/>
    </row>
    <row r="47" spans="1:26" x14ac:dyDescent="0.25">
      <c r="A47" s="9"/>
      <c r="B47" s="55"/>
      <c r="D47" s="17"/>
      <c r="E47" s="17"/>
      <c r="G47" s="17"/>
      <c r="H47" s="17"/>
      <c r="I47" s="17"/>
      <c r="J47" s="42"/>
      <c r="K47" s="17"/>
      <c r="L47" s="17"/>
      <c r="M47" s="17"/>
      <c r="P47" s="17"/>
      <c r="Q47" s="17"/>
      <c r="R47" s="42"/>
      <c r="S47" s="17"/>
      <c r="T47" s="17"/>
      <c r="U47" s="17"/>
      <c r="V47" s="42"/>
      <c r="W47" s="17"/>
      <c r="X47" s="17"/>
    </row>
    <row r="48" spans="1:26" x14ac:dyDescent="0.25">
      <c r="D48" s="17"/>
      <c r="E48" s="17"/>
      <c r="G48" s="17"/>
      <c r="H48" s="17"/>
      <c r="I48" s="17"/>
      <c r="J48" s="42"/>
      <c r="K48" s="17"/>
      <c r="L48" s="17"/>
      <c r="M48" s="17"/>
      <c r="P48" s="17"/>
      <c r="Q48" s="17"/>
      <c r="R48" s="42"/>
      <c r="S48" s="17"/>
      <c r="T48" s="17"/>
      <c r="U48" s="17"/>
      <c r="V48" s="42"/>
      <c r="W48" s="17"/>
      <c r="X48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138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182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90165.79</v>
      </c>
      <c r="E12" s="4"/>
      <c r="F12" s="13"/>
      <c r="G12" s="4"/>
      <c r="H12" s="4">
        <f>SUM(OSRRefH13x_0)</f>
        <v>4348.7</v>
      </c>
      <c r="I12" s="4"/>
      <c r="J12" s="13"/>
      <c r="K12" s="4"/>
      <c r="L12" s="4">
        <f t="shared" ref="L12:L17" si="0">+D12-H12</f>
        <v>85817.09</v>
      </c>
      <c r="M12" s="4"/>
      <c r="N12" s="13">
        <f t="shared" ref="N12:N17" si="1">IF(H12=0,0,L12/H12)</f>
        <v>19.733964173201187</v>
      </c>
      <c r="O12" s="11"/>
      <c r="P12" s="4">
        <f>SUM(OSRRefP13x_0)</f>
        <v>941355.9</v>
      </c>
      <c r="Q12" s="4"/>
      <c r="R12" s="13"/>
      <c r="S12" s="4"/>
      <c r="T12" s="4">
        <f>SUM(OSRRefT13x_0)</f>
        <v>9049592.6300000008</v>
      </c>
      <c r="U12" s="4"/>
      <c r="V12" s="13"/>
      <c r="W12" s="4"/>
      <c r="X12" s="4">
        <f t="shared" ref="X12:X17" si="2">+P12-T12</f>
        <v>-8108236.7300000004</v>
      </c>
      <c r="Y12" s="4"/>
      <c r="Z12" s="13">
        <f t="shared" ref="Z12:Z17" si="3">IF(T12=0,0,X12/T12)</f>
        <v>-0.89597809111546711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>--161.18</f>
        <v>161.18</v>
      </c>
      <c r="E13" s="2"/>
      <c r="F13" s="19"/>
      <c r="G13" s="2"/>
      <c r="H13" s="2">
        <f>--46.54</f>
        <v>46.54</v>
      </c>
      <c r="I13" s="2"/>
      <c r="J13" s="19"/>
      <c r="K13" s="2"/>
      <c r="L13" s="2">
        <f t="shared" si="0"/>
        <v>114.64000000000001</v>
      </c>
      <c r="M13" s="2"/>
      <c r="N13" s="19">
        <f t="shared" si="1"/>
        <v>2.4632574129780838</v>
      </c>
      <c r="O13" s="10"/>
      <c r="P13" s="2">
        <f>--1084.9</f>
        <v>1084.9000000000001</v>
      </c>
      <c r="Q13" s="2"/>
      <c r="R13" s="19"/>
      <c r="S13" s="2"/>
      <c r="T13" s="2">
        <f>--26656.27</f>
        <v>26656.27</v>
      </c>
      <c r="U13" s="2"/>
      <c r="V13" s="19"/>
      <c r="W13" s="2"/>
      <c r="X13" s="2">
        <f t="shared" si="2"/>
        <v>-25571.37</v>
      </c>
      <c r="Y13" s="2"/>
      <c r="Z13" s="19">
        <f t="shared" si="3"/>
        <v>-0.95930038223652436</v>
      </c>
    </row>
    <row r="14" spans="1:26" s="23" customFormat="1" hidden="1" outlineLevel="1" x14ac:dyDescent="0.25">
      <c r="A14" s="44"/>
      <c r="B14" s="10" t="str">
        <f>CONCATENATE("          ", "4055", " - ", "TAXABLE SALES-FOOD")</f>
        <v xml:space="preserve">          4055 - TAXABLE SALES-FOOD</v>
      </c>
      <c r="C14" s="10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>0</f>
        <v>0</v>
      </c>
      <c r="Q14" s="2"/>
      <c r="R14" s="19"/>
      <c r="S14" s="2"/>
      <c r="T14" s="2">
        <f>--973.49</f>
        <v>973.49</v>
      </c>
      <c r="U14" s="2"/>
      <c r="V14" s="19"/>
      <c r="W14" s="2"/>
      <c r="X14" s="2">
        <f t="shared" si="2"/>
        <v>-973.49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"4151", " - ", "NON-TAXABLE SALES-FOOD")</f>
        <v xml:space="preserve">          4151 - NON-TAXABLE SALES-FOOD</v>
      </c>
      <c r="C15" s="10"/>
      <c r="D15" s="2">
        <f>--85567.69</f>
        <v>85567.69</v>
      </c>
      <c r="E15" s="2"/>
      <c r="F15" s="19"/>
      <c r="G15" s="2"/>
      <c r="H15" s="2">
        <f>--1200</f>
        <v>1200</v>
      </c>
      <c r="I15" s="2"/>
      <c r="J15" s="19"/>
      <c r="K15" s="2"/>
      <c r="L15" s="2">
        <f t="shared" si="0"/>
        <v>84367.69</v>
      </c>
      <c r="M15" s="2"/>
      <c r="N15" s="19">
        <f t="shared" si="1"/>
        <v>70.306408333333337</v>
      </c>
      <c r="O15" s="10"/>
      <c r="P15" s="2">
        <f>--892828.72</f>
        <v>892828.72</v>
      </c>
      <c r="Q15" s="2"/>
      <c r="R15" s="19"/>
      <c r="S15" s="2"/>
      <c r="T15" s="2">
        <f>--8714110.38</f>
        <v>8714110.3800000008</v>
      </c>
      <c r="U15" s="2"/>
      <c r="V15" s="19"/>
      <c r="W15" s="2"/>
      <c r="X15" s="2">
        <f t="shared" si="2"/>
        <v>-7821281.6600000011</v>
      </c>
      <c r="Y15" s="2"/>
      <c r="Z15" s="19">
        <f t="shared" si="3"/>
        <v>-0.89754218376104622</v>
      </c>
    </row>
    <row r="16" spans="1:26" s="23" customFormat="1" hidden="1" outlineLevel="1" x14ac:dyDescent="0.25">
      <c r="A16" s="44"/>
      <c r="B16" s="10" t="str">
        <f>CONCATENATE("          ", "4153", " - ", "NON-TAXABLE SALES-FOOD")</f>
        <v xml:space="preserve">          4153 - NON-TAXABLE SALES-FOOD</v>
      </c>
      <c r="C16" s="10"/>
      <c r="D16" s="2">
        <f>--4436.92</f>
        <v>4436.92</v>
      </c>
      <c r="E16" s="2"/>
      <c r="F16" s="19"/>
      <c r="G16" s="2"/>
      <c r="H16" s="2">
        <f>--3102.16</f>
        <v>3102.16</v>
      </c>
      <c r="I16" s="2"/>
      <c r="J16" s="19"/>
      <c r="K16" s="2"/>
      <c r="L16" s="2">
        <f t="shared" si="0"/>
        <v>1334.7600000000002</v>
      </c>
      <c r="M16" s="2"/>
      <c r="N16" s="19">
        <f t="shared" si="1"/>
        <v>0.43026794233695242</v>
      </c>
      <c r="O16" s="10"/>
      <c r="P16" s="2">
        <f>--47442.28</f>
        <v>47442.28</v>
      </c>
      <c r="Q16" s="2"/>
      <c r="R16" s="19"/>
      <c r="S16" s="2"/>
      <c r="T16" s="2">
        <f>--304118.59</f>
        <v>304118.59000000003</v>
      </c>
      <c r="U16" s="2"/>
      <c r="V16" s="19"/>
      <c r="W16" s="2"/>
      <c r="X16" s="2">
        <f t="shared" si="2"/>
        <v>-256676.31000000003</v>
      </c>
      <c r="Y16" s="2"/>
      <c r="Z16" s="19">
        <f t="shared" si="3"/>
        <v>-0.84400072353354005</v>
      </c>
    </row>
    <row r="17" spans="1:26" s="23" customFormat="1" hidden="1" outlineLevel="1" x14ac:dyDescent="0.25">
      <c r="A17" s="44"/>
      <c r="B17" s="10" t="str">
        <f>CONCATENATE("          ", "4155", " - ", "NON-TAXABLE SALES-FOOD")</f>
        <v xml:space="preserve">          4155 - NON-TAXABLE SALES-FOOD</v>
      </c>
      <c r="C17" s="10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0"/>
      <c r="P17" s="2">
        <f>0</f>
        <v>0</v>
      </c>
      <c r="Q17" s="2"/>
      <c r="R17" s="19"/>
      <c r="S17" s="2"/>
      <c r="T17" s="2">
        <f>--3733.9</f>
        <v>3733.9</v>
      </c>
      <c r="U17" s="2"/>
      <c r="V17" s="19"/>
      <c r="W17" s="2"/>
      <c r="X17" s="2">
        <f t="shared" si="2"/>
        <v>-3733.9</v>
      </c>
      <c r="Y17" s="2"/>
      <c r="Z17" s="19">
        <f t="shared" si="3"/>
        <v>-1</v>
      </c>
    </row>
    <row r="18" spans="1:26" x14ac:dyDescent="0.25">
      <c r="A18" s="9"/>
      <c r="B18" s="11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4" customFormat="1" collapsed="1" x14ac:dyDescent="0.25">
      <c r="A19" s="11"/>
      <c r="B19" s="28" t="s">
        <v>256</v>
      </c>
      <c r="C19" s="11"/>
      <c r="D19" s="4">
        <f>SUM(OSRRefD16x_0)</f>
        <v>46906.81</v>
      </c>
      <c r="E19" s="4"/>
      <c r="F19" s="13">
        <f t="shared" ref="F19:F21" si="4">IF(D$12=0,0,D19/D$12)</f>
        <v>0.52022845915285609</v>
      </c>
      <c r="G19" s="4"/>
      <c r="H19" s="4">
        <f>SUM(OSRRefH16x_0)</f>
        <v>-8313.7999999999993</v>
      </c>
      <c r="I19" s="4"/>
      <c r="J19" s="13">
        <f t="shared" ref="J19:J21" si="5">IF(H$12=0,0,H19/H$12)</f>
        <v>-1.9117897302642168</v>
      </c>
      <c r="K19" s="4"/>
      <c r="L19" s="4">
        <f t="shared" ref="L19:L21" si="6">+D19-H19</f>
        <v>55220.61</v>
      </c>
      <c r="M19" s="4"/>
      <c r="N19" s="13">
        <f t="shared" ref="N19:N21" si="7">IF(H19=0,0,L19/H19)</f>
        <v>-6.6420421467920816</v>
      </c>
      <c r="O19" s="11"/>
      <c r="P19" s="4">
        <f>SUM(OSRRefP16x_0)</f>
        <v>415890.18</v>
      </c>
      <c r="Q19" s="4"/>
      <c r="R19" s="13">
        <f t="shared" ref="R19:R21" si="8">IF(P$12=0,0,P19/P$12)</f>
        <v>0.441799090014733</v>
      </c>
      <c r="S19" s="4"/>
      <c r="T19" s="4">
        <f>SUM(OSRRefT16x_0)</f>
        <v>2168733.58</v>
      </c>
      <c r="U19" s="4"/>
      <c r="V19" s="13">
        <f t="shared" ref="V19:V21" si="9">IF(T$12=0,0,T19/T$12)</f>
        <v>0.23964985703450387</v>
      </c>
      <c r="W19" s="4"/>
      <c r="X19" s="4">
        <f t="shared" ref="X19:X21" si="10">+P19-T19</f>
        <v>-1752843.4000000001</v>
      </c>
      <c r="Y19" s="4"/>
      <c r="Z19" s="13">
        <f t="shared" ref="Z19:Z21" si="11">IF(T19=0,0,X19/T19)</f>
        <v>-0.80823362360627071</v>
      </c>
    </row>
    <row r="20" spans="1:26" s="23" customFormat="1" hidden="1" outlineLevel="1" x14ac:dyDescent="0.25">
      <c r="A20" s="44"/>
      <c r="B20" s="10" t="str">
        <f>CONCATENATE("          ", "5053", " - ", "PURCHASES @ COST-FOOD")</f>
        <v xml:space="preserve">          5053 - PURCHASES @ COST-FOOD</v>
      </c>
      <c r="C20" s="10"/>
      <c r="D20" s="2">
        <v>46411.81</v>
      </c>
      <c r="E20" s="2"/>
      <c r="F20" s="19">
        <f t="shared" si="4"/>
        <v>0.51473857213473095</v>
      </c>
      <c r="G20" s="2"/>
      <c r="H20" s="2">
        <v>13033.2</v>
      </c>
      <c r="I20" s="2"/>
      <c r="J20" s="19">
        <f t="shared" si="5"/>
        <v>2.9970335962471548</v>
      </c>
      <c r="K20" s="2"/>
      <c r="L20" s="2">
        <f t="shared" si="6"/>
        <v>33378.61</v>
      </c>
      <c r="M20" s="2"/>
      <c r="N20" s="19">
        <f t="shared" si="7"/>
        <v>2.5610448700242459</v>
      </c>
      <c r="O20" s="10"/>
      <c r="P20" s="2">
        <v>419669.88</v>
      </c>
      <c r="Q20" s="2"/>
      <c r="R20" s="19">
        <f t="shared" si="8"/>
        <v>0.44581425579847112</v>
      </c>
      <c r="S20" s="2"/>
      <c r="T20" s="2">
        <v>2158626.84</v>
      </c>
      <c r="U20" s="2"/>
      <c r="V20" s="19">
        <f t="shared" si="9"/>
        <v>0.23853303991209598</v>
      </c>
      <c r="W20" s="2"/>
      <c r="X20" s="2">
        <f t="shared" si="10"/>
        <v>-1738956.96</v>
      </c>
      <c r="Y20" s="2"/>
      <c r="Z20" s="19">
        <f t="shared" si="11"/>
        <v>-0.8055847948226198</v>
      </c>
    </row>
    <row r="21" spans="1:26" s="23" customFormat="1" hidden="1" outlineLevel="1" x14ac:dyDescent="0.25">
      <c r="A21" s="44"/>
      <c r="B21" s="10" t="str">
        <f>CONCATENATE("          ", "5059", " - ", "PURCHASES @ COST-FOOD")</f>
        <v xml:space="preserve">          5059 - PURCHASES @ COST-FOOD</v>
      </c>
      <c r="C21" s="10"/>
      <c r="D21" s="2">
        <v>495</v>
      </c>
      <c r="E21" s="2"/>
      <c r="F21" s="19">
        <f t="shared" si="4"/>
        <v>5.4898870181251678E-3</v>
      </c>
      <c r="G21" s="2"/>
      <c r="H21" s="2">
        <v>-21347</v>
      </c>
      <c r="I21" s="2"/>
      <c r="J21" s="19">
        <f t="shared" si="5"/>
        <v>-4.9088233265113717</v>
      </c>
      <c r="K21" s="2"/>
      <c r="L21" s="2">
        <f t="shared" si="6"/>
        <v>21842</v>
      </c>
      <c r="M21" s="2"/>
      <c r="N21" s="19">
        <f t="shared" si="7"/>
        <v>-1.0231882700145218</v>
      </c>
      <c r="O21" s="10"/>
      <c r="P21" s="2">
        <v>-3779.7</v>
      </c>
      <c r="Q21" s="2"/>
      <c r="R21" s="19">
        <f t="shared" si="8"/>
        <v>-4.0151657837381163E-3</v>
      </c>
      <c r="S21" s="2"/>
      <c r="T21" s="2">
        <v>10106.74</v>
      </c>
      <c r="U21" s="2"/>
      <c r="V21" s="19">
        <f t="shared" si="9"/>
        <v>1.1168171224078623E-3</v>
      </c>
      <c r="W21" s="2"/>
      <c r="X21" s="2">
        <f t="shared" si="10"/>
        <v>-13886.439999999999</v>
      </c>
      <c r="Y21" s="2"/>
      <c r="Z21" s="19">
        <f t="shared" si="11"/>
        <v>-1.3739781571505747</v>
      </c>
    </row>
    <row r="22" spans="1:26" x14ac:dyDescent="0.25">
      <c r="A22" s="9"/>
      <c r="B22" s="11"/>
      <c r="C22" s="11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1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4" customFormat="1" x14ac:dyDescent="0.25">
      <c r="A23" s="11"/>
      <c r="B23" s="29" t="s">
        <v>107</v>
      </c>
      <c r="C23" s="29"/>
      <c r="D23" s="20">
        <f>D12-D19</f>
        <v>43258.979999999996</v>
      </c>
      <c r="E23" s="14"/>
      <c r="F23" s="22">
        <f>IF(D$12=0,0,D23/D$12)</f>
        <v>0.47977154084714391</v>
      </c>
      <c r="G23" s="14"/>
      <c r="H23" s="20">
        <f>H12-H19</f>
        <v>12662.5</v>
      </c>
      <c r="I23" s="14"/>
      <c r="J23" s="22">
        <f>IF(H$12=0,0,H23/H$12)</f>
        <v>2.9117897302642168</v>
      </c>
      <c r="K23" s="16"/>
      <c r="L23" s="20">
        <f>+D23-H23</f>
        <v>30596.479999999996</v>
      </c>
      <c r="M23" s="16"/>
      <c r="N23" s="22">
        <f>IF(H23=0,0,L23/H23)</f>
        <v>2.4163064165844026</v>
      </c>
      <c r="O23" s="28"/>
      <c r="P23" s="20">
        <f>P12-P19</f>
        <v>525465.72</v>
      </c>
      <c r="Q23" s="14"/>
      <c r="R23" s="22">
        <f>IF(P$12=0,0,P23/P$12)</f>
        <v>0.55820090998526695</v>
      </c>
      <c r="S23" s="14"/>
      <c r="T23" s="20">
        <f>T12-T19</f>
        <v>6880859.0500000007</v>
      </c>
      <c r="U23" s="14"/>
      <c r="V23" s="22">
        <f>IF(T$12=0,0,T23/T$12)</f>
        <v>0.76035014296549608</v>
      </c>
      <c r="W23" s="16"/>
      <c r="X23" s="20">
        <f>+P23-T23</f>
        <v>-6355393.330000001</v>
      </c>
      <c r="Y23" s="16"/>
      <c r="Z23" s="22">
        <f>IF(T23=0,0,X23/T23)</f>
        <v>-0.92363370384690557</v>
      </c>
    </row>
    <row r="24" spans="1:26" x14ac:dyDescent="0.25">
      <c r="A24" s="9"/>
      <c r="B24" s="11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4" customFormat="1" x14ac:dyDescent="0.25">
      <c r="A25" s="11"/>
      <c r="B25" s="28" t="s">
        <v>294</v>
      </c>
      <c r="C25" s="11"/>
      <c r="D25" s="21">
        <f>SUM(OSRRefD22x_0)</f>
        <v>245981.20999999996</v>
      </c>
      <c r="E25" s="21"/>
      <c r="F25" s="31">
        <f t="shared" ref="F25:F35" si="12">IF(D$12=0,0,D25/D$12)</f>
        <v>2.7280990939024656</v>
      </c>
      <c r="G25" s="21"/>
      <c r="H25" s="21">
        <f>SUM(OSRRefH22x_0)</f>
        <v>102481.70999999999</v>
      </c>
      <c r="I25" s="21"/>
      <c r="J25" s="31">
        <f t="shared" ref="J25:J35" si="13">IF(H$12=0,0,H25/H$12)</f>
        <v>23.566056522638949</v>
      </c>
      <c r="K25" s="4"/>
      <c r="L25" s="21">
        <f t="shared" ref="L25:L35" si="14">+D25-H25</f>
        <v>143499.49999999997</v>
      </c>
      <c r="M25" s="4"/>
      <c r="N25" s="31">
        <f t="shared" ref="N25:N35" si="15">IF(H25=0,0,L25/H25)</f>
        <v>1.4002449802994112</v>
      </c>
      <c r="O25" s="11"/>
      <c r="P25" s="21">
        <f>SUM(OSRRefP22x_0)</f>
        <v>2267346.9099999992</v>
      </c>
      <c r="Q25" s="21"/>
      <c r="R25" s="31">
        <f t="shared" ref="R25:R35" si="16">IF(P$12=0,0,P25/P$12)</f>
        <v>2.4085969079282332</v>
      </c>
      <c r="S25" s="21"/>
      <c r="T25" s="21">
        <f>SUM(OSRRefT22x_0)</f>
        <v>4638949.9800000023</v>
      </c>
      <c r="U25" s="21"/>
      <c r="V25" s="31">
        <f t="shared" ref="V25:V35" si="17">IF(T$12=0,0,T25/T$12)</f>
        <v>0.51261423244860493</v>
      </c>
      <c r="W25" s="4"/>
      <c r="X25" s="21">
        <f t="shared" ref="X25:X35" si="18">+P25-T25</f>
        <v>-2371603.0700000031</v>
      </c>
      <c r="Y25" s="4"/>
      <c r="Z25" s="31">
        <f t="shared" ref="Z25:Z35" si="19">IF(T25=0,0,X25/T25)</f>
        <v>-0.51123704291375049</v>
      </c>
    </row>
    <row r="26" spans="1:26" s="26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82804.11</v>
      </c>
      <c r="E26" s="1"/>
      <c r="F26" s="5">
        <f t="shared" si="12"/>
        <v>0.91835395663920882</v>
      </c>
      <c r="G26" s="1"/>
      <c r="H26" s="1">
        <f>SUM(OSRRefH22_0x_0)</f>
        <v>-1376.2799999999988</v>
      </c>
      <c r="I26" s="1"/>
      <c r="J26" s="5">
        <f t="shared" si="13"/>
        <v>-0.31648078736174001</v>
      </c>
      <c r="K26" s="1"/>
      <c r="L26" s="1">
        <f t="shared" si="14"/>
        <v>84180.39</v>
      </c>
      <c r="M26" s="1"/>
      <c r="N26" s="5">
        <f t="shared" si="15"/>
        <v>-61.165162612259188</v>
      </c>
      <c r="O26" s="12"/>
      <c r="P26" s="1">
        <f>SUM(OSRRefP22_0x_0)</f>
        <v>773204.69</v>
      </c>
      <c r="Q26" s="1"/>
      <c r="R26" s="5">
        <f t="shared" si="16"/>
        <v>0.82137339342112792</v>
      </c>
      <c r="S26" s="1"/>
      <c r="T26" s="1">
        <f>SUM(OSRRefT22_0x_0)</f>
        <v>871891.82</v>
      </c>
      <c r="U26" s="1"/>
      <c r="V26" s="5">
        <f t="shared" si="17"/>
        <v>9.634597441542514E-2</v>
      </c>
      <c r="W26" s="1"/>
      <c r="X26" s="1">
        <f t="shared" si="18"/>
        <v>-98687.13</v>
      </c>
      <c r="Y26" s="1"/>
      <c r="Z26" s="5">
        <f t="shared" si="19"/>
        <v>-0.11318735620205728</v>
      </c>
    </row>
    <row r="27" spans="1:26" s="23" customFormat="1" hidden="1" outlineLevel="2" x14ac:dyDescent="0.25">
      <c r="A27" s="27"/>
      <c r="B27" s="10" t="str">
        <f>CONCATENATE("          ", "6111", " - ", "F.I.C.A.")</f>
        <v xml:space="preserve">          6111 - F.I.C.A.</v>
      </c>
      <c r="C27" s="10"/>
      <c r="D27" s="6">
        <v>11026.35</v>
      </c>
      <c r="E27" s="2"/>
      <c r="F27" s="7">
        <f t="shared" si="12"/>
        <v>0.12228972873192816</v>
      </c>
      <c r="G27" s="2"/>
      <c r="H27" s="6">
        <v>10899.07</v>
      </c>
      <c r="I27" s="2"/>
      <c r="J27" s="7">
        <f t="shared" si="13"/>
        <v>2.5062823372502128</v>
      </c>
      <c r="K27" s="2"/>
      <c r="L27" s="6">
        <f t="shared" si="14"/>
        <v>127.28000000000065</v>
      </c>
      <c r="M27" s="2"/>
      <c r="N27" s="7">
        <f t="shared" si="15"/>
        <v>1.1678060605170961E-2</v>
      </c>
      <c r="O27" s="10"/>
      <c r="P27" s="6">
        <v>82188.009999999995</v>
      </c>
      <c r="Q27" s="2"/>
      <c r="R27" s="7">
        <f t="shared" si="16"/>
        <v>8.7308115878383497E-2</v>
      </c>
      <c r="S27" s="2"/>
      <c r="T27" s="6">
        <v>136908.18</v>
      </c>
      <c r="U27" s="2"/>
      <c r="V27" s="7">
        <f t="shared" si="17"/>
        <v>1.5128656680759339E-2</v>
      </c>
      <c r="W27" s="2"/>
      <c r="X27" s="6">
        <f t="shared" si="18"/>
        <v>-54720.17</v>
      </c>
      <c r="Y27" s="2"/>
      <c r="Z27" s="7">
        <f t="shared" si="19"/>
        <v>-0.39968517586020064</v>
      </c>
    </row>
    <row r="28" spans="1:26" s="23" customFormat="1" hidden="1" outlineLevel="2" x14ac:dyDescent="0.25">
      <c r="A28" s="27"/>
      <c r="B28" s="10" t="str">
        <f>CONCATENATE("          ", "6112", " - ", "COMPENSATION INSURANCE")</f>
        <v xml:space="preserve">          6112 - COMPENSATION INSURANCE</v>
      </c>
      <c r="C28" s="10"/>
      <c r="D28" s="6">
        <v>4428.88</v>
      </c>
      <c r="E28" s="2"/>
      <c r="F28" s="7">
        <f t="shared" si="12"/>
        <v>4.9119294579463013E-2</v>
      </c>
      <c r="G28" s="2"/>
      <c r="H28" s="6">
        <v>3524.09</v>
      </c>
      <c r="I28" s="2"/>
      <c r="J28" s="7">
        <f t="shared" si="13"/>
        <v>0.81037781405937415</v>
      </c>
      <c r="K28" s="2"/>
      <c r="L28" s="6">
        <f t="shared" si="14"/>
        <v>904.79</v>
      </c>
      <c r="M28" s="2"/>
      <c r="N28" s="7">
        <f t="shared" si="15"/>
        <v>0.25674429427171269</v>
      </c>
      <c r="O28" s="10"/>
      <c r="P28" s="6">
        <v>48775.44</v>
      </c>
      <c r="Q28" s="2"/>
      <c r="R28" s="7">
        <f t="shared" si="16"/>
        <v>5.1814026979594009E-2</v>
      </c>
      <c r="S28" s="2"/>
      <c r="T28" s="6">
        <v>85976</v>
      </c>
      <c r="U28" s="2"/>
      <c r="V28" s="7">
        <f t="shared" si="17"/>
        <v>9.5005381474281888E-3</v>
      </c>
      <c r="W28" s="2"/>
      <c r="X28" s="6">
        <f t="shared" si="18"/>
        <v>-37200.559999999998</v>
      </c>
      <c r="Y28" s="2"/>
      <c r="Z28" s="7">
        <f t="shared" si="19"/>
        <v>-0.43268540057690513</v>
      </c>
    </row>
    <row r="29" spans="1:26" s="23" customFormat="1" hidden="1" outlineLevel="2" x14ac:dyDescent="0.25">
      <c r="A29" s="27"/>
      <c r="B29" s="10" t="str">
        <f>CONCATENATE("          ", "6113", " - ", "GROUP INSURANCE")</f>
        <v xml:space="preserve">          6113 - GROUP INSURANCE</v>
      </c>
      <c r="C29" s="10"/>
      <c r="D29" s="6">
        <v>44853.96</v>
      </c>
      <c r="E29" s="2"/>
      <c r="F29" s="7">
        <f t="shared" si="12"/>
        <v>0.49746095498081927</v>
      </c>
      <c r="G29" s="2"/>
      <c r="H29" s="6">
        <v>41691.06</v>
      </c>
      <c r="I29" s="2"/>
      <c r="J29" s="7">
        <f t="shared" si="13"/>
        <v>9.5870168096212662</v>
      </c>
      <c r="K29" s="2"/>
      <c r="L29" s="6">
        <f t="shared" si="14"/>
        <v>3162.9000000000015</v>
      </c>
      <c r="M29" s="2"/>
      <c r="N29" s="7">
        <f t="shared" si="15"/>
        <v>7.5865185485809228E-2</v>
      </c>
      <c r="O29" s="10"/>
      <c r="P29" s="6">
        <v>448686.85</v>
      </c>
      <c r="Q29" s="2"/>
      <c r="R29" s="7">
        <f t="shared" si="16"/>
        <v>0.47663890989582153</v>
      </c>
      <c r="S29" s="2"/>
      <c r="T29" s="6">
        <v>474557.54</v>
      </c>
      <c r="U29" s="2"/>
      <c r="V29" s="7">
        <f t="shared" si="17"/>
        <v>5.2439657717498818E-2</v>
      </c>
      <c r="W29" s="2"/>
      <c r="X29" s="6">
        <f t="shared" si="18"/>
        <v>-25870.690000000002</v>
      </c>
      <c r="Y29" s="2"/>
      <c r="Z29" s="7">
        <f t="shared" si="19"/>
        <v>-5.451539132641324E-2</v>
      </c>
    </row>
    <row r="30" spans="1:26" s="23" customFormat="1" hidden="1" outlineLevel="2" x14ac:dyDescent="0.25">
      <c r="A30" s="27"/>
      <c r="B30" s="10" t="str">
        <f>CONCATENATE("          ", "6114", " - ", "STATE UNEMPLOYMENT INSURANCE")</f>
        <v xml:space="preserve">          6114 - STATE UNEMPLOYMENT INSURANCE</v>
      </c>
      <c r="C30" s="10"/>
      <c r="D30" s="6">
        <v>268.93</v>
      </c>
      <c r="E30" s="2"/>
      <c r="F30" s="7">
        <f t="shared" si="12"/>
        <v>2.9826167995644472E-3</v>
      </c>
      <c r="G30" s="2"/>
      <c r="H30" s="6">
        <v>239.91</v>
      </c>
      <c r="I30" s="2"/>
      <c r="J30" s="7">
        <f t="shared" si="13"/>
        <v>5.5168211189550904E-2</v>
      </c>
      <c r="K30" s="2"/>
      <c r="L30" s="6">
        <f t="shared" si="14"/>
        <v>29.02000000000001</v>
      </c>
      <c r="M30" s="2"/>
      <c r="N30" s="7">
        <f t="shared" si="15"/>
        <v>0.12096202742695182</v>
      </c>
      <c r="O30" s="10"/>
      <c r="P30" s="6">
        <v>3044.5</v>
      </c>
      <c r="Q30" s="2"/>
      <c r="R30" s="7">
        <f t="shared" si="16"/>
        <v>3.2341646767179129E-3</v>
      </c>
      <c r="S30" s="2"/>
      <c r="T30" s="6">
        <v>6774.66</v>
      </c>
      <c r="U30" s="2"/>
      <c r="V30" s="7">
        <f t="shared" si="17"/>
        <v>7.4861491306708677E-4</v>
      </c>
      <c r="W30" s="2"/>
      <c r="X30" s="6">
        <f t="shared" si="18"/>
        <v>-3730.16</v>
      </c>
      <c r="Y30" s="2"/>
      <c r="Z30" s="7">
        <f t="shared" si="19"/>
        <v>-0.55060475359649041</v>
      </c>
    </row>
    <row r="31" spans="1:26" s="23" customFormat="1" hidden="1" outlineLevel="2" x14ac:dyDescent="0.25">
      <c r="A31" s="27"/>
      <c r="B31" s="10" t="str">
        <f>CONCATENATE("          ", "6115", " - ", "P.E.R.S.")</f>
        <v xml:space="preserve">          6115 - P.E.R.S.</v>
      </c>
      <c r="C31" s="10"/>
      <c r="D31" s="6">
        <v>3594.3</v>
      </c>
      <c r="E31" s="2"/>
      <c r="F31" s="7">
        <f t="shared" si="12"/>
        <v>3.9863234160095538E-2</v>
      </c>
      <c r="G31" s="2"/>
      <c r="H31" s="6">
        <v>4977.51</v>
      </c>
      <c r="I31" s="2"/>
      <c r="J31" s="7">
        <f t="shared" si="13"/>
        <v>1.1445972359555729</v>
      </c>
      <c r="K31" s="2"/>
      <c r="L31" s="6">
        <f t="shared" si="14"/>
        <v>-1383.21</v>
      </c>
      <c r="M31" s="2"/>
      <c r="N31" s="7">
        <f t="shared" si="15"/>
        <v>-0.27789195802720634</v>
      </c>
      <c r="O31" s="10"/>
      <c r="P31" s="6">
        <v>39738.68</v>
      </c>
      <c r="Q31" s="2"/>
      <c r="R31" s="7">
        <f t="shared" si="16"/>
        <v>4.2214299607619181E-2</v>
      </c>
      <c r="S31" s="2"/>
      <c r="T31" s="6">
        <v>45122.98</v>
      </c>
      <c r="U31" s="2"/>
      <c r="V31" s="7">
        <f t="shared" si="17"/>
        <v>4.9861890855080401E-3</v>
      </c>
      <c r="W31" s="2"/>
      <c r="X31" s="6">
        <f t="shared" si="18"/>
        <v>-5384.3000000000029</v>
      </c>
      <c r="Y31" s="2"/>
      <c r="Z31" s="7">
        <f t="shared" si="19"/>
        <v>-0.11932500911952186</v>
      </c>
    </row>
    <row r="32" spans="1:26" s="23" customFormat="1" hidden="1" outlineLevel="2" x14ac:dyDescent="0.25">
      <c r="A32" s="27"/>
      <c r="B32" s="10" t="str">
        <f>CONCATENATE("          ", "6117", " - ", "RETIREMENT STAFF HOURLY")</f>
        <v xml:space="preserve">          6117 - RETIREMENT STAFF HOURLY</v>
      </c>
      <c r="C32" s="10"/>
      <c r="D32" s="6">
        <v>1408.97</v>
      </c>
      <c r="E32" s="2"/>
      <c r="F32" s="7">
        <f t="shared" si="12"/>
        <v>1.5626436589753167E-2</v>
      </c>
      <c r="G32" s="2"/>
      <c r="H32" s="6">
        <v>3442.8</v>
      </c>
      <c r="I32" s="2"/>
      <c r="J32" s="7">
        <f t="shared" si="13"/>
        <v>0.79168487134086052</v>
      </c>
      <c r="K32" s="2"/>
      <c r="L32" s="6">
        <f t="shared" si="14"/>
        <v>-2033.8300000000002</v>
      </c>
      <c r="M32" s="2"/>
      <c r="N32" s="7">
        <f t="shared" si="15"/>
        <v>-0.59074880910886485</v>
      </c>
      <c r="O32" s="10"/>
      <c r="P32" s="6">
        <v>15402.89</v>
      </c>
      <c r="Q32" s="2"/>
      <c r="R32" s="7">
        <f t="shared" si="16"/>
        <v>1.6362451225939094E-2</v>
      </c>
      <c r="S32" s="2"/>
      <c r="T32" s="6">
        <v>17975.060000000001</v>
      </c>
      <c r="U32" s="2"/>
      <c r="V32" s="7">
        <f t="shared" si="17"/>
        <v>1.9862838842503788E-3</v>
      </c>
      <c r="W32" s="2"/>
      <c r="X32" s="6">
        <f t="shared" si="18"/>
        <v>-2572.1700000000019</v>
      </c>
      <c r="Y32" s="2"/>
      <c r="Z32" s="7">
        <f t="shared" si="19"/>
        <v>-0.14309660162469565</v>
      </c>
    </row>
    <row r="33" spans="1:26" s="23" customFormat="1" hidden="1" outlineLevel="2" x14ac:dyDescent="0.25">
      <c r="A33" s="27"/>
      <c r="B33" s="10" t="str">
        <f>CONCATENATE("          ", "6118", " - ", "VACATION")</f>
        <v xml:space="preserve">          6118 - VACATION</v>
      </c>
      <c r="C33" s="10"/>
      <c r="D33" s="6">
        <v>9052.56</v>
      </c>
      <c r="E33" s="2"/>
      <c r="F33" s="7">
        <f t="shared" si="12"/>
        <v>0.10039905378747306</v>
      </c>
      <c r="G33" s="2"/>
      <c r="H33" s="6">
        <v>8575.35</v>
      </c>
      <c r="I33" s="2"/>
      <c r="J33" s="7">
        <f t="shared" si="13"/>
        <v>1.9719341412376115</v>
      </c>
      <c r="K33" s="2"/>
      <c r="L33" s="6">
        <f t="shared" si="14"/>
        <v>477.20999999999913</v>
      </c>
      <c r="M33" s="2"/>
      <c r="N33" s="7">
        <f t="shared" si="15"/>
        <v>5.564904056394189E-2</v>
      </c>
      <c r="O33" s="10"/>
      <c r="P33" s="6">
        <v>66990.45</v>
      </c>
      <c r="Q33" s="2"/>
      <c r="R33" s="7">
        <f t="shared" si="16"/>
        <v>7.1163786193935791E-2</v>
      </c>
      <c r="S33" s="2"/>
      <c r="T33" s="6">
        <v>86833.56</v>
      </c>
      <c r="U33" s="2"/>
      <c r="V33" s="7">
        <f t="shared" si="17"/>
        <v>9.5953004240368761E-3</v>
      </c>
      <c r="W33" s="2"/>
      <c r="X33" s="6">
        <f t="shared" si="18"/>
        <v>-19843.11</v>
      </c>
      <c r="Y33" s="2"/>
      <c r="Z33" s="7">
        <f t="shared" si="19"/>
        <v>-0.22851890444201528</v>
      </c>
    </row>
    <row r="34" spans="1:26" s="23" customFormat="1" hidden="1" outlineLevel="2" x14ac:dyDescent="0.25">
      <c r="A34" s="27"/>
      <c r="B34" s="10" t="str">
        <f>CONCATENATE("          ", "6119", " - ", "SICK LEAVE")</f>
        <v xml:space="preserve">          6119 - SICK LEAVE</v>
      </c>
      <c r="C34" s="10"/>
      <c r="D34" s="6">
        <v>6113.16</v>
      </c>
      <c r="E34" s="2"/>
      <c r="F34" s="7">
        <f t="shared" si="12"/>
        <v>6.779910651256979E-2</v>
      </c>
      <c r="G34" s="2"/>
      <c r="H34" s="6">
        <v>-76600.570000000007</v>
      </c>
      <c r="I34" s="2"/>
      <c r="J34" s="7">
        <f t="shared" si="13"/>
        <v>-17.614590567295977</v>
      </c>
      <c r="K34" s="2"/>
      <c r="L34" s="6">
        <f t="shared" si="14"/>
        <v>82713.73000000001</v>
      </c>
      <c r="M34" s="2"/>
      <c r="N34" s="7">
        <f t="shared" si="15"/>
        <v>-1.0798056724643172</v>
      </c>
      <c r="O34" s="10"/>
      <c r="P34" s="6">
        <v>45349.46</v>
      </c>
      <c r="Q34" s="2"/>
      <c r="R34" s="7">
        <f t="shared" si="16"/>
        <v>4.8174617060348798E-2</v>
      </c>
      <c r="S34" s="2"/>
      <c r="T34" s="6">
        <v>-18787.990000000002</v>
      </c>
      <c r="U34" s="2"/>
      <c r="V34" s="7">
        <f t="shared" si="17"/>
        <v>-2.0761144471538495E-3</v>
      </c>
      <c r="W34" s="2"/>
      <c r="X34" s="6">
        <f t="shared" si="18"/>
        <v>64137.45</v>
      </c>
      <c r="Y34" s="2"/>
      <c r="Z34" s="7">
        <f t="shared" si="19"/>
        <v>-3.4137472928184436</v>
      </c>
    </row>
    <row r="35" spans="1:26" s="23" customFormat="1" hidden="1" outlineLevel="2" x14ac:dyDescent="0.25">
      <c r="A35" s="27"/>
      <c r="B35" s="10" t="str">
        <f>CONCATENATE("          ", "6156", " - ", "EMPLOYEE MEALS")</f>
        <v xml:space="preserve">          6156 - EMPLOYEE MEALS</v>
      </c>
      <c r="C35" s="10"/>
      <c r="D35" s="6">
        <v>2057</v>
      </c>
      <c r="E35" s="2"/>
      <c r="F35" s="7">
        <f t="shared" si="12"/>
        <v>2.2813530497542363E-2</v>
      </c>
      <c r="G35" s="2"/>
      <c r="H35" s="6">
        <v>1874.5</v>
      </c>
      <c r="I35" s="2"/>
      <c r="J35" s="7">
        <f t="shared" si="13"/>
        <v>0.4310483592797848</v>
      </c>
      <c r="K35" s="2"/>
      <c r="L35" s="6">
        <f t="shared" si="14"/>
        <v>182.5</v>
      </c>
      <c r="M35" s="2"/>
      <c r="N35" s="7">
        <f t="shared" si="15"/>
        <v>9.7359295812216598E-2</v>
      </c>
      <c r="O35" s="10"/>
      <c r="P35" s="6">
        <v>23028.41</v>
      </c>
      <c r="Q35" s="2"/>
      <c r="R35" s="7">
        <f t="shared" si="16"/>
        <v>2.4463021902768122E-2</v>
      </c>
      <c r="S35" s="2"/>
      <c r="T35" s="6">
        <v>36531.83</v>
      </c>
      <c r="U35" s="2"/>
      <c r="V35" s="7">
        <f t="shared" si="17"/>
        <v>4.0368480100302587E-3</v>
      </c>
      <c r="W35" s="2"/>
      <c r="X35" s="6">
        <f t="shared" si="18"/>
        <v>-13503.420000000002</v>
      </c>
      <c r="Y35" s="2"/>
      <c r="Z35" s="7">
        <f t="shared" si="19"/>
        <v>-0.36963437090340123</v>
      </c>
    </row>
    <row r="36" spans="1:26" s="26" customFormat="1" outlineLevel="1" collapsed="1" x14ac:dyDescent="0.25">
      <c r="A36" s="25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116919.33</v>
      </c>
      <c r="E36" s="1"/>
      <c r="F36" s="5">
        <f t="shared" ref="F36:F43" si="20">IF(D$12=0,0,D36/D$12)</f>
        <v>1.2967149736058432</v>
      </c>
      <c r="G36" s="1"/>
      <c r="H36" s="1">
        <f>SUM(OSRRefH22_1x_0)</f>
        <v>91193.55</v>
      </c>
      <c r="I36" s="1"/>
      <c r="J36" s="5">
        <f t="shared" ref="J36:J43" si="21">IF(H$12=0,0,H36/H$12)</f>
        <v>20.970301469404649</v>
      </c>
      <c r="K36" s="1"/>
      <c r="L36" s="1">
        <f t="shared" ref="L36:L43" si="22">+D36-H36</f>
        <v>25725.78</v>
      </c>
      <c r="M36" s="1"/>
      <c r="N36" s="5">
        <f t="shared" ref="N36:N43" si="23">IF(H36=0,0,L36/H36)</f>
        <v>0.28210087226563718</v>
      </c>
      <c r="O36" s="12"/>
      <c r="P36" s="1">
        <f>SUM(OSRRefP22_1x_0)</f>
        <v>1068221.18</v>
      </c>
      <c r="Q36" s="1"/>
      <c r="R36" s="5">
        <f t="shared" ref="R36:R43" si="24">IF(P$12=0,0,P36/P$12)</f>
        <v>1.1347686671959032</v>
      </c>
      <c r="S36" s="1"/>
      <c r="T36" s="1">
        <f>SUM(OSRRefT22_1x_0)</f>
        <v>2468623.9500000002</v>
      </c>
      <c r="U36" s="1"/>
      <c r="V36" s="5">
        <f t="shared" ref="V36:V43" si="25">IF(T$12=0,0,T36/T$12)</f>
        <v>0.27278840616718458</v>
      </c>
      <c r="W36" s="1"/>
      <c r="X36" s="1">
        <f t="shared" ref="X36:X43" si="26">+P36-T36</f>
        <v>-1400402.7700000003</v>
      </c>
      <c r="Y36" s="1"/>
      <c r="Z36" s="5">
        <f t="shared" ref="Z36:Z43" si="27">IF(T36=0,0,X36/T36)</f>
        <v>-0.56728071928492796</v>
      </c>
    </row>
    <row r="37" spans="1:26" s="23" customFormat="1" hidden="1" outlineLevel="2" x14ac:dyDescent="0.25">
      <c r="A37" s="27"/>
      <c r="B37" s="10" t="str">
        <f>CONCATENATE("          ", "6001", " - ", "ADMINISTRATIVE SALARIES")</f>
        <v xml:space="preserve">          6001 - ADMINISTRATIVE SALARIES</v>
      </c>
      <c r="C37" s="10"/>
      <c r="D37" s="6">
        <v>8959.42</v>
      </c>
      <c r="E37" s="2"/>
      <c r="F37" s="7">
        <f t="shared" si="20"/>
        <v>9.9366067773597952E-2</v>
      </c>
      <c r="G37" s="2"/>
      <c r="H37" s="6">
        <v>11199.31</v>
      </c>
      <c r="I37" s="2"/>
      <c r="J37" s="7">
        <f t="shared" si="21"/>
        <v>2.5753236599443512</v>
      </c>
      <c r="K37" s="2"/>
      <c r="L37" s="6">
        <f t="shared" si="22"/>
        <v>-2239.8899999999994</v>
      </c>
      <c r="M37" s="2"/>
      <c r="N37" s="7">
        <f t="shared" si="23"/>
        <v>-0.20000250015402729</v>
      </c>
      <c r="O37" s="10"/>
      <c r="P37" s="6">
        <v>91164.32</v>
      </c>
      <c r="Q37" s="2"/>
      <c r="R37" s="7">
        <f t="shared" si="24"/>
        <v>9.6843627367715027E-2</v>
      </c>
      <c r="S37" s="2"/>
      <c r="T37" s="6">
        <v>82672.17</v>
      </c>
      <c r="U37" s="2"/>
      <c r="V37" s="7">
        <f t="shared" si="25"/>
        <v>9.135457625566069E-3</v>
      </c>
      <c r="W37" s="2"/>
      <c r="X37" s="6">
        <f t="shared" si="26"/>
        <v>8492.1500000000087</v>
      </c>
      <c r="Y37" s="2"/>
      <c r="Z37" s="7">
        <f t="shared" si="27"/>
        <v>0.10272078258015979</v>
      </c>
    </row>
    <row r="38" spans="1:26" s="23" customFormat="1" hidden="1" outlineLevel="2" x14ac:dyDescent="0.25">
      <c r="A38" s="27"/>
      <c r="B38" s="10" t="str">
        <f>CONCATENATE("          ", "6002", " - ", "STAFF SALARIES")</f>
        <v xml:space="preserve">          6002 - STAFF SALARIES</v>
      </c>
      <c r="C38" s="10"/>
      <c r="D38" s="6">
        <v>31093.77</v>
      </c>
      <c r="E38" s="2"/>
      <c r="F38" s="7">
        <f t="shared" si="20"/>
        <v>0.34485107932842379</v>
      </c>
      <c r="G38" s="2"/>
      <c r="H38" s="6">
        <v>31169.759999999998</v>
      </c>
      <c r="I38" s="2"/>
      <c r="J38" s="7">
        <f t="shared" si="21"/>
        <v>7.1676041115735734</v>
      </c>
      <c r="K38" s="2"/>
      <c r="L38" s="6">
        <f t="shared" si="22"/>
        <v>-75.989999999997963</v>
      </c>
      <c r="M38" s="2"/>
      <c r="N38" s="7">
        <f t="shared" si="23"/>
        <v>-2.4379398493924228E-3</v>
      </c>
      <c r="O38" s="10"/>
      <c r="P38" s="6">
        <v>290362.64</v>
      </c>
      <c r="Q38" s="2"/>
      <c r="R38" s="7">
        <f t="shared" si="24"/>
        <v>0.30845150064922311</v>
      </c>
      <c r="S38" s="2"/>
      <c r="T38" s="6">
        <v>395573.99</v>
      </c>
      <c r="U38" s="2"/>
      <c r="V38" s="7">
        <f t="shared" si="25"/>
        <v>4.3711800759809447E-2</v>
      </c>
      <c r="W38" s="2"/>
      <c r="X38" s="6">
        <f t="shared" si="26"/>
        <v>-105211.34999999998</v>
      </c>
      <c r="Y38" s="2"/>
      <c r="Z38" s="7">
        <f t="shared" si="27"/>
        <v>-0.26597135468891669</v>
      </c>
    </row>
    <row r="39" spans="1:26" s="23" customFormat="1" hidden="1" outlineLevel="2" x14ac:dyDescent="0.25">
      <c r="A39" s="27"/>
      <c r="B39" s="10" t="str">
        <f>CONCATENATE("          ", "6004", " - ", "STAFF HOURLY")</f>
        <v xml:space="preserve">          6004 - STAFF HOURLY</v>
      </c>
      <c r="C39" s="10"/>
      <c r="D39" s="6">
        <v>66076.2</v>
      </c>
      <c r="E39" s="2"/>
      <c r="F39" s="7">
        <f t="shared" si="20"/>
        <v>0.73283004563038823</v>
      </c>
      <c r="G39" s="2"/>
      <c r="H39" s="6">
        <v>60644.480000000003</v>
      </c>
      <c r="I39" s="2"/>
      <c r="J39" s="7">
        <f t="shared" si="21"/>
        <v>13.945427369098812</v>
      </c>
      <c r="K39" s="2"/>
      <c r="L39" s="6">
        <f t="shared" si="22"/>
        <v>5431.7199999999939</v>
      </c>
      <c r="M39" s="2"/>
      <c r="N39" s="7">
        <f t="shared" si="23"/>
        <v>8.9566601939698287E-2</v>
      </c>
      <c r="O39" s="10"/>
      <c r="P39" s="6">
        <v>462448.16</v>
      </c>
      <c r="Q39" s="2"/>
      <c r="R39" s="7">
        <f t="shared" si="24"/>
        <v>0.491257514825158</v>
      </c>
      <c r="S39" s="2"/>
      <c r="T39" s="6">
        <v>623031.21</v>
      </c>
      <c r="U39" s="2"/>
      <c r="V39" s="7">
        <f t="shared" si="25"/>
        <v>6.8846326621886833E-2</v>
      </c>
      <c r="W39" s="2"/>
      <c r="X39" s="6">
        <f t="shared" si="26"/>
        <v>-160583.04999999999</v>
      </c>
      <c r="Y39" s="2"/>
      <c r="Z39" s="7">
        <f t="shared" si="27"/>
        <v>-0.25774479259233257</v>
      </c>
    </row>
    <row r="40" spans="1:26" s="23" customFormat="1" hidden="1" outlineLevel="2" x14ac:dyDescent="0.25">
      <c r="A40" s="27"/>
      <c r="B40" s="10" t="str">
        <f>CONCATENATE("          ", "6005", " - ", "TEMPORARY WAGES-HOURLY")</f>
        <v xml:space="preserve">          6005 - TEMPORARY WAGES-HOURLY</v>
      </c>
      <c r="C40" s="10"/>
      <c r="D40" s="6">
        <v>10614.88</v>
      </c>
      <c r="E40" s="2"/>
      <c r="F40" s="7">
        <f t="shared" si="20"/>
        <v>0.11772624628476056</v>
      </c>
      <c r="G40" s="2"/>
      <c r="H40" s="6"/>
      <c r="I40" s="2"/>
      <c r="J40" s="7">
        <f t="shared" si="21"/>
        <v>0</v>
      </c>
      <c r="K40" s="2"/>
      <c r="L40" s="6">
        <f t="shared" si="22"/>
        <v>10614.88</v>
      </c>
      <c r="M40" s="2"/>
      <c r="N40" s="7">
        <f t="shared" si="23"/>
        <v>0</v>
      </c>
      <c r="O40" s="10"/>
      <c r="P40" s="6">
        <v>99974.07</v>
      </c>
      <c r="Q40" s="2"/>
      <c r="R40" s="7">
        <f t="shared" si="24"/>
        <v>0.10620220258884021</v>
      </c>
      <c r="S40" s="2"/>
      <c r="T40" s="6">
        <v>393545.4</v>
      </c>
      <c r="U40" s="2"/>
      <c r="V40" s="7">
        <f t="shared" si="25"/>
        <v>4.3487637078311221E-2</v>
      </c>
      <c r="W40" s="2"/>
      <c r="X40" s="6">
        <f t="shared" si="26"/>
        <v>-293571.33</v>
      </c>
      <c r="Y40" s="2"/>
      <c r="Z40" s="7">
        <f t="shared" si="27"/>
        <v>-0.74596559888643088</v>
      </c>
    </row>
    <row r="41" spans="1:26" s="23" customFormat="1" hidden="1" outlineLevel="2" x14ac:dyDescent="0.25">
      <c r="A41" s="27"/>
      <c r="B41" s="10" t="str">
        <f>CONCATENATE("          ", "6006", " - ", "TEMPORARY PART TIME")</f>
        <v xml:space="preserve">          6006 - TEMPORARY PART TIME</v>
      </c>
      <c r="C41" s="10"/>
      <c r="D41" s="6">
        <v>847.56</v>
      </c>
      <c r="E41" s="2"/>
      <c r="F41" s="7">
        <f t="shared" si="20"/>
        <v>9.4000174567316491E-3</v>
      </c>
      <c r="G41" s="2"/>
      <c r="H41" s="6"/>
      <c r="I41" s="2"/>
      <c r="J41" s="7">
        <f t="shared" si="21"/>
        <v>0</v>
      </c>
      <c r="K41" s="2"/>
      <c r="L41" s="6">
        <f t="shared" si="22"/>
        <v>847.56</v>
      </c>
      <c r="M41" s="2"/>
      <c r="N41" s="7">
        <f t="shared" si="23"/>
        <v>0</v>
      </c>
      <c r="O41" s="10"/>
      <c r="P41" s="6">
        <v>2174.52</v>
      </c>
      <c r="Q41" s="2"/>
      <c r="R41" s="7">
        <f t="shared" si="24"/>
        <v>2.3099871153938697E-3</v>
      </c>
      <c r="S41" s="2"/>
      <c r="T41" s="6">
        <v>34130.699999999997</v>
      </c>
      <c r="U41" s="2"/>
      <c r="V41" s="7">
        <f t="shared" si="25"/>
        <v>3.7715178346099756E-3</v>
      </c>
      <c r="W41" s="2"/>
      <c r="X41" s="6">
        <f t="shared" si="26"/>
        <v>-31956.179999999997</v>
      </c>
      <c r="Y41" s="2"/>
      <c r="Z41" s="7">
        <f t="shared" si="27"/>
        <v>-0.93628844412801382</v>
      </c>
    </row>
    <row r="42" spans="1:26" s="23" customFormat="1" hidden="1" outlineLevel="2" x14ac:dyDescent="0.25">
      <c r="A42" s="27"/>
      <c r="B42" s="10" t="str">
        <f>CONCATENATE("          ", "6007", " - ", "STUDENT HOURLY")</f>
        <v xml:space="preserve">          6007 - STUDENT HOURLY</v>
      </c>
      <c r="C42" s="10"/>
      <c r="D42" s="6">
        <v>-672.5</v>
      </c>
      <c r="E42" s="2"/>
      <c r="F42" s="7">
        <f t="shared" si="20"/>
        <v>-7.4584828680589396E-3</v>
      </c>
      <c r="G42" s="2"/>
      <c r="H42" s="6">
        <v>-11820</v>
      </c>
      <c r="I42" s="2"/>
      <c r="J42" s="7">
        <f t="shared" si="21"/>
        <v>-2.7180536712120866</v>
      </c>
      <c r="K42" s="2"/>
      <c r="L42" s="6">
        <f t="shared" si="22"/>
        <v>11147.5</v>
      </c>
      <c r="M42" s="2"/>
      <c r="N42" s="7">
        <f t="shared" si="23"/>
        <v>-0.94310490693739424</v>
      </c>
      <c r="O42" s="10"/>
      <c r="P42" s="6">
        <v>111466.59</v>
      </c>
      <c r="Q42" s="2"/>
      <c r="R42" s="7">
        <f t="shared" si="24"/>
        <v>0.1184106776193786</v>
      </c>
      <c r="S42" s="2"/>
      <c r="T42" s="6">
        <v>767218.78</v>
      </c>
      <c r="U42" s="2"/>
      <c r="V42" s="7">
        <f t="shared" si="25"/>
        <v>8.4779371996991204E-2</v>
      </c>
      <c r="W42" s="2"/>
      <c r="X42" s="6">
        <f t="shared" si="26"/>
        <v>-655752.19000000006</v>
      </c>
      <c r="Y42" s="2"/>
      <c r="Z42" s="7">
        <f t="shared" si="27"/>
        <v>-0.85471342346442569</v>
      </c>
    </row>
    <row r="43" spans="1:26" s="23" customFormat="1" hidden="1" outlineLevel="2" x14ac:dyDescent="0.25">
      <c r="A43" s="27"/>
      <c r="B43" s="10" t="str">
        <f>CONCATENATE("          ", "6008", " - ", "STUDENT HOURLY-FICA EXEMPT")</f>
        <v xml:space="preserve">          6008 - STUDENT HOURLY-FICA EXEMPT</v>
      </c>
      <c r="C43" s="10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0"/>
      <c r="P43" s="6">
        <v>10630.88</v>
      </c>
      <c r="Q43" s="2"/>
      <c r="R43" s="7">
        <f t="shared" si="24"/>
        <v>1.1293157030194423E-2</v>
      </c>
      <c r="S43" s="2"/>
      <c r="T43" s="6">
        <v>172451.7</v>
      </c>
      <c r="U43" s="2"/>
      <c r="V43" s="7">
        <f t="shared" si="25"/>
        <v>1.9056294250009792E-2</v>
      </c>
      <c r="W43" s="2"/>
      <c r="X43" s="6">
        <f t="shared" si="26"/>
        <v>-161820.82</v>
      </c>
      <c r="Y43" s="2"/>
      <c r="Z43" s="7">
        <f t="shared" si="27"/>
        <v>-0.93835444939075696</v>
      </c>
    </row>
    <row r="44" spans="1:26" s="26" customFormat="1" outlineLevel="1" collapsed="1" x14ac:dyDescent="0.25">
      <c r="A44" s="25"/>
      <c r="B44" s="12" t="str">
        <f>CONCATENATE("     ","Advertising/Promo                                 ")</f>
        <v xml:space="preserve">     Advertising/Promo                                 </v>
      </c>
      <c r="C44" s="12"/>
      <c r="D44" s="1">
        <f>SUM(OSRRefD22_2x_0)</f>
        <v>122.76</v>
      </c>
      <c r="E44" s="1"/>
      <c r="F44" s="5">
        <f t="shared" ref="F44:F67" si="28">IF(D$12=0,0,D44/D$12)</f>
        <v>1.3614919804950415E-3</v>
      </c>
      <c r="G44" s="1"/>
      <c r="H44" s="1">
        <f>SUM(OSRRefH22_2x_0)</f>
        <v>0</v>
      </c>
      <c r="I44" s="1"/>
      <c r="J44" s="5">
        <f t="shared" ref="J44:J67" si="29">IF(H$12=0,0,H44/H$12)</f>
        <v>0</v>
      </c>
      <c r="K44" s="1"/>
      <c r="L44" s="1">
        <f t="shared" ref="L44:L67" si="30">+D44-H44</f>
        <v>122.76</v>
      </c>
      <c r="M44" s="1"/>
      <c r="N44" s="5">
        <f t="shared" ref="N44:N67" si="31">IF(H44=0,0,L44/H44)</f>
        <v>0</v>
      </c>
      <c r="O44" s="12"/>
      <c r="P44" s="1">
        <f>SUM(OSRRefP22_2x_0)</f>
        <v>1567.93</v>
      </c>
      <c r="Q44" s="1"/>
      <c r="R44" s="5">
        <f t="shared" ref="R44:R67" si="32">IF(P$12=0,0,P44/P$12)</f>
        <v>1.6656080872282206E-3</v>
      </c>
      <c r="S44" s="1"/>
      <c r="T44" s="1">
        <f>SUM(OSRRefT22_2x_0)</f>
        <v>8477.7099999999991</v>
      </c>
      <c r="U44" s="1"/>
      <c r="V44" s="5">
        <f t="shared" ref="V44:V67" si="33">IF(T$12=0,0,T44/T$12)</f>
        <v>9.3680570459004167E-4</v>
      </c>
      <c r="W44" s="1"/>
      <c r="X44" s="1">
        <f t="shared" ref="X44:X67" si="34">+P44-T44</f>
        <v>-6909.7799999999988</v>
      </c>
      <c r="Y44" s="1"/>
      <c r="Z44" s="5">
        <f t="shared" ref="Z44:Z67" si="35">IF(T44=0,0,X44/T44)</f>
        <v>-0.81505264983114534</v>
      </c>
    </row>
    <row r="45" spans="1:26" s="23" customFormat="1" hidden="1" outlineLevel="2" x14ac:dyDescent="0.25">
      <c r="A45" s="27"/>
      <c r="B45" s="10" t="str">
        <f>CONCATENATE("          ", "6362", " - ", "ADVERTISING EXPENSE")</f>
        <v xml:space="preserve">          6362 - ADVERTISING EXPENSE</v>
      </c>
      <c r="C45" s="10"/>
      <c r="D45" s="6">
        <v>122.76</v>
      </c>
      <c r="E45" s="2"/>
      <c r="F45" s="7">
        <f t="shared" si="28"/>
        <v>1.3614919804950415E-3</v>
      </c>
      <c r="G45" s="2"/>
      <c r="H45" s="6"/>
      <c r="I45" s="2"/>
      <c r="J45" s="7">
        <f t="shared" si="29"/>
        <v>0</v>
      </c>
      <c r="K45" s="2"/>
      <c r="L45" s="6">
        <f t="shared" si="30"/>
        <v>122.76</v>
      </c>
      <c r="M45" s="2"/>
      <c r="N45" s="7">
        <f t="shared" si="31"/>
        <v>0</v>
      </c>
      <c r="O45" s="10"/>
      <c r="P45" s="6">
        <v>1567.93</v>
      </c>
      <c r="Q45" s="2"/>
      <c r="R45" s="7">
        <f t="shared" si="32"/>
        <v>1.6656080872282206E-3</v>
      </c>
      <c r="S45" s="2"/>
      <c r="T45" s="6">
        <v>8477.7099999999991</v>
      </c>
      <c r="U45" s="2"/>
      <c r="V45" s="7">
        <f t="shared" si="33"/>
        <v>9.3680570459004167E-4</v>
      </c>
      <c r="W45" s="2"/>
      <c r="X45" s="6">
        <f t="shared" si="34"/>
        <v>-6909.7799999999988</v>
      </c>
      <c r="Y45" s="2"/>
      <c r="Z45" s="7">
        <f t="shared" si="35"/>
        <v>-0.81505264983114534</v>
      </c>
    </row>
    <row r="46" spans="1:26" s="26" customFormat="1" outlineLevel="1" collapsed="1" x14ac:dyDescent="0.25">
      <c r="A46" s="25"/>
      <c r="B46" s="12" t="str">
        <f>CONCATENATE("     ","Bad Debts/Over/Short                              ")</f>
        <v xml:space="preserve">     Bad Debts/Over/Short                              </v>
      </c>
      <c r="C46" s="12"/>
      <c r="D46" s="1">
        <f>SUM(OSRRefD22_3x_0)</f>
        <v>0</v>
      </c>
      <c r="E46" s="1"/>
      <c r="F46" s="5">
        <f t="shared" si="28"/>
        <v>0</v>
      </c>
      <c r="G46" s="1"/>
      <c r="H46" s="1">
        <f>SUM(OSRRefH22_3x_0)</f>
        <v>0</v>
      </c>
      <c r="I46" s="1"/>
      <c r="J46" s="5">
        <f t="shared" si="29"/>
        <v>0</v>
      </c>
      <c r="K46" s="1"/>
      <c r="L46" s="1">
        <f t="shared" si="30"/>
        <v>0</v>
      </c>
      <c r="M46" s="1"/>
      <c r="N46" s="5">
        <f t="shared" si="31"/>
        <v>0</v>
      </c>
      <c r="O46" s="12"/>
      <c r="P46" s="1">
        <f>SUM(OSRRefP22_3x_0)</f>
        <v>53.54</v>
      </c>
      <c r="Q46" s="1"/>
      <c r="R46" s="5">
        <f t="shared" si="32"/>
        <v>5.6875407059115473E-5</v>
      </c>
      <c r="S46" s="1"/>
      <c r="T46" s="1">
        <f>SUM(OSRRefT22_3x_0)</f>
        <v>63.55</v>
      </c>
      <c r="U46" s="1"/>
      <c r="V46" s="5">
        <f t="shared" si="33"/>
        <v>7.0224155493284331E-6</v>
      </c>
      <c r="W46" s="1"/>
      <c r="X46" s="1">
        <f t="shared" si="34"/>
        <v>-10.009999999999998</v>
      </c>
      <c r="Y46" s="1"/>
      <c r="Z46" s="5">
        <f t="shared" si="35"/>
        <v>-0.15751376868607395</v>
      </c>
    </row>
    <row r="47" spans="1:26" s="23" customFormat="1" hidden="1" outlineLevel="2" x14ac:dyDescent="0.25">
      <c r="A47" s="27"/>
      <c r="B47" s="10" t="str">
        <f>CONCATENATE("          ", "6272", " - ", "CASH (OVER/SHORT)")</f>
        <v xml:space="preserve">          6272 - CASH (OVER/SHORT)</v>
      </c>
      <c r="C47" s="10"/>
      <c r="D47" s="6"/>
      <c r="E47" s="2"/>
      <c r="F47" s="7">
        <f t="shared" si="28"/>
        <v>0</v>
      </c>
      <c r="G47" s="2"/>
      <c r="H47" s="6"/>
      <c r="I47" s="2"/>
      <c r="J47" s="7">
        <f t="shared" si="29"/>
        <v>0</v>
      </c>
      <c r="K47" s="2"/>
      <c r="L47" s="6">
        <f t="shared" si="30"/>
        <v>0</v>
      </c>
      <c r="M47" s="2"/>
      <c r="N47" s="7">
        <f t="shared" si="31"/>
        <v>0</v>
      </c>
      <c r="O47" s="10"/>
      <c r="P47" s="6">
        <v>53.54</v>
      </c>
      <c r="Q47" s="2"/>
      <c r="R47" s="7">
        <f t="shared" si="32"/>
        <v>5.6875407059115473E-5</v>
      </c>
      <c r="S47" s="2"/>
      <c r="T47" s="6">
        <v>63.55</v>
      </c>
      <c r="U47" s="2"/>
      <c r="V47" s="7">
        <f t="shared" si="33"/>
        <v>7.0224155493284331E-6</v>
      </c>
      <c r="W47" s="2"/>
      <c r="X47" s="6">
        <f t="shared" si="34"/>
        <v>-10.009999999999998</v>
      </c>
      <c r="Y47" s="2"/>
      <c r="Z47" s="7">
        <f t="shared" si="35"/>
        <v>-0.15751376868607395</v>
      </c>
    </row>
    <row r="48" spans="1:26" s="26" customFormat="1" outlineLevel="1" collapsed="1" x14ac:dyDescent="0.25">
      <c r="A48" s="25"/>
      <c r="B48" s="12" t="str">
        <f>CONCATENATE("     ","Bank/card Fees                                    ")</f>
        <v xml:space="preserve">     Bank/card Fees                                    </v>
      </c>
      <c r="C48" s="12"/>
      <c r="D48" s="1">
        <f>SUM(OSRRefD22_4x_0)</f>
        <v>79.34</v>
      </c>
      <c r="E48" s="1"/>
      <c r="F48" s="5">
        <f t="shared" si="28"/>
        <v>8.7993461821828448E-4</v>
      </c>
      <c r="G48" s="1"/>
      <c r="H48" s="1">
        <f>SUM(OSRRefH22_4x_0)</f>
        <v>0</v>
      </c>
      <c r="I48" s="1"/>
      <c r="J48" s="5">
        <f t="shared" si="29"/>
        <v>0</v>
      </c>
      <c r="K48" s="1"/>
      <c r="L48" s="1">
        <f t="shared" si="30"/>
        <v>79.34</v>
      </c>
      <c r="M48" s="1"/>
      <c r="N48" s="5">
        <f t="shared" si="31"/>
        <v>0</v>
      </c>
      <c r="O48" s="12"/>
      <c r="P48" s="1">
        <f>SUM(OSRRefP22_4x_0)</f>
        <v>346.34</v>
      </c>
      <c r="Q48" s="1"/>
      <c r="R48" s="5">
        <f t="shared" si="32"/>
        <v>3.6791610909327703E-4</v>
      </c>
      <c r="S48" s="1"/>
      <c r="T48" s="1">
        <f>SUM(OSRRefT22_4x_0)</f>
        <v>3152.34</v>
      </c>
      <c r="U48" s="1"/>
      <c r="V48" s="5">
        <f t="shared" si="33"/>
        <v>3.4834054182171509E-4</v>
      </c>
      <c r="W48" s="1"/>
      <c r="X48" s="1">
        <f t="shared" si="34"/>
        <v>-2806</v>
      </c>
      <c r="Y48" s="1"/>
      <c r="Z48" s="5">
        <f t="shared" si="35"/>
        <v>-0.8901324095751092</v>
      </c>
    </row>
    <row r="49" spans="1:26" s="23" customFormat="1" hidden="1" outlineLevel="2" x14ac:dyDescent="0.25">
      <c r="A49" s="27"/>
      <c r="B49" s="10" t="str">
        <f>CONCATENATE("          ", "6381", " - ", "BANK/CREDIT CARD FEES")</f>
        <v xml:space="preserve">          6381 - BANK/CREDIT CARD FEES</v>
      </c>
      <c r="C49" s="10"/>
      <c r="D49" s="6">
        <v>79.34</v>
      </c>
      <c r="E49" s="2"/>
      <c r="F49" s="7">
        <f t="shared" si="28"/>
        <v>8.7993461821828448E-4</v>
      </c>
      <c r="G49" s="2"/>
      <c r="H49" s="6"/>
      <c r="I49" s="2"/>
      <c r="J49" s="7">
        <f t="shared" si="29"/>
        <v>0</v>
      </c>
      <c r="K49" s="2"/>
      <c r="L49" s="6">
        <f t="shared" si="30"/>
        <v>79.34</v>
      </c>
      <c r="M49" s="2"/>
      <c r="N49" s="7">
        <f t="shared" si="31"/>
        <v>0</v>
      </c>
      <c r="O49" s="10"/>
      <c r="P49" s="6">
        <v>346.34</v>
      </c>
      <c r="Q49" s="2"/>
      <c r="R49" s="7">
        <f t="shared" si="32"/>
        <v>3.6791610909327703E-4</v>
      </c>
      <c r="S49" s="2"/>
      <c r="T49" s="6">
        <v>3152.34</v>
      </c>
      <c r="U49" s="2"/>
      <c r="V49" s="7">
        <f t="shared" si="33"/>
        <v>3.4834054182171509E-4</v>
      </c>
      <c r="W49" s="2"/>
      <c r="X49" s="6">
        <f t="shared" si="34"/>
        <v>-2806</v>
      </c>
      <c r="Y49" s="2"/>
      <c r="Z49" s="7">
        <f t="shared" si="35"/>
        <v>-0.8901324095751092</v>
      </c>
    </row>
    <row r="50" spans="1:26" s="26" customFormat="1" outlineLevel="1" collapsed="1" x14ac:dyDescent="0.25">
      <c r="A50" s="25"/>
      <c r="B50" s="12" t="str">
        <f>CONCATENATE("     ","Depreciation                                      ")</f>
        <v xml:space="preserve">     Depreciation                                      </v>
      </c>
      <c r="C50" s="12"/>
      <c r="D50" s="1">
        <f>SUM(OSRRefD22_5x_0)</f>
        <v>758.5</v>
      </c>
      <c r="E50" s="1"/>
      <c r="F50" s="5">
        <f t="shared" si="28"/>
        <v>8.4122814207029072E-3</v>
      </c>
      <c r="G50" s="1"/>
      <c r="H50" s="1">
        <f>SUM(OSRRefH22_5x_0)</f>
        <v>213.02</v>
      </c>
      <c r="I50" s="1"/>
      <c r="J50" s="5">
        <f t="shared" si="29"/>
        <v>4.8984754064433055E-2</v>
      </c>
      <c r="K50" s="1"/>
      <c r="L50" s="1">
        <f t="shared" si="30"/>
        <v>545.48</v>
      </c>
      <c r="M50" s="1"/>
      <c r="N50" s="5">
        <f t="shared" si="31"/>
        <v>2.5606985259600039</v>
      </c>
      <c r="O50" s="12"/>
      <c r="P50" s="1">
        <f>SUM(OSRRefP22_5x_0)</f>
        <v>7056.56</v>
      </c>
      <c r="Q50" s="1"/>
      <c r="R50" s="5">
        <f t="shared" si="32"/>
        <v>7.4961659028216646E-3</v>
      </c>
      <c r="S50" s="1"/>
      <c r="T50" s="1">
        <f>SUM(OSRRefT22_5x_0)</f>
        <v>426.04</v>
      </c>
      <c r="U50" s="1"/>
      <c r="V50" s="5">
        <f t="shared" si="33"/>
        <v>4.7078362244467128E-5</v>
      </c>
      <c r="W50" s="1"/>
      <c r="X50" s="1">
        <f t="shared" si="34"/>
        <v>6630.52</v>
      </c>
      <c r="Y50" s="1"/>
      <c r="Z50" s="5">
        <f t="shared" si="35"/>
        <v>15.563139611304104</v>
      </c>
    </row>
    <row r="51" spans="1:26" s="23" customFormat="1" hidden="1" outlineLevel="2" x14ac:dyDescent="0.25">
      <c r="A51" s="27"/>
      <c r="B51" s="10" t="str">
        <f>CONCATENATE("          ", "6322", " - ", "EQUIPMENT DEPRECIATION EXPENSE")</f>
        <v xml:space="preserve">          6322 - EQUIPMENT DEPRECIATION EXPENSE</v>
      </c>
      <c r="C51" s="10"/>
      <c r="D51" s="6">
        <v>758.5</v>
      </c>
      <c r="E51" s="2"/>
      <c r="F51" s="7">
        <f t="shared" si="28"/>
        <v>8.4122814207029072E-3</v>
      </c>
      <c r="G51" s="2"/>
      <c r="H51" s="6">
        <v>213.02</v>
      </c>
      <c r="I51" s="2"/>
      <c r="J51" s="7">
        <f t="shared" si="29"/>
        <v>4.8984754064433055E-2</v>
      </c>
      <c r="K51" s="2"/>
      <c r="L51" s="6">
        <f t="shared" si="30"/>
        <v>545.48</v>
      </c>
      <c r="M51" s="2"/>
      <c r="N51" s="7">
        <f t="shared" si="31"/>
        <v>2.5606985259600039</v>
      </c>
      <c r="O51" s="10"/>
      <c r="P51" s="6">
        <v>7056.56</v>
      </c>
      <c r="Q51" s="2"/>
      <c r="R51" s="7">
        <f t="shared" si="32"/>
        <v>7.4961659028216646E-3</v>
      </c>
      <c r="S51" s="2"/>
      <c r="T51" s="6">
        <v>426.04</v>
      </c>
      <c r="U51" s="2"/>
      <c r="V51" s="7">
        <f t="shared" si="33"/>
        <v>4.7078362244467128E-5</v>
      </c>
      <c r="W51" s="2"/>
      <c r="X51" s="6">
        <f t="shared" si="34"/>
        <v>6630.52</v>
      </c>
      <c r="Y51" s="2"/>
      <c r="Z51" s="7">
        <f t="shared" si="35"/>
        <v>15.563139611304104</v>
      </c>
    </row>
    <row r="52" spans="1:26" s="26" customFormat="1" outlineLevel="1" collapsed="1" x14ac:dyDescent="0.25">
      <c r="A52" s="25"/>
      <c r="B52" s="12" t="str">
        <f>CONCATENATE("     ","Donations                                         ")</f>
        <v xml:space="preserve">     Donations                                         </v>
      </c>
      <c r="C52" s="12"/>
      <c r="D52" s="1">
        <f>SUM(OSRRefD22_6x_0)</f>
        <v>7325.88</v>
      </c>
      <c r="E52" s="1"/>
      <c r="F52" s="5">
        <f t="shared" si="28"/>
        <v>8.1248996986551109E-2</v>
      </c>
      <c r="G52" s="1"/>
      <c r="H52" s="1">
        <f>SUM(OSRRefH22_6x_0)</f>
        <v>0</v>
      </c>
      <c r="I52" s="1"/>
      <c r="J52" s="5">
        <f t="shared" si="29"/>
        <v>0</v>
      </c>
      <c r="K52" s="1"/>
      <c r="L52" s="1">
        <f t="shared" si="30"/>
        <v>7325.88</v>
      </c>
      <c r="M52" s="1"/>
      <c r="N52" s="5">
        <f t="shared" si="31"/>
        <v>0</v>
      </c>
      <c r="O52" s="12"/>
      <c r="P52" s="1">
        <f>SUM(OSRRefP22_6x_0)</f>
        <v>58305.64</v>
      </c>
      <c r="Q52" s="1"/>
      <c r="R52" s="5">
        <f t="shared" si="32"/>
        <v>6.1937934419914929E-2</v>
      </c>
      <c r="S52" s="1"/>
      <c r="T52" s="1">
        <f>SUM(OSRRefT22_6x_0)</f>
        <v>120143.85</v>
      </c>
      <c r="U52" s="1"/>
      <c r="V52" s="5">
        <f t="shared" si="33"/>
        <v>1.3276161139200361E-2</v>
      </c>
      <c r="W52" s="1"/>
      <c r="X52" s="1">
        <f t="shared" si="34"/>
        <v>-61838.210000000006</v>
      </c>
      <c r="Y52" s="1"/>
      <c r="Z52" s="5">
        <f t="shared" si="35"/>
        <v>-0.51470141834142991</v>
      </c>
    </row>
    <row r="53" spans="1:26" s="23" customFormat="1" hidden="1" outlineLevel="2" x14ac:dyDescent="0.25">
      <c r="A53" s="27"/>
      <c r="B53" s="10" t="str">
        <f>CONCATENATE("          ", "6399", " - ", "DONATION-ON CAMPUS")</f>
        <v xml:space="preserve">          6399 - DONATION-ON CAMPUS</v>
      </c>
      <c r="C53" s="10"/>
      <c r="D53" s="6">
        <v>7325.88</v>
      </c>
      <c r="E53" s="2"/>
      <c r="F53" s="7">
        <f t="shared" si="28"/>
        <v>8.1248996986551109E-2</v>
      </c>
      <c r="G53" s="2"/>
      <c r="H53" s="6"/>
      <c r="I53" s="2"/>
      <c r="J53" s="7">
        <f t="shared" si="29"/>
        <v>0</v>
      </c>
      <c r="K53" s="2"/>
      <c r="L53" s="6">
        <f t="shared" si="30"/>
        <v>7325.88</v>
      </c>
      <c r="M53" s="2"/>
      <c r="N53" s="7">
        <f t="shared" si="31"/>
        <v>0</v>
      </c>
      <c r="O53" s="10"/>
      <c r="P53" s="6">
        <v>58305.64</v>
      </c>
      <c r="Q53" s="2"/>
      <c r="R53" s="7">
        <f t="shared" si="32"/>
        <v>6.1937934419914929E-2</v>
      </c>
      <c r="S53" s="2"/>
      <c r="T53" s="6">
        <v>120143.85</v>
      </c>
      <c r="U53" s="2"/>
      <c r="V53" s="7">
        <f t="shared" si="33"/>
        <v>1.3276161139200361E-2</v>
      </c>
      <c r="W53" s="2"/>
      <c r="X53" s="6">
        <f t="shared" si="34"/>
        <v>-61838.210000000006</v>
      </c>
      <c r="Y53" s="2"/>
      <c r="Z53" s="7">
        <f t="shared" si="35"/>
        <v>-0.51470141834142991</v>
      </c>
    </row>
    <row r="54" spans="1:26" s="26" customFormat="1" outlineLevel="1" collapsed="1" x14ac:dyDescent="0.25">
      <c r="A54" s="25"/>
      <c r="B54" s="12" t="str">
        <f>CONCATENATE("     ","Employees' Appreciation                           ")</f>
        <v xml:space="preserve">     Employees' Appreciation                           </v>
      </c>
      <c r="C54" s="12"/>
      <c r="D54" s="1">
        <f>SUM(OSRRefD22_7x_0)</f>
        <v>0</v>
      </c>
      <c r="E54" s="1"/>
      <c r="F54" s="5">
        <f t="shared" si="28"/>
        <v>0</v>
      </c>
      <c r="G54" s="1"/>
      <c r="H54" s="1">
        <f>SUM(OSRRefH22_7x_0)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2"/>
      <c r="P54" s="1">
        <f>SUM(OSRRefP22_7x_0)</f>
        <v>0</v>
      </c>
      <c r="Q54" s="1"/>
      <c r="R54" s="5">
        <f t="shared" si="32"/>
        <v>0</v>
      </c>
      <c r="S54" s="1"/>
      <c r="T54" s="1">
        <f>SUM(OSRRefT22_7x_0)</f>
        <v>1798.43</v>
      </c>
      <c r="U54" s="1"/>
      <c r="V54" s="5">
        <f t="shared" si="33"/>
        <v>1.9873049246858749E-4</v>
      </c>
      <c r="W54" s="1"/>
      <c r="X54" s="1">
        <f t="shared" si="34"/>
        <v>-1798.43</v>
      </c>
      <c r="Y54" s="1"/>
      <c r="Z54" s="5">
        <f t="shared" si="35"/>
        <v>-1</v>
      </c>
    </row>
    <row r="55" spans="1:26" s="23" customFormat="1" hidden="1" outlineLevel="2" x14ac:dyDescent="0.25">
      <c r="A55" s="27"/>
      <c r="B55" s="10" t="str">
        <f>CONCATENATE("          ", "6277", " - ", "EMPLOYEE APPRECIATION")</f>
        <v xml:space="preserve">          6277 - EMPLOYEE APPRECIATION</v>
      </c>
      <c r="C55" s="10"/>
      <c r="D55" s="6"/>
      <c r="E55" s="2"/>
      <c r="F55" s="7">
        <f t="shared" si="28"/>
        <v>0</v>
      </c>
      <c r="G55" s="2"/>
      <c r="H55" s="6"/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0"/>
      <c r="P55" s="6"/>
      <c r="Q55" s="2"/>
      <c r="R55" s="7">
        <f t="shared" si="32"/>
        <v>0</v>
      </c>
      <c r="S55" s="2"/>
      <c r="T55" s="6">
        <v>1798.43</v>
      </c>
      <c r="U55" s="2"/>
      <c r="V55" s="7">
        <f t="shared" si="33"/>
        <v>1.9873049246858749E-4</v>
      </c>
      <c r="W55" s="2"/>
      <c r="X55" s="6">
        <f t="shared" si="34"/>
        <v>-1798.43</v>
      </c>
      <c r="Y55" s="2"/>
      <c r="Z55" s="7">
        <f t="shared" si="35"/>
        <v>-1</v>
      </c>
    </row>
    <row r="56" spans="1:26" s="26" customFormat="1" outlineLevel="1" collapsed="1" x14ac:dyDescent="0.25">
      <c r="A56" s="25"/>
      <c r="B56" s="12" t="str">
        <f>CONCATENATE("     ","Equipment Rental                                  ")</f>
        <v xml:space="preserve">     Equipment Rental                                  </v>
      </c>
      <c r="C56" s="12"/>
      <c r="D56" s="1">
        <f>SUM(OSRRefD22_8x_0)</f>
        <v>923.26</v>
      </c>
      <c r="E56" s="1"/>
      <c r="F56" s="5">
        <f t="shared" si="28"/>
        <v>1.0239581996675236E-2</v>
      </c>
      <c r="G56" s="1"/>
      <c r="H56" s="1">
        <f>SUM(OSRRefH22_8x_0)</f>
        <v>91.26</v>
      </c>
      <c r="I56" s="1"/>
      <c r="J56" s="5">
        <f t="shared" si="29"/>
        <v>2.0985581898038497E-2</v>
      </c>
      <c r="K56" s="1"/>
      <c r="L56" s="1">
        <f t="shared" si="30"/>
        <v>832</v>
      </c>
      <c r="M56" s="1"/>
      <c r="N56" s="5">
        <f t="shared" si="31"/>
        <v>9.116809116809117</v>
      </c>
      <c r="O56" s="12"/>
      <c r="P56" s="1">
        <f>SUM(OSRRefP22_8x_0)</f>
        <v>5477.18</v>
      </c>
      <c r="Q56" s="1"/>
      <c r="R56" s="5">
        <f t="shared" si="32"/>
        <v>5.8183945094517388E-3</v>
      </c>
      <c r="S56" s="1"/>
      <c r="T56" s="1">
        <f>SUM(OSRRefT22_8x_0)</f>
        <v>4859.6000000000004</v>
      </c>
      <c r="U56" s="1"/>
      <c r="V56" s="5">
        <f t="shared" si="33"/>
        <v>5.3699654765564846E-4</v>
      </c>
      <c r="W56" s="1"/>
      <c r="X56" s="1">
        <f t="shared" si="34"/>
        <v>617.57999999999993</v>
      </c>
      <c r="Y56" s="1"/>
      <c r="Z56" s="5">
        <f t="shared" si="35"/>
        <v>0.12708453370647788</v>
      </c>
    </row>
    <row r="57" spans="1:26" s="23" customFormat="1" hidden="1" outlineLevel="2" x14ac:dyDescent="0.25">
      <c r="A57" s="27"/>
      <c r="B57" s="10" t="str">
        <f>CONCATENATE("          ", "6351", " - ", "EQUIPMENT RENTAL")</f>
        <v xml:space="preserve">          6351 - EQUIPMENT RENTAL</v>
      </c>
      <c r="C57" s="10"/>
      <c r="D57" s="6">
        <v>923.26</v>
      </c>
      <c r="E57" s="2"/>
      <c r="F57" s="7">
        <f t="shared" si="28"/>
        <v>1.0239581996675236E-2</v>
      </c>
      <c r="G57" s="2"/>
      <c r="H57" s="6">
        <v>91.26</v>
      </c>
      <c r="I57" s="2"/>
      <c r="J57" s="7">
        <f t="shared" si="29"/>
        <v>2.0985581898038497E-2</v>
      </c>
      <c r="K57" s="2"/>
      <c r="L57" s="6">
        <f t="shared" si="30"/>
        <v>832</v>
      </c>
      <c r="M57" s="2"/>
      <c r="N57" s="7">
        <f t="shared" si="31"/>
        <v>9.116809116809117</v>
      </c>
      <c r="O57" s="10"/>
      <c r="P57" s="6">
        <v>5477.18</v>
      </c>
      <c r="Q57" s="2"/>
      <c r="R57" s="7">
        <f t="shared" si="32"/>
        <v>5.8183945094517388E-3</v>
      </c>
      <c r="S57" s="2"/>
      <c r="T57" s="6">
        <v>4859.6000000000004</v>
      </c>
      <c r="U57" s="2"/>
      <c r="V57" s="7">
        <f t="shared" si="33"/>
        <v>5.3699654765564846E-4</v>
      </c>
      <c r="W57" s="2"/>
      <c r="X57" s="6">
        <f t="shared" si="34"/>
        <v>617.57999999999993</v>
      </c>
      <c r="Y57" s="2"/>
      <c r="Z57" s="7">
        <f t="shared" si="35"/>
        <v>0.12708453370647788</v>
      </c>
    </row>
    <row r="58" spans="1:26" s="26" customFormat="1" outlineLevel="1" collapsed="1" x14ac:dyDescent="0.25">
      <c r="A58" s="25"/>
      <c r="B58" s="12" t="str">
        <f>CONCATENATE("     ","General                                           ")</f>
        <v xml:space="preserve">     General                                           </v>
      </c>
      <c r="C58" s="12"/>
      <c r="D58" s="1">
        <f>SUM(OSRRefD22_9x_0)</f>
        <v>19</v>
      </c>
      <c r="E58" s="1"/>
      <c r="F58" s="5">
        <f t="shared" si="28"/>
        <v>2.1072293604924885E-4</v>
      </c>
      <c r="G58" s="1"/>
      <c r="H58" s="1">
        <f>SUM(OSRRefH22_9x_0)</f>
        <v>87</v>
      </c>
      <c r="I58" s="1"/>
      <c r="J58" s="5">
        <f t="shared" si="29"/>
        <v>2.0005978798261551E-2</v>
      </c>
      <c r="K58" s="1"/>
      <c r="L58" s="1">
        <f t="shared" si="30"/>
        <v>-68</v>
      </c>
      <c r="M58" s="1"/>
      <c r="N58" s="5">
        <f t="shared" si="31"/>
        <v>-0.7816091954022989</v>
      </c>
      <c r="O58" s="12"/>
      <c r="P58" s="1">
        <f>SUM(OSRRefP22_9x_0)</f>
        <v>7613.75</v>
      </c>
      <c r="Q58" s="1"/>
      <c r="R58" s="5">
        <f t="shared" si="32"/>
        <v>8.088067435493845E-3</v>
      </c>
      <c r="S58" s="1"/>
      <c r="T58" s="1">
        <f>SUM(OSRRefT22_9x_0)</f>
        <v>9014.11</v>
      </c>
      <c r="U58" s="1"/>
      <c r="V58" s="5">
        <f t="shared" si="33"/>
        <v>9.9607909091041589E-4</v>
      </c>
      <c r="W58" s="1"/>
      <c r="X58" s="1">
        <f t="shared" si="34"/>
        <v>-1400.3600000000006</v>
      </c>
      <c r="Y58" s="1"/>
      <c r="Z58" s="5">
        <f t="shared" si="35"/>
        <v>-0.15535199814513029</v>
      </c>
    </row>
    <row r="59" spans="1:26" s="23" customFormat="1" hidden="1" outlineLevel="2" x14ac:dyDescent="0.25">
      <c r="A59" s="27"/>
      <c r="B59" s="10" t="str">
        <f>CONCATENATE("          ", "6279", " - ", "GENERAL EXPENSE")</f>
        <v xml:space="preserve">          6279 - GENERAL EXPENSE</v>
      </c>
      <c r="C59" s="10"/>
      <c r="D59" s="6">
        <v>19</v>
      </c>
      <c r="E59" s="2"/>
      <c r="F59" s="7">
        <f t="shared" si="28"/>
        <v>2.1072293604924885E-4</v>
      </c>
      <c r="G59" s="2"/>
      <c r="H59" s="6">
        <v>87</v>
      </c>
      <c r="I59" s="2"/>
      <c r="J59" s="7">
        <f t="shared" si="29"/>
        <v>2.0005978798261551E-2</v>
      </c>
      <c r="K59" s="2"/>
      <c r="L59" s="6">
        <f t="shared" si="30"/>
        <v>-68</v>
      </c>
      <c r="M59" s="2"/>
      <c r="N59" s="7">
        <f t="shared" si="31"/>
        <v>-0.7816091954022989</v>
      </c>
      <c r="O59" s="10"/>
      <c r="P59" s="6">
        <v>7613.75</v>
      </c>
      <c r="Q59" s="2"/>
      <c r="R59" s="7">
        <f t="shared" si="32"/>
        <v>8.088067435493845E-3</v>
      </c>
      <c r="S59" s="2"/>
      <c r="T59" s="6">
        <v>9014.11</v>
      </c>
      <c r="U59" s="2"/>
      <c r="V59" s="7">
        <f t="shared" si="33"/>
        <v>9.9607909091041589E-4</v>
      </c>
      <c r="W59" s="2"/>
      <c r="X59" s="6">
        <f t="shared" si="34"/>
        <v>-1400.3600000000006</v>
      </c>
      <c r="Y59" s="2"/>
      <c r="Z59" s="7">
        <f t="shared" si="35"/>
        <v>-0.15535199814513029</v>
      </c>
    </row>
    <row r="60" spans="1:26" s="26" customFormat="1" outlineLevel="1" collapsed="1" x14ac:dyDescent="0.25">
      <c r="A60" s="25"/>
      <c r="B60" s="12" t="str">
        <f>CONCATENATE("     ","Insurance                                         ")</f>
        <v xml:space="preserve">     Insurance                                         </v>
      </c>
      <c r="C60" s="12"/>
      <c r="D60" s="1">
        <f>SUM(OSRRefD22_10x_0)</f>
        <v>5.9</v>
      </c>
      <c r="E60" s="1"/>
      <c r="F60" s="5">
        <f t="shared" si="28"/>
        <v>6.5435016983714117E-5</v>
      </c>
      <c r="G60" s="1"/>
      <c r="H60" s="1">
        <f>SUM(OSRRefH22_10x_0)</f>
        <v>5.9</v>
      </c>
      <c r="I60" s="1"/>
      <c r="J60" s="5">
        <f t="shared" si="29"/>
        <v>1.3567272978131397E-3</v>
      </c>
      <c r="K60" s="1"/>
      <c r="L60" s="1">
        <f t="shared" si="30"/>
        <v>0</v>
      </c>
      <c r="M60" s="1"/>
      <c r="N60" s="5">
        <f t="shared" si="31"/>
        <v>0</v>
      </c>
      <c r="O60" s="12"/>
      <c r="P60" s="1">
        <f>SUM(OSRRefP22_10x_0)</f>
        <v>59</v>
      </c>
      <c r="Q60" s="1"/>
      <c r="R60" s="5">
        <f t="shared" si="32"/>
        <v>6.2675551297867253E-5</v>
      </c>
      <c r="S60" s="1"/>
      <c r="T60" s="1">
        <f>SUM(OSRRefT22_10x_0)</f>
        <v>59</v>
      </c>
      <c r="U60" s="1"/>
      <c r="V60" s="5">
        <f t="shared" si="33"/>
        <v>6.5196304863946115E-6</v>
      </c>
      <c r="W60" s="1"/>
      <c r="X60" s="1">
        <f t="shared" si="34"/>
        <v>0</v>
      </c>
      <c r="Y60" s="1"/>
      <c r="Z60" s="5">
        <f t="shared" si="35"/>
        <v>0</v>
      </c>
    </row>
    <row r="61" spans="1:26" s="23" customFormat="1" hidden="1" outlineLevel="2" x14ac:dyDescent="0.25">
      <c r="A61" s="27"/>
      <c r="B61" s="10" t="str">
        <f>CONCATENATE("          ", "6314", " - ", "LIABILITY INSURANCE")</f>
        <v xml:space="preserve">          6314 - LIABILITY INSURANCE</v>
      </c>
      <c r="C61" s="10"/>
      <c r="D61" s="6">
        <v>5.9</v>
      </c>
      <c r="E61" s="2"/>
      <c r="F61" s="7">
        <f t="shared" si="28"/>
        <v>6.5435016983714117E-5</v>
      </c>
      <c r="G61" s="2"/>
      <c r="H61" s="6">
        <v>5.9</v>
      </c>
      <c r="I61" s="2"/>
      <c r="J61" s="7">
        <f t="shared" si="29"/>
        <v>1.3567272978131397E-3</v>
      </c>
      <c r="K61" s="2"/>
      <c r="L61" s="6">
        <f t="shared" si="30"/>
        <v>0</v>
      </c>
      <c r="M61" s="2"/>
      <c r="N61" s="7">
        <f t="shared" si="31"/>
        <v>0</v>
      </c>
      <c r="O61" s="10"/>
      <c r="P61" s="6">
        <v>59</v>
      </c>
      <c r="Q61" s="2"/>
      <c r="R61" s="7">
        <f t="shared" si="32"/>
        <v>6.2675551297867253E-5</v>
      </c>
      <c r="S61" s="2"/>
      <c r="T61" s="6">
        <v>59</v>
      </c>
      <c r="U61" s="2"/>
      <c r="V61" s="7">
        <f t="shared" si="33"/>
        <v>6.5196304863946115E-6</v>
      </c>
      <c r="W61" s="2"/>
      <c r="X61" s="6">
        <f t="shared" si="34"/>
        <v>0</v>
      </c>
      <c r="Y61" s="2"/>
      <c r="Z61" s="7">
        <f t="shared" si="35"/>
        <v>0</v>
      </c>
    </row>
    <row r="62" spans="1:26" s="26" customFormat="1" outlineLevel="1" collapsed="1" x14ac:dyDescent="0.25">
      <c r="A62" s="25"/>
      <c r="B62" s="12" t="str">
        <f>CONCATENATE("     ","R/H Commissions                                   ")</f>
        <v xml:space="preserve">     R/H Commissions                                   </v>
      </c>
      <c r="C62" s="12"/>
      <c r="D62" s="1">
        <f>SUM(OSRRefD22_11x_0)</f>
        <v>6627.19</v>
      </c>
      <c r="E62" s="1"/>
      <c r="F62" s="5">
        <f t="shared" si="28"/>
        <v>7.3500049187169542E-2</v>
      </c>
      <c r="G62" s="1"/>
      <c r="H62" s="1">
        <f>SUM(OSRRefH22_11x_0)</f>
        <v>3314.86</v>
      </c>
      <c r="I62" s="1"/>
      <c r="J62" s="5">
        <f t="shared" si="29"/>
        <v>0.76226458481845161</v>
      </c>
      <c r="K62" s="1"/>
      <c r="L62" s="1">
        <f t="shared" si="30"/>
        <v>3312.3299999999995</v>
      </c>
      <c r="M62" s="1"/>
      <c r="N62" s="5">
        <f t="shared" si="31"/>
        <v>0.9992367701803393</v>
      </c>
      <c r="O62" s="12"/>
      <c r="P62" s="1">
        <f>SUM(OSRRefP22_11x_0)</f>
        <v>65639.789999999994</v>
      </c>
      <c r="Q62" s="1"/>
      <c r="R62" s="5">
        <f t="shared" si="32"/>
        <v>6.9728983480105658E-2</v>
      </c>
      <c r="S62" s="1"/>
      <c r="T62" s="1">
        <f>SUM(OSRRefT22_11x_0)</f>
        <v>705863.29</v>
      </c>
      <c r="U62" s="1"/>
      <c r="V62" s="5">
        <f t="shared" si="33"/>
        <v>7.7999454656115269E-2</v>
      </c>
      <c r="W62" s="1"/>
      <c r="X62" s="1">
        <f t="shared" si="34"/>
        <v>-640223.5</v>
      </c>
      <c r="Y62" s="1"/>
      <c r="Z62" s="5">
        <f t="shared" si="35"/>
        <v>-0.90700778616777189</v>
      </c>
    </row>
    <row r="63" spans="1:26" s="23" customFormat="1" hidden="1" outlineLevel="2" x14ac:dyDescent="0.25">
      <c r="A63" s="27"/>
      <c r="B63" s="10" t="str">
        <f>CONCATENATE("          ", "6387", " - ", "COMMISSION DUE HOUSING")</f>
        <v xml:space="preserve">          6387 - COMMISSION DUE HOUSING</v>
      </c>
      <c r="C63" s="10"/>
      <c r="D63" s="6">
        <v>6627.19</v>
      </c>
      <c r="E63" s="2"/>
      <c r="F63" s="7">
        <f t="shared" si="28"/>
        <v>7.3500049187169542E-2</v>
      </c>
      <c r="G63" s="2"/>
      <c r="H63" s="6">
        <v>3314.86</v>
      </c>
      <c r="I63" s="2"/>
      <c r="J63" s="7">
        <f t="shared" si="29"/>
        <v>0.76226458481845161</v>
      </c>
      <c r="K63" s="2"/>
      <c r="L63" s="6">
        <f t="shared" si="30"/>
        <v>3312.3299999999995</v>
      </c>
      <c r="M63" s="2"/>
      <c r="N63" s="7">
        <f t="shared" si="31"/>
        <v>0.9992367701803393</v>
      </c>
      <c r="O63" s="10"/>
      <c r="P63" s="6">
        <v>65639.789999999994</v>
      </c>
      <c r="Q63" s="2"/>
      <c r="R63" s="7">
        <f t="shared" si="32"/>
        <v>6.9728983480105658E-2</v>
      </c>
      <c r="S63" s="2"/>
      <c r="T63" s="6">
        <v>705863.29</v>
      </c>
      <c r="U63" s="2"/>
      <c r="V63" s="7">
        <f t="shared" si="33"/>
        <v>7.7999454656115269E-2</v>
      </c>
      <c r="W63" s="2"/>
      <c r="X63" s="6">
        <f t="shared" si="34"/>
        <v>-640223.5</v>
      </c>
      <c r="Y63" s="2"/>
      <c r="Z63" s="7">
        <f t="shared" si="35"/>
        <v>-0.90700778616777189</v>
      </c>
    </row>
    <row r="64" spans="1:26" s="26" customFormat="1" outlineLevel="1" collapsed="1" x14ac:dyDescent="0.25">
      <c r="A64" s="25"/>
      <c r="B64" s="12" t="str">
        <f>CONCATENATE("     ","Repair and Maintenance                            ")</f>
        <v xml:space="preserve">     Repair and Maintenance                            </v>
      </c>
      <c r="C64" s="12"/>
      <c r="D64" s="1">
        <f>SUM(OSRRefD22_12x_0)</f>
        <v>3560.8900000000003</v>
      </c>
      <c r="E64" s="1"/>
      <c r="F64" s="5">
        <f t="shared" si="28"/>
        <v>3.9492694513074203E-2</v>
      </c>
      <c r="G64" s="1"/>
      <c r="H64" s="1">
        <f>SUM(OSRRefH22_12x_0)</f>
        <v>51.62</v>
      </c>
      <c r="I64" s="1"/>
      <c r="J64" s="5">
        <f t="shared" si="29"/>
        <v>1.187021408696852E-2</v>
      </c>
      <c r="K64" s="1"/>
      <c r="L64" s="1">
        <f t="shared" si="30"/>
        <v>3509.2700000000004</v>
      </c>
      <c r="M64" s="1"/>
      <c r="N64" s="5">
        <f t="shared" si="31"/>
        <v>67.982758620689665</v>
      </c>
      <c r="O64" s="12"/>
      <c r="P64" s="1">
        <f>SUM(OSRRefP22_12x_0)</f>
        <v>22561.98</v>
      </c>
      <c r="Q64" s="1"/>
      <c r="R64" s="5">
        <f t="shared" si="32"/>
        <v>2.3967534489346697E-2</v>
      </c>
      <c r="S64" s="1"/>
      <c r="T64" s="1">
        <f>SUM(OSRRefT22_12x_0)</f>
        <v>64845.020000000004</v>
      </c>
      <c r="U64" s="1"/>
      <c r="V64" s="5">
        <f t="shared" si="33"/>
        <v>7.165518123438447E-3</v>
      </c>
      <c r="W64" s="1"/>
      <c r="X64" s="1">
        <f t="shared" si="34"/>
        <v>-42283.040000000008</v>
      </c>
      <c r="Y64" s="1"/>
      <c r="Z64" s="5">
        <f t="shared" si="35"/>
        <v>-0.65206302658245774</v>
      </c>
    </row>
    <row r="65" spans="1:26" s="23" customFormat="1" hidden="1" outlineLevel="2" x14ac:dyDescent="0.25">
      <c r="A65" s="27"/>
      <c r="B65" s="10" t="str">
        <f>CONCATENATE("          ", "6371", " - ", "COMPUTER SOFTWARE MAINTENANCE")</f>
        <v xml:space="preserve">          6371 - COMPUTER SOFTWARE MAINTENANCE</v>
      </c>
      <c r="C65" s="10"/>
      <c r="D65" s="6">
        <v>3500</v>
      </c>
      <c r="E65" s="2"/>
      <c r="F65" s="7">
        <f t="shared" si="28"/>
        <v>3.8817382956440577E-2</v>
      </c>
      <c r="G65" s="2"/>
      <c r="H65" s="6"/>
      <c r="I65" s="2"/>
      <c r="J65" s="7">
        <f t="shared" si="29"/>
        <v>0</v>
      </c>
      <c r="K65" s="2"/>
      <c r="L65" s="6">
        <f t="shared" si="30"/>
        <v>3500</v>
      </c>
      <c r="M65" s="2"/>
      <c r="N65" s="7">
        <f t="shared" si="31"/>
        <v>0</v>
      </c>
      <c r="O65" s="10"/>
      <c r="P65" s="6">
        <v>17500</v>
      </c>
      <c r="Q65" s="2"/>
      <c r="R65" s="7">
        <f t="shared" si="32"/>
        <v>1.8590205893435203E-2</v>
      </c>
      <c r="S65" s="2"/>
      <c r="T65" s="6">
        <v>63062.93</v>
      </c>
      <c r="U65" s="2"/>
      <c r="V65" s="7">
        <f t="shared" si="33"/>
        <v>6.9685932371079552E-3</v>
      </c>
      <c r="W65" s="2"/>
      <c r="X65" s="6">
        <f t="shared" si="34"/>
        <v>-45562.93</v>
      </c>
      <c r="Y65" s="2"/>
      <c r="Z65" s="7">
        <f t="shared" si="35"/>
        <v>-0.72249941447376453</v>
      </c>
    </row>
    <row r="66" spans="1:26" s="23" customFormat="1" hidden="1" outlineLevel="2" x14ac:dyDescent="0.25">
      <c r="A66" s="27"/>
      <c r="B66" s="10" t="str">
        <f>CONCATENATE("          ", "6373", " - ", "MAINTENANCE CONTRACTS")</f>
        <v xml:space="preserve">          6373 - MAINTENANCE CONTRACTS</v>
      </c>
      <c r="C66" s="10"/>
      <c r="D66" s="6">
        <v>12.34</v>
      </c>
      <c r="E66" s="2"/>
      <c r="F66" s="7">
        <f t="shared" si="28"/>
        <v>1.3685900162356478E-4</v>
      </c>
      <c r="G66" s="2"/>
      <c r="H66" s="6">
        <v>1.62</v>
      </c>
      <c r="I66" s="2"/>
      <c r="J66" s="7">
        <f t="shared" si="29"/>
        <v>3.7252512245038752E-4</v>
      </c>
      <c r="K66" s="2"/>
      <c r="L66" s="6">
        <f t="shared" si="30"/>
        <v>10.719999999999999</v>
      </c>
      <c r="M66" s="2"/>
      <c r="N66" s="7">
        <f t="shared" si="31"/>
        <v>6.6172839506172831</v>
      </c>
      <c r="O66" s="10"/>
      <c r="P66" s="6">
        <v>3239.41</v>
      </c>
      <c r="Q66" s="2"/>
      <c r="R66" s="7">
        <f t="shared" si="32"/>
        <v>3.4412170784715959E-3</v>
      </c>
      <c r="S66" s="2"/>
      <c r="T66" s="6">
        <v>722.9</v>
      </c>
      <c r="U66" s="2"/>
      <c r="V66" s="7">
        <f t="shared" si="33"/>
        <v>7.9882048790079065E-5</v>
      </c>
      <c r="W66" s="2"/>
      <c r="X66" s="6">
        <f t="shared" si="34"/>
        <v>2516.5099999999998</v>
      </c>
      <c r="Y66" s="2"/>
      <c r="Z66" s="7">
        <f t="shared" si="35"/>
        <v>3.4811315534652092</v>
      </c>
    </row>
    <row r="67" spans="1:26" s="23" customFormat="1" hidden="1" outlineLevel="2" x14ac:dyDescent="0.25">
      <c r="A67" s="27"/>
      <c r="B67" s="10" t="str">
        <f>CONCATENATE("          ", "6375", " - ", "OUTSIDE REPAIRS &amp; MAINTENANCE")</f>
        <v xml:space="preserve">          6375 - OUTSIDE REPAIRS &amp; MAINTENANCE</v>
      </c>
      <c r="C67" s="10"/>
      <c r="D67" s="6">
        <v>48.55</v>
      </c>
      <c r="E67" s="2"/>
      <c r="F67" s="7">
        <f t="shared" si="28"/>
        <v>5.3845255501005422E-4</v>
      </c>
      <c r="G67" s="2"/>
      <c r="H67" s="6">
        <v>50</v>
      </c>
      <c r="I67" s="2"/>
      <c r="J67" s="7">
        <f t="shared" si="29"/>
        <v>1.1497688964518133E-2</v>
      </c>
      <c r="K67" s="2"/>
      <c r="L67" s="6">
        <f t="shared" si="30"/>
        <v>-1.4500000000000028</v>
      </c>
      <c r="M67" s="2"/>
      <c r="N67" s="7">
        <f t="shared" si="31"/>
        <v>-2.9000000000000057E-2</v>
      </c>
      <c r="O67" s="10"/>
      <c r="P67" s="6">
        <v>1822.57</v>
      </c>
      <c r="Q67" s="2"/>
      <c r="R67" s="7">
        <f t="shared" si="32"/>
        <v>1.936111517439897E-3</v>
      </c>
      <c r="S67" s="2"/>
      <c r="T67" s="6">
        <v>1059.19</v>
      </c>
      <c r="U67" s="2"/>
      <c r="V67" s="7">
        <f t="shared" si="33"/>
        <v>1.1704283754041202E-4</v>
      </c>
      <c r="W67" s="2"/>
      <c r="X67" s="6">
        <f t="shared" si="34"/>
        <v>763.37999999999988</v>
      </c>
      <c r="Y67" s="2"/>
      <c r="Z67" s="7">
        <f t="shared" si="35"/>
        <v>0.72072055060942786</v>
      </c>
    </row>
    <row r="68" spans="1:26" s="26" customFormat="1" outlineLevel="1" collapsed="1" x14ac:dyDescent="0.25">
      <c r="A68" s="25"/>
      <c r="B68" s="12" t="str">
        <f>CONCATENATE("     ","Services                                          ")</f>
        <v xml:space="preserve">     Services                                          </v>
      </c>
      <c r="C68" s="12"/>
      <c r="D68" s="1">
        <f>SUM(OSRRefD22_13x_0)</f>
        <v>13150.170000000002</v>
      </c>
      <c r="E68" s="1"/>
      <c r="F68" s="5">
        <f t="shared" ref="F68:F72" si="36">IF(D$12=0,0,D68/D$12)</f>
        <v>0.14584433852351322</v>
      </c>
      <c r="G68" s="1"/>
      <c r="H68" s="1">
        <f>SUM(OSRRefH22_13x_0)</f>
        <v>4900.3499999999995</v>
      </c>
      <c r="I68" s="1"/>
      <c r="J68" s="5">
        <f t="shared" ref="J68:J72" si="37">IF(H$12=0,0,H68/H$12)</f>
        <v>1.1268540023455285</v>
      </c>
      <c r="K68" s="1"/>
      <c r="L68" s="1">
        <f t="shared" ref="L68:L72" si="38">+D68-H68</f>
        <v>8249.8200000000033</v>
      </c>
      <c r="M68" s="1"/>
      <c r="N68" s="5">
        <f t="shared" ref="N68:N72" si="39">IF(H68=0,0,L68/H68)</f>
        <v>1.6835164835164844</v>
      </c>
      <c r="O68" s="12"/>
      <c r="P68" s="1">
        <f>SUM(OSRRefP22_13x_0)</f>
        <v>117385.32</v>
      </c>
      <c r="Q68" s="1"/>
      <c r="R68" s="5">
        <f t="shared" ref="R68:R72" si="40">IF(P$12=0,0,P68/P$12)</f>
        <v>0.1246981295809587</v>
      </c>
      <c r="S68" s="1"/>
      <c r="T68" s="1">
        <f>SUM(OSRRefT22_13x_0)</f>
        <v>175863.81</v>
      </c>
      <c r="U68" s="1"/>
      <c r="V68" s="5">
        <f t="shared" ref="V68:V72" si="41">IF(T$12=0,0,T68/T$12)</f>
        <v>1.943333995134762E-2</v>
      </c>
      <c r="W68" s="1"/>
      <c r="X68" s="1">
        <f t="shared" ref="X68:X72" si="42">+P68-T68</f>
        <v>-58478.489999999991</v>
      </c>
      <c r="Y68" s="1"/>
      <c r="Z68" s="5">
        <f t="shared" ref="Z68:Z72" si="43">IF(T68=0,0,X68/T68)</f>
        <v>-0.33252145509641801</v>
      </c>
    </row>
    <row r="69" spans="1:26" s="23" customFormat="1" hidden="1" outlineLevel="2" x14ac:dyDescent="0.25">
      <c r="A69" s="27"/>
      <c r="B69" s="10" t="str">
        <f>CONCATENATE("          ", "6282", " - ", "JANITORIAL/EXTERMINATOR EXPENS")</f>
        <v xml:space="preserve">          6282 - JANITORIAL/EXTERMINATOR EXPENS</v>
      </c>
      <c r="C69" s="10"/>
      <c r="D69" s="6">
        <v>2346.96</v>
      </c>
      <c r="E69" s="2"/>
      <c r="F69" s="7">
        <f t="shared" si="36"/>
        <v>2.6029384315270795E-2</v>
      </c>
      <c r="G69" s="2"/>
      <c r="H69" s="6">
        <v>1580.07</v>
      </c>
      <c r="I69" s="2"/>
      <c r="J69" s="7">
        <f t="shared" si="37"/>
        <v>0.36334306804332328</v>
      </c>
      <c r="K69" s="2"/>
      <c r="L69" s="6">
        <f t="shared" si="38"/>
        <v>766.8900000000001</v>
      </c>
      <c r="M69" s="2"/>
      <c r="N69" s="7">
        <f t="shared" si="39"/>
        <v>0.48535191478858541</v>
      </c>
      <c r="O69" s="10"/>
      <c r="P69" s="6">
        <v>14441.55</v>
      </c>
      <c r="Q69" s="2"/>
      <c r="R69" s="7">
        <f t="shared" si="40"/>
        <v>1.5341222166876523E-2</v>
      </c>
      <c r="S69" s="2"/>
      <c r="T69" s="6">
        <v>16861.3</v>
      </c>
      <c r="U69" s="2"/>
      <c r="V69" s="7">
        <f t="shared" si="41"/>
        <v>1.8632109410211095E-3</v>
      </c>
      <c r="W69" s="2"/>
      <c r="X69" s="6">
        <f t="shared" si="42"/>
        <v>-2419.75</v>
      </c>
      <c r="Y69" s="2"/>
      <c r="Z69" s="7">
        <f t="shared" si="43"/>
        <v>-0.14350910072177117</v>
      </c>
    </row>
    <row r="70" spans="1:26" s="23" customFormat="1" hidden="1" outlineLevel="2" x14ac:dyDescent="0.25">
      <c r="A70" s="27"/>
      <c r="B70" s="10" t="str">
        <f>CONCATENATE("          ", "6284", " - ", "TRASH REMOVAL EXPENSE")</f>
        <v xml:space="preserve">          6284 - TRASH REMOVAL EXPENSE</v>
      </c>
      <c r="C70" s="10"/>
      <c r="D70" s="6"/>
      <c r="E70" s="2"/>
      <c r="F70" s="7">
        <f t="shared" si="36"/>
        <v>0</v>
      </c>
      <c r="G70" s="2"/>
      <c r="H70" s="6"/>
      <c r="I70" s="2"/>
      <c r="J70" s="7">
        <f t="shared" si="37"/>
        <v>0</v>
      </c>
      <c r="K70" s="2"/>
      <c r="L70" s="6">
        <f t="shared" si="38"/>
        <v>0</v>
      </c>
      <c r="M70" s="2"/>
      <c r="N70" s="7">
        <f t="shared" si="39"/>
        <v>0</v>
      </c>
      <c r="O70" s="10"/>
      <c r="P70" s="6">
        <v>282.75</v>
      </c>
      <c r="Q70" s="2"/>
      <c r="R70" s="7">
        <f t="shared" si="40"/>
        <v>3.0036461236393166E-4</v>
      </c>
      <c r="S70" s="2"/>
      <c r="T70" s="6"/>
      <c r="U70" s="2"/>
      <c r="V70" s="7">
        <f t="shared" si="41"/>
        <v>0</v>
      </c>
      <c r="W70" s="2"/>
      <c r="X70" s="6">
        <f t="shared" si="42"/>
        <v>282.75</v>
      </c>
      <c r="Y70" s="2"/>
      <c r="Z70" s="7">
        <f t="shared" si="43"/>
        <v>0</v>
      </c>
    </row>
    <row r="71" spans="1:26" s="23" customFormat="1" hidden="1" outlineLevel="2" x14ac:dyDescent="0.25">
      <c r="A71" s="27"/>
      <c r="B71" s="10" t="str">
        <f>CONCATENATE("          ", "6285", " - ", "JANITORIAL SERVICES")</f>
        <v xml:space="preserve">          6285 - JANITORIAL SERVICES</v>
      </c>
      <c r="C71" s="10"/>
      <c r="D71" s="6">
        <v>8897.19</v>
      </c>
      <c r="E71" s="2"/>
      <c r="F71" s="7">
        <f t="shared" si="36"/>
        <v>9.867589470463245E-2</v>
      </c>
      <c r="G71" s="2"/>
      <c r="H71" s="6">
        <v>2411.5</v>
      </c>
      <c r="I71" s="2"/>
      <c r="J71" s="7">
        <f t="shared" si="37"/>
        <v>0.55453353875870948</v>
      </c>
      <c r="K71" s="2"/>
      <c r="L71" s="6">
        <f t="shared" si="38"/>
        <v>6485.6900000000005</v>
      </c>
      <c r="M71" s="2"/>
      <c r="N71" s="7">
        <f t="shared" si="39"/>
        <v>2.6894837238233467</v>
      </c>
      <c r="O71" s="10"/>
      <c r="P71" s="6">
        <v>88073.35</v>
      </c>
      <c r="Q71" s="2"/>
      <c r="R71" s="7">
        <f t="shared" si="40"/>
        <v>9.3560097727118943E-2</v>
      </c>
      <c r="S71" s="2"/>
      <c r="T71" s="6">
        <v>117464.52</v>
      </c>
      <c r="U71" s="2"/>
      <c r="V71" s="7">
        <f t="shared" si="41"/>
        <v>1.2980089248503553E-2</v>
      </c>
      <c r="W71" s="2"/>
      <c r="X71" s="6">
        <f t="shared" si="42"/>
        <v>-29391.17</v>
      </c>
      <c r="Y71" s="2"/>
      <c r="Z71" s="7">
        <f t="shared" si="43"/>
        <v>-0.25021317075147453</v>
      </c>
    </row>
    <row r="72" spans="1:26" s="23" customFormat="1" hidden="1" outlineLevel="2" x14ac:dyDescent="0.25">
      <c r="A72" s="27"/>
      <c r="B72" s="10" t="str">
        <f>CONCATENATE("          ", "6286", " - ", "LAUNDRY EXPENSE")</f>
        <v xml:space="preserve">          6286 - LAUNDRY EXPENSE</v>
      </c>
      <c r="C72" s="10"/>
      <c r="D72" s="6">
        <v>1906.02</v>
      </c>
      <c r="E72" s="2"/>
      <c r="F72" s="7">
        <f t="shared" si="36"/>
        <v>2.1139059503609961E-2</v>
      </c>
      <c r="G72" s="2"/>
      <c r="H72" s="6">
        <v>908.78</v>
      </c>
      <c r="I72" s="2"/>
      <c r="J72" s="7">
        <f t="shared" si="37"/>
        <v>0.20897739554349576</v>
      </c>
      <c r="K72" s="2"/>
      <c r="L72" s="6">
        <f t="shared" si="38"/>
        <v>997.24</v>
      </c>
      <c r="M72" s="2"/>
      <c r="N72" s="7">
        <f t="shared" si="39"/>
        <v>1.0973392900371928</v>
      </c>
      <c r="O72" s="10"/>
      <c r="P72" s="6">
        <v>14587.67</v>
      </c>
      <c r="Q72" s="2"/>
      <c r="R72" s="7">
        <f t="shared" si="40"/>
        <v>1.5496445074599309E-2</v>
      </c>
      <c r="S72" s="2"/>
      <c r="T72" s="6">
        <v>41537.99</v>
      </c>
      <c r="U72" s="2"/>
      <c r="V72" s="7">
        <f t="shared" si="41"/>
        <v>4.5900397618229578E-3</v>
      </c>
      <c r="W72" s="2"/>
      <c r="X72" s="6">
        <f t="shared" si="42"/>
        <v>-26950.32</v>
      </c>
      <c r="Y72" s="2"/>
      <c r="Z72" s="7">
        <f t="shared" si="43"/>
        <v>-0.64881136521049765</v>
      </c>
    </row>
    <row r="73" spans="1:26" s="26" customFormat="1" outlineLevel="1" collapsed="1" x14ac:dyDescent="0.25">
      <c r="A73" s="25"/>
      <c r="B73" s="12" t="str">
        <f>CONCATENATE("     ","Subscriptions &amp; Dues                              ")</f>
        <v xml:space="preserve">     Subscriptions &amp; Dues                              </v>
      </c>
      <c r="C73" s="12"/>
      <c r="D73" s="1">
        <f>SUM(OSRRefD22_14x_0)</f>
        <v>0</v>
      </c>
      <c r="E73" s="1"/>
      <c r="F73" s="5">
        <f t="shared" ref="F73:F84" si="44">IF(D$12=0,0,D73/D$12)</f>
        <v>0</v>
      </c>
      <c r="G73" s="1"/>
      <c r="H73" s="1">
        <f>SUM(OSRRefH22_14x_0)</f>
        <v>0</v>
      </c>
      <c r="I73" s="1"/>
      <c r="J73" s="5">
        <f t="shared" ref="J73:J84" si="45">IF(H$12=0,0,H73/H$12)</f>
        <v>0</v>
      </c>
      <c r="K73" s="1"/>
      <c r="L73" s="1">
        <f t="shared" ref="L73:L84" si="46">+D73-H73</f>
        <v>0</v>
      </c>
      <c r="M73" s="1"/>
      <c r="N73" s="5">
        <f t="shared" ref="N73:N84" si="47">IF(H73=0,0,L73/H73)</f>
        <v>0</v>
      </c>
      <c r="O73" s="12"/>
      <c r="P73" s="1">
        <f>SUM(OSRRefP22_14x_0)</f>
        <v>795</v>
      </c>
      <c r="Q73" s="1"/>
      <c r="R73" s="5">
        <f t="shared" ref="R73:R84" si="48">IF(P$12=0,0,P73/P$12)</f>
        <v>8.4452649630177069E-4</v>
      </c>
      <c r="S73" s="1"/>
      <c r="T73" s="1">
        <f>SUM(OSRRefT22_14x_0)</f>
        <v>0</v>
      </c>
      <c r="U73" s="1"/>
      <c r="V73" s="5">
        <f t="shared" ref="V73:V84" si="49">IF(T$12=0,0,T73/T$12)</f>
        <v>0</v>
      </c>
      <c r="W73" s="1"/>
      <c r="X73" s="1">
        <f t="shared" ref="X73:X84" si="50">+P73-T73</f>
        <v>795</v>
      </c>
      <c r="Y73" s="1"/>
      <c r="Z73" s="5">
        <f t="shared" ref="Z73:Z84" si="51">IF(T73=0,0,X73/T73)</f>
        <v>0</v>
      </c>
    </row>
    <row r="74" spans="1:26" s="23" customFormat="1" hidden="1" outlineLevel="2" x14ac:dyDescent="0.25">
      <c r="A74" s="27"/>
      <c r="B74" s="10" t="str">
        <f>CONCATENATE("          ", "6258", " - ", "MEMBERSHIP DUES")</f>
        <v xml:space="preserve">          6258 - MEMBERSHIP DUES</v>
      </c>
      <c r="C74" s="10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0"/>
      <c r="P74" s="6">
        <v>795</v>
      </c>
      <c r="Q74" s="2"/>
      <c r="R74" s="7">
        <f t="shared" si="48"/>
        <v>8.4452649630177069E-4</v>
      </c>
      <c r="S74" s="2"/>
      <c r="T74" s="6"/>
      <c r="U74" s="2"/>
      <c r="V74" s="7">
        <f t="shared" si="49"/>
        <v>0</v>
      </c>
      <c r="W74" s="2"/>
      <c r="X74" s="6">
        <f t="shared" si="50"/>
        <v>795</v>
      </c>
      <c r="Y74" s="2"/>
      <c r="Z74" s="7">
        <f t="shared" si="51"/>
        <v>0</v>
      </c>
    </row>
    <row r="75" spans="1:26" s="26" customFormat="1" outlineLevel="1" collapsed="1" x14ac:dyDescent="0.25">
      <c r="A75" s="25"/>
      <c r="B75" s="12" t="str">
        <f>CONCATENATE("     ","Supplies                                          ")</f>
        <v xml:space="preserve">     Supplies                                          </v>
      </c>
      <c r="C75" s="12"/>
      <c r="D75" s="1">
        <f>SUM(OSRRefD22_15x_0)</f>
        <v>13276.58</v>
      </c>
      <c r="E75" s="1"/>
      <c r="F75" s="5">
        <f t="shared" si="44"/>
        <v>0.14724631148909137</v>
      </c>
      <c r="G75" s="1"/>
      <c r="H75" s="1">
        <f>SUM(OSRRefH22_15x_0)</f>
        <v>3354.2799999999997</v>
      </c>
      <c r="I75" s="1"/>
      <c r="J75" s="5">
        <f t="shared" si="45"/>
        <v>0.77132936279807751</v>
      </c>
      <c r="K75" s="1"/>
      <c r="L75" s="1">
        <f t="shared" si="46"/>
        <v>9922.2999999999993</v>
      </c>
      <c r="M75" s="1"/>
      <c r="N75" s="5">
        <f t="shared" si="47"/>
        <v>2.9581012914843128</v>
      </c>
      <c r="O75" s="12"/>
      <c r="P75" s="1">
        <f>SUM(OSRRefP22_15x_0)</f>
        <v>133337.16</v>
      </c>
      <c r="Q75" s="1"/>
      <c r="R75" s="5">
        <f t="shared" si="48"/>
        <v>0.14164372900833785</v>
      </c>
      <c r="S75" s="1"/>
      <c r="T75" s="1">
        <f>SUM(OSRRefT22_15x_0)</f>
        <v>189014.47</v>
      </c>
      <c r="U75" s="1"/>
      <c r="V75" s="5">
        <f t="shared" si="49"/>
        <v>2.088651696579186E-2</v>
      </c>
      <c r="W75" s="1"/>
      <c r="X75" s="1">
        <f t="shared" si="50"/>
        <v>-55677.31</v>
      </c>
      <c r="Y75" s="1"/>
      <c r="Z75" s="5">
        <f t="shared" si="51"/>
        <v>-0.29456638954678971</v>
      </c>
    </row>
    <row r="76" spans="1:26" s="23" customFormat="1" hidden="1" outlineLevel="2" x14ac:dyDescent="0.25">
      <c r="A76" s="27"/>
      <c r="B76" s="10" t="str">
        <f>CONCATENATE("          ", "6234", " - ", "EXPENDABLE SUPPLIES &amp; EQUIPMEN")</f>
        <v xml:space="preserve">          6234 - EXPENDABLE SUPPLIES &amp; EQUIPMEN</v>
      </c>
      <c r="C76" s="10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0"/>
      <c r="P76" s="6"/>
      <c r="Q76" s="2"/>
      <c r="R76" s="7">
        <f t="shared" si="48"/>
        <v>0</v>
      </c>
      <c r="S76" s="2"/>
      <c r="T76" s="6">
        <v>118.34</v>
      </c>
      <c r="U76" s="2"/>
      <c r="V76" s="7">
        <f t="shared" si="49"/>
        <v>1.3076831724744718E-5</v>
      </c>
      <c r="W76" s="2"/>
      <c r="X76" s="6">
        <f t="shared" si="50"/>
        <v>-118.34</v>
      </c>
      <c r="Y76" s="2"/>
      <c r="Z76" s="7">
        <f t="shared" si="51"/>
        <v>-1</v>
      </c>
    </row>
    <row r="77" spans="1:26" s="23" customFormat="1" hidden="1" outlineLevel="2" x14ac:dyDescent="0.25">
      <c r="A77" s="27"/>
      <c r="B77" s="10" t="str">
        <f>CONCATENATE("          ", "6235", " - ", "COVID-19 EXPENSES")</f>
        <v xml:space="preserve">          6235 - COVID-19 EXPENSES</v>
      </c>
      <c r="C77" s="10"/>
      <c r="D77" s="6">
        <v>2921.2</v>
      </c>
      <c r="E77" s="2"/>
      <c r="F77" s="7">
        <f t="shared" si="44"/>
        <v>3.2398096883529771E-2</v>
      </c>
      <c r="G77" s="2"/>
      <c r="H77" s="6"/>
      <c r="I77" s="2"/>
      <c r="J77" s="7">
        <f t="shared" si="45"/>
        <v>0</v>
      </c>
      <c r="K77" s="2"/>
      <c r="L77" s="6">
        <f t="shared" si="46"/>
        <v>2921.2</v>
      </c>
      <c r="M77" s="2"/>
      <c r="N77" s="7">
        <f t="shared" si="47"/>
        <v>0</v>
      </c>
      <c r="O77" s="10"/>
      <c r="P77" s="6">
        <v>56490.75</v>
      </c>
      <c r="Q77" s="2"/>
      <c r="R77" s="7">
        <f t="shared" si="48"/>
        <v>6.0009981347118553E-2</v>
      </c>
      <c r="S77" s="2"/>
      <c r="T77" s="6"/>
      <c r="U77" s="2"/>
      <c r="V77" s="7">
        <f t="shared" si="49"/>
        <v>0</v>
      </c>
      <c r="W77" s="2"/>
      <c r="X77" s="6">
        <f t="shared" si="50"/>
        <v>56490.75</v>
      </c>
      <c r="Y77" s="2"/>
      <c r="Z77" s="7">
        <f t="shared" si="51"/>
        <v>0</v>
      </c>
    </row>
    <row r="78" spans="1:26" s="23" customFormat="1" hidden="1" outlineLevel="2" x14ac:dyDescent="0.25">
      <c r="A78" s="27"/>
      <c r="B78" s="10" t="str">
        <f>CONCATENATE("          ", "6237", " - ", "JANITORIAL SUPPLIES")</f>
        <v xml:space="preserve">          6237 - JANITORIAL SUPPLIES</v>
      </c>
      <c r="C78" s="10"/>
      <c r="D78" s="6">
        <v>1902.43</v>
      </c>
      <c r="E78" s="2"/>
      <c r="F78" s="7">
        <f t="shared" si="44"/>
        <v>2.1099243959377501E-2</v>
      </c>
      <c r="G78" s="2"/>
      <c r="H78" s="6">
        <v>1472.58</v>
      </c>
      <c r="I78" s="2"/>
      <c r="J78" s="7">
        <f t="shared" si="45"/>
        <v>0.33862533630740221</v>
      </c>
      <c r="K78" s="2"/>
      <c r="L78" s="6">
        <f t="shared" si="46"/>
        <v>429.85000000000014</v>
      </c>
      <c r="M78" s="2"/>
      <c r="N78" s="7">
        <f t="shared" si="47"/>
        <v>0.29190264705482905</v>
      </c>
      <c r="O78" s="10"/>
      <c r="P78" s="6">
        <v>21741.72</v>
      </c>
      <c r="Q78" s="2"/>
      <c r="R78" s="7">
        <f t="shared" si="48"/>
        <v>2.3096174358709601E-2</v>
      </c>
      <c r="S78" s="2"/>
      <c r="T78" s="6">
        <v>73131.320000000007</v>
      </c>
      <c r="U78" s="2"/>
      <c r="V78" s="7">
        <f t="shared" si="49"/>
        <v>8.0811725996996625E-3</v>
      </c>
      <c r="W78" s="2"/>
      <c r="X78" s="6">
        <f t="shared" si="50"/>
        <v>-51389.600000000006</v>
      </c>
      <c r="Y78" s="2"/>
      <c r="Z78" s="7">
        <f t="shared" si="51"/>
        <v>-0.70270302792292005</v>
      </c>
    </row>
    <row r="79" spans="1:26" s="23" customFormat="1" hidden="1" outlineLevel="2" x14ac:dyDescent="0.25">
      <c r="A79" s="27"/>
      <c r="B79" s="10" t="str">
        <f>CONCATENATE("          ", "6239", " - ", "KITCHEN SUPPLIES")</f>
        <v xml:space="preserve">          6239 - KITCHEN SUPPLIES</v>
      </c>
      <c r="C79" s="10"/>
      <c r="D79" s="6">
        <v>160.30000000000001</v>
      </c>
      <c r="E79" s="2"/>
      <c r="F79" s="7">
        <f t="shared" si="44"/>
        <v>1.7778361394049785E-3</v>
      </c>
      <c r="G79" s="2"/>
      <c r="H79" s="6"/>
      <c r="I79" s="2"/>
      <c r="J79" s="7">
        <f t="shared" si="45"/>
        <v>0</v>
      </c>
      <c r="K79" s="2"/>
      <c r="L79" s="6">
        <f t="shared" si="46"/>
        <v>160.30000000000001</v>
      </c>
      <c r="M79" s="2"/>
      <c r="N79" s="7">
        <f t="shared" si="47"/>
        <v>0</v>
      </c>
      <c r="O79" s="10"/>
      <c r="P79" s="6">
        <v>7247.38</v>
      </c>
      <c r="Q79" s="2"/>
      <c r="R79" s="7">
        <f t="shared" si="48"/>
        <v>7.6988735078836815E-3</v>
      </c>
      <c r="S79" s="2"/>
      <c r="T79" s="6">
        <v>26798.5</v>
      </c>
      <c r="U79" s="2"/>
      <c r="V79" s="7">
        <f t="shared" si="49"/>
        <v>2.9612935184685765E-3</v>
      </c>
      <c r="W79" s="2"/>
      <c r="X79" s="6">
        <f t="shared" si="50"/>
        <v>-19551.12</v>
      </c>
      <c r="Y79" s="2"/>
      <c r="Z79" s="7">
        <f t="shared" si="51"/>
        <v>-0.72956023658040559</v>
      </c>
    </row>
    <row r="80" spans="1:26" s="23" customFormat="1" hidden="1" outlineLevel="2" x14ac:dyDescent="0.25">
      <c r="A80" s="27"/>
      <c r="B80" s="10" t="str">
        <f>CONCATENATE("          ", "6241", " - ", "OFFICE EXPENSE")</f>
        <v xml:space="preserve">          6241 - OFFICE EXPENSE</v>
      </c>
      <c r="C80" s="10"/>
      <c r="D80" s="6">
        <v>1258.28</v>
      </c>
      <c r="E80" s="2"/>
      <c r="F80" s="7">
        <f t="shared" si="44"/>
        <v>1.3955181893265728E-2</v>
      </c>
      <c r="G80" s="2"/>
      <c r="H80" s="6"/>
      <c r="I80" s="2"/>
      <c r="J80" s="7">
        <f t="shared" si="45"/>
        <v>0</v>
      </c>
      <c r="K80" s="2"/>
      <c r="L80" s="6">
        <f t="shared" si="46"/>
        <v>1258.28</v>
      </c>
      <c r="M80" s="2"/>
      <c r="N80" s="7">
        <f t="shared" si="47"/>
        <v>0</v>
      </c>
      <c r="O80" s="10"/>
      <c r="P80" s="6">
        <v>7980.8</v>
      </c>
      <c r="Q80" s="2"/>
      <c r="R80" s="7">
        <f t="shared" si="48"/>
        <v>8.4779837253901522E-3</v>
      </c>
      <c r="S80" s="2"/>
      <c r="T80" s="6">
        <v>28380.45</v>
      </c>
      <c r="U80" s="2"/>
      <c r="V80" s="7">
        <f t="shared" si="49"/>
        <v>3.1361024921626774E-3</v>
      </c>
      <c r="W80" s="2"/>
      <c r="X80" s="6">
        <f t="shared" si="50"/>
        <v>-20399.650000000001</v>
      </c>
      <c r="Y80" s="2"/>
      <c r="Z80" s="7">
        <f t="shared" si="51"/>
        <v>-0.71879233768315864</v>
      </c>
    </row>
    <row r="81" spans="1:26" s="23" customFormat="1" hidden="1" outlineLevel="2" x14ac:dyDescent="0.25">
      <c r="A81" s="27"/>
      <c r="B81" s="10" t="str">
        <f>CONCATENATE("          ", "6243", " - ", "PAPER SUPPLIES")</f>
        <v xml:space="preserve">          6243 - PAPER SUPPLIES</v>
      </c>
      <c r="C81" s="10"/>
      <c r="D81" s="6">
        <v>7034.37</v>
      </c>
      <c r="E81" s="2"/>
      <c r="F81" s="7">
        <f t="shared" si="44"/>
        <v>7.8015952613513406E-2</v>
      </c>
      <c r="G81" s="2"/>
      <c r="H81" s="6">
        <v>1881.7</v>
      </c>
      <c r="I81" s="2"/>
      <c r="J81" s="7">
        <f t="shared" si="45"/>
        <v>0.43270402649067541</v>
      </c>
      <c r="K81" s="2"/>
      <c r="L81" s="6">
        <f t="shared" si="46"/>
        <v>5152.67</v>
      </c>
      <c r="M81" s="2"/>
      <c r="N81" s="7">
        <f t="shared" si="47"/>
        <v>2.7383057873199768</v>
      </c>
      <c r="O81" s="10"/>
      <c r="P81" s="6">
        <v>35375.919999999998</v>
      </c>
      <c r="Q81" s="2"/>
      <c r="R81" s="7">
        <f t="shared" si="48"/>
        <v>3.7579750655410984E-2</v>
      </c>
      <c r="S81" s="2"/>
      <c r="T81" s="6">
        <v>58693.440000000002</v>
      </c>
      <c r="U81" s="2"/>
      <c r="V81" s="7">
        <f t="shared" si="49"/>
        <v>6.4857549283961523E-3</v>
      </c>
      <c r="W81" s="2"/>
      <c r="X81" s="6">
        <f t="shared" si="50"/>
        <v>-23317.520000000004</v>
      </c>
      <c r="Y81" s="2"/>
      <c r="Z81" s="7">
        <f t="shared" si="51"/>
        <v>-0.39727642475888281</v>
      </c>
    </row>
    <row r="82" spans="1:26" s="23" customFormat="1" hidden="1" outlineLevel="2" x14ac:dyDescent="0.25">
      <c r="A82" s="27"/>
      <c r="B82" s="10" t="str">
        <f>CONCATENATE("          ", "6245", " - ", "PRINTING")</f>
        <v xml:space="preserve">          6245 - PRINTING</v>
      </c>
      <c r="C82" s="10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0"/>
      <c r="P82" s="6"/>
      <c r="Q82" s="2"/>
      <c r="R82" s="7">
        <f t="shared" si="48"/>
        <v>0</v>
      </c>
      <c r="S82" s="2"/>
      <c r="T82" s="6">
        <v>1351.44</v>
      </c>
      <c r="U82" s="2"/>
      <c r="V82" s="7">
        <f t="shared" si="49"/>
        <v>1.493371088903921E-4</v>
      </c>
      <c r="W82" s="2"/>
      <c r="X82" s="6">
        <f t="shared" si="50"/>
        <v>-1351.44</v>
      </c>
      <c r="Y82" s="2"/>
      <c r="Z82" s="7">
        <f t="shared" si="51"/>
        <v>-1</v>
      </c>
    </row>
    <row r="83" spans="1:26" s="23" customFormat="1" hidden="1" outlineLevel="2" x14ac:dyDescent="0.25">
      <c r="A83" s="27"/>
      <c r="B83" s="10" t="str">
        <f>CONCATENATE("          ", "6247", " - ", "STORE SUPPLIES")</f>
        <v xml:space="preserve">          6247 - STORE SUPPLIES</v>
      </c>
      <c r="C83" s="10"/>
      <c r="D83" s="6"/>
      <c r="E83" s="2"/>
      <c r="F83" s="7">
        <f t="shared" si="44"/>
        <v>0</v>
      </c>
      <c r="G83" s="2"/>
      <c r="H83" s="6"/>
      <c r="I83" s="2"/>
      <c r="J83" s="7">
        <f t="shared" si="45"/>
        <v>0</v>
      </c>
      <c r="K83" s="2"/>
      <c r="L83" s="6">
        <f t="shared" si="46"/>
        <v>0</v>
      </c>
      <c r="M83" s="2"/>
      <c r="N83" s="7">
        <f t="shared" si="47"/>
        <v>0</v>
      </c>
      <c r="O83" s="10"/>
      <c r="P83" s="6"/>
      <c r="Q83" s="2"/>
      <c r="R83" s="7">
        <f t="shared" si="48"/>
        <v>0</v>
      </c>
      <c r="S83" s="2"/>
      <c r="T83" s="6">
        <v>667.78</v>
      </c>
      <c r="U83" s="2"/>
      <c r="V83" s="7">
        <f t="shared" si="49"/>
        <v>7.3791166884823627E-5</v>
      </c>
      <c r="W83" s="2"/>
      <c r="X83" s="6">
        <f t="shared" si="50"/>
        <v>-667.78</v>
      </c>
      <c r="Y83" s="2"/>
      <c r="Z83" s="7">
        <f t="shared" si="51"/>
        <v>-1</v>
      </c>
    </row>
    <row r="84" spans="1:26" s="23" customFormat="1" hidden="1" outlineLevel="2" x14ac:dyDescent="0.25">
      <c r="A84" s="27"/>
      <c r="B84" s="10" t="str">
        <f>CONCATENATE("          ", "6248", " - ", "UNIFORMS")</f>
        <v xml:space="preserve">          6248 - UNIFORMS</v>
      </c>
      <c r="C84" s="10"/>
      <c r="D84" s="6"/>
      <c r="E84" s="2"/>
      <c r="F84" s="7">
        <f t="shared" si="44"/>
        <v>0</v>
      </c>
      <c r="G84" s="2"/>
      <c r="H84" s="6"/>
      <c r="I84" s="2"/>
      <c r="J84" s="7">
        <f t="shared" si="45"/>
        <v>0</v>
      </c>
      <c r="K84" s="2"/>
      <c r="L84" s="6">
        <f t="shared" si="46"/>
        <v>0</v>
      </c>
      <c r="M84" s="2"/>
      <c r="N84" s="7">
        <f t="shared" si="47"/>
        <v>0</v>
      </c>
      <c r="O84" s="10"/>
      <c r="P84" s="6">
        <v>4500.59</v>
      </c>
      <c r="Q84" s="2"/>
      <c r="R84" s="7">
        <f t="shared" si="48"/>
        <v>4.7809654138248883E-3</v>
      </c>
      <c r="S84" s="2"/>
      <c r="T84" s="6">
        <v>-126.8</v>
      </c>
      <c r="U84" s="2"/>
      <c r="V84" s="7">
        <f t="shared" si="49"/>
        <v>-1.4011680435166724E-5</v>
      </c>
      <c r="W84" s="2"/>
      <c r="X84" s="6">
        <f t="shared" si="50"/>
        <v>4627.3900000000003</v>
      </c>
      <c r="Y84" s="2"/>
      <c r="Z84" s="7">
        <f t="shared" si="51"/>
        <v>-36.493611987381705</v>
      </c>
    </row>
    <row r="85" spans="1:26" s="26" customFormat="1" outlineLevel="1" collapsed="1" x14ac:dyDescent="0.25">
      <c r="A85" s="25"/>
      <c r="B85" s="12" t="str">
        <f>CONCATENATE("     ","Telephone/Data Lines                              ")</f>
        <v xml:space="preserve">     Telephone/Data Lines                              </v>
      </c>
      <c r="C85" s="12"/>
      <c r="D85" s="1">
        <f>SUM(OSRRefD22_16x_0)</f>
        <v>248</v>
      </c>
      <c r="E85" s="1"/>
      <c r="F85" s="5">
        <f t="shared" ref="F85:F91" si="52">IF(D$12=0,0,D85/D$12)</f>
        <v>2.7504888494849322E-3</v>
      </c>
      <c r="G85" s="1"/>
      <c r="H85" s="1">
        <f>SUM(OSRRefH22_16x_0)</f>
        <v>646.15</v>
      </c>
      <c r="I85" s="1"/>
      <c r="J85" s="5">
        <f t="shared" ref="J85:J91" si="53">IF(H$12=0,0,H85/H$12)</f>
        <v>0.14858463448846781</v>
      </c>
      <c r="K85" s="1"/>
      <c r="L85" s="1">
        <f t="shared" ref="L85:L91" si="54">+D85-H85</f>
        <v>-398.15</v>
      </c>
      <c r="M85" s="1"/>
      <c r="N85" s="5">
        <f t="shared" ref="N85:N91" si="55">IF(H85=0,0,L85/H85)</f>
        <v>-0.6161881915963785</v>
      </c>
      <c r="O85" s="12"/>
      <c r="P85" s="1">
        <f>SUM(OSRRefP22_16x_0)</f>
        <v>4775.32</v>
      </c>
      <c r="Q85" s="1"/>
      <c r="R85" s="5">
        <f t="shared" ref="R85:R91" si="56">IF(P$12=0,0,P85/P$12)</f>
        <v>5.0728104004022275E-3</v>
      </c>
      <c r="S85" s="1"/>
      <c r="T85" s="1">
        <f>SUM(OSRRefT22_16x_0)</f>
        <v>6560.5</v>
      </c>
      <c r="U85" s="1"/>
      <c r="V85" s="5">
        <f t="shared" ref="V85:V91" si="57">IF(T$12=0,0,T85/T$12)</f>
        <v>7.2494975942359065E-4</v>
      </c>
      <c r="W85" s="1"/>
      <c r="X85" s="1">
        <f t="shared" ref="X85:X91" si="58">+P85-T85</f>
        <v>-1785.1800000000003</v>
      </c>
      <c r="Y85" s="1"/>
      <c r="Z85" s="5">
        <f t="shared" ref="Z85:Z91" si="59">IF(T85=0,0,X85/T85)</f>
        <v>-0.27211035744226819</v>
      </c>
    </row>
    <row r="86" spans="1:26" s="23" customFormat="1" hidden="1" outlineLevel="2" x14ac:dyDescent="0.25">
      <c r="A86" s="27"/>
      <c r="B86" s="10" t="str">
        <f>CONCATENATE("          ", "6309", " - ", "TELEPHONE")</f>
        <v xml:space="preserve">          6309 - TELEPHONE</v>
      </c>
      <c r="C86" s="10"/>
      <c r="D86" s="6">
        <v>248</v>
      </c>
      <c r="E86" s="2"/>
      <c r="F86" s="7">
        <f t="shared" si="52"/>
        <v>2.7504888494849322E-3</v>
      </c>
      <c r="G86" s="2"/>
      <c r="H86" s="6">
        <v>646.15</v>
      </c>
      <c r="I86" s="2"/>
      <c r="J86" s="7">
        <f t="shared" si="53"/>
        <v>0.14858463448846781</v>
      </c>
      <c r="K86" s="2"/>
      <c r="L86" s="6">
        <f t="shared" si="54"/>
        <v>-398.15</v>
      </c>
      <c r="M86" s="2"/>
      <c r="N86" s="7">
        <f t="shared" si="55"/>
        <v>-0.6161881915963785</v>
      </c>
      <c r="O86" s="10"/>
      <c r="P86" s="6">
        <v>4775.32</v>
      </c>
      <c r="Q86" s="2"/>
      <c r="R86" s="7">
        <f t="shared" si="56"/>
        <v>5.0728104004022275E-3</v>
      </c>
      <c r="S86" s="2"/>
      <c r="T86" s="6">
        <v>6560.5</v>
      </c>
      <c r="U86" s="2"/>
      <c r="V86" s="7">
        <f t="shared" si="57"/>
        <v>7.2494975942359065E-4</v>
      </c>
      <c r="W86" s="2"/>
      <c r="X86" s="6">
        <f t="shared" si="58"/>
        <v>-1785.1800000000003</v>
      </c>
      <c r="Y86" s="2"/>
      <c r="Z86" s="7">
        <f t="shared" si="59"/>
        <v>-0.27211035744226819</v>
      </c>
    </row>
    <row r="87" spans="1:26" s="26" customFormat="1" outlineLevel="1" collapsed="1" x14ac:dyDescent="0.25">
      <c r="A87" s="25"/>
      <c r="B87" s="12" t="str">
        <f>CONCATENATE("     ","Training                                          ")</f>
        <v xml:space="preserve">     Training                                          </v>
      </c>
      <c r="C87" s="12"/>
      <c r="D87" s="1">
        <f>SUM(OSRRefD22_17x_0)</f>
        <v>0</v>
      </c>
      <c r="E87" s="1"/>
      <c r="F87" s="5">
        <f t="shared" si="52"/>
        <v>0</v>
      </c>
      <c r="G87" s="1"/>
      <c r="H87" s="1">
        <f>SUM(OSRRefH22_17x_0)</f>
        <v>0</v>
      </c>
      <c r="I87" s="1"/>
      <c r="J87" s="5">
        <f t="shared" si="53"/>
        <v>0</v>
      </c>
      <c r="K87" s="1"/>
      <c r="L87" s="1">
        <f t="shared" si="54"/>
        <v>0</v>
      </c>
      <c r="M87" s="1"/>
      <c r="N87" s="5">
        <f t="shared" si="55"/>
        <v>0</v>
      </c>
      <c r="O87" s="12"/>
      <c r="P87" s="1">
        <f>SUM(OSRRefP22_17x_0)</f>
        <v>786.23</v>
      </c>
      <c r="Q87" s="1"/>
      <c r="R87" s="5">
        <f t="shared" si="56"/>
        <v>8.3521014740546053E-4</v>
      </c>
      <c r="S87" s="1"/>
      <c r="T87" s="1">
        <f>SUM(OSRRefT22_17x_0)</f>
        <v>6398.23</v>
      </c>
      <c r="U87" s="1"/>
      <c r="V87" s="5">
        <f t="shared" si="57"/>
        <v>7.0701856554177282E-4</v>
      </c>
      <c r="W87" s="1"/>
      <c r="X87" s="1">
        <f t="shared" si="58"/>
        <v>-5612</v>
      </c>
      <c r="Y87" s="1"/>
      <c r="Z87" s="5">
        <f t="shared" si="59"/>
        <v>-0.87711757783011868</v>
      </c>
    </row>
    <row r="88" spans="1:26" s="23" customFormat="1" hidden="1" outlineLevel="2" x14ac:dyDescent="0.25">
      <c r="A88" s="27"/>
      <c r="B88" s="10" t="str">
        <f>CONCATENATE("          ", "6376", " - ", "TRAINING")</f>
        <v xml:space="preserve">          6376 - TRAINING</v>
      </c>
      <c r="C88" s="10"/>
      <c r="D88" s="6"/>
      <c r="E88" s="2"/>
      <c r="F88" s="7">
        <f t="shared" si="52"/>
        <v>0</v>
      </c>
      <c r="G88" s="2"/>
      <c r="H88" s="6"/>
      <c r="I88" s="2"/>
      <c r="J88" s="7">
        <f t="shared" si="53"/>
        <v>0</v>
      </c>
      <c r="K88" s="2"/>
      <c r="L88" s="6">
        <f t="shared" si="54"/>
        <v>0</v>
      </c>
      <c r="M88" s="2"/>
      <c r="N88" s="7">
        <f t="shared" si="55"/>
        <v>0</v>
      </c>
      <c r="O88" s="10"/>
      <c r="P88" s="6">
        <v>786.23</v>
      </c>
      <c r="Q88" s="2"/>
      <c r="R88" s="7">
        <f t="shared" si="56"/>
        <v>8.3521014740546053E-4</v>
      </c>
      <c r="S88" s="2"/>
      <c r="T88" s="6">
        <v>6398.23</v>
      </c>
      <c r="U88" s="2"/>
      <c r="V88" s="7">
        <f t="shared" si="57"/>
        <v>7.0701856554177282E-4</v>
      </c>
      <c r="W88" s="2"/>
      <c r="X88" s="6">
        <f t="shared" si="58"/>
        <v>-5612</v>
      </c>
      <c r="Y88" s="2"/>
      <c r="Z88" s="7">
        <f t="shared" si="59"/>
        <v>-0.87711757783011868</v>
      </c>
    </row>
    <row r="89" spans="1:26" s="26" customFormat="1" outlineLevel="1" collapsed="1" x14ac:dyDescent="0.25">
      <c r="A89" s="25"/>
      <c r="B89" s="12" t="str">
        <f>CONCATENATE("     ","Travel                                            ")</f>
        <v xml:space="preserve">     Travel                                            </v>
      </c>
      <c r="C89" s="12"/>
      <c r="D89" s="1">
        <f>SUM(OSRRefD22_18x_0)</f>
        <v>160.30000000000001</v>
      </c>
      <c r="E89" s="1"/>
      <c r="F89" s="5">
        <f t="shared" si="52"/>
        <v>1.7778361394049785E-3</v>
      </c>
      <c r="G89" s="1"/>
      <c r="H89" s="1">
        <f>SUM(OSRRefH22_18x_0)</f>
        <v>0</v>
      </c>
      <c r="I89" s="1"/>
      <c r="J89" s="5">
        <f t="shared" si="53"/>
        <v>0</v>
      </c>
      <c r="K89" s="1"/>
      <c r="L89" s="1">
        <f t="shared" si="54"/>
        <v>160.30000000000001</v>
      </c>
      <c r="M89" s="1"/>
      <c r="N89" s="5">
        <f t="shared" si="55"/>
        <v>0</v>
      </c>
      <c r="O89" s="12"/>
      <c r="P89" s="1">
        <f>SUM(OSRRefP22_18x_0)</f>
        <v>160.30000000000001</v>
      </c>
      <c r="Q89" s="1"/>
      <c r="R89" s="5">
        <f t="shared" si="56"/>
        <v>1.7028628598386646E-4</v>
      </c>
      <c r="S89" s="1"/>
      <c r="T89" s="1">
        <f>SUM(OSRRefT22_18x_0)</f>
        <v>1894.26</v>
      </c>
      <c r="U89" s="1"/>
      <c r="V89" s="5">
        <f t="shared" si="57"/>
        <v>2.0931991940945522E-4</v>
      </c>
      <c r="W89" s="1"/>
      <c r="X89" s="1">
        <f t="shared" si="58"/>
        <v>-1733.96</v>
      </c>
      <c r="Y89" s="1"/>
      <c r="Z89" s="5">
        <f t="shared" si="59"/>
        <v>-0.91537592516338839</v>
      </c>
    </row>
    <row r="90" spans="1:26" s="23" customFormat="1" hidden="1" outlineLevel="2" x14ac:dyDescent="0.25">
      <c r="A90" s="27"/>
      <c r="B90" s="10" t="str">
        <f>CONCATENATE("          ", "6292", " - ", "TRAVEL/CONFERENCE")</f>
        <v xml:space="preserve">          6292 - TRAVEL/CONFERENCE</v>
      </c>
      <c r="C90" s="10"/>
      <c r="D90" s="6"/>
      <c r="E90" s="2"/>
      <c r="F90" s="7">
        <f t="shared" si="52"/>
        <v>0</v>
      </c>
      <c r="G90" s="2"/>
      <c r="H90" s="6"/>
      <c r="I90" s="2"/>
      <c r="J90" s="7">
        <f t="shared" si="53"/>
        <v>0</v>
      </c>
      <c r="K90" s="2"/>
      <c r="L90" s="6">
        <f t="shared" si="54"/>
        <v>0</v>
      </c>
      <c r="M90" s="2"/>
      <c r="N90" s="7">
        <f t="shared" si="55"/>
        <v>0</v>
      </c>
      <c r="O90" s="10"/>
      <c r="P90" s="6"/>
      <c r="Q90" s="2"/>
      <c r="R90" s="7">
        <f t="shared" si="56"/>
        <v>0</v>
      </c>
      <c r="S90" s="2"/>
      <c r="T90" s="6">
        <v>1894.26</v>
      </c>
      <c r="U90" s="2"/>
      <c r="V90" s="7">
        <f t="shared" si="57"/>
        <v>2.0931991940945522E-4</v>
      </c>
      <c r="W90" s="2"/>
      <c r="X90" s="6">
        <f t="shared" si="58"/>
        <v>-1894.26</v>
      </c>
      <c r="Y90" s="2"/>
      <c r="Z90" s="7">
        <f t="shared" si="59"/>
        <v>-1</v>
      </c>
    </row>
    <row r="91" spans="1:26" s="23" customFormat="1" hidden="1" outlineLevel="2" x14ac:dyDescent="0.25">
      <c r="A91" s="27"/>
      <c r="B91" s="10" t="str">
        <f>CONCATENATE("          ", "6294", " - ", "TRAVEL OPERATIONAL")</f>
        <v xml:space="preserve">          6294 - TRAVEL OPERATIONAL</v>
      </c>
      <c r="C91" s="10"/>
      <c r="D91" s="6">
        <v>160.30000000000001</v>
      </c>
      <c r="E91" s="2"/>
      <c r="F91" s="7">
        <f t="shared" si="52"/>
        <v>1.7778361394049785E-3</v>
      </c>
      <c r="G91" s="2"/>
      <c r="H91" s="6"/>
      <c r="I91" s="2"/>
      <c r="J91" s="7">
        <f t="shared" si="53"/>
        <v>0</v>
      </c>
      <c r="K91" s="2"/>
      <c r="L91" s="6">
        <f t="shared" si="54"/>
        <v>160.30000000000001</v>
      </c>
      <c r="M91" s="2"/>
      <c r="N91" s="7">
        <f t="shared" si="55"/>
        <v>0</v>
      </c>
      <c r="O91" s="10"/>
      <c r="P91" s="6">
        <v>160.30000000000001</v>
      </c>
      <c r="Q91" s="2"/>
      <c r="R91" s="7">
        <f t="shared" si="56"/>
        <v>1.7028628598386646E-4</v>
      </c>
      <c r="S91" s="2"/>
      <c r="T91" s="6"/>
      <c r="U91" s="2"/>
      <c r="V91" s="7">
        <f t="shared" si="57"/>
        <v>0</v>
      </c>
      <c r="W91" s="2"/>
      <c r="X91" s="6">
        <f t="shared" si="58"/>
        <v>160.30000000000001</v>
      </c>
      <c r="Y91" s="2"/>
      <c r="Z91" s="7">
        <f t="shared" si="59"/>
        <v>0</v>
      </c>
    </row>
    <row r="92" spans="1:26" s="62" customFormat="1" x14ac:dyDescent="0.25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4" customFormat="1" x14ac:dyDescent="0.25">
      <c r="A93" s="11"/>
      <c r="B93" s="28" t="s">
        <v>292</v>
      </c>
      <c r="C93" s="11"/>
      <c r="D93" s="4">
        <f>SUM(0)</f>
        <v>0</v>
      </c>
      <c r="E93" s="4"/>
      <c r="F93" s="13">
        <f>IF(D$12=0,0,D93/D$12)</f>
        <v>0</v>
      </c>
      <c r="G93" s="4"/>
      <c r="H93" s="4">
        <f>SUM(0)</f>
        <v>0</v>
      </c>
      <c r="I93" s="4"/>
      <c r="J93" s="13">
        <f>IF(H$12=0,0,H93/H$12)</f>
        <v>0</v>
      </c>
      <c r="K93" s="4"/>
      <c r="L93" s="4">
        <f>+D93-H93</f>
        <v>0</v>
      </c>
      <c r="M93" s="4"/>
      <c r="N93" s="13">
        <f>IF(H93=0,0,L93/H93)</f>
        <v>0</v>
      </c>
      <c r="O93" s="11"/>
      <c r="P93" s="4">
        <f>SUM(0)</f>
        <v>0</v>
      </c>
      <c r="Q93" s="4"/>
      <c r="R93" s="13">
        <f>IF(P$12=0,0,P93/P$12)</f>
        <v>0</v>
      </c>
      <c r="S93" s="4"/>
      <c r="T93" s="4">
        <f>SUM(0)</f>
        <v>0</v>
      </c>
      <c r="U93" s="4"/>
      <c r="V93" s="13">
        <f>IF(T$12=0,0,T93/T$12)</f>
        <v>0</v>
      </c>
      <c r="W93" s="4"/>
      <c r="X93" s="4">
        <f>+P93-T93</f>
        <v>0</v>
      </c>
      <c r="Y93" s="4"/>
      <c r="Z93" s="13">
        <f>IF(T93=0,0,X93/T93)</f>
        <v>0</v>
      </c>
    </row>
    <row r="94" spans="1:26" x14ac:dyDescent="0.25">
      <c r="A94" s="9"/>
      <c r="B94" s="11"/>
      <c r="C94" s="11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1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4" customFormat="1" x14ac:dyDescent="0.25">
      <c r="A95" s="11"/>
      <c r="B95" s="29" t="s">
        <v>276</v>
      </c>
      <c r="C95" s="29"/>
      <c r="D95" s="20">
        <f>+D23-D25+D93</f>
        <v>-202722.22999999998</v>
      </c>
      <c r="E95" s="14"/>
      <c r="F95" s="22">
        <f>IF(D$12=0,0,D95/D$12)</f>
        <v>-2.2483275530553217</v>
      </c>
      <c r="G95" s="14"/>
      <c r="H95" s="20">
        <f>+H23-H25+H93</f>
        <v>-89819.209999999992</v>
      </c>
      <c r="I95" s="14"/>
      <c r="J95" s="22">
        <f>IF(H$12=0,0,H95/H$12)</f>
        <v>-20.654266792374731</v>
      </c>
      <c r="K95" s="16"/>
      <c r="L95" s="20">
        <f>+D95-H95</f>
        <v>-112903.01999999999</v>
      </c>
      <c r="M95" s="16"/>
      <c r="N95" s="22">
        <f>IF(H95=0,0,L95/H95)</f>
        <v>1.2570030397728948</v>
      </c>
      <c r="O95" s="28"/>
      <c r="P95" s="20">
        <f>+P23-P25+P93</f>
        <v>-1741881.1899999992</v>
      </c>
      <c r="Q95" s="14"/>
      <c r="R95" s="22">
        <f>IF(P$12=0,0,P95/P$12)</f>
        <v>-1.8503959979429663</v>
      </c>
      <c r="S95" s="14"/>
      <c r="T95" s="20">
        <f>+T23-T25+T93</f>
        <v>2241909.0699999984</v>
      </c>
      <c r="U95" s="14"/>
      <c r="V95" s="22">
        <f>IF(T$12=0,0,T95/T$12)</f>
        <v>0.24773591051689123</v>
      </c>
      <c r="W95" s="16"/>
      <c r="X95" s="20">
        <f>+P95-T95</f>
        <v>-3983790.2599999979</v>
      </c>
      <c r="Y95" s="16"/>
      <c r="Z95" s="22">
        <f>IF(T95=0,0,X95/T95)</f>
        <v>-1.7769633538259428</v>
      </c>
    </row>
    <row r="96" spans="1:26" x14ac:dyDescent="0.25">
      <c r="A96" s="9"/>
      <c r="B96" s="11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4" customFormat="1" x14ac:dyDescent="0.25">
      <c r="A97" s="51"/>
      <c r="B97" s="11" t="s">
        <v>127</v>
      </c>
      <c r="C97" s="11"/>
      <c r="D97" s="4">
        <v>21512.41</v>
      </c>
      <c r="E97" s="4"/>
      <c r="F97" s="13">
        <f>IF(D$12=0,0,D97/D$12)</f>
        <v>0.23858727351027481</v>
      </c>
      <c r="G97" s="4"/>
      <c r="H97" s="4">
        <v>58296.68</v>
      </c>
      <c r="I97" s="4"/>
      <c r="J97" s="13">
        <f>IF(H$12=0,0,H97/H$12)</f>
        <v>13.405541886080899</v>
      </c>
      <c r="K97" s="4"/>
      <c r="L97" s="4">
        <f>+D97-H97</f>
        <v>-36784.270000000004</v>
      </c>
      <c r="M97" s="4"/>
      <c r="N97" s="13">
        <f>IF(H97=0,0,L97/H97)</f>
        <v>-0.63098395997850998</v>
      </c>
      <c r="O97" s="11"/>
      <c r="P97" s="4">
        <v>196935.47</v>
      </c>
      <c r="Q97" s="4"/>
      <c r="R97" s="13">
        <f>IF(P$12=0,0,P97/P$12)</f>
        <v>0.20920405342973894</v>
      </c>
      <c r="S97" s="4"/>
      <c r="T97" s="4">
        <v>1027516.47</v>
      </c>
      <c r="U97" s="4"/>
      <c r="V97" s="13">
        <f>IF(T$12=0,0,T97/T$12)</f>
        <v>0.11354284242516227</v>
      </c>
      <c r="W97" s="4"/>
      <c r="X97" s="4">
        <f>+P97-T97</f>
        <v>-830581</v>
      </c>
      <c r="Y97" s="4"/>
      <c r="Z97" s="13">
        <f>IF(T97=0,0,X97/T97)</f>
        <v>-0.8083383811842938</v>
      </c>
    </row>
    <row r="98" spans="1:26" x14ac:dyDescent="0.25">
      <c r="A98" s="9"/>
      <c r="B98" s="11"/>
      <c r="C98" s="11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1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4" customFormat="1" ht="15.75" thickBot="1" x14ac:dyDescent="0.3">
      <c r="A99" s="11"/>
      <c r="B99" s="29" t="s">
        <v>125</v>
      </c>
      <c r="C99" s="29"/>
      <c r="D99" s="30">
        <f>+D95-D97</f>
        <v>-224234.63999999998</v>
      </c>
      <c r="E99" s="14"/>
      <c r="F99" s="34">
        <f>IF(D$12=0,0,D99/D$12)</f>
        <v>-2.4869148265655965</v>
      </c>
      <c r="G99" s="14"/>
      <c r="H99" s="30">
        <f>+H95-H97</f>
        <v>-148115.88999999998</v>
      </c>
      <c r="I99" s="14"/>
      <c r="J99" s="34">
        <f>IF(H$12=0,0,H99/H$12)</f>
        <v>-34.059808678455632</v>
      </c>
      <c r="K99" s="16"/>
      <c r="L99" s="30">
        <f>D99-H99</f>
        <v>-76118.75</v>
      </c>
      <c r="M99" s="16"/>
      <c r="N99" s="34">
        <f>IF(H99=0,0,L99/H99)</f>
        <v>0.51391346330228316</v>
      </c>
      <c r="O99" s="28"/>
      <c r="P99" s="30">
        <f>+P95-P97</f>
        <v>-1938816.6599999992</v>
      </c>
      <c r="Q99" s="14"/>
      <c r="R99" s="34">
        <f>IF(P$12=0,0,P99/P$12)</f>
        <v>-2.0596000513727053</v>
      </c>
      <c r="S99" s="14"/>
      <c r="T99" s="30">
        <f>+T95-T97</f>
        <v>1214392.5999999985</v>
      </c>
      <c r="U99" s="14"/>
      <c r="V99" s="34">
        <f>IF(T$12=0,0,T99/T$12)</f>
        <v>0.13419306809172893</v>
      </c>
      <c r="W99" s="16"/>
      <c r="X99" s="30">
        <f>P99-T99</f>
        <v>-3153209.2599999979</v>
      </c>
      <c r="Y99" s="16"/>
      <c r="Z99" s="34">
        <f>IF(T99=0,0,X99/T99)</f>
        <v>-2.5965320111469734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4" customFormat="1" ht="15.75" thickBot="1" x14ac:dyDescent="0.3">
      <c r="A102" s="11"/>
      <c r="B102" s="29" t="s">
        <v>293</v>
      </c>
      <c r="C102" s="29"/>
      <c r="D102" s="32">
        <f>SUM(D99:D101)</f>
        <v>-224234.63999999998</v>
      </c>
      <c r="E102" s="14"/>
      <c r="F102" s="35">
        <f>IF(D$12=0,0,D102/D$12)</f>
        <v>-2.4869148265655965</v>
      </c>
      <c r="G102" s="14"/>
      <c r="H102" s="32">
        <f>SUM(H99:H101)</f>
        <v>-148115.88999999998</v>
      </c>
      <c r="I102" s="14"/>
      <c r="J102" s="35">
        <f>IF(H$12=0,0,H102/H$12)</f>
        <v>-34.059808678455632</v>
      </c>
      <c r="K102" s="16"/>
      <c r="L102" s="32">
        <f>+D102-H102</f>
        <v>-76118.75</v>
      </c>
      <c r="M102" s="16"/>
      <c r="N102" s="35">
        <f>IF(H102=0,0,L102/H102)</f>
        <v>0.51391346330228316</v>
      </c>
      <c r="O102" s="28"/>
      <c r="P102" s="32">
        <f>SUM(P99:P101)</f>
        <v>-1938816.6599999992</v>
      </c>
      <c r="Q102" s="14"/>
      <c r="R102" s="35">
        <f>IF(P$12=0,0,P102/P$12)</f>
        <v>-2.0596000513727053</v>
      </c>
      <c r="S102" s="14"/>
      <c r="T102" s="32">
        <f>SUM(T99:T101)</f>
        <v>1214392.5999999985</v>
      </c>
      <c r="U102" s="14"/>
      <c r="V102" s="35">
        <f>IF(T$12=0,0,T102/T$12)</f>
        <v>0.13419306809172893</v>
      </c>
      <c r="W102" s="16"/>
      <c r="X102" s="32">
        <f>+P102-T102</f>
        <v>-3153209.2599999979</v>
      </c>
      <c r="Y102" s="16"/>
      <c r="Z102" s="35">
        <f>IF(T102=0,0,X102/T102)</f>
        <v>-2.5965320111469734</v>
      </c>
    </row>
    <row r="103" spans="1:26" ht="15.75" thickTop="1" x14ac:dyDescent="0.25">
      <c r="A103" s="9"/>
      <c r="C103" s="9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59">
        <v>44330.008789664353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52" t="s">
        <v>56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A106" s="9"/>
      <c r="B106" s="55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","430", " - ", "Res Hall Management")</f>
        <v>Department 430 - Res Hall Management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x14ac:dyDescent="0.25">
      <c r="A12" s="11"/>
      <c r="B12" s="28" t="s">
        <v>139</v>
      </c>
      <c r="C12" s="11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1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1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4" customFormat="1" x14ac:dyDescent="0.25">
      <c r="A14" s="11"/>
      <c r="B14" s="28" t="s">
        <v>256</v>
      </c>
      <c r="C14" s="11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1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1"/>
      <c r="C15" s="11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1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4" customFormat="1" x14ac:dyDescent="0.25">
      <c r="A16" s="11"/>
      <c r="B16" s="29" t="s">
        <v>107</v>
      </c>
      <c r="C16" s="29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8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1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4" customFormat="1" x14ac:dyDescent="0.25">
      <c r="A18" s="11"/>
      <c r="B18" s="28" t="s">
        <v>294</v>
      </c>
      <c r="C18" s="11"/>
      <c r="D18" s="21">
        <f>SUM(OSRRefD22x_0)</f>
        <v>18741.91</v>
      </c>
      <c r="E18" s="21"/>
      <c r="F18" s="31">
        <f t="shared" ref="F18:F27" si="0">IF(D$12=0,0,D18/D$12)</f>
        <v>0</v>
      </c>
      <c r="G18" s="21"/>
      <c r="H18" s="21">
        <f>SUM(OSRRefH22x_0)</f>
        <v>16718.97</v>
      </c>
      <c r="I18" s="21"/>
      <c r="J18" s="31">
        <f t="shared" ref="J18:J27" si="1">IF(H$12=0,0,H18/H$12)</f>
        <v>0</v>
      </c>
      <c r="K18" s="4"/>
      <c r="L18" s="21">
        <f t="shared" ref="L18:L27" si="2">+D18-H18</f>
        <v>2022.9399999999987</v>
      </c>
      <c r="M18" s="4"/>
      <c r="N18" s="31">
        <f t="shared" ref="N18:N27" si="3">IF(H18=0,0,L18/H18)</f>
        <v>0.12099668819311228</v>
      </c>
      <c r="O18" s="11"/>
      <c r="P18" s="21">
        <f>SUM(OSRRefP22x_0)</f>
        <v>172019.20000000001</v>
      </c>
      <c r="Q18" s="21"/>
      <c r="R18" s="31">
        <f t="shared" ref="R18:R27" si="4">IF(P$12=0,0,P18/P$12)</f>
        <v>0</v>
      </c>
      <c r="S18" s="21"/>
      <c r="T18" s="21">
        <f>SUM(OSRRefT22x_0)</f>
        <v>196864.15</v>
      </c>
      <c r="U18" s="21"/>
      <c r="V18" s="31">
        <f t="shared" ref="V18:V27" si="5">IF(T$12=0,0,T18/T$12)</f>
        <v>0</v>
      </c>
      <c r="W18" s="4"/>
      <c r="X18" s="21">
        <f t="shared" ref="X18:X27" si="6">+P18-T18</f>
        <v>-24844.949999999983</v>
      </c>
      <c r="Y18" s="4"/>
      <c r="Z18" s="31">
        <f t="shared" ref="Z18:Z27" si="7">IF(T18=0,0,X18/T18)</f>
        <v>-0.12620352664515089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6282.49</v>
      </c>
      <c r="E19" s="1"/>
      <c r="F19" s="5">
        <f t="shared" si="0"/>
        <v>0</v>
      </c>
      <c r="G19" s="1"/>
      <c r="H19" s="1">
        <f>SUM(OSRRefH22_0x_0)</f>
        <v>5382.66</v>
      </c>
      <c r="I19" s="1"/>
      <c r="J19" s="5">
        <f t="shared" si="1"/>
        <v>0</v>
      </c>
      <c r="K19" s="1"/>
      <c r="L19" s="1">
        <f t="shared" si="2"/>
        <v>899.82999999999993</v>
      </c>
      <c r="M19" s="1"/>
      <c r="N19" s="5">
        <f t="shared" si="3"/>
        <v>0.1671719930294687</v>
      </c>
      <c r="O19" s="12"/>
      <c r="P19" s="1">
        <f>SUM(OSRRefP22_0x_0)</f>
        <v>57962.799999999996</v>
      </c>
      <c r="Q19" s="1"/>
      <c r="R19" s="5">
        <f t="shared" si="4"/>
        <v>0</v>
      </c>
      <c r="S19" s="1"/>
      <c r="T19" s="1">
        <f>SUM(OSRRefT22_0x_0)</f>
        <v>60518.95</v>
      </c>
      <c r="U19" s="1"/>
      <c r="V19" s="5">
        <f t="shared" si="5"/>
        <v>0</v>
      </c>
      <c r="W19" s="1"/>
      <c r="X19" s="1">
        <f t="shared" si="6"/>
        <v>-2556.1500000000015</v>
      </c>
      <c r="Y19" s="1"/>
      <c r="Z19" s="5">
        <f t="shared" si="7"/>
        <v>-4.2237183559860204E-2</v>
      </c>
    </row>
    <row r="20" spans="1:26" s="23" customFormat="1" hidden="1" outlineLevel="2" x14ac:dyDescent="0.25">
      <c r="A20" s="27"/>
      <c r="B20" s="10" t="str">
        <f>CONCATENATE("          ", "6111", " - ", "F.I.C.A.")</f>
        <v xml:space="preserve">          6111 - F.I.C.A.</v>
      </c>
      <c r="C20" s="10"/>
      <c r="D20" s="6">
        <v>1039.5899999999999</v>
      </c>
      <c r="E20" s="2"/>
      <c r="F20" s="7">
        <f t="shared" si="0"/>
        <v>0</v>
      </c>
      <c r="G20" s="2"/>
      <c r="H20" s="6">
        <v>1028.1300000000001</v>
      </c>
      <c r="I20" s="2"/>
      <c r="J20" s="7">
        <f t="shared" si="1"/>
        <v>0</v>
      </c>
      <c r="K20" s="2"/>
      <c r="L20" s="6">
        <f t="shared" si="2"/>
        <v>11.459999999999809</v>
      </c>
      <c r="M20" s="2"/>
      <c r="N20" s="7">
        <f t="shared" si="3"/>
        <v>1.1146450351609046E-2</v>
      </c>
      <c r="O20" s="10"/>
      <c r="P20" s="6">
        <v>7785.54</v>
      </c>
      <c r="Q20" s="2"/>
      <c r="R20" s="7">
        <f t="shared" si="4"/>
        <v>0</v>
      </c>
      <c r="S20" s="2"/>
      <c r="T20" s="6">
        <v>7875.29</v>
      </c>
      <c r="U20" s="2"/>
      <c r="V20" s="7">
        <f t="shared" si="5"/>
        <v>0</v>
      </c>
      <c r="W20" s="2"/>
      <c r="X20" s="6">
        <f t="shared" si="6"/>
        <v>-89.75</v>
      </c>
      <c r="Y20" s="2"/>
      <c r="Z20" s="7">
        <f t="shared" si="7"/>
        <v>-1.1396405719662387E-2</v>
      </c>
    </row>
    <row r="21" spans="1:26" s="23" customFormat="1" hidden="1" outlineLevel="2" x14ac:dyDescent="0.25">
      <c r="A21" s="27"/>
      <c r="B21" s="10" t="str">
        <f>CONCATENATE("          ", "6112", " - ", "COMPENSATION INSURANCE")</f>
        <v xml:space="preserve">          6112 - COMPENSATION INSURANCE</v>
      </c>
      <c r="C21" s="10"/>
      <c r="D21" s="6">
        <v>387.58</v>
      </c>
      <c r="E21" s="2"/>
      <c r="F21" s="7">
        <f t="shared" si="0"/>
        <v>0</v>
      </c>
      <c r="G21" s="2"/>
      <c r="H21" s="6">
        <v>347.63</v>
      </c>
      <c r="I21" s="2"/>
      <c r="J21" s="7">
        <f t="shared" si="1"/>
        <v>0</v>
      </c>
      <c r="K21" s="2"/>
      <c r="L21" s="6">
        <f t="shared" si="2"/>
        <v>39.949999999999989</v>
      </c>
      <c r="M21" s="2"/>
      <c r="N21" s="7">
        <f t="shared" si="3"/>
        <v>0.11492103673445903</v>
      </c>
      <c r="O21" s="10"/>
      <c r="P21" s="6">
        <v>4161.09</v>
      </c>
      <c r="Q21" s="2"/>
      <c r="R21" s="7">
        <f t="shared" si="4"/>
        <v>0</v>
      </c>
      <c r="S21" s="2"/>
      <c r="T21" s="6">
        <v>3230.07</v>
      </c>
      <c r="U21" s="2"/>
      <c r="V21" s="7">
        <f t="shared" si="5"/>
        <v>0</v>
      </c>
      <c r="W21" s="2"/>
      <c r="X21" s="6">
        <f t="shared" si="6"/>
        <v>931.02</v>
      </c>
      <c r="Y21" s="2"/>
      <c r="Z21" s="7">
        <f t="shared" si="7"/>
        <v>0.288235239483974</v>
      </c>
    </row>
    <row r="22" spans="1:26" s="23" customFormat="1" hidden="1" outlineLevel="2" x14ac:dyDescent="0.25">
      <c r="A22" s="27"/>
      <c r="B22" s="10" t="str">
        <f>CONCATENATE("          ", "6113", " - ", "GROUP INSURANCE")</f>
        <v xml:space="preserve">          6113 - GROUP INSURANCE</v>
      </c>
      <c r="C22" s="10"/>
      <c r="D22" s="6">
        <v>2691.73</v>
      </c>
      <c r="E22" s="2"/>
      <c r="F22" s="7">
        <f t="shared" si="0"/>
        <v>0</v>
      </c>
      <c r="G22" s="2"/>
      <c r="H22" s="6">
        <v>2737.9</v>
      </c>
      <c r="I22" s="2"/>
      <c r="J22" s="7">
        <f t="shared" si="1"/>
        <v>0</v>
      </c>
      <c r="K22" s="2"/>
      <c r="L22" s="6">
        <f t="shared" si="2"/>
        <v>-46.170000000000073</v>
      </c>
      <c r="M22" s="2"/>
      <c r="N22" s="7">
        <f t="shared" si="3"/>
        <v>-1.686328938237338E-2</v>
      </c>
      <c r="O22" s="10"/>
      <c r="P22" s="6">
        <v>27194.32</v>
      </c>
      <c r="Q22" s="2"/>
      <c r="R22" s="7">
        <f t="shared" si="4"/>
        <v>0</v>
      </c>
      <c r="S22" s="2"/>
      <c r="T22" s="6">
        <v>27335.200000000001</v>
      </c>
      <c r="U22" s="2"/>
      <c r="V22" s="7">
        <f t="shared" si="5"/>
        <v>0</v>
      </c>
      <c r="W22" s="2"/>
      <c r="X22" s="6">
        <f t="shared" si="6"/>
        <v>-140.88000000000102</v>
      </c>
      <c r="Y22" s="2"/>
      <c r="Z22" s="7">
        <f t="shared" si="7"/>
        <v>-5.1537943750183286E-3</v>
      </c>
    </row>
    <row r="23" spans="1:26" s="23" customFormat="1" hidden="1" outlineLevel="2" x14ac:dyDescent="0.25">
      <c r="A23" s="27"/>
      <c r="B23" s="10" t="str">
        <f>CONCATENATE("          ", "6114", " - ", "STATE UNEMPLOYMENT INSURANCE")</f>
        <v xml:space="preserve">          6114 - STATE UNEMPLOYMENT INSURANCE</v>
      </c>
      <c r="C23" s="10"/>
      <c r="D23" s="6">
        <v>23.49</v>
      </c>
      <c r="E23" s="2"/>
      <c r="F23" s="7">
        <f t="shared" si="0"/>
        <v>0</v>
      </c>
      <c r="G23" s="2"/>
      <c r="H23" s="6">
        <v>23.29</v>
      </c>
      <c r="I23" s="2"/>
      <c r="J23" s="7">
        <f t="shared" si="1"/>
        <v>0</v>
      </c>
      <c r="K23" s="2"/>
      <c r="L23" s="6">
        <f t="shared" si="2"/>
        <v>0.19999999999999929</v>
      </c>
      <c r="M23" s="2"/>
      <c r="N23" s="7">
        <f t="shared" si="3"/>
        <v>8.587376556461971E-3</v>
      </c>
      <c r="O23" s="10"/>
      <c r="P23" s="6">
        <v>252.17</v>
      </c>
      <c r="Q23" s="2"/>
      <c r="R23" s="7">
        <f t="shared" si="4"/>
        <v>0</v>
      </c>
      <c r="S23" s="2"/>
      <c r="T23" s="6">
        <v>255.51</v>
      </c>
      <c r="U23" s="2"/>
      <c r="V23" s="7">
        <f t="shared" si="5"/>
        <v>0</v>
      </c>
      <c r="W23" s="2"/>
      <c r="X23" s="6">
        <f t="shared" si="6"/>
        <v>-3.3400000000000034</v>
      </c>
      <c r="Y23" s="2"/>
      <c r="Z23" s="7">
        <f t="shared" si="7"/>
        <v>-1.3071895424836616E-2</v>
      </c>
    </row>
    <row r="24" spans="1:26" s="23" customFormat="1" hidden="1" outlineLevel="2" x14ac:dyDescent="0.25">
      <c r="A24" s="27"/>
      <c r="B24" s="10" t="str">
        <f>CONCATENATE("          ", "6115", " - ", "P.E.R.S.")</f>
        <v xml:space="preserve">          6115 - P.E.R.S.</v>
      </c>
      <c r="C24" s="10"/>
      <c r="D24" s="6">
        <v>692.57</v>
      </c>
      <c r="E24" s="2"/>
      <c r="F24" s="7">
        <f t="shared" si="0"/>
        <v>0</v>
      </c>
      <c r="G24" s="2"/>
      <c r="H24" s="6">
        <v>625.82000000000005</v>
      </c>
      <c r="I24" s="2"/>
      <c r="J24" s="7">
        <f t="shared" si="1"/>
        <v>0</v>
      </c>
      <c r="K24" s="2"/>
      <c r="L24" s="6">
        <f t="shared" si="2"/>
        <v>66.75</v>
      </c>
      <c r="M24" s="2"/>
      <c r="N24" s="7">
        <f t="shared" si="3"/>
        <v>0.10666006199865775</v>
      </c>
      <c r="O24" s="10"/>
      <c r="P24" s="6">
        <v>7618.28</v>
      </c>
      <c r="Q24" s="2"/>
      <c r="R24" s="7">
        <f t="shared" si="4"/>
        <v>0</v>
      </c>
      <c r="S24" s="2"/>
      <c r="T24" s="6">
        <v>6087.55</v>
      </c>
      <c r="U24" s="2"/>
      <c r="V24" s="7">
        <f t="shared" si="5"/>
        <v>0</v>
      </c>
      <c r="W24" s="2"/>
      <c r="X24" s="6">
        <f t="shared" si="6"/>
        <v>1530.7299999999996</v>
      </c>
      <c r="Y24" s="2"/>
      <c r="Z24" s="7">
        <f t="shared" si="7"/>
        <v>0.25145255480447792</v>
      </c>
    </row>
    <row r="25" spans="1:26" s="23" customFormat="1" hidden="1" outlineLevel="2" x14ac:dyDescent="0.25">
      <c r="A25" s="27"/>
      <c r="B25" s="10" t="str">
        <f>CONCATENATE("          ", "6118", " - ", "VACATION")</f>
        <v xml:space="preserve">          6118 - VACATION</v>
      </c>
      <c r="C25" s="10"/>
      <c r="D25" s="6">
        <v>827.64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827.64</v>
      </c>
      <c r="M25" s="2"/>
      <c r="N25" s="7">
        <f t="shared" si="3"/>
        <v>0</v>
      </c>
      <c r="O25" s="10"/>
      <c r="P25" s="6">
        <v>6237.54</v>
      </c>
      <c r="Q25" s="2"/>
      <c r="R25" s="7">
        <f t="shared" si="4"/>
        <v>0</v>
      </c>
      <c r="S25" s="2"/>
      <c r="T25" s="6">
        <v>9187.49</v>
      </c>
      <c r="U25" s="2"/>
      <c r="V25" s="7">
        <f t="shared" si="5"/>
        <v>0</v>
      </c>
      <c r="W25" s="2"/>
      <c r="X25" s="6">
        <f t="shared" si="6"/>
        <v>-2949.95</v>
      </c>
      <c r="Y25" s="2"/>
      <c r="Z25" s="7">
        <f t="shared" si="7"/>
        <v>-0.32108334267574712</v>
      </c>
    </row>
    <row r="26" spans="1:26" s="23" customFormat="1" hidden="1" outlineLevel="2" x14ac:dyDescent="0.25">
      <c r="A26" s="27"/>
      <c r="B26" s="10" t="str">
        <f>CONCATENATE("          ", "6119", " - ", "SICK LEAVE")</f>
        <v xml:space="preserve">          6119 - SICK LEAVE</v>
      </c>
      <c r="C26" s="10"/>
      <c r="D26" s="6">
        <v>619.89</v>
      </c>
      <c r="E26" s="2"/>
      <c r="F26" s="7">
        <f t="shared" si="0"/>
        <v>0</v>
      </c>
      <c r="G26" s="2"/>
      <c r="H26" s="6">
        <v>619.89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0"/>
      <c r="P26" s="6">
        <v>4545.8599999999997</v>
      </c>
      <c r="Q26" s="2"/>
      <c r="R26" s="7">
        <f t="shared" si="4"/>
        <v>0</v>
      </c>
      <c r="S26" s="2"/>
      <c r="T26" s="6">
        <v>5323.25</v>
      </c>
      <c r="U26" s="2"/>
      <c r="V26" s="7">
        <f t="shared" si="5"/>
        <v>0</v>
      </c>
      <c r="W26" s="2"/>
      <c r="X26" s="6">
        <f t="shared" si="6"/>
        <v>-777.39000000000033</v>
      </c>
      <c r="Y26" s="2"/>
      <c r="Z26" s="7">
        <f t="shared" si="7"/>
        <v>-0.14603672568449733</v>
      </c>
    </row>
    <row r="27" spans="1:26" s="23" customFormat="1" hidden="1" outlineLevel="2" x14ac:dyDescent="0.25">
      <c r="A27" s="27"/>
      <c r="B27" s="10" t="str">
        <f>CONCATENATE("          ", "6156", " - ", "EMPLOYEE MEALS")</f>
        <v xml:space="preserve">          6156 - EMPLOYEE MEALS</v>
      </c>
      <c r="C27" s="10"/>
      <c r="D27" s="6"/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0"/>
      <c r="P27" s="6">
        <v>168</v>
      </c>
      <c r="Q27" s="2"/>
      <c r="R27" s="7">
        <f t="shared" si="4"/>
        <v>0</v>
      </c>
      <c r="S27" s="2"/>
      <c r="T27" s="6">
        <v>1224.5899999999999</v>
      </c>
      <c r="U27" s="2"/>
      <c r="V27" s="7">
        <f t="shared" si="5"/>
        <v>0</v>
      </c>
      <c r="W27" s="2"/>
      <c r="X27" s="6">
        <f t="shared" si="6"/>
        <v>-1056.5899999999999</v>
      </c>
      <c r="Y27" s="2"/>
      <c r="Z27" s="7">
        <f t="shared" si="7"/>
        <v>-0.86281122661462206</v>
      </c>
    </row>
    <row r="28" spans="1:26" s="26" customFormat="1" outlineLevel="1" collapsed="1" x14ac:dyDescent="0.25">
      <c r="A28" s="25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8959.42</v>
      </c>
      <c r="E28" s="1"/>
      <c r="F28" s="5">
        <f t="shared" ref="F28:F36" si="8">IF(D$12=0,0,D28/D$12)</f>
        <v>0</v>
      </c>
      <c r="G28" s="1"/>
      <c r="H28" s="1">
        <f>SUM(OSRRefH22_1x_0)</f>
        <v>11199.31</v>
      </c>
      <c r="I28" s="1"/>
      <c r="J28" s="5">
        <f t="shared" ref="J28:J36" si="9">IF(H$12=0,0,H28/H$12)</f>
        <v>0</v>
      </c>
      <c r="K28" s="1"/>
      <c r="L28" s="1">
        <f t="shared" ref="L28:L36" si="10">+D28-H28</f>
        <v>-2239.8899999999994</v>
      </c>
      <c r="M28" s="1"/>
      <c r="N28" s="5">
        <f t="shared" ref="N28:N36" si="11">IF(H28=0,0,L28/H28)</f>
        <v>-0.20000250015402729</v>
      </c>
      <c r="O28" s="12"/>
      <c r="P28" s="1">
        <f>SUM(OSRRefP22_1x_0)</f>
        <v>91164.32</v>
      </c>
      <c r="Q28" s="1"/>
      <c r="R28" s="5">
        <f t="shared" ref="R28:R36" si="12">IF(P$12=0,0,P28/P$12)</f>
        <v>0</v>
      </c>
      <c r="S28" s="1"/>
      <c r="T28" s="1">
        <f>SUM(OSRRefT22_1x_0)</f>
        <v>82672.17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8492.1500000000087</v>
      </c>
      <c r="Y28" s="1"/>
      <c r="Z28" s="5">
        <f t="shared" ref="Z28:Z36" si="15">IF(T28=0,0,X28/T28)</f>
        <v>0.10272078258015979</v>
      </c>
    </row>
    <row r="29" spans="1:26" s="23" customFormat="1" hidden="1" outlineLevel="2" x14ac:dyDescent="0.25">
      <c r="A29" s="27"/>
      <c r="B29" s="10" t="str">
        <f>CONCATENATE("          ", "6001", " - ", "ADMINISTRATIVE SALARIES")</f>
        <v xml:space="preserve">          6001 - ADMINISTRATIVE SALARIES</v>
      </c>
      <c r="C29" s="10"/>
      <c r="D29" s="6">
        <v>8959.42</v>
      </c>
      <c r="E29" s="2"/>
      <c r="F29" s="7">
        <f t="shared" si="8"/>
        <v>0</v>
      </c>
      <c r="G29" s="2"/>
      <c r="H29" s="6">
        <v>11199.31</v>
      </c>
      <c r="I29" s="2"/>
      <c r="J29" s="7">
        <f t="shared" si="9"/>
        <v>0</v>
      </c>
      <c r="K29" s="2"/>
      <c r="L29" s="6">
        <f t="shared" si="10"/>
        <v>-2239.8899999999994</v>
      </c>
      <c r="M29" s="2"/>
      <c r="N29" s="7">
        <f t="shared" si="11"/>
        <v>-0.20000250015402729</v>
      </c>
      <c r="O29" s="10"/>
      <c r="P29" s="6">
        <v>91164.32</v>
      </c>
      <c r="Q29" s="2"/>
      <c r="R29" s="7">
        <f t="shared" si="12"/>
        <v>0</v>
      </c>
      <c r="S29" s="2"/>
      <c r="T29" s="6">
        <v>82672.17</v>
      </c>
      <c r="U29" s="2"/>
      <c r="V29" s="7">
        <f t="shared" si="13"/>
        <v>0</v>
      </c>
      <c r="W29" s="2"/>
      <c r="X29" s="6">
        <f t="shared" si="14"/>
        <v>8492.1500000000087</v>
      </c>
      <c r="Y29" s="2"/>
      <c r="Z29" s="7">
        <f t="shared" si="15"/>
        <v>0.10272078258015979</v>
      </c>
    </row>
    <row r="30" spans="1:26" s="26" customFormat="1" outlineLevel="1" collapsed="1" x14ac:dyDescent="0.25">
      <c r="A30" s="25"/>
      <c r="B30" s="12" t="str">
        <f>CONCATENATE("     ","General                                           ")</f>
        <v xml:space="preserve">     General                                           </v>
      </c>
      <c r="C30" s="12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87</v>
      </c>
      <c r="I30" s="1"/>
      <c r="J30" s="5">
        <f t="shared" si="9"/>
        <v>0</v>
      </c>
      <c r="K30" s="1"/>
      <c r="L30" s="1">
        <f t="shared" si="10"/>
        <v>-87</v>
      </c>
      <c r="M30" s="1"/>
      <c r="N30" s="5">
        <f t="shared" si="11"/>
        <v>-1</v>
      </c>
      <c r="O30" s="12"/>
      <c r="P30" s="1">
        <f>SUM(OSRRefP22_2x_0)</f>
        <v>1.65</v>
      </c>
      <c r="Q30" s="1"/>
      <c r="R30" s="5">
        <f t="shared" si="12"/>
        <v>0</v>
      </c>
      <c r="S30" s="1"/>
      <c r="T30" s="1">
        <f>SUM(OSRRefT22_2x_0)</f>
        <v>293.82</v>
      </c>
      <c r="U30" s="1"/>
      <c r="V30" s="5">
        <f t="shared" si="13"/>
        <v>0</v>
      </c>
      <c r="W30" s="1"/>
      <c r="X30" s="1">
        <f t="shared" si="14"/>
        <v>-292.17</v>
      </c>
      <c r="Y30" s="1"/>
      <c r="Z30" s="5">
        <f t="shared" si="15"/>
        <v>-0.99438431692873197</v>
      </c>
    </row>
    <row r="31" spans="1:26" s="23" customFormat="1" hidden="1" outlineLevel="2" x14ac:dyDescent="0.25">
      <c r="A31" s="27"/>
      <c r="B31" s="10" t="str">
        <f>CONCATENATE("          ", "6279", " - ", "GENERAL EXPENSE")</f>
        <v xml:space="preserve">          6279 - GENERAL EXPENSE</v>
      </c>
      <c r="C31" s="10"/>
      <c r="D31" s="6"/>
      <c r="E31" s="2"/>
      <c r="F31" s="7">
        <f t="shared" si="8"/>
        <v>0</v>
      </c>
      <c r="G31" s="2"/>
      <c r="H31" s="6">
        <v>87</v>
      </c>
      <c r="I31" s="2"/>
      <c r="J31" s="7">
        <f t="shared" si="9"/>
        <v>0</v>
      </c>
      <c r="K31" s="2"/>
      <c r="L31" s="6">
        <f t="shared" si="10"/>
        <v>-87</v>
      </c>
      <c r="M31" s="2"/>
      <c r="N31" s="7">
        <f t="shared" si="11"/>
        <v>-1</v>
      </c>
      <c r="O31" s="10"/>
      <c r="P31" s="6">
        <v>1.65</v>
      </c>
      <c r="Q31" s="2"/>
      <c r="R31" s="7">
        <f t="shared" si="12"/>
        <v>0</v>
      </c>
      <c r="S31" s="2"/>
      <c r="T31" s="6">
        <v>293.82</v>
      </c>
      <c r="U31" s="2"/>
      <c r="V31" s="7">
        <f t="shared" si="13"/>
        <v>0</v>
      </c>
      <c r="W31" s="2"/>
      <c r="X31" s="6">
        <f t="shared" si="14"/>
        <v>-292.17</v>
      </c>
      <c r="Y31" s="2"/>
      <c r="Z31" s="7">
        <f t="shared" si="15"/>
        <v>-0.99438431692873197</v>
      </c>
    </row>
    <row r="32" spans="1:26" s="26" customFormat="1" outlineLevel="1" collapsed="1" x14ac:dyDescent="0.25">
      <c r="A32" s="25"/>
      <c r="B32" s="12" t="str">
        <f>CONCATENATE("     ","Repair and Maintenance                            ")</f>
        <v xml:space="preserve">     Repair and Maintenance                            </v>
      </c>
      <c r="C32" s="12"/>
      <c r="D32" s="1">
        <f>SUM(OSRRefD22_3x_0)</f>
        <v>3500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3500</v>
      </c>
      <c r="M32" s="1"/>
      <c r="N32" s="5">
        <f t="shared" si="11"/>
        <v>0</v>
      </c>
      <c r="O32" s="12"/>
      <c r="P32" s="1">
        <f>SUM(OSRRefP22_3x_0)</f>
        <v>17500</v>
      </c>
      <c r="Q32" s="1"/>
      <c r="R32" s="5">
        <f t="shared" si="12"/>
        <v>0</v>
      </c>
      <c r="S32" s="1"/>
      <c r="T32" s="1">
        <f>SUM(OSRRefT22_3x_0)</f>
        <v>46585.43</v>
      </c>
      <c r="U32" s="1"/>
      <c r="V32" s="5">
        <f t="shared" si="13"/>
        <v>0</v>
      </c>
      <c r="W32" s="1"/>
      <c r="X32" s="1">
        <f t="shared" si="14"/>
        <v>-29085.43</v>
      </c>
      <c r="Y32" s="1"/>
      <c r="Z32" s="5">
        <f t="shared" si="15"/>
        <v>-0.62434606699991824</v>
      </c>
    </row>
    <row r="33" spans="1:26" s="23" customFormat="1" hidden="1" outlineLevel="2" x14ac:dyDescent="0.25">
      <c r="A33" s="27"/>
      <c r="B33" s="10" t="str">
        <f>CONCATENATE("          ", "6371", " - ", "COMPUTER SOFTWARE MAINTENANCE")</f>
        <v xml:space="preserve">          6371 - COMPUTER SOFTWARE MAINTENANCE</v>
      </c>
      <c r="C33" s="10"/>
      <c r="D33" s="6">
        <v>3500</v>
      </c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3500</v>
      </c>
      <c r="M33" s="2"/>
      <c r="N33" s="7">
        <f t="shared" si="11"/>
        <v>0</v>
      </c>
      <c r="O33" s="10"/>
      <c r="P33" s="6">
        <v>17500</v>
      </c>
      <c r="Q33" s="2"/>
      <c r="R33" s="7">
        <f t="shared" si="12"/>
        <v>0</v>
      </c>
      <c r="S33" s="2"/>
      <c r="T33" s="6">
        <v>46585.43</v>
      </c>
      <c r="U33" s="2"/>
      <c r="V33" s="7">
        <f t="shared" si="13"/>
        <v>0</v>
      </c>
      <c r="W33" s="2"/>
      <c r="X33" s="6">
        <f t="shared" si="14"/>
        <v>-29085.43</v>
      </c>
      <c r="Y33" s="2"/>
      <c r="Z33" s="7">
        <f t="shared" si="15"/>
        <v>-0.62434606699991824</v>
      </c>
    </row>
    <row r="34" spans="1:26" s="26" customFormat="1" outlineLevel="1" collapsed="1" x14ac:dyDescent="0.25">
      <c r="A34" s="25"/>
      <c r="B34" s="12" t="str">
        <f>CONCATENATE("     ","Supplies                                          ")</f>
        <v xml:space="preserve">     Supplies                                          </v>
      </c>
      <c r="C34" s="12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0</v>
      </c>
      <c r="M34" s="1"/>
      <c r="N34" s="5">
        <f t="shared" si="11"/>
        <v>0</v>
      </c>
      <c r="O34" s="12"/>
      <c r="P34" s="1">
        <f>SUM(OSRRefP22_4x_0)</f>
        <v>4939.2</v>
      </c>
      <c r="Q34" s="1"/>
      <c r="R34" s="5">
        <f t="shared" si="12"/>
        <v>0</v>
      </c>
      <c r="S34" s="1"/>
      <c r="T34" s="1">
        <f>SUM(OSRRefT22_4x_0)</f>
        <v>3917.81</v>
      </c>
      <c r="U34" s="1"/>
      <c r="V34" s="5">
        <f t="shared" si="13"/>
        <v>0</v>
      </c>
      <c r="W34" s="1"/>
      <c r="X34" s="1">
        <f t="shared" si="14"/>
        <v>1021.3899999999999</v>
      </c>
      <c r="Y34" s="1"/>
      <c r="Z34" s="5">
        <f t="shared" si="15"/>
        <v>0.26070432205747596</v>
      </c>
    </row>
    <row r="35" spans="1:26" s="23" customFormat="1" hidden="1" outlineLevel="2" x14ac:dyDescent="0.25">
      <c r="A35" s="27"/>
      <c r="B35" s="10" t="str">
        <f>CONCATENATE("          ", "6235", " - ", "COVID-19 EXPENSES")</f>
        <v xml:space="preserve">          6235 - COVID-19 EXPENSES</v>
      </c>
      <c r="C35" s="10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0"/>
      <c r="P35" s="6">
        <v>4939.2</v>
      </c>
      <c r="Q35" s="2"/>
      <c r="R35" s="7">
        <f t="shared" si="12"/>
        <v>0</v>
      </c>
      <c r="S35" s="2"/>
      <c r="T35" s="6"/>
      <c r="U35" s="2"/>
      <c r="V35" s="7">
        <f t="shared" si="13"/>
        <v>0</v>
      </c>
      <c r="W35" s="2"/>
      <c r="X35" s="6">
        <f t="shared" si="14"/>
        <v>4939.2</v>
      </c>
      <c r="Y35" s="2"/>
      <c r="Z35" s="7">
        <f t="shared" si="15"/>
        <v>0</v>
      </c>
    </row>
    <row r="36" spans="1:26" s="23" customFormat="1" hidden="1" outlineLevel="2" x14ac:dyDescent="0.25">
      <c r="A36" s="27"/>
      <c r="B36" s="10" t="str">
        <f>CONCATENATE("          ", "6241", " - ", "OFFICE EXPENSE")</f>
        <v xml:space="preserve">          6241 - OFFICE EXPENSE</v>
      </c>
      <c r="C36" s="10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0"/>
      <c r="P36" s="6"/>
      <c r="Q36" s="2"/>
      <c r="R36" s="7">
        <f t="shared" si="12"/>
        <v>0</v>
      </c>
      <c r="S36" s="2"/>
      <c r="T36" s="6">
        <v>3917.81</v>
      </c>
      <c r="U36" s="2"/>
      <c r="V36" s="7">
        <f t="shared" si="13"/>
        <v>0</v>
      </c>
      <c r="W36" s="2"/>
      <c r="X36" s="6">
        <f t="shared" si="14"/>
        <v>-3917.81</v>
      </c>
      <c r="Y36" s="2"/>
      <c r="Z36" s="7">
        <f t="shared" si="15"/>
        <v>-1</v>
      </c>
    </row>
    <row r="37" spans="1:26" s="26" customFormat="1" outlineLevel="1" collapsed="1" x14ac:dyDescent="0.25">
      <c r="A37" s="25"/>
      <c r="B37" s="12" t="str">
        <f>CONCATENATE("     ","Telephone/Data Lines                              ")</f>
        <v xml:space="preserve">     Telephone/Data Lines                              </v>
      </c>
      <c r="C37" s="12"/>
      <c r="D37" s="1">
        <f>SUM(OSRRefD22_5x_0)</f>
        <v>0</v>
      </c>
      <c r="E37" s="1"/>
      <c r="F37" s="5">
        <f t="shared" ref="F37:F42" si="16">IF(D$12=0,0,D37/D$12)</f>
        <v>0</v>
      </c>
      <c r="G37" s="1"/>
      <c r="H37" s="1">
        <f>SUM(OSRRefH22_5x_0)</f>
        <v>50</v>
      </c>
      <c r="I37" s="1"/>
      <c r="J37" s="5">
        <f t="shared" ref="J37:J42" si="17">IF(H$12=0,0,H37/H$12)</f>
        <v>0</v>
      </c>
      <c r="K37" s="1"/>
      <c r="L37" s="1">
        <f t="shared" ref="L37:L42" si="18">+D37-H37</f>
        <v>-50</v>
      </c>
      <c r="M37" s="1"/>
      <c r="N37" s="5">
        <f t="shared" ref="N37:N42" si="19">IF(H37=0,0,L37/H37)</f>
        <v>-1</v>
      </c>
      <c r="O37" s="12"/>
      <c r="P37" s="1">
        <f>SUM(OSRRefP22_5x_0)</f>
        <v>400</v>
      </c>
      <c r="Q37" s="1"/>
      <c r="R37" s="5">
        <f t="shared" ref="R37:R42" si="20">IF(P$12=0,0,P37/P$12)</f>
        <v>0</v>
      </c>
      <c r="S37" s="1"/>
      <c r="T37" s="1">
        <f>SUM(OSRRefT22_5x_0)</f>
        <v>-400</v>
      </c>
      <c r="U37" s="1"/>
      <c r="V37" s="5">
        <f t="shared" ref="V37:V42" si="21">IF(T$12=0,0,T37/T$12)</f>
        <v>0</v>
      </c>
      <c r="W37" s="1"/>
      <c r="X37" s="1">
        <f t="shared" ref="X37:X42" si="22">+P37-T37</f>
        <v>800</v>
      </c>
      <c r="Y37" s="1"/>
      <c r="Z37" s="5">
        <f t="shared" ref="Z37:Z42" si="23">IF(T37=0,0,X37/T37)</f>
        <v>-2</v>
      </c>
    </row>
    <row r="38" spans="1:26" s="23" customFormat="1" hidden="1" outlineLevel="2" x14ac:dyDescent="0.25">
      <c r="A38" s="27"/>
      <c r="B38" s="10" t="str">
        <f>CONCATENATE("          ", "6309", " - ", "TELEPHONE")</f>
        <v xml:space="preserve">          6309 - TELEPHONE</v>
      </c>
      <c r="C38" s="10"/>
      <c r="D38" s="6">
        <v>0</v>
      </c>
      <c r="E38" s="2"/>
      <c r="F38" s="7">
        <f t="shared" si="16"/>
        <v>0</v>
      </c>
      <c r="G38" s="2"/>
      <c r="H38" s="6">
        <v>50</v>
      </c>
      <c r="I38" s="2"/>
      <c r="J38" s="7">
        <f t="shared" si="17"/>
        <v>0</v>
      </c>
      <c r="K38" s="2"/>
      <c r="L38" s="6">
        <f t="shared" si="18"/>
        <v>-50</v>
      </c>
      <c r="M38" s="2"/>
      <c r="N38" s="7">
        <f t="shared" si="19"/>
        <v>-1</v>
      </c>
      <c r="O38" s="10"/>
      <c r="P38" s="6">
        <v>400</v>
      </c>
      <c r="Q38" s="2"/>
      <c r="R38" s="7">
        <f t="shared" si="20"/>
        <v>0</v>
      </c>
      <c r="S38" s="2"/>
      <c r="T38" s="6">
        <v>-400</v>
      </c>
      <c r="U38" s="2"/>
      <c r="V38" s="7">
        <f t="shared" si="21"/>
        <v>0</v>
      </c>
      <c r="W38" s="2"/>
      <c r="X38" s="6">
        <f t="shared" si="22"/>
        <v>800</v>
      </c>
      <c r="Y38" s="2"/>
      <c r="Z38" s="7">
        <f t="shared" si="23"/>
        <v>-2</v>
      </c>
    </row>
    <row r="39" spans="1:26" s="26" customFormat="1" outlineLevel="1" collapsed="1" x14ac:dyDescent="0.25">
      <c r="A39" s="25"/>
      <c r="B39" s="12" t="str">
        <f>CONCATENATE("     ","Training                                          ")</f>
        <v xml:space="preserve">     Training                                          </v>
      </c>
      <c r="C39" s="12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2"/>
      <c r="P39" s="1">
        <f>SUM(OSRRefP22_6x_0)</f>
        <v>51.23</v>
      </c>
      <c r="Q39" s="1"/>
      <c r="R39" s="5">
        <f t="shared" si="20"/>
        <v>0</v>
      </c>
      <c r="S39" s="1"/>
      <c r="T39" s="1">
        <f>SUM(OSRRefT22_6x_0)</f>
        <v>2950.22</v>
      </c>
      <c r="U39" s="1"/>
      <c r="V39" s="5">
        <f t="shared" si="21"/>
        <v>0</v>
      </c>
      <c r="W39" s="1"/>
      <c r="X39" s="1">
        <f t="shared" si="22"/>
        <v>-2898.99</v>
      </c>
      <c r="Y39" s="1"/>
      <c r="Z39" s="5">
        <f t="shared" si="23"/>
        <v>-0.98263519330761773</v>
      </c>
    </row>
    <row r="40" spans="1:26" s="23" customFormat="1" hidden="1" outlineLevel="2" x14ac:dyDescent="0.25">
      <c r="A40" s="27"/>
      <c r="B40" s="10" t="str">
        <f>CONCATENATE("          ", "6376", " - ", "TRAINING")</f>
        <v xml:space="preserve">          6376 - TRAINING</v>
      </c>
      <c r="C40" s="10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0"/>
      <c r="P40" s="6">
        <v>51.23</v>
      </c>
      <c r="Q40" s="2"/>
      <c r="R40" s="7">
        <f t="shared" si="20"/>
        <v>0</v>
      </c>
      <c r="S40" s="2"/>
      <c r="T40" s="6">
        <v>2950.22</v>
      </c>
      <c r="U40" s="2"/>
      <c r="V40" s="7">
        <f t="shared" si="21"/>
        <v>0</v>
      </c>
      <c r="W40" s="2"/>
      <c r="X40" s="6">
        <f t="shared" si="22"/>
        <v>-2898.99</v>
      </c>
      <c r="Y40" s="2"/>
      <c r="Z40" s="7">
        <f t="shared" si="23"/>
        <v>-0.98263519330761773</v>
      </c>
    </row>
    <row r="41" spans="1:26" s="26" customFormat="1" outlineLevel="1" collapsed="1" x14ac:dyDescent="0.25">
      <c r="A41" s="25"/>
      <c r="B41" s="12" t="str">
        <f>CONCATENATE("     ","Travel                                            ")</f>
        <v xml:space="preserve">     Travel                                            </v>
      </c>
      <c r="C41" s="12"/>
      <c r="D41" s="1">
        <f>SUM(OSRRefD22_7x_0)</f>
        <v>0</v>
      </c>
      <c r="E41" s="1"/>
      <c r="F41" s="5">
        <f t="shared" si="16"/>
        <v>0</v>
      </c>
      <c r="G41" s="1"/>
      <c r="H41" s="1">
        <f>SUM(OSRRefH22_7x_0)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2"/>
      <c r="P41" s="1">
        <f>SUM(OSRRefP22_7x_0)</f>
        <v>0</v>
      </c>
      <c r="Q41" s="1"/>
      <c r="R41" s="5">
        <f t="shared" si="20"/>
        <v>0</v>
      </c>
      <c r="S41" s="1"/>
      <c r="T41" s="1">
        <f>SUM(OSRRefT22_7x_0)</f>
        <v>325.75</v>
      </c>
      <c r="U41" s="1"/>
      <c r="V41" s="5">
        <f t="shared" si="21"/>
        <v>0</v>
      </c>
      <c r="W41" s="1"/>
      <c r="X41" s="1">
        <f t="shared" si="22"/>
        <v>-325.75</v>
      </c>
      <c r="Y41" s="1"/>
      <c r="Z41" s="5">
        <f t="shared" si="23"/>
        <v>-1</v>
      </c>
    </row>
    <row r="42" spans="1:26" s="23" customFormat="1" hidden="1" outlineLevel="2" x14ac:dyDescent="0.25">
      <c r="A42" s="27"/>
      <c r="B42" s="10" t="str">
        <f>CONCATENATE("          ", "6292", " - ", "TRAVEL/CONFERENCE")</f>
        <v xml:space="preserve">          6292 - TRAVEL/CONFERENCE</v>
      </c>
      <c r="C42" s="10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0"/>
      <c r="P42" s="6"/>
      <c r="Q42" s="2"/>
      <c r="R42" s="7">
        <f t="shared" si="20"/>
        <v>0</v>
      </c>
      <c r="S42" s="2"/>
      <c r="T42" s="6">
        <v>325.75</v>
      </c>
      <c r="U42" s="2"/>
      <c r="V42" s="7">
        <f t="shared" si="21"/>
        <v>0</v>
      </c>
      <c r="W42" s="2"/>
      <c r="X42" s="6">
        <f t="shared" si="22"/>
        <v>-325.75</v>
      </c>
      <c r="Y42" s="2"/>
      <c r="Z42" s="7">
        <f t="shared" si="23"/>
        <v>-1</v>
      </c>
    </row>
    <row r="43" spans="1:26" s="62" customFormat="1" x14ac:dyDescent="0.25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4" customFormat="1" x14ac:dyDescent="0.25">
      <c r="A44" s="11"/>
      <c r="B44" s="28" t="s">
        <v>292</v>
      </c>
      <c r="C44" s="11"/>
      <c r="D44" s="4">
        <f>SUM(0)</f>
        <v>0</v>
      </c>
      <c r="E44" s="4"/>
      <c r="F44" s="13">
        <f>IF(D$12=0,0,D44/D$12)</f>
        <v>0</v>
      </c>
      <c r="G44" s="4"/>
      <c r="H44" s="4">
        <f>SUM(0)</f>
        <v>0</v>
      </c>
      <c r="I44" s="4"/>
      <c r="J44" s="13">
        <f>IF(H$12=0,0,H44/H$12)</f>
        <v>0</v>
      </c>
      <c r="K44" s="4"/>
      <c r="L44" s="4">
        <f>+D44-H44</f>
        <v>0</v>
      </c>
      <c r="M44" s="4"/>
      <c r="N44" s="13">
        <f>IF(H44=0,0,L44/H44)</f>
        <v>0</v>
      </c>
      <c r="O44" s="11"/>
      <c r="P44" s="4">
        <f>SUM(0)</f>
        <v>0</v>
      </c>
      <c r="Q44" s="4"/>
      <c r="R44" s="13">
        <f>IF(P$12=0,0,P44/P$12)</f>
        <v>0</v>
      </c>
      <c r="S44" s="4"/>
      <c r="T44" s="4">
        <f>SUM(0)</f>
        <v>0</v>
      </c>
      <c r="U44" s="4"/>
      <c r="V44" s="13">
        <f>IF(T$12=0,0,T44/T$12)</f>
        <v>0</v>
      </c>
      <c r="W44" s="4"/>
      <c r="X44" s="4">
        <f>+P44-T44</f>
        <v>0</v>
      </c>
      <c r="Y44" s="4"/>
      <c r="Z44" s="13">
        <f>IF(T44=0,0,X44/T44)</f>
        <v>0</v>
      </c>
    </row>
    <row r="45" spans="1:26" x14ac:dyDescent="0.25">
      <c r="A45" s="9"/>
      <c r="B45" s="11"/>
      <c r="C45" s="11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1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4" customFormat="1" x14ac:dyDescent="0.25">
      <c r="A46" s="11"/>
      <c r="B46" s="29" t="s">
        <v>276</v>
      </c>
      <c r="C46" s="29"/>
      <c r="D46" s="20">
        <f>+D16-D18+D44</f>
        <v>-18741.91</v>
      </c>
      <c r="E46" s="14"/>
      <c r="F46" s="22">
        <f>IF(D$12=0,0,D46/D$12)</f>
        <v>0</v>
      </c>
      <c r="G46" s="14"/>
      <c r="H46" s="20">
        <f>+H16-H18+H44</f>
        <v>-16718.97</v>
      </c>
      <c r="I46" s="14"/>
      <c r="J46" s="22">
        <f>IF(H$12=0,0,H46/H$12)</f>
        <v>0</v>
      </c>
      <c r="K46" s="16"/>
      <c r="L46" s="20">
        <f>+D46-H46</f>
        <v>-2022.9399999999987</v>
      </c>
      <c r="M46" s="16"/>
      <c r="N46" s="22">
        <f>IF(H46=0,0,L46/H46)</f>
        <v>0.12099668819311228</v>
      </c>
      <c r="O46" s="28"/>
      <c r="P46" s="20">
        <f>+P16-P18+P44</f>
        <v>-172019.20000000001</v>
      </c>
      <c r="Q46" s="14"/>
      <c r="R46" s="22">
        <f>IF(P$12=0,0,P46/P$12)</f>
        <v>0</v>
      </c>
      <c r="S46" s="14"/>
      <c r="T46" s="20">
        <f>+T16-T18+T44</f>
        <v>-196864.15</v>
      </c>
      <c r="U46" s="14"/>
      <c r="V46" s="22">
        <f>IF(T$12=0,0,T46/T$12)</f>
        <v>0</v>
      </c>
      <c r="W46" s="16"/>
      <c r="X46" s="20">
        <f>+P46-T46</f>
        <v>24844.949999999983</v>
      </c>
      <c r="Y46" s="16"/>
      <c r="Z46" s="22">
        <f>IF(T46=0,0,X46/T46)</f>
        <v>-0.12620352664515089</v>
      </c>
    </row>
    <row r="47" spans="1:26" x14ac:dyDescent="0.25">
      <c r="A47" s="9"/>
      <c r="B47" s="11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4" customFormat="1" x14ac:dyDescent="0.25">
      <c r="A48" s="51"/>
      <c r="B48" s="11" t="s">
        <v>127</v>
      </c>
      <c r="C48" s="11"/>
      <c r="D48" s="4"/>
      <c r="E48" s="4"/>
      <c r="F48" s="13">
        <f>IF(D$12=0,0,D48/D$12)</f>
        <v>0</v>
      </c>
      <c r="G48" s="4"/>
      <c r="H48" s="4"/>
      <c r="I48" s="4"/>
      <c r="J48" s="13">
        <f>IF(H$12=0,0,H48/H$12)</f>
        <v>0</v>
      </c>
      <c r="K48" s="4"/>
      <c r="L48" s="4">
        <f>+D48-H48</f>
        <v>0</v>
      </c>
      <c r="M48" s="4"/>
      <c r="N48" s="13">
        <f>IF(H48=0,0,L48/H48)</f>
        <v>0</v>
      </c>
      <c r="O48" s="11"/>
      <c r="P48" s="4"/>
      <c r="Q48" s="4"/>
      <c r="R48" s="13">
        <f>IF(P$12=0,0,P48/P$12)</f>
        <v>0</v>
      </c>
      <c r="S48" s="4"/>
      <c r="T48" s="4"/>
      <c r="U48" s="4"/>
      <c r="V48" s="13">
        <f>IF(T$12=0,0,T48/T$12)</f>
        <v>0</v>
      </c>
      <c r="W48" s="4"/>
      <c r="X48" s="4">
        <f>+P48-T48</f>
        <v>0</v>
      </c>
      <c r="Y48" s="4"/>
      <c r="Z48" s="13">
        <f>IF(T48=0,0,X48/T48)</f>
        <v>0</v>
      </c>
    </row>
    <row r="49" spans="1:26" x14ac:dyDescent="0.25">
      <c r="A49" s="9"/>
      <c r="B49" s="11"/>
      <c r="C49" s="11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1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4" customFormat="1" ht="15.75" thickBot="1" x14ac:dyDescent="0.3">
      <c r="A50" s="11"/>
      <c r="B50" s="29" t="s">
        <v>125</v>
      </c>
      <c r="C50" s="29"/>
      <c r="D50" s="30">
        <f>+D46-D48</f>
        <v>-18741.91</v>
      </c>
      <c r="E50" s="14"/>
      <c r="F50" s="34">
        <f>IF(D$12=0,0,D50/D$12)</f>
        <v>0</v>
      </c>
      <c r="G50" s="14"/>
      <c r="H50" s="30">
        <f>+H46-H48</f>
        <v>-16718.97</v>
      </c>
      <c r="I50" s="14"/>
      <c r="J50" s="34">
        <f>IF(H$12=0,0,H50/H$12)</f>
        <v>0</v>
      </c>
      <c r="K50" s="16"/>
      <c r="L50" s="30">
        <f>D50-H50</f>
        <v>-2022.9399999999987</v>
      </c>
      <c r="M50" s="16"/>
      <c r="N50" s="34">
        <f>IF(H50=0,0,L50/H50)</f>
        <v>0.12099668819311228</v>
      </c>
      <c r="O50" s="28"/>
      <c r="P50" s="30">
        <f>+P46-P48</f>
        <v>-172019.20000000001</v>
      </c>
      <c r="Q50" s="14"/>
      <c r="R50" s="34">
        <f>IF(P$12=0,0,P50/P$12)</f>
        <v>0</v>
      </c>
      <c r="S50" s="14"/>
      <c r="T50" s="30">
        <f>+T46-T48</f>
        <v>-196864.15</v>
      </c>
      <c r="U50" s="14"/>
      <c r="V50" s="34">
        <f>IF(T$12=0,0,T50/T$12)</f>
        <v>0</v>
      </c>
      <c r="W50" s="16"/>
      <c r="X50" s="30">
        <f>P50-T50</f>
        <v>24844.949999999983</v>
      </c>
      <c r="Y50" s="16"/>
      <c r="Z50" s="34">
        <f>IF(T50=0,0,X50/T50)</f>
        <v>-0.12620352664515089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ht="15.75" thickBot="1" x14ac:dyDescent="0.3">
      <c r="A53" s="11"/>
      <c r="B53" s="29" t="s">
        <v>293</v>
      </c>
      <c r="C53" s="29"/>
      <c r="D53" s="32">
        <f>SUM(D50:D52)</f>
        <v>-18741.91</v>
      </c>
      <c r="E53" s="14"/>
      <c r="F53" s="35">
        <f>IF(D$12=0,0,D53/D$12)</f>
        <v>0</v>
      </c>
      <c r="G53" s="14"/>
      <c r="H53" s="32">
        <f>SUM(H50:H52)</f>
        <v>-16718.97</v>
      </c>
      <c r="I53" s="14"/>
      <c r="J53" s="35">
        <f>IF(H$12=0,0,H53/H$12)</f>
        <v>0</v>
      </c>
      <c r="K53" s="16"/>
      <c r="L53" s="32">
        <f>+D53-H53</f>
        <v>-2022.9399999999987</v>
      </c>
      <c r="M53" s="16"/>
      <c r="N53" s="35">
        <f>IF(H53=0,0,L53/H53)</f>
        <v>0.12099668819311228</v>
      </c>
      <c r="O53" s="28"/>
      <c r="P53" s="32">
        <f>SUM(P50:P52)</f>
        <v>-172019.20000000001</v>
      </c>
      <c r="Q53" s="14"/>
      <c r="R53" s="35">
        <f>IF(P$12=0,0,P53/P$12)</f>
        <v>0</v>
      </c>
      <c r="S53" s="14"/>
      <c r="T53" s="32">
        <f>SUM(T50:T52)</f>
        <v>-196864.15</v>
      </c>
      <c r="U53" s="14"/>
      <c r="V53" s="35">
        <f>IF(T$12=0,0,T53/T$12)</f>
        <v>0</v>
      </c>
      <c r="W53" s="16"/>
      <c r="X53" s="32">
        <f>+P53-T53</f>
        <v>24844.949999999983</v>
      </c>
      <c r="Y53" s="16"/>
      <c r="Z53" s="35">
        <f>IF(T53=0,0,X53/T53)</f>
        <v>-0.12620352664515089</v>
      </c>
    </row>
    <row r="54" spans="1:26" ht="15.75" thickTop="1" x14ac:dyDescent="0.25">
      <c r="A54" s="9"/>
      <c r="C54" s="9"/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25">
      <c r="A55" s="9"/>
      <c r="B55" s="59">
        <v>44330.00886898148</v>
      </c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25">
      <c r="A56" s="9"/>
      <c r="B56" s="52" t="s">
        <v>56</v>
      </c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25">
      <c r="A57" s="9"/>
      <c r="B57" s="55"/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25"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","433", " - ", "Hillside Dining Hall")</f>
        <v>Department 433 - Hillside Dining Hall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4348.7</v>
      </c>
      <c r="I12" s="4"/>
      <c r="J12" s="13"/>
      <c r="K12" s="4"/>
      <c r="L12" s="4">
        <f t="shared" ref="L12:L15" si="0">+D12-H12</f>
        <v>-4348.7</v>
      </c>
      <c r="M12" s="4"/>
      <c r="N12" s="13">
        <f t="shared" ref="N12:N15" si="1">IF(H12=0,0,L12/H12)</f>
        <v>-1</v>
      </c>
      <c r="O12" s="11"/>
      <c r="P12" s="4">
        <f>SUM(OSRRefP13x_0)</f>
        <v>23641.919999999998</v>
      </c>
      <c r="Q12" s="4"/>
      <c r="R12" s="13"/>
      <c r="S12" s="4"/>
      <c r="T12" s="4">
        <f>SUM(OSRRefT13x_0)</f>
        <v>3663589.99</v>
      </c>
      <c r="U12" s="4"/>
      <c r="V12" s="13"/>
      <c r="W12" s="4"/>
      <c r="X12" s="4">
        <f t="shared" ref="X12:X15" si="2">+P12-T12</f>
        <v>-3639948.0700000003</v>
      </c>
      <c r="Y12" s="4"/>
      <c r="Z12" s="13">
        <f t="shared" ref="Z12:Z15" si="3">IF(T12=0,0,X12/T12)</f>
        <v>-0.99354678878790148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 t="shared" ref="D13:D15" si="4">0</f>
        <v>0</v>
      </c>
      <c r="E13" s="2"/>
      <c r="F13" s="19"/>
      <c r="G13" s="2"/>
      <c r="H13" s="2">
        <f>--46.54</f>
        <v>46.54</v>
      </c>
      <c r="I13" s="2"/>
      <c r="J13" s="19"/>
      <c r="K13" s="2"/>
      <c r="L13" s="2">
        <f t="shared" si="0"/>
        <v>-46.54</v>
      </c>
      <c r="M13" s="2"/>
      <c r="N13" s="19">
        <f t="shared" si="1"/>
        <v>-1</v>
      </c>
      <c r="O13" s="10"/>
      <c r="P13" s="2">
        <f>--217.65</f>
        <v>217.65</v>
      </c>
      <c r="Q13" s="2"/>
      <c r="R13" s="19"/>
      <c r="S13" s="2"/>
      <c r="T13" s="2">
        <f>--21381.66</f>
        <v>21381.66</v>
      </c>
      <c r="U13" s="2"/>
      <c r="V13" s="19"/>
      <c r="W13" s="2"/>
      <c r="X13" s="2">
        <f t="shared" si="2"/>
        <v>-21164.01</v>
      </c>
      <c r="Y13" s="2"/>
      <c r="Z13" s="19">
        <f t="shared" si="3"/>
        <v>-0.9898207155103953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>--1200</f>
        <v>1200</v>
      </c>
      <c r="I14" s="2"/>
      <c r="J14" s="19"/>
      <c r="K14" s="2"/>
      <c r="L14" s="2">
        <f t="shared" si="0"/>
        <v>-1200</v>
      </c>
      <c r="M14" s="2"/>
      <c r="N14" s="19">
        <f t="shared" si="1"/>
        <v>-1</v>
      </c>
      <c r="O14" s="10"/>
      <c r="P14" s="2">
        <f>--16096</f>
        <v>16096</v>
      </c>
      <c r="Q14" s="2"/>
      <c r="R14" s="19"/>
      <c r="S14" s="2"/>
      <c r="T14" s="2">
        <f>--3393840.21</f>
        <v>3393840.21</v>
      </c>
      <c r="U14" s="2"/>
      <c r="V14" s="19"/>
      <c r="W14" s="2"/>
      <c r="X14" s="2">
        <f t="shared" si="2"/>
        <v>-3377744.21</v>
      </c>
      <c r="Y14" s="2"/>
      <c r="Z14" s="19">
        <f t="shared" si="3"/>
        <v>-0.99525728997123286</v>
      </c>
    </row>
    <row r="15" spans="1:26" s="23" customFormat="1" hidden="1" outlineLevel="1" x14ac:dyDescent="0.25">
      <c r="A15" s="44"/>
      <c r="B15" s="10" t="str">
        <f>CONCATENATE("          ", "4153", " - ", "NON-TAXABLE SALES-FOOD")</f>
        <v xml:space="preserve">          4153 - NON-TAXABLE SALES-FOOD</v>
      </c>
      <c r="C15" s="10"/>
      <c r="D15" s="2">
        <f t="shared" si="4"/>
        <v>0</v>
      </c>
      <c r="E15" s="2"/>
      <c r="F15" s="19"/>
      <c r="G15" s="2"/>
      <c r="H15" s="2">
        <f>--3102.16</f>
        <v>3102.16</v>
      </c>
      <c r="I15" s="2"/>
      <c r="J15" s="19"/>
      <c r="K15" s="2"/>
      <c r="L15" s="2">
        <f t="shared" si="0"/>
        <v>-3102.16</v>
      </c>
      <c r="M15" s="2"/>
      <c r="N15" s="19">
        <f t="shared" si="1"/>
        <v>-1</v>
      </c>
      <c r="O15" s="10"/>
      <c r="P15" s="2">
        <f>--7328.27</f>
        <v>7328.27</v>
      </c>
      <c r="Q15" s="2"/>
      <c r="R15" s="19"/>
      <c r="S15" s="2"/>
      <c r="T15" s="2">
        <f>--248368.12</f>
        <v>248368.12</v>
      </c>
      <c r="U15" s="2"/>
      <c r="V15" s="19"/>
      <c r="W15" s="2"/>
      <c r="X15" s="2">
        <f t="shared" si="2"/>
        <v>-241039.85</v>
      </c>
      <c r="Y15" s="2"/>
      <c r="Z15" s="19">
        <f t="shared" si="3"/>
        <v>-0.97049432109080669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8" t="s">
        <v>256</v>
      </c>
      <c r="C17" s="11"/>
      <c r="D17" s="4">
        <f>SUM(OSRRefD16x_0)</f>
        <v>0</v>
      </c>
      <c r="E17" s="4"/>
      <c r="F17" s="13">
        <f t="shared" ref="F17:F19" si="5">IF(D$12=0,0,D17/D$12)</f>
        <v>0</v>
      </c>
      <c r="G17" s="4"/>
      <c r="H17" s="4">
        <f>SUM(OSRRefH16x_0)</f>
        <v>-10627.8</v>
      </c>
      <c r="I17" s="4"/>
      <c r="J17" s="13">
        <f t="shared" ref="J17:J19" si="6">IF(H$12=0,0,H17/H$12)</f>
        <v>-2.4439027755421159</v>
      </c>
      <c r="K17" s="4"/>
      <c r="L17" s="4">
        <f t="shared" ref="L17:L19" si="7">+D17-H17</f>
        <v>10627.8</v>
      </c>
      <c r="M17" s="4"/>
      <c r="N17" s="13">
        <f t="shared" ref="N17:N19" si="8">IF(H17=0,0,L17/H17)</f>
        <v>-1</v>
      </c>
      <c r="O17" s="11"/>
      <c r="P17" s="4">
        <f>SUM(OSRRefP16x_0)</f>
        <v>25322.92</v>
      </c>
      <c r="Q17" s="4"/>
      <c r="R17" s="13">
        <f t="shared" ref="R17:R19" si="9">IF(P$12=0,0,P17/P$12)</f>
        <v>1.0711025162084975</v>
      </c>
      <c r="S17" s="4"/>
      <c r="T17" s="4">
        <f>SUM(OSRRefT16x_0)</f>
        <v>874879.02</v>
      </c>
      <c r="U17" s="4"/>
      <c r="V17" s="13">
        <f t="shared" ref="V17:V19" si="10">IF(T$12=0,0,T17/T$12)</f>
        <v>0.23880374779602451</v>
      </c>
      <c r="W17" s="4"/>
      <c r="X17" s="4">
        <f t="shared" ref="X17:X19" si="11">+P17-T17</f>
        <v>-849556.1</v>
      </c>
      <c r="Y17" s="4"/>
      <c r="Z17" s="13">
        <f t="shared" ref="Z17:Z19" si="12">IF(T17=0,0,X17/T17)</f>
        <v>-0.97105551805322743</v>
      </c>
    </row>
    <row r="18" spans="1:26" s="23" customFormat="1" hidden="1" outlineLevel="1" x14ac:dyDescent="0.25">
      <c r="A18" s="44"/>
      <c r="B18" s="10" t="str">
        <f>CONCATENATE("          ", "5053", " - ", "PURCHASES @ COST-FOOD")</f>
        <v xml:space="preserve">          5053 - PURCHASES @ COST-FOOD</v>
      </c>
      <c r="C18" s="10"/>
      <c r="D18" s="2"/>
      <c r="E18" s="2"/>
      <c r="F18" s="19">
        <f t="shared" si="5"/>
        <v>0</v>
      </c>
      <c r="G18" s="2"/>
      <c r="H18" s="2">
        <v>13033.2</v>
      </c>
      <c r="I18" s="2"/>
      <c r="J18" s="19">
        <f t="shared" si="6"/>
        <v>2.9970335962471548</v>
      </c>
      <c r="K18" s="2"/>
      <c r="L18" s="2">
        <f t="shared" si="7"/>
        <v>-13033.2</v>
      </c>
      <c r="M18" s="2"/>
      <c r="N18" s="19">
        <f t="shared" si="8"/>
        <v>-1</v>
      </c>
      <c r="O18" s="10"/>
      <c r="P18" s="2">
        <v>14410.92</v>
      </c>
      <c r="Q18" s="2"/>
      <c r="R18" s="19">
        <f t="shared" si="9"/>
        <v>0.60954947821496741</v>
      </c>
      <c r="S18" s="2"/>
      <c r="T18" s="2">
        <v>886656.02</v>
      </c>
      <c r="U18" s="2"/>
      <c r="V18" s="19">
        <f t="shared" si="10"/>
        <v>0.24201835424274645</v>
      </c>
      <c r="W18" s="2"/>
      <c r="X18" s="2">
        <f t="shared" si="11"/>
        <v>-872245.1</v>
      </c>
      <c r="Y18" s="2"/>
      <c r="Z18" s="19">
        <f t="shared" si="12"/>
        <v>-0.98374688754721362</v>
      </c>
    </row>
    <row r="19" spans="1:26" s="23" customFormat="1" hidden="1" outlineLevel="1" x14ac:dyDescent="0.25">
      <c r="A19" s="44"/>
      <c r="B19" s="10" t="str">
        <f>CONCATENATE("          ", "5059", " - ", "PURCHASES @ COST-FOOD")</f>
        <v xml:space="preserve">          5059 - PURCHASES @ COST-FOOD</v>
      </c>
      <c r="C19" s="10"/>
      <c r="D19" s="2"/>
      <c r="E19" s="2"/>
      <c r="F19" s="19">
        <f t="shared" si="5"/>
        <v>0</v>
      </c>
      <c r="G19" s="2"/>
      <c r="H19" s="2">
        <v>-23661</v>
      </c>
      <c r="I19" s="2"/>
      <c r="J19" s="19">
        <f t="shared" si="6"/>
        <v>-5.4409363717892703</v>
      </c>
      <c r="K19" s="2"/>
      <c r="L19" s="2">
        <f t="shared" si="7"/>
        <v>23661</v>
      </c>
      <c r="M19" s="2"/>
      <c r="N19" s="19">
        <f t="shared" si="8"/>
        <v>-1</v>
      </c>
      <c r="O19" s="10"/>
      <c r="P19" s="2">
        <v>10912</v>
      </c>
      <c r="Q19" s="2"/>
      <c r="R19" s="19">
        <f t="shared" si="9"/>
        <v>0.46155303799353015</v>
      </c>
      <c r="S19" s="2"/>
      <c r="T19" s="2">
        <v>-11777</v>
      </c>
      <c r="U19" s="2"/>
      <c r="V19" s="19">
        <f t="shared" si="10"/>
        <v>-3.2146064467219486E-3</v>
      </c>
      <c r="W19" s="2"/>
      <c r="X19" s="2">
        <f t="shared" si="11"/>
        <v>22689</v>
      </c>
      <c r="Y19" s="2"/>
      <c r="Z19" s="19">
        <f t="shared" si="12"/>
        <v>-1.9265517534176786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9" t="s">
        <v>107</v>
      </c>
      <c r="C21" s="29"/>
      <c r="D21" s="20">
        <f>D12-D17</f>
        <v>0</v>
      </c>
      <c r="E21" s="14"/>
      <c r="F21" s="22">
        <f>IF(D$12=0,0,D21/D$12)</f>
        <v>0</v>
      </c>
      <c r="G21" s="14"/>
      <c r="H21" s="20">
        <f>H12-H17</f>
        <v>14976.5</v>
      </c>
      <c r="I21" s="14"/>
      <c r="J21" s="22">
        <f>IF(H$12=0,0,H21/H$12)</f>
        <v>3.4439027755421163</v>
      </c>
      <c r="K21" s="16"/>
      <c r="L21" s="20">
        <f>+D21-H21</f>
        <v>-14976.5</v>
      </c>
      <c r="M21" s="16"/>
      <c r="N21" s="22">
        <f>IF(H21=0,0,L21/H21)</f>
        <v>-1</v>
      </c>
      <c r="O21" s="28"/>
      <c r="P21" s="20">
        <f>P12-P17</f>
        <v>-1681</v>
      </c>
      <c r="Q21" s="14"/>
      <c r="R21" s="22">
        <f>IF(P$12=0,0,P21/P$12)</f>
        <v>-7.110251620849746E-2</v>
      </c>
      <c r="S21" s="14"/>
      <c r="T21" s="20">
        <f>T12-T17</f>
        <v>2788710.97</v>
      </c>
      <c r="U21" s="14"/>
      <c r="V21" s="22">
        <f>IF(T$12=0,0,T21/T$12)</f>
        <v>0.76119625220397547</v>
      </c>
      <c r="W21" s="16"/>
      <c r="X21" s="20">
        <f>+P21-T21</f>
        <v>-2790391.97</v>
      </c>
      <c r="Y21" s="16"/>
      <c r="Z21" s="22">
        <f>IF(T21=0,0,X21/T21)</f>
        <v>-1.0006027874591823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8" t="s">
        <v>294</v>
      </c>
      <c r="C23" s="11"/>
      <c r="D23" s="21">
        <f>SUM(OSRRefD22x_0)</f>
        <v>52820.52</v>
      </c>
      <c r="E23" s="21"/>
      <c r="F23" s="31">
        <f t="shared" ref="F23:F33" si="13">IF(D$12=0,0,D23/D$12)</f>
        <v>0</v>
      </c>
      <c r="G23" s="21"/>
      <c r="H23" s="21">
        <f>SUM(OSRRefH22x_0)</f>
        <v>53061.03</v>
      </c>
      <c r="I23" s="21"/>
      <c r="J23" s="31">
        <f t="shared" ref="J23:J33" si="14">IF(H$12=0,0,H23/H$12)</f>
        <v>12.201584381539311</v>
      </c>
      <c r="K23" s="4"/>
      <c r="L23" s="21">
        <f t="shared" ref="L23:L33" si="15">+D23-H23</f>
        <v>-240.51000000000204</v>
      </c>
      <c r="M23" s="4"/>
      <c r="N23" s="31">
        <f t="shared" ref="N23:N33" si="16">IF(H23=0,0,L23/H23)</f>
        <v>-4.5327050756459502E-3</v>
      </c>
      <c r="O23" s="11"/>
      <c r="P23" s="21">
        <f>SUM(OSRRefP22x_0)</f>
        <v>515181.00999999995</v>
      </c>
      <c r="Q23" s="21"/>
      <c r="R23" s="31">
        <f t="shared" ref="R23:R33" si="17">IF(P$12=0,0,P23/P$12)</f>
        <v>21.790997093298682</v>
      </c>
      <c r="S23" s="21"/>
      <c r="T23" s="21">
        <f>SUM(OSRRefT22x_0)</f>
        <v>1609798.15</v>
      </c>
      <c r="U23" s="21"/>
      <c r="V23" s="31">
        <f t="shared" ref="V23:V33" si="18">IF(T$12=0,0,T23/T$12)</f>
        <v>0.43940456066154931</v>
      </c>
      <c r="W23" s="4"/>
      <c r="X23" s="21">
        <f t="shared" ref="X23:X33" si="19">+P23-T23</f>
        <v>-1094617.1399999999</v>
      </c>
      <c r="Y23" s="4"/>
      <c r="Z23" s="31">
        <f t="shared" ref="Z23:Z33" si="20">IF(T23=0,0,X23/T23)</f>
        <v>-0.67997167222486865</v>
      </c>
    </row>
    <row r="24" spans="1:26" s="26" customFormat="1" outlineLevel="1" collapsed="1" x14ac:dyDescent="0.25">
      <c r="A24" s="25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22096.129999999997</v>
      </c>
      <c r="E24" s="1"/>
      <c r="F24" s="5">
        <f t="shared" si="13"/>
        <v>0</v>
      </c>
      <c r="G24" s="1"/>
      <c r="H24" s="1">
        <f>SUM(OSRRefH22_0x_0)</f>
        <v>11623.04</v>
      </c>
      <c r="I24" s="1"/>
      <c r="J24" s="5">
        <f t="shared" si="14"/>
        <v>2.6727619748430569</v>
      </c>
      <c r="K24" s="1"/>
      <c r="L24" s="1">
        <f t="shared" si="15"/>
        <v>10473.089999999997</v>
      </c>
      <c r="M24" s="1"/>
      <c r="N24" s="5">
        <f t="shared" si="16"/>
        <v>0.90106288888277042</v>
      </c>
      <c r="O24" s="12"/>
      <c r="P24" s="1">
        <f>SUM(OSRRefP22_0x_0)</f>
        <v>209767.46</v>
      </c>
      <c r="Q24" s="1"/>
      <c r="R24" s="5">
        <f t="shared" si="17"/>
        <v>8.8726913888550509</v>
      </c>
      <c r="S24" s="1"/>
      <c r="T24" s="1">
        <f>SUM(OSRRefT22_0x_0)</f>
        <v>267440.86</v>
      </c>
      <c r="U24" s="1"/>
      <c r="V24" s="5">
        <f t="shared" si="18"/>
        <v>7.2999669922124658E-2</v>
      </c>
      <c r="W24" s="1"/>
      <c r="X24" s="1">
        <f t="shared" si="19"/>
        <v>-57673.399999999994</v>
      </c>
      <c r="Y24" s="1"/>
      <c r="Z24" s="5">
        <f t="shared" si="20"/>
        <v>-0.21564917193281535</v>
      </c>
    </row>
    <row r="25" spans="1:26" s="23" customFormat="1" hidden="1" outlineLevel="2" x14ac:dyDescent="0.25">
      <c r="A25" s="27"/>
      <c r="B25" s="10" t="str">
        <f>CONCATENATE("          ", "6111", " - ", "F.I.C.A.")</f>
        <v xml:space="preserve">          6111 - F.I.C.A.</v>
      </c>
      <c r="C25" s="10"/>
      <c r="D25" s="6">
        <v>2727.29</v>
      </c>
      <c r="E25" s="2"/>
      <c r="F25" s="7">
        <f t="shared" si="13"/>
        <v>0</v>
      </c>
      <c r="G25" s="2"/>
      <c r="H25" s="6">
        <v>3703.72</v>
      </c>
      <c r="I25" s="2"/>
      <c r="J25" s="7">
        <f t="shared" si="14"/>
        <v>0.85168441143330187</v>
      </c>
      <c r="K25" s="2"/>
      <c r="L25" s="6">
        <f t="shared" si="15"/>
        <v>-976.42999999999984</v>
      </c>
      <c r="M25" s="2"/>
      <c r="N25" s="7">
        <f t="shared" si="16"/>
        <v>-0.26363494000626392</v>
      </c>
      <c r="O25" s="10"/>
      <c r="P25" s="6">
        <v>20703.87</v>
      </c>
      <c r="Q25" s="2"/>
      <c r="R25" s="7">
        <f t="shared" si="17"/>
        <v>0.87572709830673656</v>
      </c>
      <c r="S25" s="2"/>
      <c r="T25" s="6">
        <v>43637.18</v>
      </c>
      <c r="U25" s="2"/>
      <c r="V25" s="7">
        <f t="shared" si="18"/>
        <v>1.1911043571772615E-2</v>
      </c>
      <c r="W25" s="2"/>
      <c r="X25" s="6">
        <f t="shared" si="19"/>
        <v>-22933.31</v>
      </c>
      <c r="Y25" s="2"/>
      <c r="Z25" s="7">
        <f t="shared" si="20"/>
        <v>-0.52554518875876033</v>
      </c>
    </row>
    <row r="26" spans="1:26" s="23" customFormat="1" hidden="1" outlineLevel="2" x14ac:dyDescent="0.25">
      <c r="A26" s="27"/>
      <c r="B26" s="10" t="str">
        <f>CONCATENATE("          ", "6112", " - ", "COMPENSATION INSURANCE")</f>
        <v xml:space="preserve">          6112 - COMPENSATION INSURANCE</v>
      </c>
      <c r="C26" s="10"/>
      <c r="D26" s="6">
        <v>1035.1199999999999</v>
      </c>
      <c r="E26" s="2"/>
      <c r="F26" s="7">
        <f t="shared" si="13"/>
        <v>0</v>
      </c>
      <c r="G26" s="2"/>
      <c r="H26" s="6">
        <v>1149.3800000000001</v>
      </c>
      <c r="I26" s="2"/>
      <c r="J26" s="7">
        <f t="shared" si="14"/>
        <v>0.26430427484075703</v>
      </c>
      <c r="K26" s="2"/>
      <c r="L26" s="6">
        <f t="shared" si="15"/>
        <v>-114.26000000000022</v>
      </c>
      <c r="M26" s="2"/>
      <c r="N26" s="7">
        <f t="shared" si="16"/>
        <v>-9.9410116758600467E-2</v>
      </c>
      <c r="O26" s="10"/>
      <c r="P26" s="6">
        <v>11231.39</v>
      </c>
      <c r="Q26" s="2"/>
      <c r="R26" s="7">
        <f t="shared" si="17"/>
        <v>0.47506251607314465</v>
      </c>
      <c r="S26" s="2"/>
      <c r="T26" s="6">
        <v>29057.14</v>
      </c>
      <c r="U26" s="2"/>
      <c r="V26" s="7">
        <f t="shared" si="18"/>
        <v>7.9313296737116585E-3</v>
      </c>
      <c r="W26" s="2"/>
      <c r="X26" s="6">
        <f t="shared" si="19"/>
        <v>-17825.75</v>
      </c>
      <c r="Y26" s="2"/>
      <c r="Z26" s="7">
        <f t="shared" si="20"/>
        <v>-0.61347228254398056</v>
      </c>
    </row>
    <row r="27" spans="1:26" s="23" customFormat="1" hidden="1" outlineLevel="2" x14ac:dyDescent="0.25">
      <c r="A27" s="27"/>
      <c r="B27" s="10" t="str">
        <f>CONCATENATE("          ", "6113", " - ", "GROUP INSURANCE")</f>
        <v xml:space="preserve">          6113 - GROUP INSURANCE</v>
      </c>
      <c r="C27" s="10"/>
      <c r="D27" s="6">
        <v>11992.75</v>
      </c>
      <c r="E27" s="2"/>
      <c r="F27" s="7">
        <f t="shared" si="13"/>
        <v>0</v>
      </c>
      <c r="G27" s="2"/>
      <c r="H27" s="6">
        <v>9826.58</v>
      </c>
      <c r="I27" s="2"/>
      <c r="J27" s="7">
        <f t="shared" si="14"/>
        <v>2.2596592084990919</v>
      </c>
      <c r="K27" s="2"/>
      <c r="L27" s="6">
        <f t="shared" si="15"/>
        <v>2166.17</v>
      </c>
      <c r="M27" s="2"/>
      <c r="N27" s="7">
        <f t="shared" si="16"/>
        <v>0.22043986819422426</v>
      </c>
      <c r="O27" s="10"/>
      <c r="P27" s="6">
        <v>122109.23</v>
      </c>
      <c r="Q27" s="2"/>
      <c r="R27" s="7">
        <f t="shared" si="17"/>
        <v>5.1649455712564798</v>
      </c>
      <c r="S27" s="2"/>
      <c r="T27" s="6">
        <v>127674.87</v>
      </c>
      <c r="U27" s="2"/>
      <c r="V27" s="7">
        <f t="shared" si="18"/>
        <v>3.4849661219868107E-2</v>
      </c>
      <c r="W27" s="2"/>
      <c r="X27" s="6">
        <f t="shared" si="19"/>
        <v>-5565.6399999999994</v>
      </c>
      <c r="Y27" s="2"/>
      <c r="Z27" s="7">
        <f t="shared" si="20"/>
        <v>-4.3592290323068272E-2</v>
      </c>
    </row>
    <row r="28" spans="1:26" s="23" customFormat="1" hidden="1" outlineLevel="2" x14ac:dyDescent="0.25">
      <c r="A28" s="27"/>
      <c r="B28" s="10" t="str">
        <f>CONCATENATE("          ", "6114", " - ", "STATE UNEMPLOYMENT INSURANCE")</f>
        <v xml:space="preserve">          6114 - STATE UNEMPLOYMENT INSURANCE</v>
      </c>
      <c r="C28" s="10"/>
      <c r="D28" s="6">
        <v>62.73</v>
      </c>
      <c r="E28" s="2"/>
      <c r="F28" s="7">
        <f t="shared" si="13"/>
        <v>0</v>
      </c>
      <c r="G28" s="2"/>
      <c r="H28" s="6">
        <v>77.02</v>
      </c>
      <c r="I28" s="2"/>
      <c r="J28" s="7">
        <f t="shared" si="14"/>
        <v>1.7711040080943732E-2</v>
      </c>
      <c r="K28" s="2"/>
      <c r="L28" s="6">
        <f t="shared" si="15"/>
        <v>-14.29</v>
      </c>
      <c r="M28" s="2"/>
      <c r="N28" s="7">
        <f t="shared" si="16"/>
        <v>-0.18553622435730979</v>
      </c>
      <c r="O28" s="10"/>
      <c r="P28" s="6">
        <v>680.68</v>
      </c>
      <c r="Q28" s="2"/>
      <c r="R28" s="7">
        <f t="shared" si="17"/>
        <v>2.8791231845806092E-2</v>
      </c>
      <c r="S28" s="2"/>
      <c r="T28" s="6">
        <v>2258.36</v>
      </c>
      <c r="U28" s="2"/>
      <c r="V28" s="7">
        <f t="shared" si="18"/>
        <v>6.1643360915504628E-4</v>
      </c>
      <c r="W28" s="2"/>
      <c r="X28" s="6">
        <f t="shared" si="19"/>
        <v>-1577.6800000000003</v>
      </c>
      <c r="Y28" s="2"/>
      <c r="Z28" s="7">
        <f t="shared" si="20"/>
        <v>-0.69859544093944292</v>
      </c>
    </row>
    <row r="29" spans="1:26" s="23" customFormat="1" hidden="1" outlineLevel="2" x14ac:dyDescent="0.25">
      <c r="A29" s="27"/>
      <c r="B29" s="10" t="str">
        <f>CONCATENATE("          ", "6115", " - ", "P.E.R.S.")</f>
        <v xml:space="preserve">          6115 - P.E.R.S.</v>
      </c>
      <c r="C29" s="10"/>
      <c r="D29" s="6">
        <v>950.04</v>
      </c>
      <c r="E29" s="2"/>
      <c r="F29" s="7">
        <f t="shared" si="13"/>
        <v>0</v>
      </c>
      <c r="G29" s="2"/>
      <c r="H29" s="6">
        <v>994.9</v>
      </c>
      <c r="I29" s="2"/>
      <c r="J29" s="7">
        <f t="shared" si="14"/>
        <v>0.2287810150159818</v>
      </c>
      <c r="K29" s="2"/>
      <c r="L29" s="6">
        <f t="shared" si="15"/>
        <v>-44.860000000000014</v>
      </c>
      <c r="M29" s="2"/>
      <c r="N29" s="7">
        <f t="shared" si="16"/>
        <v>-4.508995878982814E-2</v>
      </c>
      <c r="O29" s="10"/>
      <c r="P29" s="6">
        <v>10530.87</v>
      </c>
      <c r="Q29" s="2"/>
      <c r="R29" s="7">
        <f t="shared" si="17"/>
        <v>0.4454320968855322</v>
      </c>
      <c r="S29" s="2"/>
      <c r="T29" s="6">
        <v>12985.87</v>
      </c>
      <c r="U29" s="2"/>
      <c r="V29" s="7">
        <f t="shared" si="18"/>
        <v>3.5445751395341051E-3</v>
      </c>
      <c r="W29" s="2"/>
      <c r="X29" s="6">
        <f t="shared" si="19"/>
        <v>-2455</v>
      </c>
      <c r="Y29" s="2"/>
      <c r="Z29" s="7">
        <f t="shared" si="20"/>
        <v>-0.18905163843469863</v>
      </c>
    </row>
    <row r="30" spans="1:26" s="23" customFormat="1" hidden="1" outlineLevel="2" x14ac:dyDescent="0.25">
      <c r="A30" s="27"/>
      <c r="B30" s="10" t="str">
        <f>CONCATENATE("          ", "6117", " - ", "RETIREMENT STAFF HOURLY")</f>
        <v xml:space="preserve">          6117 - RETIREMENT STAFF HOURLY</v>
      </c>
      <c r="C30" s="10"/>
      <c r="D30" s="6">
        <v>374.92</v>
      </c>
      <c r="E30" s="2"/>
      <c r="F30" s="7">
        <f t="shared" si="13"/>
        <v>0</v>
      </c>
      <c r="G30" s="2"/>
      <c r="H30" s="6">
        <v>1147.6099999999999</v>
      </c>
      <c r="I30" s="2"/>
      <c r="J30" s="7">
        <f t="shared" si="14"/>
        <v>0.26389725665141306</v>
      </c>
      <c r="K30" s="2"/>
      <c r="L30" s="6">
        <f t="shared" si="15"/>
        <v>-772.68999999999983</v>
      </c>
      <c r="M30" s="2"/>
      <c r="N30" s="7">
        <f t="shared" si="16"/>
        <v>-0.67330364845200019</v>
      </c>
      <c r="O30" s="10"/>
      <c r="P30" s="6">
        <v>4050.02</v>
      </c>
      <c r="Q30" s="2"/>
      <c r="R30" s="7">
        <f t="shared" si="17"/>
        <v>0.17130672974107011</v>
      </c>
      <c r="S30" s="2"/>
      <c r="T30" s="6">
        <v>5277.85</v>
      </c>
      <c r="U30" s="2"/>
      <c r="V30" s="7">
        <f t="shared" si="18"/>
        <v>1.440622453496768E-3</v>
      </c>
      <c r="W30" s="2"/>
      <c r="X30" s="6">
        <f t="shared" si="19"/>
        <v>-1227.8300000000004</v>
      </c>
      <c r="Y30" s="2"/>
      <c r="Z30" s="7">
        <f t="shared" si="20"/>
        <v>-0.23263829021287083</v>
      </c>
    </row>
    <row r="31" spans="1:26" s="23" customFormat="1" hidden="1" outlineLevel="2" x14ac:dyDescent="0.25">
      <c r="A31" s="27"/>
      <c r="B31" s="10" t="str">
        <f>CONCATENATE("          ", "6118", " - ", "VACATION")</f>
        <v xml:space="preserve">          6118 - VACATION</v>
      </c>
      <c r="C31" s="10"/>
      <c r="D31" s="6">
        <v>2442.2399999999998</v>
      </c>
      <c r="E31" s="2"/>
      <c r="F31" s="7">
        <f t="shared" si="13"/>
        <v>0</v>
      </c>
      <c r="G31" s="2"/>
      <c r="H31" s="6">
        <v>3258.72</v>
      </c>
      <c r="I31" s="2"/>
      <c r="J31" s="7">
        <f t="shared" si="14"/>
        <v>0.74935497964909048</v>
      </c>
      <c r="K31" s="2"/>
      <c r="L31" s="6">
        <f t="shared" si="15"/>
        <v>-816.48</v>
      </c>
      <c r="M31" s="2"/>
      <c r="N31" s="7">
        <f t="shared" si="16"/>
        <v>-0.25055236411842691</v>
      </c>
      <c r="O31" s="10"/>
      <c r="P31" s="6">
        <v>19361.88</v>
      </c>
      <c r="Q31" s="2"/>
      <c r="R31" s="7">
        <f t="shared" si="17"/>
        <v>0.81896394201486189</v>
      </c>
      <c r="S31" s="2"/>
      <c r="T31" s="6">
        <v>25679.63</v>
      </c>
      <c r="U31" s="2"/>
      <c r="V31" s="7">
        <f t="shared" si="18"/>
        <v>7.0094170117546368E-3</v>
      </c>
      <c r="W31" s="2"/>
      <c r="X31" s="6">
        <f t="shared" si="19"/>
        <v>-6317.75</v>
      </c>
      <c r="Y31" s="2"/>
      <c r="Z31" s="7">
        <f t="shared" si="20"/>
        <v>-0.24602184688798084</v>
      </c>
    </row>
    <row r="32" spans="1:26" s="23" customFormat="1" hidden="1" outlineLevel="2" x14ac:dyDescent="0.25">
      <c r="A32" s="27"/>
      <c r="B32" s="10" t="str">
        <f>CONCATENATE("          ", "6119", " - ", "SICK LEAVE")</f>
        <v xml:space="preserve">          6119 - SICK LEAVE</v>
      </c>
      <c r="C32" s="10"/>
      <c r="D32" s="6">
        <v>1617.93</v>
      </c>
      <c r="E32" s="2"/>
      <c r="F32" s="7">
        <f t="shared" si="13"/>
        <v>0</v>
      </c>
      <c r="G32" s="2"/>
      <c r="H32" s="6">
        <v>-9158.89</v>
      </c>
      <c r="I32" s="2"/>
      <c r="J32" s="7">
        <f t="shared" si="14"/>
        <v>-2.1061213696047094</v>
      </c>
      <c r="K32" s="2"/>
      <c r="L32" s="6">
        <f t="shared" si="15"/>
        <v>10776.82</v>
      </c>
      <c r="M32" s="2"/>
      <c r="N32" s="7">
        <f t="shared" si="16"/>
        <v>-1.1766513191008954</v>
      </c>
      <c r="O32" s="10"/>
      <c r="P32" s="6">
        <v>12959.45</v>
      </c>
      <c r="Q32" s="2"/>
      <c r="R32" s="7">
        <f t="shared" si="17"/>
        <v>0.54815556435348745</v>
      </c>
      <c r="S32" s="2"/>
      <c r="T32" s="6">
        <v>10023.11</v>
      </c>
      <c r="U32" s="2"/>
      <c r="V32" s="7">
        <f t="shared" si="18"/>
        <v>2.7358711065808977E-3</v>
      </c>
      <c r="W32" s="2"/>
      <c r="X32" s="6">
        <f t="shared" si="19"/>
        <v>2936.34</v>
      </c>
      <c r="Y32" s="2"/>
      <c r="Z32" s="7">
        <f t="shared" si="20"/>
        <v>0.29295697642747609</v>
      </c>
    </row>
    <row r="33" spans="1:26" s="23" customFormat="1" hidden="1" outlineLevel="2" x14ac:dyDescent="0.25">
      <c r="A33" s="27"/>
      <c r="B33" s="10" t="str">
        <f>CONCATENATE("          ", "6156", " - ", "EMPLOYEE MEALS")</f>
        <v xml:space="preserve">          6156 - EMPLOYEE MEALS</v>
      </c>
      <c r="C33" s="10"/>
      <c r="D33" s="6">
        <v>893.11</v>
      </c>
      <c r="E33" s="2"/>
      <c r="F33" s="7">
        <f t="shared" si="13"/>
        <v>0</v>
      </c>
      <c r="G33" s="2"/>
      <c r="H33" s="6">
        <v>624</v>
      </c>
      <c r="I33" s="2"/>
      <c r="J33" s="7">
        <f t="shared" si="14"/>
        <v>0.14349115827718628</v>
      </c>
      <c r="K33" s="2"/>
      <c r="L33" s="6">
        <f t="shared" si="15"/>
        <v>269.11</v>
      </c>
      <c r="M33" s="2"/>
      <c r="N33" s="7">
        <f t="shared" si="16"/>
        <v>0.43126602564102567</v>
      </c>
      <c r="O33" s="10"/>
      <c r="P33" s="6">
        <v>8140.07</v>
      </c>
      <c r="Q33" s="2"/>
      <c r="R33" s="7">
        <f t="shared" si="17"/>
        <v>0.34430663837793207</v>
      </c>
      <c r="S33" s="2"/>
      <c r="T33" s="6">
        <v>10846.85</v>
      </c>
      <c r="U33" s="2"/>
      <c r="V33" s="7">
        <f t="shared" si="18"/>
        <v>2.9607161362508252E-3</v>
      </c>
      <c r="W33" s="2"/>
      <c r="X33" s="6">
        <f t="shared" si="19"/>
        <v>-2706.7800000000007</v>
      </c>
      <c r="Y33" s="2"/>
      <c r="Z33" s="7">
        <f t="shared" si="20"/>
        <v>-0.24954525968368702</v>
      </c>
    </row>
    <row r="34" spans="1:26" s="26" customFormat="1" outlineLevel="1" collapsed="1" x14ac:dyDescent="0.25">
      <c r="A34" s="25"/>
      <c r="B34" s="12" t="str">
        <f>CONCATENATE("     ","*Payroll                                          ")</f>
        <v xml:space="preserve">     *Payroll                                          </v>
      </c>
      <c r="C34" s="12"/>
      <c r="D34" s="1">
        <f>SUM(OSRRefD22_1x_0)</f>
        <v>24148.089999999997</v>
      </c>
      <c r="E34" s="1"/>
      <c r="F34" s="5">
        <f t="shared" ref="F34:F40" si="21">IF(D$12=0,0,D34/D$12)</f>
        <v>0</v>
      </c>
      <c r="G34" s="1"/>
      <c r="H34" s="1">
        <f>SUM(OSRRefH22_1x_0)</f>
        <v>30375.020000000004</v>
      </c>
      <c r="I34" s="1"/>
      <c r="J34" s="5">
        <f t="shared" ref="J34:J40" si="22">IF(H$12=0,0,H34/H$12)</f>
        <v>6.9848506450203525</v>
      </c>
      <c r="K34" s="1"/>
      <c r="L34" s="1">
        <f t="shared" ref="L34:L40" si="23">+D34-H34</f>
        <v>-6226.9300000000076</v>
      </c>
      <c r="M34" s="1"/>
      <c r="N34" s="5">
        <f t="shared" ref="N34:N40" si="24">IF(H34=0,0,L34/H34)</f>
        <v>-0.20500167571906147</v>
      </c>
      <c r="O34" s="12"/>
      <c r="P34" s="1">
        <f>SUM(OSRRefP22_1x_0)</f>
        <v>224675.76</v>
      </c>
      <c r="Q34" s="1"/>
      <c r="R34" s="5">
        <f t="shared" ref="R34:R40" si="25">IF(P$12=0,0,P34/P$12)</f>
        <v>9.5032789215089135</v>
      </c>
      <c r="S34" s="1"/>
      <c r="T34" s="1">
        <f>SUM(OSRRefT22_1x_0)</f>
        <v>836381.97</v>
      </c>
      <c r="U34" s="1"/>
      <c r="V34" s="5">
        <f t="shared" ref="V34:V40" si="26">IF(T$12=0,0,T34/T$12)</f>
        <v>0.22829573513492429</v>
      </c>
      <c r="W34" s="1"/>
      <c r="X34" s="1">
        <f t="shared" ref="X34:X40" si="27">+P34-T34</f>
        <v>-611706.21</v>
      </c>
      <c r="Y34" s="1"/>
      <c r="Z34" s="5">
        <f t="shared" ref="Z34:Z40" si="28">IF(T34=0,0,X34/T34)</f>
        <v>-0.73137182763516528</v>
      </c>
    </row>
    <row r="35" spans="1:26" s="23" customFormat="1" hidden="1" outlineLevel="2" x14ac:dyDescent="0.25">
      <c r="A35" s="27"/>
      <c r="B35" s="10" t="str">
        <f>CONCATENATE("          ", "6002", " - ", "STAFF SALARIES")</f>
        <v xml:space="preserve">          6002 - STAFF SALARIES</v>
      </c>
      <c r="C35" s="10"/>
      <c r="D35" s="6">
        <v>9412.4</v>
      </c>
      <c r="E35" s="2"/>
      <c r="F35" s="7">
        <f t="shared" si="21"/>
        <v>0</v>
      </c>
      <c r="G35" s="2"/>
      <c r="H35" s="6">
        <v>8181.62</v>
      </c>
      <c r="I35" s="2"/>
      <c r="J35" s="7">
        <f t="shared" si="22"/>
        <v>1.8813944397176168</v>
      </c>
      <c r="K35" s="2"/>
      <c r="L35" s="6">
        <f t="shared" si="23"/>
        <v>1230.7799999999997</v>
      </c>
      <c r="M35" s="2"/>
      <c r="N35" s="7">
        <f t="shared" si="24"/>
        <v>0.15043231047152028</v>
      </c>
      <c r="O35" s="10"/>
      <c r="P35" s="6">
        <v>92568.39</v>
      </c>
      <c r="Q35" s="2"/>
      <c r="R35" s="7">
        <f t="shared" si="25"/>
        <v>3.9154345332358798</v>
      </c>
      <c r="S35" s="2"/>
      <c r="T35" s="6">
        <v>143187.26</v>
      </c>
      <c r="U35" s="2"/>
      <c r="V35" s="7">
        <f t="shared" si="26"/>
        <v>3.9083865932279173E-2</v>
      </c>
      <c r="W35" s="2"/>
      <c r="X35" s="6">
        <f t="shared" si="27"/>
        <v>-50618.87000000001</v>
      </c>
      <c r="Y35" s="2"/>
      <c r="Z35" s="7">
        <f t="shared" si="28"/>
        <v>-0.35351518005163313</v>
      </c>
    </row>
    <row r="36" spans="1:26" s="23" customFormat="1" hidden="1" outlineLevel="2" x14ac:dyDescent="0.25">
      <c r="A36" s="27"/>
      <c r="B36" s="10" t="str">
        <f>CONCATENATE("          ", "6004", " - ", "STAFF HOURLY")</f>
        <v xml:space="preserve">          6004 - STAFF HOURLY</v>
      </c>
      <c r="C36" s="10"/>
      <c r="D36" s="6">
        <v>17918.689999999999</v>
      </c>
      <c r="E36" s="2"/>
      <c r="F36" s="7">
        <f t="shared" si="21"/>
        <v>0</v>
      </c>
      <c r="G36" s="2"/>
      <c r="H36" s="6">
        <v>25191.4</v>
      </c>
      <c r="I36" s="2"/>
      <c r="J36" s="7">
        <f t="shared" si="22"/>
        <v>5.7928576356152419</v>
      </c>
      <c r="K36" s="2"/>
      <c r="L36" s="6">
        <f t="shared" si="23"/>
        <v>-7272.7100000000028</v>
      </c>
      <c r="M36" s="2"/>
      <c r="N36" s="7">
        <f t="shared" si="24"/>
        <v>-0.28869812713862675</v>
      </c>
      <c r="O36" s="10"/>
      <c r="P36" s="6">
        <v>132107.37</v>
      </c>
      <c r="Q36" s="2"/>
      <c r="R36" s="7">
        <f t="shared" si="25"/>
        <v>5.5878443882730338</v>
      </c>
      <c r="S36" s="2"/>
      <c r="T36" s="6">
        <v>194906.22</v>
      </c>
      <c r="U36" s="2"/>
      <c r="V36" s="7">
        <f t="shared" si="26"/>
        <v>5.320088234000224E-2</v>
      </c>
      <c r="W36" s="2"/>
      <c r="X36" s="6">
        <f t="shared" si="27"/>
        <v>-62798.850000000006</v>
      </c>
      <c r="Y36" s="2"/>
      <c r="Z36" s="7">
        <f t="shared" si="28"/>
        <v>-0.32220033819341426</v>
      </c>
    </row>
    <row r="37" spans="1:26" s="23" customFormat="1" hidden="1" outlineLevel="2" x14ac:dyDescent="0.25">
      <c r="A37" s="27"/>
      <c r="B37" s="10" t="str">
        <f>CONCATENATE("          ", "6005", " - ", "TEMPORARY WAGES-HOURLY")</f>
        <v xml:space="preserve">          6005 - TEMPORARY WAGES-HOURLY</v>
      </c>
      <c r="C37" s="10"/>
      <c r="D37" s="6"/>
      <c r="E37" s="2"/>
      <c r="F37" s="7">
        <f t="shared" si="21"/>
        <v>0</v>
      </c>
      <c r="G37" s="2"/>
      <c r="H37" s="6"/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0"/>
      <c r="P37" s="6"/>
      <c r="Q37" s="2"/>
      <c r="R37" s="7">
        <f t="shared" si="25"/>
        <v>0</v>
      </c>
      <c r="S37" s="2"/>
      <c r="T37" s="6">
        <v>132250.51</v>
      </c>
      <c r="U37" s="2"/>
      <c r="V37" s="7">
        <f t="shared" si="26"/>
        <v>3.6098611023882614E-2</v>
      </c>
      <c r="W37" s="2"/>
      <c r="X37" s="6">
        <f t="shared" si="27"/>
        <v>-132250.51</v>
      </c>
      <c r="Y37" s="2"/>
      <c r="Z37" s="7">
        <f t="shared" si="28"/>
        <v>-1</v>
      </c>
    </row>
    <row r="38" spans="1:26" s="23" customFormat="1" hidden="1" outlineLevel="2" x14ac:dyDescent="0.25">
      <c r="A38" s="27"/>
      <c r="B38" s="10" t="str">
        <f>CONCATENATE("          ", "6006", " - ", "TEMPORARY PART TIME")</f>
        <v xml:space="preserve">          6006 - TEMPORARY PART TIME</v>
      </c>
      <c r="C38" s="10"/>
      <c r="D38" s="6"/>
      <c r="E38" s="2"/>
      <c r="F38" s="7">
        <f t="shared" si="21"/>
        <v>0</v>
      </c>
      <c r="G38" s="2"/>
      <c r="H38" s="6"/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0"/>
      <c r="P38" s="6"/>
      <c r="Q38" s="2"/>
      <c r="R38" s="7">
        <f t="shared" si="25"/>
        <v>0</v>
      </c>
      <c r="S38" s="2"/>
      <c r="T38" s="6">
        <v>10133.07</v>
      </c>
      <c r="U38" s="2"/>
      <c r="V38" s="7">
        <f t="shared" si="26"/>
        <v>2.7658853822777256E-3</v>
      </c>
      <c r="W38" s="2"/>
      <c r="X38" s="6">
        <f t="shared" si="27"/>
        <v>-10133.07</v>
      </c>
      <c r="Y38" s="2"/>
      <c r="Z38" s="7">
        <f t="shared" si="28"/>
        <v>-1</v>
      </c>
    </row>
    <row r="39" spans="1:26" s="23" customFormat="1" hidden="1" outlineLevel="2" x14ac:dyDescent="0.25">
      <c r="A39" s="27"/>
      <c r="B39" s="10" t="str">
        <f>CONCATENATE("          ", "6007", " - ", "STUDENT HOURLY")</f>
        <v xml:space="preserve">          6007 - STUDENT HOURLY</v>
      </c>
      <c r="C39" s="10"/>
      <c r="D39" s="6">
        <v>-3183</v>
      </c>
      <c r="E39" s="2"/>
      <c r="F39" s="7">
        <f t="shared" si="21"/>
        <v>0</v>
      </c>
      <c r="G39" s="2"/>
      <c r="H39" s="6">
        <v>-2998</v>
      </c>
      <c r="I39" s="2"/>
      <c r="J39" s="7">
        <f t="shared" si="22"/>
        <v>-0.68940143031250722</v>
      </c>
      <c r="K39" s="2"/>
      <c r="L39" s="6">
        <f t="shared" si="23"/>
        <v>-185</v>
      </c>
      <c r="M39" s="2"/>
      <c r="N39" s="7">
        <f t="shared" si="24"/>
        <v>6.1707805203468982E-2</v>
      </c>
      <c r="O39" s="10"/>
      <c r="P39" s="6">
        <v>0</v>
      </c>
      <c r="Q39" s="2"/>
      <c r="R39" s="7">
        <f t="shared" si="25"/>
        <v>0</v>
      </c>
      <c r="S39" s="2"/>
      <c r="T39" s="6">
        <v>326051.69</v>
      </c>
      <c r="U39" s="2"/>
      <c r="V39" s="7">
        <f t="shared" si="26"/>
        <v>8.8997865724597627E-2</v>
      </c>
      <c r="W39" s="2"/>
      <c r="X39" s="6">
        <f t="shared" si="27"/>
        <v>-326051.69</v>
      </c>
      <c r="Y39" s="2"/>
      <c r="Z39" s="7">
        <f t="shared" si="28"/>
        <v>-1</v>
      </c>
    </row>
    <row r="40" spans="1:26" s="23" customFormat="1" hidden="1" outlineLevel="2" x14ac:dyDescent="0.25">
      <c r="A40" s="27"/>
      <c r="B40" s="10" t="str">
        <f>CONCATENATE("          ", "6008", " - ", "STUDENT HOURLY-FICA EXEMPT")</f>
        <v xml:space="preserve">          6008 - STUDENT HOURLY-FICA EXEMPT</v>
      </c>
      <c r="C40" s="10"/>
      <c r="D40" s="6"/>
      <c r="E40" s="2"/>
      <c r="F40" s="7">
        <f t="shared" si="21"/>
        <v>0</v>
      </c>
      <c r="G40" s="2"/>
      <c r="H40" s="6"/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0"/>
      <c r="P40" s="6"/>
      <c r="Q40" s="2"/>
      <c r="R40" s="7">
        <f t="shared" si="25"/>
        <v>0</v>
      </c>
      <c r="S40" s="2"/>
      <c r="T40" s="6">
        <v>29853.22</v>
      </c>
      <c r="U40" s="2"/>
      <c r="V40" s="7">
        <f t="shared" si="26"/>
        <v>8.1486247318849122E-3</v>
      </c>
      <c r="W40" s="2"/>
      <c r="X40" s="6">
        <f t="shared" si="27"/>
        <v>-29853.22</v>
      </c>
      <c r="Y40" s="2"/>
      <c r="Z40" s="7">
        <f t="shared" si="28"/>
        <v>-1</v>
      </c>
    </row>
    <row r="41" spans="1:26" s="26" customFormat="1" outlineLevel="1" collapsed="1" x14ac:dyDescent="0.25">
      <c r="A41" s="25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62" si="29">IF(D$12=0,0,D41/D$12)</f>
        <v>0</v>
      </c>
      <c r="G41" s="1"/>
      <c r="H41" s="1">
        <f>SUM(OSRRefH22_2x_0)</f>
        <v>0</v>
      </c>
      <c r="I41" s="1"/>
      <c r="J41" s="5">
        <f t="shared" ref="J41:J62" si="30">IF(H$12=0,0,H41/H$12)</f>
        <v>0</v>
      </c>
      <c r="K41" s="1"/>
      <c r="L41" s="1">
        <f t="shared" ref="L41:L62" si="31">+D41-H41</f>
        <v>0</v>
      </c>
      <c r="M41" s="1"/>
      <c r="N41" s="5">
        <f t="shared" ref="N41:N62" si="32">IF(H41=0,0,L41/H41)</f>
        <v>0</v>
      </c>
      <c r="O41" s="12"/>
      <c r="P41" s="1">
        <f>SUM(OSRRefP22_2x_0)</f>
        <v>204.75</v>
      </c>
      <c r="Q41" s="1"/>
      <c r="R41" s="5">
        <f t="shared" ref="R41:R62" si="33">IF(P$12=0,0,P41/P$12)</f>
        <v>8.660464124741139E-3</v>
      </c>
      <c r="S41" s="1"/>
      <c r="T41" s="1">
        <f>SUM(OSRRefT22_2x_0)</f>
        <v>2828.94</v>
      </c>
      <c r="U41" s="1"/>
      <c r="V41" s="5">
        <f t="shared" ref="V41:V62" si="34">IF(T$12=0,0,T41/T$12)</f>
        <v>7.7217701973249469E-4</v>
      </c>
      <c r="W41" s="1"/>
      <c r="X41" s="1">
        <f t="shared" ref="X41:X62" si="35">+P41-T41</f>
        <v>-2624.19</v>
      </c>
      <c r="Y41" s="1"/>
      <c r="Z41" s="5">
        <f t="shared" ref="Z41:Z62" si="36">IF(T41=0,0,X41/T41)</f>
        <v>-0.9276230672972916</v>
      </c>
    </row>
    <row r="42" spans="1:26" s="23" customFormat="1" hidden="1" outlineLevel="2" x14ac:dyDescent="0.25">
      <c r="A42" s="27"/>
      <c r="B42" s="10" t="str">
        <f>CONCATENATE("          ", "6362", " - ", "ADVERTISING EXPENSE")</f>
        <v xml:space="preserve">          6362 - ADVERTISING EXPENSE</v>
      </c>
      <c r="C42" s="10"/>
      <c r="D42" s="6"/>
      <c r="E42" s="2"/>
      <c r="F42" s="7">
        <f t="shared" si="29"/>
        <v>0</v>
      </c>
      <c r="G42" s="2"/>
      <c r="H42" s="6"/>
      <c r="I42" s="2"/>
      <c r="J42" s="7">
        <f t="shared" si="30"/>
        <v>0</v>
      </c>
      <c r="K42" s="2"/>
      <c r="L42" s="6">
        <f t="shared" si="31"/>
        <v>0</v>
      </c>
      <c r="M42" s="2"/>
      <c r="N42" s="7">
        <f t="shared" si="32"/>
        <v>0</v>
      </c>
      <c r="O42" s="10"/>
      <c r="P42" s="6">
        <v>204.75</v>
      </c>
      <c r="Q42" s="2"/>
      <c r="R42" s="7">
        <f t="shared" si="33"/>
        <v>8.660464124741139E-3</v>
      </c>
      <c r="S42" s="2"/>
      <c r="T42" s="6">
        <v>2828.94</v>
      </c>
      <c r="U42" s="2"/>
      <c r="V42" s="7">
        <f t="shared" si="34"/>
        <v>7.7217701973249469E-4</v>
      </c>
      <c r="W42" s="2"/>
      <c r="X42" s="6">
        <f t="shared" si="35"/>
        <v>-2624.19</v>
      </c>
      <c r="Y42" s="2"/>
      <c r="Z42" s="7">
        <f t="shared" si="36"/>
        <v>-0.9276230672972916</v>
      </c>
    </row>
    <row r="43" spans="1:26" s="26" customFormat="1" outlineLevel="1" collapsed="1" x14ac:dyDescent="0.25">
      <c r="A43" s="25"/>
      <c r="B43" s="12" t="str">
        <f>CONCATENATE("     ","Bad Debts/Over/Short                              ")</f>
        <v xml:space="preserve">     Bad Debts/Over/Short                              </v>
      </c>
      <c r="C43" s="12"/>
      <c r="D43" s="1">
        <f>SUM(OSRRefD22_3x_0)</f>
        <v>0</v>
      </c>
      <c r="E43" s="1"/>
      <c r="F43" s="5">
        <f t="shared" si="29"/>
        <v>0</v>
      </c>
      <c r="G43" s="1"/>
      <c r="H43" s="1">
        <f>SUM(OSRRefH22_3x_0)</f>
        <v>0</v>
      </c>
      <c r="I43" s="1"/>
      <c r="J43" s="5">
        <f t="shared" si="30"/>
        <v>0</v>
      </c>
      <c r="K43" s="1"/>
      <c r="L43" s="1">
        <f t="shared" si="31"/>
        <v>0</v>
      </c>
      <c r="M43" s="1"/>
      <c r="N43" s="5">
        <f t="shared" si="32"/>
        <v>0</v>
      </c>
      <c r="O43" s="12"/>
      <c r="P43" s="1">
        <f>SUM(OSRRefP22_3x_0)</f>
        <v>0</v>
      </c>
      <c r="Q43" s="1"/>
      <c r="R43" s="5">
        <f t="shared" si="33"/>
        <v>0</v>
      </c>
      <c r="S43" s="1"/>
      <c r="T43" s="1">
        <f>SUM(OSRRefT22_3x_0)</f>
        <v>1.65</v>
      </c>
      <c r="U43" s="1"/>
      <c r="V43" s="5">
        <f t="shared" si="34"/>
        <v>4.5037790923759997E-7</v>
      </c>
      <c r="W43" s="1"/>
      <c r="X43" s="1">
        <f t="shared" si="35"/>
        <v>-1.65</v>
      </c>
      <c r="Y43" s="1"/>
      <c r="Z43" s="5">
        <f t="shared" si="36"/>
        <v>-1</v>
      </c>
    </row>
    <row r="44" spans="1:26" s="23" customFormat="1" hidden="1" outlineLevel="2" x14ac:dyDescent="0.25">
      <c r="A44" s="27"/>
      <c r="B44" s="10" t="str">
        <f>CONCATENATE("          ", "6272", " - ", "CASH (OVER/SHORT)")</f>
        <v xml:space="preserve">          6272 - CASH (OVER/SHORT)</v>
      </c>
      <c r="C44" s="10"/>
      <c r="D44" s="6"/>
      <c r="E44" s="2"/>
      <c r="F44" s="7">
        <f t="shared" si="29"/>
        <v>0</v>
      </c>
      <c r="G44" s="2"/>
      <c r="H44" s="6"/>
      <c r="I44" s="2"/>
      <c r="J44" s="7">
        <f t="shared" si="30"/>
        <v>0</v>
      </c>
      <c r="K44" s="2"/>
      <c r="L44" s="6">
        <f t="shared" si="31"/>
        <v>0</v>
      </c>
      <c r="M44" s="2"/>
      <c r="N44" s="7">
        <f t="shared" si="32"/>
        <v>0</v>
      </c>
      <c r="O44" s="10"/>
      <c r="P44" s="6">
        <v>0</v>
      </c>
      <c r="Q44" s="2"/>
      <c r="R44" s="7">
        <f t="shared" si="33"/>
        <v>0</v>
      </c>
      <c r="S44" s="2"/>
      <c r="T44" s="6">
        <v>1.65</v>
      </c>
      <c r="U44" s="2"/>
      <c r="V44" s="7">
        <f t="shared" si="34"/>
        <v>4.5037790923759997E-7</v>
      </c>
      <c r="W44" s="2"/>
      <c r="X44" s="6">
        <f t="shared" si="35"/>
        <v>-1.65</v>
      </c>
      <c r="Y44" s="2"/>
      <c r="Z44" s="7">
        <f t="shared" si="36"/>
        <v>-1</v>
      </c>
    </row>
    <row r="45" spans="1:26" s="26" customFormat="1" outlineLevel="1" collapsed="1" x14ac:dyDescent="0.25">
      <c r="A45" s="25"/>
      <c r="B45" s="12" t="str">
        <f>CONCATENATE("     ","Bank/card Fees                                    ")</f>
        <v xml:space="preserve">     Bank/card Fees                                    </v>
      </c>
      <c r="C45" s="12"/>
      <c r="D45" s="1">
        <f>SUM(OSRRefD22_4x_0)</f>
        <v>0</v>
      </c>
      <c r="E45" s="1"/>
      <c r="F45" s="5">
        <f t="shared" si="29"/>
        <v>0</v>
      </c>
      <c r="G45" s="1"/>
      <c r="H45" s="1">
        <f>SUM(OSRRefH22_4x_0)</f>
        <v>0</v>
      </c>
      <c r="I45" s="1"/>
      <c r="J45" s="5">
        <f t="shared" si="30"/>
        <v>0</v>
      </c>
      <c r="K45" s="1"/>
      <c r="L45" s="1">
        <f t="shared" si="31"/>
        <v>0</v>
      </c>
      <c r="M45" s="1"/>
      <c r="N45" s="5">
        <f t="shared" si="32"/>
        <v>0</v>
      </c>
      <c r="O45" s="12"/>
      <c r="P45" s="1">
        <f>SUM(OSRRefP22_4x_0)</f>
        <v>0</v>
      </c>
      <c r="Q45" s="1"/>
      <c r="R45" s="5">
        <f t="shared" si="33"/>
        <v>0</v>
      </c>
      <c r="S45" s="1"/>
      <c r="T45" s="1">
        <f>SUM(OSRRefT22_4x_0)</f>
        <v>1830.44</v>
      </c>
      <c r="U45" s="1"/>
      <c r="V45" s="5">
        <f t="shared" si="34"/>
        <v>4.9963014556658942E-4</v>
      </c>
      <c r="W45" s="1"/>
      <c r="X45" s="1">
        <f t="shared" si="35"/>
        <v>-1830.44</v>
      </c>
      <c r="Y45" s="1"/>
      <c r="Z45" s="5">
        <f t="shared" si="36"/>
        <v>-1</v>
      </c>
    </row>
    <row r="46" spans="1:26" s="23" customFormat="1" hidden="1" outlineLevel="2" x14ac:dyDescent="0.25">
      <c r="A46" s="27"/>
      <c r="B46" s="10" t="str">
        <f>CONCATENATE("          ", "6381", " - ", "BANK/CREDIT CARD FEES")</f>
        <v xml:space="preserve">          6381 - BANK/CREDIT CARD FEES</v>
      </c>
      <c r="C46" s="10"/>
      <c r="D46" s="6"/>
      <c r="E46" s="2"/>
      <c r="F46" s="7">
        <f t="shared" si="29"/>
        <v>0</v>
      </c>
      <c r="G46" s="2"/>
      <c r="H46" s="6"/>
      <c r="I46" s="2"/>
      <c r="J46" s="7">
        <f t="shared" si="30"/>
        <v>0</v>
      </c>
      <c r="K46" s="2"/>
      <c r="L46" s="6">
        <f t="shared" si="31"/>
        <v>0</v>
      </c>
      <c r="M46" s="2"/>
      <c r="N46" s="7">
        <f t="shared" si="32"/>
        <v>0</v>
      </c>
      <c r="O46" s="10"/>
      <c r="P46" s="6"/>
      <c r="Q46" s="2"/>
      <c r="R46" s="7">
        <f t="shared" si="33"/>
        <v>0</v>
      </c>
      <c r="S46" s="2"/>
      <c r="T46" s="6">
        <v>1830.44</v>
      </c>
      <c r="U46" s="2"/>
      <c r="V46" s="7">
        <f t="shared" si="34"/>
        <v>4.9963014556658942E-4</v>
      </c>
      <c r="W46" s="2"/>
      <c r="X46" s="6">
        <f t="shared" si="35"/>
        <v>-1830.44</v>
      </c>
      <c r="Y46" s="2"/>
      <c r="Z46" s="7">
        <f t="shared" si="36"/>
        <v>-1</v>
      </c>
    </row>
    <row r="47" spans="1:26" s="26" customFormat="1" outlineLevel="1" collapsed="1" x14ac:dyDescent="0.25">
      <c r="A47" s="25"/>
      <c r="B47" s="12" t="str">
        <f>CONCATENATE("     ","Depreciation                                      ")</f>
        <v xml:space="preserve">     Depreciation                                      </v>
      </c>
      <c r="C47" s="12"/>
      <c r="D47" s="1">
        <f>SUM(OSRRefD22_5x_0)</f>
        <v>272.74</v>
      </c>
      <c r="E47" s="1"/>
      <c r="F47" s="5">
        <f t="shared" si="29"/>
        <v>0</v>
      </c>
      <c r="G47" s="1"/>
      <c r="H47" s="1">
        <f>SUM(OSRRefH22_5x_0)</f>
        <v>0</v>
      </c>
      <c r="I47" s="1"/>
      <c r="J47" s="5">
        <f t="shared" si="30"/>
        <v>0</v>
      </c>
      <c r="K47" s="1"/>
      <c r="L47" s="1">
        <f t="shared" si="31"/>
        <v>272.74</v>
      </c>
      <c r="M47" s="1"/>
      <c r="N47" s="5">
        <f t="shared" si="32"/>
        <v>0</v>
      </c>
      <c r="O47" s="12"/>
      <c r="P47" s="1">
        <f>SUM(OSRRefP22_5x_0)</f>
        <v>2463.1799999999998</v>
      </c>
      <c r="Q47" s="1"/>
      <c r="R47" s="5">
        <f t="shared" si="33"/>
        <v>0.1041869695862265</v>
      </c>
      <c r="S47" s="1"/>
      <c r="T47" s="1">
        <f>SUM(OSRRefT22_5x_0)</f>
        <v>0</v>
      </c>
      <c r="U47" s="1"/>
      <c r="V47" s="5">
        <f t="shared" si="34"/>
        <v>0</v>
      </c>
      <c r="W47" s="1"/>
      <c r="X47" s="1">
        <f t="shared" si="35"/>
        <v>2463.1799999999998</v>
      </c>
      <c r="Y47" s="1"/>
      <c r="Z47" s="5">
        <f t="shared" si="36"/>
        <v>0</v>
      </c>
    </row>
    <row r="48" spans="1:26" s="23" customFormat="1" hidden="1" outlineLevel="2" x14ac:dyDescent="0.25">
      <c r="A48" s="27"/>
      <c r="B48" s="10" t="str">
        <f>CONCATENATE("          ", "6322", " - ", "EQUIPMENT DEPRECIATION EXPENSE")</f>
        <v xml:space="preserve">          6322 - EQUIPMENT DEPRECIATION EXPENSE</v>
      </c>
      <c r="C48" s="10"/>
      <c r="D48" s="6">
        <v>272.74</v>
      </c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272.74</v>
      </c>
      <c r="M48" s="2"/>
      <c r="N48" s="7">
        <f t="shared" si="32"/>
        <v>0</v>
      </c>
      <c r="O48" s="10"/>
      <c r="P48" s="6">
        <v>2463.1799999999998</v>
      </c>
      <c r="Q48" s="2"/>
      <c r="R48" s="7">
        <f t="shared" si="33"/>
        <v>0.1041869695862265</v>
      </c>
      <c r="S48" s="2"/>
      <c r="T48" s="6"/>
      <c r="U48" s="2"/>
      <c r="V48" s="7">
        <f t="shared" si="34"/>
        <v>0</v>
      </c>
      <c r="W48" s="2"/>
      <c r="X48" s="6">
        <f t="shared" si="35"/>
        <v>2463.1799999999998</v>
      </c>
      <c r="Y48" s="2"/>
      <c r="Z48" s="7">
        <f t="shared" si="36"/>
        <v>0</v>
      </c>
    </row>
    <row r="49" spans="1:26" s="26" customFormat="1" outlineLevel="1" collapsed="1" x14ac:dyDescent="0.25">
      <c r="A49" s="25"/>
      <c r="B49" s="12" t="str">
        <f>CONCATENATE("     ","Donations                                         ")</f>
        <v xml:space="preserve">     Donations                                         </v>
      </c>
      <c r="C49" s="12"/>
      <c r="D49" s="1">
        <f>SUM(OSRRefD22_6x_0)</f>
        <v>0</v>
      </c>
      <c r="E49" s="1"/>
      <c r="F49" s="5">
        <f t="shared" si="29"/>
        <v>0</v>
      </c>
      <c r="G49" s="1"/>
      <c r="H49" s="1">
        <f>SUM(OSRRefH22_6x_0)</f>
        <v>0</v>
      </c>
      <c r="I49" s="1"/>
      <c r="J49" s="5">
        <f t="shared" si="30"/>
        <v>0</v>
      </c>
      <c r="K49" s="1"/>
      <c r="L49" s="1">
        <f t="shared" si="31"/>
        <v>0</v>
      </c>
      <c r="M49" s="1"/>
      <c r="N49" s="5">
        <f t="shared" si="32"/>
        <v>0</v>
      </c>
      <c r="O49" s="12"/>
      <c r="P49" s="1">
        <f>SUM(OSRRefP22_6x_0)</f>
        <v>0</v>
      </c>
      <c r="Q49" s="1"/>
      <c r="R49" s="5">
        <f t="shared" si="33"/>
        <v>0</v>
      </c>
      <c r="S49" s="1"/>
      <c r="T49" s="1">
        <f>SUM(OSRRefT22_6x_0)</f>
        <v>72144.13</v>
      </c>
      <c r="U49" s="1"/>
      <c r="V49" s="5">
        <f t="shared" si="34"/>
        <v>1.9692195414039767E-2</v>
      </c>
      <c r="W49" s="1"/>
      <c r="X49" s="1">
        <f t="shared" si="35"/>
        <v>-72144.13</v>
      </c>
      <c r="Y49" s="1"/>
      <c r="Z49" s="5">
        <f t="shared" si="36"/>
        <v>-1</v>
      </c>
    </row>
    <row r="50" spans="1:26" s="23" customFormat="1" hidden="1" outlineLevel="2" x14ac:dyDescent="0.25">
      <c r="A50" s="27"/>
      <c r="B50" s="10" t="str">
        <f>CONCATENATE("          ", "6399", " - ", "DONATION-ON CAMPUS")</f>
        <v xml:space="preserve">          6399 - DONATION-ON CAMPUS</v>
      </c>
      <c r="C50" s="10"/>
      <c r="D50" s="6"/>
      <c r="E50" s="2"/>
      <c r="F50" s="7">
        <f t="shared" si="29"/>
        <v>0</v>
      </c>
      <c r="G50" s="2"/>
      <c r="H50" s="6"/>
      <c r="I50" s="2"/>
      <c r="J50" s="7">
        <f t="shared" si="30"/>
        <v>0</v>
      </c>
      <c r="K50" s="2"/>
      <c r="L50" s="6">
        <f t="shared" si="31"/>
        <v>0</v>
      </c>
      <c r="M50" s="2"/>
      <c r="N50" s="7">
        <f t="shared" si="32"/>
        <v>0</v>
      </c>
      <c r="O50" s="10"/>
      <c r="P50" s="6"/>
      <c r="Q50" s="2"/>
      <c r="R50" s="7">
        <f t="shared" si="33"/>
        <v>0</v>
      </c>
      <c r="S50" s="2"/>
      <c r="T50" s="6">
        <v>72144.13</v>
      </c>
      <c r="U50" s="2"/>
      <c r="V50" s="7">
        <f t="shared" si="34"/>
        <v>1.9692195414039767E-2</v>
      </c>
      <c r="W50" s="2"/>
      <c r="X50" s="6">
        <f t="shared" si="35"/>
        <v>-72144.13</v>
      </c>
      <c r="Y50" s="2"/>
      <c r="Z50" s="7">
        <f t="shared" si="36"/>
        <v>-1</v>
      </c>
    </row>
    <row r="51" spans="1:26" s="26" customFormat="1" outlineLevel="1" collapsed="1" x14ac:dyDescent="0.25">
      <c r="A51" s="25"/>
      <c r="B51" s="12" t="str">
        <f>CONCATENATE("     ","Employees' Appreciation                           ")</f>
        <v xml:space="preserve">     Employees' Appreciation                           </v>
      </c>
      <c r="C51" s="12"/>
      <c r="D51" s="1">
        <f>SUM(OSRRefD22_7x_0)</f>
        <v>0</v>
      </c>
      <c r="E51" s="1"/>
      <c r="F51" s="5">
        <f t="shared" si="29"/>
        <v>0</v>
      </c>
      <c r="G51" s="1"/>
      <c r="H51" s="1">
        <f>SUM(OSRRefH22_7x_0)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2"/>
      <c r="P51" s="1">
        <f>SUM(OSRRefP22_7x_0)</f>
        <v>0</v>
      </c>
      <c r="Q51" s="1"/>
      <c r="R51" s="5">
        <f t="shared" si="33"/>
        <v>0</v>
      </c>
      <c r="S51" s="1"/>
      <c r="T51" s="1">
        <f>SUM(OSRRefT22_7x_0)</f>
        <v>172.29</v>
      </c>
      <c r="U51" s="1"/>
      <c r="V51" s="5">
        <f t="shared" si="34"/>
        <v>4.7027642413664307E-5</v>
      </c>
      <c r="W51" s="1"/>
      <c r="X51" s="1">
        <f t="shared" si="35"/>
        <v>-172.29</v>
      </c>
      <c r="Y51" s="1"/>
      <c r="Z51" s="5">
        <f t="shared" si="36"/>
        <v>-1</v>
      </c>
    </row>
    <row r="52" spans="1:26" s="23" customFormat="1" hidden="1" outlineLevel="2" x14ac:dyDescent="0.25">
      <c r="A52" s="27"/>
      <c r="B52" s="10" t="str">
        <f>CONCATENATE("          ", "6277", " - ", "EMPLOYEE APPRECIATION")</f>
        <v xml:space="preserve">          6277 - EMPLOYEE APPRECIATION</v>
      </c>
      <c r="C52" s="10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0"/>
      <c r="P52" s="6"/>
      <c r="Q52" s="2"/>
      <c r="R52" s="7">
        <f t="shared" si="33"/>
        <v>0</v>
      </c>
      <c r="S52" s="2"/>
      <c r="T52" s="6">
        <v>172.29</v>
      </c>
      <c r="U52" s="2"/>
      <c r="V52" s="7">
        <f t="shared" si="34"/>
        <v>4.7027642413664307E-5</v>
      </c>
      <c r="W52" s="2"/>
      <c r="X52" s="6">
        <f t="shared" si="35"/>
        <v>-172.29</v>
      </c>
      <c r="Y52" s="2"/>
      <c r="Z52" s="7">
        <f t="shared" si="36"/>
        <v>-1</v>
      </c>
    </row>
    <row r="53" spans="1:26" s="26" customFormat="1" outlineLevel="1" collapsed="1" x14ac:dyDescent="0.25">
      <c r="A53" s="25"/>
      <c r="B53" s="12" t="str">
        <f>CONCATENATE("     ","Equipment Rental                                  ")</f>
        <v xml:space="preserve">     Equipment Rental                                  </v>
      </c>
      <c r="C53" s="12"/>
      <c r="D53" s="1">
        <f>SUM(OSRRefD22_8x_0)</f>
        <v>364.22</v>
      </c>
      <c r="E53" s="1"/>
      <c r="F53" s="5">
        <f t="shared" si="29"/>
        <v>0</v>
      </c>
      <c r="G53" s="1"/>
      <c r="H53" s="1">
        <f>SUM(OSRRefH22_8x_0)</f>
        <v>0</v>
      </c>
      <c r="I53" s="1"/>
      <c r="J53" s="5">
        <f t="shared" si="30"/>
        <v>0</v>
      </c>
      <c r="K53" s="1"/>
      <c r="L53" s="1">
        <f t="shared" si="31"/>
        <v>364.22</v>
      </c>
      <c r="M53" s="1"/>
      <c r="N53" s="5">
        <f t="shared" si="32"/>
        <v>0</v>
      </c>
      <c r="O53" s="12"/>
      <c r="P53" s="1">
        <f>SUM(OSRRefP22_8x_0)</f>
        <v>2286.35</v>
      </c>
      <c r="Q53" s="1"/>
      <c r="R53" s="5">
        <f t="shared" si="33"/>
        <v>9.67074586158823E-2</v>
      </c>
      <c r="S53" s="1"/>
      <c r="T53" s="1">
        <f>SUM(OSRRefT22_8x_0)</f>
        <v>2193.62</v>
      </c>
      <c r="U53" s="1"/>
      <c r="V53" s="5">
        <f t="shared" si="34"/>
        <v>5.9876241773441463E-4</v>
      </c>
      <c r="W53" s="1"/>
      <c r="X53" s="1">
        <f t="shared" si="35"/>
        <v>92.730000000000018</v>
      </c>
      <c r="Y53" s="1"/>
      <c r="Z53" s="5">
        <f t="shared" si="36"/>
        <v>4.2272590512486219E-2</v>
      </c>
    </row>
    <row r="54" spans="1:26" s="23" customFormat="1" hidden="1" outlineLevel="2" x14ac:dyDescent="0.25">
      <c r="A54" s="27"/>
      <c r="B54" s="10" t="str">
        <f>CONCATENATE("          ", "6351", " - ", "EQUIPMENT RENTAL")</f>
        <v xml:space="preserve">          6351 - EQUIPMENT RENTAL</v>
      </c>
      <c r="C54" s="10"/>
      <c r="D54" s="6">
        <v>364.22</v>
      </c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364.22</v>
      </c>
      <c r="M54" s="2"/>
      <c r="N54" s="7">
        <f t="shared" si="32"/>
        <v>0</v>
      </c>
      <c r="O54" s="10"/>
      <c r="P54" s="6">
        <v>2286.35</v>
      </c>
      <c r="Q54" s="2"/>
      <c r="R54" s="7">
        <f t="shared" si="33"/>
        <v>9.67074586158823E-2</v>
      </c>
      <c r="S54" s="2"/>
      <c r="T54" s="6">
        <v>2193.62</v>
      </c>
      <c r="U54" s="2"/>
      <c r="V54" s="7">
        <f t="shared" si="34"/>
        <v>5.9876241773441463E-4</v>
      </c>
      <c r="W54" s="2"/>
      <c r="X54" s="6">
        <f t="shared" si="35"/>
        <v>92.730000000000018</v>
      </c>
      <c r="Y54" s="2"/>
      <c r="Z54" s="7">
        <f t="shared" si="36"/>
        <v>4.2272590512486219E-2</v>
      </c>
    </row>
    <row r="55" spans="1:26" s="26" customFormat="1" outlineLevel="1" collapsed="1" x14ac:dyDescent="0.25">
      <c r="A55" s="25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SUM(OSRRefD22_9x_0)</f>
        <v>19</v>
      </c>
      <c r="E55" s="1"/>
      <c r="F55" s="5">
        <f t="shared" si="29"/>
        <v>0</v>
      </c>
      <c r="G55" s="1"/>
      <c r="H55" s="1">
        <f>SUM(OSRRefH22_9x_0)</f>
        <v>0</v>
      </c>
      <c r="I55" s="1"/>
      <c r="J55" s="5">
        <f t="shared" si="30"/>
        <v>0</v>
      </c>
      <c r="K55" s="1"/>
      <c r="L55" s="1">
        <f t="shared" si="31"/>
        <v>19</v>
      </c>
      <c r="M55" s="1"/>
      <c r="N55" s="5">
        <f t="shared" si="32"/>
        <v>0</v>
      </c>
      <c r="O55" s="12"/>
      <c r="P55" s="1">
        <f>SUM(OSRRefP22_9x_0)</f>
        <v>3847.45</v>
      </c>
      <c r="Q55" s="1"/>
      <c r="R55" s="5">
        <f t="shared" si="33"/>
        <v>0.16273847470932987</v>
      </c>
      <c r="S55" s="1"/>
      <c r="T55" s="1">
        <f>SUM(OSRRefT22_9x_0)</f>
        <v>2391.19</v>
      </c>
      <c r="U55" s="1"/>
      <c r="V55" s="5">
        <f t="shared" si="34"/>
        <v>6.5269039563021624E-4</v>
      </c>
      <c r="W55" s="1"/>
      <c r="X55" s="1">
        <f t="shared" si="35"/>
        <v>1456.2599999999998</v>
      </c>
      <c r="Y55" s="1"/>
      <c r="Z55" s="5">
        <f t="shared" si="36"/>
        <v>0.6090105763239223</v>
      </c>
    </row>
    <row r="56" spans="1:26" s="23" customFormat="1" hidden="1" outlineLevel="2" x14ac:dyDescent="0.25">
      <c r="A56" s="27"/>
      <c r="B56" s="10" t="str">
        <f>CONCATENATE("          ", "6279", " - ", "GENERAL EXPENSE")</f>
        <v xml:space="preserve">          6279 - GENERAL EXPENSE</v>
      </c>
      <c r="C56" s="10"/>
      <c r="D56" s="6">
        <v>19</v>
      </c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19</v>
      </c>
      <c r="M56" s="2"/>
      <c r="N56" s="7">
        <f t="shared" si="32"/>
        <v>0</v>
      </c>
      <c r="O56" s="10"/>
      <c r="P56" s="6">
        <v>3847.45</v>
      </c>
      <c r="Q56" s="2"/>
      <c r="R56" s="7">
        <f t="shared" si="33"/>
        <v>0.16273847470932987</v>
      </c>
      <c r="S56" s="2"/>
      <c r="T56" s="6">
        <v>2391.19</v>
      </c>
      <c r="U56" s="2"/>
      <c r="V56" s="7">
        <f t="shared" si="34"/>
        <v>6.5269039563021624E-4</v>
      </c>
      <c r="W56" s="2"/>
      <c r="X56" s="6">
        <f t="shared" si="35"/>
        <v>1456.2599999999998</v>
      </c>
      <c r="Y56" s="2"/>
      <c r="Z56" s="7">
        <f t="shared" si="36"/>
        <v>0.6090105763239223</v>
      </c>
    </row>
    <row r="57" spans="1:26" s="26" customFormat="1" outlineLevel="1" collapsed="1" x14ac:dyDescent="0.25">
      <c r="A57" s="25"/>
      <c r="B57" s="12" t="str">
        <f>CONCATENATE("     ","R/H Commissions                                   ")</f>
        <v xml:space="preserve">     R/H Commissions                                   </v>
      </c>
      <c r="C57" s="12"/>
      <c r="D57" s="1">
        <f>SUM(OSRRefD22_10x_0)</f>
        <v>0</v>
      </c>
      <c r="E57" s="1"/>
      <c r="F57" s="5">
        <f t="shared" si="29"/>
        <v>0</v>
      </c>
      <c r="G57" s="1"/>
      <c r="H57" s="1">
        <f>SUM(OSRRefH22_10x_0)</f>
        <v>2334.44</v>
      </c>
      <c r="I57" s="1"/>
      <c r="J57" s="5">
        <f t="shared" si="30"/>
        <v>0.53681330052659415</v>
      </c>
      <c r="K57" s="1"/>
      <c r="L57" s="1">
        <f t="shared" si="31"/>
        <v>-2334.44</v>
      </c>
      <c r="M57" s="1"/>
      <c r="N57" s="5">
        <f t="shared" si="32"/>
        <v>-1</v>
      </c>
      <c r="O57" s="12"/>
      <c r="P57" s="1">
        <f>SUM(OSRRefP22_10x_0)</f>
        <v>1899.35</v>
      </c>
      <c r="Q57" s="1"/>
      <c r="R57" s="5">
        <f t="shared" si="33"/>
        <v>8.0338229720767179E-2</v>
      </c>
      <c r="S57" s="1"/>
      <c r="T57" s="1">
        <f>SUM(OSRRefT22_10x_0)</f>
        <v>283700.67</v>
      </c>
      <c r="U57" s="1"/>
      <c r="V57" s="5">
        <f t="shared" si="34"/>
        <v>7.7437887638731093E-2</v>
      </c>
      <c r="W57" s="1"/>
      <c r="X57" s="1">
        <f t="shared" si="35"/>
        <v>-281801.32</v>
      </c>
      <c r="Y57" s="1"/>
      <c r="Z57" s="5">
        <f t="shared" si="36"/>
        <v>-0.99330509159530722</v>
      </c>
    </row>
    <row r="58" spans="1:26" s="23" customFormat="1" hidden="1" outlineLevel="2" x14ac:dyDescent="0.25">
      <c r="A58" s="27"/>
      <c r="B58" s="10" t="str">
        <f>CONCATENATE("          ", "6387", " - ", "COMMISSION DUE HOUSING")</f>
        <v xml:space="preserve">          6387 - COMMISSION DUE HOUSING</v>
      </c>
      <c r="C58" s="10"/>
      <c r="D58" s="6"/>
      <c r="E58" s="2"/>
      <c r="F58" s="7">
        <f t="shared" si="29"/>
        <v>0</v>
      </c>
      <c r="G58" s="2"/>
      <c r="H58" s="6">
        <v>2334.44</v>
      </c>
      <c r="I58" s="2"/>
      <c r="J58" s="7">
        <f t="shared" si="30"/>
        <v>0.53681330052659415</v>
      </c>
      <c r="K58" s="2"/>
      <c r="L58" s="6">
        <f t="shared" si="31"/>
        <v>-2334.44</v>
      </c>
      <c r="M58" s="2"/>
      <c r="N58" s="7">
        <f t="shared" si="32"/>
        <v>-1</v>
      </c>
      <c r="O58" s="10"/>
      <c r="P58" s="6">
        <v>1899.35</v>
      </c>
      <c r="Q58" s="2"/>
      <c r="R58" s="7">
        <f t="shared" si="33"/>
        <v>8.0338229720767179E-2</v>
      </c>
      <c r="S58" s="2"/>
      <c r="T58" s="6">
        <v>283700.67</v>
      </c>
      <c r="U58" s="2"/>
      <c r="V58" s="7">
        <f t="shared" si="34"/>
        <v>7.7437887638731093E-2</v>
      </c>
      <c r="W58" s="2"/>
      <c r="X58" s="6">
        <f t="shared" si="35"/>
        <v>-281801.32</v>
      </c>
      <c r="Y58" s="2"/>
      <c r="Z58" s="7">
        <f t="shared" si="36"/>
        <v>-0.99330509159530722</v>
      </c>
    </row>
    <row r="59" spans="1:26" s="26" customFormat="1" outlineLevel="1" collapsed="1" x14ac:dyDescent="0.25">
      <c r="A59" s="25"/>
      <c r="B59" s="12" t="str">
        <f>CONCATENATE("     ","Repair and Maintenance                            ")</f>
        <v xml:space="preserve">     Repair and Maintenance                            </v>
      </c>
      <c r="C59" s="12"/>
      <c r="D59" s="1">
        <f>SUM(OSRRefD22_11x_0)</f>
        <v>0</v>
      </c>
      <c r="E59" s="1"/>
      <c r="F59" s="5">
        <f t="shared" si="29"/>
        <v>0</v>
      </c>
      <c r="G59" s="1"/>
      <c r="H59" s="1">
        <f>SUM(OSRRefH22_11x_0)</f>
        <v>0</v>
      </c>
      <c r="I59" s="1"/>
      <c r="J59" s="5">
        <f t="shared" si="30"/>
        <v>0</v>
      </c>
      <c r="K59" s="1"/>
      <c r="L59" s="1">
        <f t="shared" si="31"/>
        <v>0</v>
      </c>
      <c r="M59" s="1"/>
      <c r="N59" s="5">
        <f t="shared" si="32"/>
        <v>0</v>
      </c>
      <c r="O59" s="12"/>
      <c r="P59" s="1">
        <f>SUM(OSRRefP22_11x_0)</f>
        <v>1345.25</v>
      </c>
      <c r="Q59" s="1"/>
      <c r="R59" s="5">
        <f t="shared" si="33"/>
        <v>5.6901046953885308E-2</v>
      </c>
      <c r="S59" s="1"/>
      <c r="T59" s="1">
        <f>SUM(OSRRefT22_11x_0)</f>
        <v>8602.7200000000012</v>
      </c>
      <c r="U59" s="1"/>
      <c r="V59" s="5">
        <f t="shared" si="34"/>
        <v>2.3481666953675678E-3</v>
      </c>
      <c r="W59" s="1"/>
      <c r="X59" s="1">
        <f t="shared" si="35"/>
        <v>-7257.4700000000012</v>
      </c>
      <c r="Y59" s="1"/>
      <c r="Z59" s="5">
        <f t="shared" si="36"/>
        <v>-0.84362503952238366</v>
      </c>
    </row>
    <row r="60" spans="1:26" s="23" customFormat="1" hidden="1" outlineLevel="2" x14ac:dyDescent="0.25">
      <c r="A60" s="27"/>
      <c r="B60" s="10" t="str">
        <f>CONCATENATE("          ", "6371", " - ", "COMPUTER SOFTWARE MAINTENANCE")</f>
        <v xml:space="preserve">          6371 - COMPUTER SOFTWARE MAINTENANCE</v>
      </c>
      <c r="C60" s="10"/>
      <c r="D60" s="6"/>
      <c r="E60" s="2"/>
      <c r="F60" s="7">
        <f t="shared" si="29"/>
        <v>0</v>
      </c>
      <c r="G60" s="2"/>
      <c r="H60" s="6"/>
      <c r="I60" s="2"/>
      <c r="J60" s="7">
        <f t="shared" si="30"/>
        <v>0</v>
      </c>
      <c r="K60" s="2"/>
      <c r="L60" s="6">
        <f t="shared" si="31"/>
        <v>0</v>
      </c>
      <c r="M60" s="2"/>
      <c r="N60" s="7">
        <f t="shared" si="32"/>
        <v>0</v>
      </c>
      <c r="O60" s="10"/>
      <c r="P60" s="6"/>
      <c r="Q60" s="2"/>
      <c r="R60" s="7">
        <f t="shared" si="33"/>
        <v>0</v>
      </c>
      <c r="S60" s="2"/>
      <c r="T60" s="6">
        <v>8238.75</v>
      </c>
      <c r="U60" s="2"/>
      <c r="V60" s="7">
        <f t="shared" si="34"/>
        <v>2.2488187877159256E-3</v>
      </c>
      <c r="W60" s="2"/>
      <c r="X60" s="6">
        <f t="shared" si="35"/>
        <v>-8238.75</v>
      </c>
      <c r="Y60" s="2"/>
      <c r="Z60" s="7">
        <f t="shared" si="36"/>
        <v>-1</v>
      </c>
    </row>
    <row r="61" spans="1:26" s="23" customFormat="1" hidden="1" outlineLevel="2" x14ac:dyDescent="0.25">
      <c r="A61" s="27"/>
      <c r="B61" s="10" t="str">
        <f>CONCATENATE("          ", "6373", " - ", "MAINTENANCE CONTRACTS")</f>
        <v xml:space="preserve">          6373 - MAINTENANCE CONTRACTS</v>
      </c>
      <c r="C61" s="10"/>
      <c r="D61" s="6"/>
      <c r="E61" s="2"/>
      <c r="F61" s="7">
        <f t="shared" si="29"/>
        <v>0</v>
      </c>
      <c r="G61" s="2"/>
      <c r="H61" s="6"/>
      <c r="I61" s="2"/>
      <c r="J61" s="7">
        <f t="shared" si="30"/>
        <v>0</v>
      </c>
      <c r="K61" s="2"/>
      <c r="L61" s="6">
        <f t="shared" si="31"/>
        <v>0</v>
      </c>
      <c r="M61" s="2"/>
      <c r="N61" s="7">
        <f t="shared" si="32"/>
        <v>0</v>
      </c>
      <c r="O61" s="10"/>
      <c r="P61" s="6">
        <v>1326.25</v>
      </c>
      <c r="Q61" s="2"/>
      <c r="R61" s="7">
        <f t="shared" si="33"/>
        <v>5.6097389721308594E-2</v>
      </c>
      <c r="S61" s="2"/>
      <c r="T61" s="6">
        <v>212.19</v>
      </c>
      <c r="U61" s="2"/>
      <c r="V61" s="7">
        <f t="shared" si="34"/>
        <v>5.791859912795536E-5</v>
      </c>
      <c r="W61" s="2"/>
      <c r="X61" s="6">
        <f t="shared" si="35"/>
        <v>1114.06</v>
      </c>
      <c r="Y61" s="2"/>
      <c r="Z61" s="7">
        <f t="shared" si="36"/>
        <v>5.2502945473396485</v>
      </c>
    </row>
    <row r="62" spans="1:26" s="23" customFormat="1" hidden="1" outlineLevel="2" x14ac:dyDescent="0.25">
      <c r="A62" s="27"/>
      <c r="B62" s="10" t="str">
        <f>CONCATENATE("          ", "6375", " - ", "OUTSIDE REPAIRS &amp; MAINTENANCE")</f>
        <v xml:space="preserve">          6375 - OUTSIDE REPAIRS &amp; MAINTENANCE</v>
      </c>
      <c r="C62" s="10"/>
      <c r="D62" s="6"/>
      <c r="E62" s="2"/>
      <c r="F62" s="7">
        <f t="shared" si="29"/>
        <v>0</v>
      </c>
      <c r="G62" s="2"/>
      <c r="H62" s="6"/>
      <c r="I62" s="2"/>
      <c r="J62" s="7">
        <f t="shared" si="30"/>
        <v>0</v>
      </c>
      <c r="K62" s="2"/>
      <c r="L62" s="6">
        <f t="shared" si="31"/>
        <v>0</v>
      </c>
      <c r="M62" s="2"/>
      <c r="N62" s="7">
        <f t="shared" si="32"/>
        <v>0</v>
      </c>
      <c r="O62" s="10"/>
      <c r="P62" s="6">
        <v>19</v>
      </c>
      <c r="Q62" s="2"/>
      <c r="R62" s="7">
        <f t="shared" si="33"/>
        <v>8.036572325767113E-4</v>
      </c>
      <c r="S62" s="2"/>
      <c r="T62" s="6">
        <v>151.78</v>
      </c>
      <c r="U62" s="2"/>
      <c r="V62" s="7">
        <f t="shared" si="34"/>
        <v>4.1429308523686626E-5</v>
      </c>
      <c r="W62" s="2"/>
      <c r="X62" s="6">
        <f t="shared" si="35"/>
        <v>-132.78</v>
      </c>
      <c r="Y62" s="2"/>
      <c r="Z62" s="7">
        <f t="shared" si="36"/>
        <v>-0.87481881670839368</v>
      </c>
    </row>
    <row r="63" spans="1:26" s="26" customFormat="1" outlineLevel="1" collapsed="1" x14ac:dyDescent="0.25">
      <c r="A63" s="25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SUM(OSRRefD22_12x_0)</f>
        <v>5831.34</v>
      </c>
      <c r="E63" s="1"/>
      <c r="F63" s="5">
        <f t="shared" ref="F63:F66" si="37">IF(D$12=0,0,D63/D$12)</f>
        <v>0</v>
      </c>
      <c r="G63" s="1"/>
      <c r="H63" s="1">
        <f>SUM(OSRRefH22_12x_0)</f>
        <v>5483.15</v>
      </c>
      <c r="I63" s="1"/>
      <c r="J63" s="5">
        <f t="shared" ref="J63:J66" si="38">IF(H$12=0,0,H63/H$12)</f>
        <v>1.2608710649159518</v>
      </c>
      <c r="K63" s="1"/>
      <c r="L63" s="1">
        <f t="shared" ref="L63:L66" si="39">+D63-H63</f>
        <v>348.19000000000051</v>
      </c>
      <c r="M63" s="1"/>
      <c r="N63" s="5">
        <f t="shared" ref="N63:N66" si="40">IF(H63=0,0,L63/H63)</f>
        <v>6.3501819209760904E-2</v>
      </c>
      <c r="O63" s="12"/>
      <c r="P63" s="1">
        <f>SUM(OSRRefP22_12x_0)</f>
        <v>57290.130000000005</v>
      </c>
      <c r="Q63" s="1"/>
      <c r="R63" s="5">
        <f t="shared" ref="R63:R66" si="41">IF(P$12=0,0,P63/P$12)</f>
        <v>2.4232435436715805</v>
      </c>
      <c r="S63" s="1"/>
      <c r="T63" s="1">
        <f>SUM(OSRRefT22_12x_0)</f>
        <v>64696.770000000004</v>
      </c>
      <c r="U63" s="1"/>
      <c r="V63" s="5">
        <f t="shared" ref="V63:V66" si="42">IF(T$12=0,0,T63/T$12)</f>
        <v>1.7659391519409626E-2</v>
      </c>
      <c r="W63" s="1"/>
      <c r="X63" s="1">
        <f t="shared" ref="X63:X66" si="43">+P63-T63</f>
        <v>-7406.6399999999994</v>
      </c>
      <c r="Y63" s="1"/>
      <c r="Z63" s="5">
        <f t="shared" ref="Z63:Z66" si="44">IF(T63=0,0,X63/T63)</f>
        <v>-0.11448237678635269</v>
      </c>
    </row>
    <row r="64" spans="1:26" s="23" customFormat="1" hidden="1" outlineLevel="2" x14ac:dyDescent="0.25">
      <c r="A64" s="27"/>
      <c r="B64" s="10" t="str">
        <f>CONCATENATE("          ", "6282", " - ", "JANITORIAL/EXTERMINATOR EXPENS")</f>
        <v xml:space="preserve">          6282 - JANITORIAL/EXTERMINATOR EXPENS</v>
      </c>
      <c r="C64" s="10"/>
      <c r="D64" s="6">
        <v>834.64</v>
      </c>
      <c r="E64" s="2"/>
      <c r="F64" s="7">
        <f t="shared" si="37"/>
        <v>0</v>
      </c>
      <c r="G64" s="2"/>
      <c r="H64" s="6">
        <v>417.32</v>
      </c>
      <c r="I64" s="2"/>
      <c r="J64" s="7">
        <f t="shared" si="38"/>
        <v>9.5964311173454137E-2</v>
      </c>
      <c r="K64" s="2"/>
      <c r="L64" s="6">
        <f t="shared" si="39"/>
        <v>417.32</v>
      </c>
      <c r="M64" s="2"/>
      <c r="N64" s="7">
        <f t="shared" si="40"/>
        <v>1</v>
      </c>
      <c r="O64" s="10"/>
      <c r="P64" s="6">
        <v>4261.58</v>
      </c>
      <c r="Q64" s="2"/>
      <c r="R64" s="7">
        <f t="shared" si="41"/>
        <v>0.18025524153706637</v>
      </c>
      <c r="S64" s="2"/>
      <c r="T64" s="6">
        <v>4710.5200000000004</v>
      </c>
      <c r="U64" s="2"/>
      <c r="V64" s="7">
        <f t="shared" si="42"/>
        <v>1.2857661509223634E-3</v>
      </c>
      <c r="W64" s="2"/>
      <c r="X64" s="6">
        <f t="shared" si="43"/>
        <v>-448.94000000000051</v>
      </c>
      <c r="Y64" s="2"/>
      <c r="Z64" s="7">
        <f t="shared" si="44"/>
        <v>-9.5305826108370295E-2</v>
      </c>
    </row>
    <row r="65" spans="1:26" s="23" customFormat="1" hidden="1" outlineLevel="2" x14ac:dyDescent="0.25">
      <c r="A65" s="27"/>
      <c r="B65" s="10" t="str">
        <f>CONCATENATE("          ", "6285", " - ", "JANITORIAL SERVICES")</f>
        <v xml:space="preserve">          6285 - JANITORIAL SERVICES</v>
      </c>
      <c r="C65" s="10"/>
      <c r="D65" s="6">
        <v>4428.8599999999997</v>
      </c>
      <c r="E65" s="2"/>
      <c r="F65" s="7">
        <f t="shared" si="37"/>
        <v>0</v>
      </c>
      <c r="G65" s="2"/>
      <c r="H65" s="6">
        <v>4157.05</v>
      </c>
      <c r="I65" s="2"/>
      <c r="J65" s="7">
        <f t="shared" si="38"/>
        <v>0.95592935819900204</v>
      </c>
      <c r="K65" s="2"/>
      <c r="L65" s="6">
        <f t="shared" si="39"/>
        <v>271.80999999999949</v>
      </c>
      <c r="M65" s="2"/>
      <c r="N65" s="7">
        <f t="shared" si="40"/>
        <v>6.5385309293850086E-2</v>
      </c>
      <c r="O65" s="10"/>
      <c r="P65" s="6">
        <v>46918.41</v>
      </c>
      <c r="Q65" s="2"/>
      <c r="R65" s="7">
        <f t="shared" si="41"/>
        <v>1.9845431335526051</v>
      </c>
      <c r="S65" s="2"/>
      <c r="T65" s="6">
        <v>43066.98</v>
      </c>
      <c r="U65" s="2"/>
      <c r="V65" s="7">
        <f t="shared" si="42"/>
        <v>1.1755403884592446E-2</v>
      </c>
      <c r="W65" s="2"/>
      <c r="X65" s="6">
        <f t="shared" si="43"/>
        <v>3851.4300000000003</v>
      </c>
      <c r="Y65" s="2"/>
      <c r="Z65" s="7">
        <f t="shared" si="44"/>
        <v>8.9428838520834289E-2</v>
      </c>
    </row>
    <row r="66" spans="1:26" s="23" customFormat="1" hidden="1" outlineLevel="2" x14ac:dyDescent="0.25">
      <c r="A66" s="27"/>
      <c r="B66" s="10" t="str">
        <f>CONCATENATE("          ", "6286", " - ", "LAUNDRY EXPENSE")</f>
        <v xml:space="preserve">          6286 - LAUNDRY EXPENSE</v>
      </c>
      <c r="C66" s="10"/>
      <c r="D66" s="6">
        <v>567.84</v>
      </c>
      <c r="E66" s="2"/>
      <c r="F66" s="7">
        <f t="shared" si="37"/>
        <v>0</v>
      </c>
      <c r="G66" s="2"/>
      <c r="H66" s="6">
        <v>908.78</v>
      </c>
      <c r="I66" s="2"/>
      <c r="J66" s="7">
        <f t="shared" si="38"/>
        <v>0.20897739554349576</v>
      </c>
      <c r="K66" s="2"/>
      <c r="L66" s="6">
        <f t="shared" si="39"/>
        <v>-340.93999999999994</v>
      </c>
      <c r="M66" s="2"/>
      <c r="N66" s="7">
        <f t="shared" si="40"/>
        <v>-0.37516230550848384</v>
      </c>
      <c r="O66" s="10"/>
      <c r="P66" s="6">
        <v>6110.14</v>
      </c>
      <c r="Q66" s="2"/>
      <c r="R66" s="7">
        <f t="shared" si="41"/>
        <v>0.2584451685819088</v>
      </c>
      <c r="S66" s="2"/>
      <c r="T66" s="6">
        <v>16919.27</v>
      </c>
      <c r="U66" s="2"/>
      <c r="V66" s="7">
        <f t="shared" si="42"/>
        <v>4.6182214838948171E-3</v>
      </c>
      <c r="W66" s="2"/>
      <c r="X66" s="6">
        <f t="shared" si="43"/>
        <v>-10809.130000000001</v>
      </c>
      <c r="Y66" s="2"/>
      <c r="Z66" s="7">
        <f t="shared" si="44"/>
        <v>-0.63886503377509796</v>
      </c>
    </row>
    <row r="67" spans="1:26" s="26" customFormat="1" outlineLevel="1" collapsed="1" x14ac:dyDescent="0.25">
      <c r="A67" s="25"/>
      <c r="B67" s="12" t="str">
        <f>CONCATENATE("     ","Supplies                                          ")</f>
        <v xml:space="preserve">     Supplies                                          </v>
      </c>
      <c r="C67" s="12"/>
      <c r="D67" s="1">
        <f>SUM(OSRRefD22_13x_0)</f>
        <v>0</v>
      </c>
      <c r="E67" s="1"/>
      <c r="F67" s="5">
        <f t="shared" ref="F67:F75" si="45">IF(D$12=0,0,D67/D$12)</f>
        <v>0</v>
      </c>
      <c r="G67" s="1"/>
      <c r="H67" s="1">
        <f>SUM(OSRRefH22_13x_0)</f>
        <v>3101.33</v>
      </c>
      <c r="I67" s="1"/>
      <c r="J67" s="5">
        <f t="shared" ref="J67:J75" si="46">IF(H$12=0,0,H67/H$12)</f>
        <v>0.71316255432658038</v>
      </c>
      <c r="K67" s="1"/>
      <c r="L67" s="1">
        <f t="shared" ref="L67:L75" si="47">+D67-H67</f>
        <v>-3101.33</v>
      </c>
      <c r="M67" s="1"/>
      <c r="N67" s="5">
        <f t="shared" ref="N67:N75" si="48">IF(H67=0,0,L67/H67)</f>
        <v>-1</v>
      </c>
      <c r="O67" s="12"/>
      <c r="P67" s="1">
        <f>SUM(OSRRefP22_13x_0)</f>
        <v>10125.33</v>
      </c>
      <c r="Q67" s="1"/>
      <c r="R67" s="5">
        <f t="shared" ref="R67:R75" si="49">IF(P$12=0,0,P67/P$12)</f>
        <v>0.42827866772241852</v>
      </c>
      <c r="S67" s="1"/>
      <c r="T67" s="1">
        <f>SUM(OSRRefT22_13x_0)</f>
        <v>63465.71</v>
      </c>
      <c r="U67" s="1"/>
      <c r="V67" s="5">
        <f t="shared" ref="V67:V75" si="50">IF(T$12=0,0,T67/T$12)</f>
        <v>1.7323365926108995E-2</v>
      </c>
      <c r="W67" s="1"/>
      <c r="X67" s="1">
        <f t="shared" ref="X67:X75" si="51">+P67-T67</f>
        <v>-53340.38</v>
      </c>
      <c r="Y67" s="1"/>
      <c r="Z67" s="5">
        <f t="shared" ref="Z67:Z75" si="52">IF(T67=0,0,X67/T67)</f>
        <v>-0.84045983256155177</v>
      </c>
    </row>
    <row r="68" spans="1:26" s="23" customFormat="1" hidden="1" outlineLevel="2" x14ac:dyDescent="0.25">
      <c r="A68" s="27"/>
      <c r="B68" s="10" t="str">
        <f>CONCATENATE("          ", "6235", " - ", "COVID-19 EXPENSES")</f>
        <v xml:space="preserve">          6235 - COVID-19 EXPENSES</v>
      </c>
      <c r="C68" s="10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0"/>
      <c r="P68" s="6">
        <v>1375.08</v>
      </c>
      <c r="Q68" s="2"/>
      <c r="R68" s="7">
        <f t="shared" si="49"/>
        <v>5.8162788809030738E-2</v>
      </c>
      <c r="S68" s="2"/>
      <c r="T68" s="6"/>
      <c r="U68" s="2"/>
      <c r="V68" s="7">
        <f t="shared" si="50"/>
        <v>0</v>
      </c>
      <c r="W68" s="2"/>
      <c r="X68" s="6">
        <f t="shared" si="51"/>
        <v>1375.08</v>
      </c>
      <c r="Y68" s="2"/>
      <c r="Z68" s="7">
        <f t="shared" si="52"/>
        <v>0</v>
      </c>
    </row>
    <row r="69" spans="1:26" s="23" customFormat="1" hidden="1" outlineLevel="2" x14ac:dyDescent="0.25">
      <c r="A69" s="27"/>
      <c r="B69" s="10" t="str">
        <f>CONCATENATE("          ", "6237", " - ", "JANITORIAL SUPPLIES")</f>
        <v xml:space="preserve">          6237 - JANITORIAL SUPPLIES</v>
      </c>
      <c r="C69" s="10"/>
      <c r="D69" s="6"/>
      <c r="E69" s="2"/>
      <c r="F69" s="7">
        <f t="shared" si="45"/>
        <v>0</v>
      </c>
      <c r="G69" s="2"/>
      <c r="H69" s="6">
        <v>1219.6300000000001</v>
      </c>
      <c r="I69" s="2"/>
      <c r="J69" s="7">
        <f t="shared" si="46"/>
        <v>0.28045852783590502</v>
      </c>
      <c r="K69" s="2"/>
      <c r="L69" s="6">
        <f t="shared" si="47"/>
        <v>-1219.6300000000001</v>
      </c>
      <c r="M69" s="2"/>
      <c r="N69" s="7">
        <f t="shared" si="48"/>
        <v>-1</v>
      </c>
      <c r="O69" s="10"/>
      <c r="P69" s="6">
        <v>4689.93</v>
      </c>
      <c r="Q69" s="2"/>
      <c r="R69" s="7">
        <f t="shared" si="49"/>
        <v>0.19837348235676294</v>
      </c>
      <c r="S69" s="2"/>
      <c r="T69" s="6">
        <v>26409.59</v>
      </c>
      <c r="U69" s="2"/>
      <c r="V69" s="7">
        <f t="shared" si="50"/>
        <v>7.2086641988013504E-3</v>
      </c>
      <c r="W69" s="2"/>
      <c r="X69" s="6">
        <f t="shared" si="51"/>
        <v>-21719.66</v>
      </c>
      <c r="Y69" s="2"/>
      <c r="Z69" s="7">
        <f t="shared" si="52"/>
        <v>-0.82241564522584409</v>
      </c>
    </row>
    <row r="70" spans="1:26" s="23" customFormat="1" hidden="1" outlineLevel="2" x14ac:dyDescent="0.25">
      <c r="A70" s="27"/>
      <c r="B70" s="10" t="str">
        <f>CONCATENATE("          ", "6239", " - ", "KITCHEN SUPPLIES")</f>
        <v xml:space="preserve">          6239 - KITCHEN SUPPLIES</v>
      </c>
      <c r="C70" s="10"/>
      <c r="D70" s="6"/>
      <c r="E70" s="2"/>
      <c r="F70" s="7">
        <f t="shared" si="45"/>
        <v>0</v>
      </c>
      <c r="G70" s="2"/>
      <c r="H70" s="6"/>
      <c r="I70" s="2"/>
      <c r="J70" s="7">
        <f t="shared" si="46"/>
        <v>0</v>
      </c>
      <c r="K70" s="2"/>
      <c r="L70" s="6">
        <f t="shared" si="47"/>
        <v>0</v>
      </c>
      <c r="M70" s="2"/>
      <c r="N70" s="7">
        <f t="shared" si="48"/>
        <v>0</v>
      </c>
      <c r="O70" s="10"/>
      <c r="P70" s="6">
        <v>1031.07</v>
      </c>
      <c r="Q70" s="2"/>
      <c r="R70" s="7">
        <f t="shared" si="49"/>
        <v>4.3611940146993135E-2</v>
      </c>
      <c r="S70" s="2"/>
      <c r="T70" s="6">
        <v>5675.04</v>
      </c>
      <c r="U70" s="2"/>
      <c r="V70" s="7">
        <f t="shared" si="50"/>
        <v>1.5490379697210602E-3</v>
      </c>
      <c r="W70" s="2"/>
      <c r="X70" s="6">
        <f t="shared" si="51"/>
        <v>-4643.97</v>
      </c>
      <c r="Y70" s="2"/>
      <c r="Z70" s="7">
        <f t="shared" si="52"/>
        <v>-0.81831493698722835</v>
      </c>
    </row>
    <row r="71" spans="1:26" s="23" customFormat="1" hidden="1" outlineLevel="2" x14ac:dyDescent="0.25">
      <c r="A71" s="27"/>
      <c r="B71" s="10" t="str">
        <f>CONCATENATE("          ", "6241", " - ", "OFFICE EXPENSE")</f>
        <v xml:space="preserve">          6241 - OFFICE EXPENSE</v>
      </c>
      <c r="C71" s="10"/>
      <c r="D71" s="6"/>
      <c r="E71" s="2"/>
      <c r="F71" s="7">
        <f t="shared" si="45"/>
        <v>0</v>
      </c>
      <c r="G71" s="2"/>
      <c r="H71" s="6"/>
      <c r="I71" s="2"/>
      <c r="J71" s="7">
        <f t="shared" si="46"/>
        <v>0</v>
      </c>
      <c r="K71" s="2"/>
      <c r="L71" s="6">
        <f t="shared" si="47"/>
        <v>0</v>
      </c>
      <c r="M71" s="2"/>
      <c r="N71" s="7">
        <f t="shared" si="48"/>
        <v>0</v>
      </c>
      <c r="O71" s="10"/>
      <c r="P71" s="6">
        <v>19.7</v>
      </c>
      <c r="Q71" s="2"/>
      <c r="R71" s="7">
        <f t="shared" si="49"/>
        <v>8.3326565693480064E-4</v>
      </c>
      <c r="S71" s="2"/>
      <c r="T71" s="6">
        <v>2449.29</v>
      </c>
      <c r="U71" s="2"/>
      <c r="V71" s="7">
        <f t="shared" si="50"/>
        <v>6.6854915716155227E-4</v>
      </c>
      <c r="W71" s="2"/>
      <c r="X71" s="6">
        <f t="shared" si="51"/>
        <v>-2429.59</v>
      </c>
      <c r="Y71" s="2"/>
      <c r="Z71" s="7">
        <f t="shared" si="52"/>
        <v>-0.99195685280224077</v>
      </c>
    </row>
    <row r="72" spans="1:26" s="23" customFormat="1" hidden="1" outlineLevel="2" x14ac:dyDescent="0.25">
      <c r="A72" s="27"/>
      <c r="B72" s="10" t="str">
        <f>CONCATENATE("          ", "6243", " - ", "PAPER SUPPLIES")</f>
        <v xml:space="preserve">          6243 - PAPER SUPPLIES</v>
      </c>
      <c r="C72" s="10"/>
      <c r="D72" s="6"/>
      <c r="E72" s="2"/>
      <c r="F72" s="7">
        <f t="shared" si="45"/>
        <v>0</v>
      </c>
      <c r="G72" s="2"/>
      <c r="H72" s="6">
        <v>1881.7</v>
      </c>
      <c r="I72" s="2"/>
      <c r="J72" s="7">
        <f t="shared" si="46"/>
        <v>0.43270402649067541</v>
      </c>
      <c r="K72" s="2"/>
      <c r="L72" s="6">
        <f t="shared" si="47"/>
        <v>-1881.7</v>
      </c>
      <c r="M72" s="2"/>
      <c r="N72" s="7">
        <f t="shared" si="48"/>
        <v>-1</v>
      </c>
      <c r="O72" s="10"/>
      <c r="P72" s="6">
        <v>3009.55</v>
      </c>
      <c r="Q72" s="2"/>
      <c r="R72" s="7">
        <f t="shared" si="49"/>
        <v>0.12729719075269691</v>
      </c>
      <c r="S72" s="2"/>
      <c r="T72" s="6">
        <v>24886.66</v>
      </c>
      <c r="U72" s="2"/>
      <c r="V72" s="7">
        <f t="shared" si="50"/>
        <v>6.7929708477012189E-3</v>
      </c>
      <c r="W72" s="2"/>
      <c r="X72" s="6">
        <f t="shared" si="51"/>
        <v>-21877.11</v>
      </c>
      <c r="Y72" s="2"/>
      <c r="Z72" s="7">
        <f t="shared" si="52"/>
        <v>-0.87906975062141723</v>
      </c>
    </row>
    <row r="73" spans="1:26" s="23" customFormat="1" hidden="1" outlineLevel="2" x14ac:dyDescent="0.25">
      <c r="A73" s="27"/>
      <c r="B73" s="10" t="str">
        <f>CONCATENATE("          ", "6245", " - ", "PRINTING")</f>
        <v xml:space="preserve">          6245 - PRINTING</v>
      </c>
      <c r="C73" s="10"/>
      <c r="D73" s="6"/>
      <c r="E73" s="2"/>
      <c r="F73" s="7">
        <f t="shared" si="45"/>
        <v>0</v>
      </c>
      <c r="G73" s="2"/>
      <c r="H73" s="6"/>
      <c r="I73" s="2"/>
      <c r="J73" s="7">
        <f t="shared" si="46"/>
        <v>0</v>
      </c>
      <c r="K73" s="2"/>
      <c r="L73" s="6">
        <f t="shared" si="47"/>
        <v>0</v>
      </c>
      <c r="M73" s="2"/>
      <c r="N73" s="7">
        <f t="shared" si="48"/>
        <v>0</v>
      </c>
      <c r="O73" s="10"/>
      <c r="P73" s="6"/>
      <c r="Q73" s="2"/>
      <c r="R73" s="7">
        <f t="shared" si="49"/>
        <v>0</v>
      </c>
      <c r="S73" s="2"/>
      <c r="T73" s="6">
        <v>441</v>
      </c>
      <c r="U73" s="2"/>
      <c r="V73" s="7">
        <f t="shared" si="50"/>
        <v>1.2037373210532219E-4</v>
      </c>
      <c r="W73" s="2"/>
      <c r="X73" s="6">
        <f t="shared" si="51"/>
        <v>-441</v>
      </c>
      <c r="Y73" s="2"/>
      <c r="Z73" s="7">
        <f t="shared" si="52"/>
        <v>-1</v>
      </c>
    </row>
    <row r="74" spans="1:26" s="23" customFormat="1" hidden="1" outlineLevel="2" x14ac:dyDescent="0.25">
      <c r="A74" s="27"/>
      <c r="B74" s="10" t="str">
        <f>CONCATENATE("          ", "6247", " - ", "STORE SUPPLIES")</f>
        <v xml:space="preserve">          6247 - STORE SUPPLIES</v>
      </c>
      <c r="C74" s="10"/>
      <c r="D74" s="6"/>
      <c r="E74" s="2"/>
      <c r="F74" s="7">
        <f t="shared" si="45"/>
        <v>0</v>
      </c>
      <c r="G74" s="2"/>
      <c r="H74" s="6"/>
      <c r="I74" s="2"/>
      <c r="J74" s="7">
        <f t="shared" si="46"/>
        <v>0</v>
      </c>
      <c r="K74" s="2"/>
      <c r="L74" s="6">
        <f t="shared" si="47"/>
        <v>0</v>
      </c>
      <c r="M74" s="2"/>
      <c r="N74" s="7">
        <f t="shared" si="48"/>
        <v>0</v>
      </c>
      <c r="O74" s="10"/>
      <c r="P74" s="6"/>
      <c r="Q74" s="2"/>
      <c r="R74" s="7">
        <f t="shared" si="49"/>
        <v>0</v>
      </c>
      <c r="S74" s="2"/>
      <c r="T74" s="6">
        <v>82.5</v>
      </c>
      <c r="U74" s="2"/>
      <c r="V74" s="7">
        <f t="shared" si="50"/>
        <v>2.251889546188E-5</v>
      </c>
      <c r="W74" s="2"/>
      <c r="X74" s="6">
        <f t="shared" si="51"/>
        <v>-82.5</v>
      </c>
      <c r="Y74" s="2"/>
      <c r="Z74" s="7">
        <f t="shared" si="52"/>
        <v>-1</v>
      </c>
    </row>
    <row r="75" spans="1:26" s="23" customFormat="1" hidden="1" outlineLevel="2" x14ac:dyDescent="0.25">
      <c r="A75" s="27"/>
      <c r="B75" s="10" t="str">
        <f>CONCATENATE("          ", "6248", " - ", "UNIFORMS")</f>
        <v xml:space="preserve">          6248 - UNIFORMS</v>
      </c>
      <c r="C75" s="10"/>
      <c r="D75" s="6"/>
      <c r="E75" s="2"/>
      <c r="F75" s="7">
        <f t="shared" si="45"/>
        <v>0</v>
      </c>
      <c r="G75" s="2"/>
      <c r="H75" s="6"/>
      <c r="I75" s="2"/>
      <c r="J75" s="7">
        <f t="shared" si="46"/>
        <v>0</v>
      </c>
      <c r="K75" s="2"/>
      <c r="L75" s="6">
        <f t="shared" si="47"/>
        <v>0</v>
      </c>
      <c r="M75" s="2"/>
      <c r="N75" s="7">
        <f t="shared" si="48"/>
        <v>0</v>
      </c>
      <c r="O75" s="10"/>
      <c r="P75" s="6"/>
      <c r="Q75" s="2"/>
      <c r="R75" s="7">
        <f t="shared" si="49"/>
        <v>0</v>
      </c>
      <c r="S75" s="2"/>
      <c r="T75" s="6">
        <v>3521.63</v>
      </c>
      <c r="U75" s="2"/>
      <c r="V75" s="7">
        <f t="shared" si="50"/>
        <v>9.6125112515661173E-4</v>
      </c>
      <c r="W75" s="2"/>
      <c r="X75" s="6">
        <f t="shared" si="51"/>
        <v>-3521.63</v>
      </c>
      <c r="Y75" s="2"/>
      <c r="Z75" s="7">
        <f t="shared" si="52"/>
        <v>-1</v>
      </c>
    </row>
    <row r="76" spans="1:26" s="26" customFormat="1" outlineLevel="1" collapsed="1" x14ac:dyDescent="0.25">
      <c r="A76" s="25"/>
      <c r="B76" s="12" t="str">
        <f>CONCATENATE("     ","Telephone/Data Lines                              ")</f>
        <v xml:space="preserve">     Telephone/Data Lines                              </v>
      </c>
      <c r="C76" s="12"/>
      <c r="D76" s="1">
        <f>SUM(OSRRefD22_14x_0)</f>
        <v>89</v>
      </c>
      <c r="E76" s="1"/>
      <c r="F76" s="5">
        <f t="shared" ref="F76:F81" si="53">IF(D$12=0,0,D76/D$12)</f>
        <v>0</v>
      </c>
      <c r="G76" s="1"/>
      <c r="H76" s="1">
        <f>SUM(OSRRefH22_14x_0)</f>
        <v>144.05000000000001</v>
      </c>
      <c r="I76" s="1"/>
      <c r="J76" s="5">
        <f t="shared" ref="J76:J81" si="54">IF(H$12=0,0,H76/H$12)</f>
        <v>3.3124841906776739E-2</v>
      </c>
      <c r="K76" s="1"/>
      <c r="L76" s="1">
        <f t="shared" ref="L76:L81" si="55">+D76-H76</f>
        <v>-55.050000000000011</v>
      </c>
      <c r="M76" s="1"/>
      <c r="N76" s="5">
        <f t="shared" ref="N76:N81" si="56">IF(H76=0,0,L76/H76)</f>
        <v>-0.38215897257896569</v>
      </c>
      <c r="O76" s="12"/>
      <c r="P76" s="1">
        <f>SUM(OSRRefP22_14x_0)</f>
        <v>1276</v>
      </c>
      <c r="Q76" s="1"/>
      <c r="R76" s="5">
        <f t="shared" ref="R76:R81" si="57">IF(P$12=0,0,P76/P$12)</f>
        <v>5.3971927829888612E-2</v>
      </c>
      <c r="S76" s="1"/>
      <c r="T76" s="1">
        <f>SUM(OSRRefT22_14x_0)</f>
        <v>1838.85</v>
      </c>
      <c r="U76" s="1"/>
      <c r="V76" s="5">
        <f t="shared" ref="V76:V81" si="58">IF(T$12=0,0,T76/T$12)</f>
        <v>5.0192570812215799E-4</v>
      </c>
      <c r="W76" s="1"/>
      <c r="X76" s="1">
        <f t="shared" ref="X76:X81" si="59">+P76-T76</f>
        <v>-562.84999999999991</v>
      </c>
      <c r="Y76" s="1"/>
      <c r="Z76" s="5">
        <f t="shared" ref="Z76:Z81" si="60">IF(T76=0,0,X76/T76)</f>
        <v>-0.30608804415803353</v>
      </c>
    </row>
    <row r="77" spans="1:26" s="23" customFormat="1" hidden="1" outlineLevel="2" x14ac:dyDescent="0.25">
      <c r="A77" s="27"/>
      <c r="B77" s="10" t="str">
        <f>CONCATENATE("          ", "6309", " - ", "TELEPHONE")</f>
        <v xml:space="preserve">          6309 - TELEPHONE</v>
      </c>
      <c r="C77" s="10"/>
      <c r="D77" s="6">
        <v>89</v>
      </c>
      <c r="E77" s="2"/>
      <c r="F77" s="7">
        <f t="shared" si="53"/>
        <v>0</v>
      </c>
      <c r="G77" s="2"/>
      <c r="H77" s="6">
        <v>144.05000000000001</v>
      </c>
      <c r="I77" s="2"/>
      <c r="J77" s="7">
        <f t="shared" si="54"/>
        <v>3.3124841906776739E-2</v>
      </c>
      <c r="K77" s="2"/>
      <c r="L77" s="6">
        <f t="shared" si="55"/>
        <v>-55.050000000000011</v>
      </c>
      <c r="M77" s="2"/>
      <c r="N77" s="7">
        <f t="shared" si="56"/>
        <v>-0.38215897257896569</v>
      </c>
      <c r="O77" s="10"/>
      <c r="P77" s="6">
        <v>1276</v>
      </c>
      <c r="Q77" s="2"/>
      <c r="R77" s="7">
        <f t="shared" si="57"/>
        <v>5.3971927829888612E-2</v>
      </c>
      <c r="S77" s="2"/>
      <c r="T77" s="6">
        <v>1838.85</v>
      </c>
      <c r="U77" s="2"/>
      <c r="V77" s="7">
        <f t="shared" si="58"/>
        <v>5.0192570812215799E-4</v>
      </c>
      <c r="W77" s="2"/>
      <c r="X77" s="6">
        <f t="shared" si="59"/>
        <v>-562.84999999999991</v>
      </c>
      <c r="Y77" s="2"/>
      <c r="Z77" s="7">
        <f t="shared" si="60"/>
        <v>-0.30608804415803353</v>
      </c>
    </row>
    <row r="78" spans="1:26" s="26" customFormat="1" outlineLevel="1" collapsed="1" x14ac:dyDescent="0.25">
      <c r="A78" s="25"/>
      <c r="B78" s="12" t="str">
        <f>CONCATENATE("     ","Training                                          ")</f>
        <v xml:space="preserve">     Training                                          </v>
      </c>
      <c r="C78" s="12"/>
      <c r="D78" s="1">
        <f>SUM(OSRRefD22_15x_0)</f>
        <v>0</v>
      </c>
      <c r="E78" s="1"/>
      <c r="F78" s="5">
        <f t="shared" si="53"/>
        <v>0</v>
      </c>
      <c r="G78" s="1"/>
      <c r="H78" s="1">
        <f>SUM(OSRRefH22_15x_0)</f>
        <v>0</v>
      </c>
      <c r="I78" s="1"/>
      <c r="J78" s="5">
        <f t="shared" si="54"/>
        <v>0</v>
      </c>
      <c r="K78" s="1"/>
      <c r="L78" s="1">
        <f t="shared" si="55"/>
        <v>0</v>
      </c>
      <c r="M78" s="1"/>
      <c r="N78" s="5">
        <f t="shared" si="56"/>
        <v>0</v>
      </c>
      <c r="O78" s="12"/>
      <c r="P78" s="1">
        <f>SUM(OSRRefP22_15x_0)</f>
        <v>0</v>
      </c>
      <c r="Q78" s="1"/>
      <c r="R78" s="5">
        <f t="shared" si="57"/>
        <v>0</v>
      </c>
      <c r="S78" s="1"/>
      <c r="T78" s="1">
        <f>SUM(OSRRefT22_15x_0)</f>
        <v>678.48</v>
      </c>
      <c r="U78" s="1"/>
      <c r="V78" s="5">
        <f t="shared" si="58"/>
        <v>1.8519539627850112E-4</v>
      </c>
      <c r="W78" s="1"/>
      <c r="X78" s="1">
        <f t="shared" si="59"/>
        <v>-678.48</v>
      </c>
      <c r="Y78" s="1"/>
      <c r="Z78" s="5">
        <f t="shared" si="60"/>
        <v>-1</v>
      </c>
    </row>
    <row r="79" spans="1:26" s="23" customFormat="1" hidden="1" outlineLevel="2" x14ac:dyDescent="0.25">
      <c r="A79" s="27"/>
      <c r="B79" s="10" t="str">
        <f>CONCATENATE("          ", "6376", " - ", "TRAINING")</f>
        <v xml:space="preserve">          6376 - TRAINING</v>
      </c>
      <c r="C79" s="10"/>
      <c r="D79" s="6"/>
      <c r="E79" s="2"/>
      <c r="F79" s="7">
        <f t="shared" si="53"/>
        <v>0</v>
      </c>
      <c r="G79" s="2"/>
      <c r="H79" s="6"/>
      <c r="I79" s="2"/>
      <c r="J79" s="7">
        <f t="shared" si="54"/>
        <v>0</v>
      </c>
      <c r="K79" s="2"/>
      <c r="L79" s="6">
        <f t="shared" si="55"/>
        <v>0</v>
      </c>
      <c r="M79" s="2"/>
      <c r="N79" s="7">
        <f t="shared" si="56"/>
        <v>0</v>
      </c>
      <c r="O79" s="10"/>
      <c r="P79" s="6"/>
      <c r="Q79" s="2"/>
      <c r="R79" s="7">
        <f t="shared" si="57"/>
        <v>0</v>
      </c>
      <c r="S79" s="2"/>
      <c r="T79" s="6">
        <v>678.48</v>
      </c>
      <c r="U79" s="2"/>
      <c r="V79" s="7">
        <f t="shared" si="58"/>
        <v>1.8519539627850112E-4</v>
      </c>
      <c r="W79" s="2"/>
      <c r="X79" s="6">
        <f t="shared" si="59"/>
        <v>-678.48</v>
      </c>
      <c r="Y79" s="2"/>
      <c r="Z79" s="7">
        <f t="shared" si="60"/>
        <v>-1</v>
      </c>
    </row>
    <row r="80" spans="1:26" s="26" customFormat="1" outlineLevel="1" collapsed="1" x14ac:dyDescent="0.25">
      <c r="A80" s="25"/>
      <c r="B80" s="12" t="str">
        <f>CONCATENATE("     ","Travel                                            ")</f>
        <v xml:space="preserve">     Travel                                            </v>
      </c>
      <c r="C80" s="12"/>
      <c r="D80" s="1">
        <f>SUM(OSRRefD22_16x_0)</f>
        <v>0</v>
      </c>
      <c r="E80" s="1"/>
      <c r="F80" s="5">
        <f t="shared" si="53"/>
        <v>0</v>
      </c>
      <c r="G80" s="1"/>
      <c r="H80" s="1">
        <f>SUM(OSRRefH22_16x_0)</f>
        <v>0</v>
      </c>
      <c r="I80" s="1"/>
      <c r="J80" s="5">
        <f t="shared" si="54"/>
        <v>0</v>
      </c>
      <c r="K80" s="1"/>
      <c r="L80" s="1">
        <f t="shared" si="55"/>
        <v>0</v>
      </c>
      <c r="M80" s="1"/>
      <c r="N80" s="5">
        <f t="shared" si="56"/>
        <v>0</v>
      </c>
      <c r="O80" s="12"/>
      <c r="P80" s="1">
        <f>SUM(OSRRefP22_16x_0)</f>
        <v>0</v>
      </c>
      <c r="Q80" s="1"/>
      <c r="R80" s="5">
        <f t="shared" si="57"/>
        <v>0</v>
      </c>
      <c r="S80" s="1"/>
      <c r="T80" s="1">
        <f>SUM(OSRRefT22_16x_0)</f>
        <v>1429.86</v>
      </c>
      <c r="U80" s="1"/>
      <c r="V80" s="5">
        <f t="shared" si="58"/>
        <v>3.9028930745604526E-4</v>
      </c>
      <c r="W80" s="1"/>
      <c r="X80" s="1">
        <f t="shared" si="59"/>
        <v>-1429.86</v>
      </c>
      <c r="Y80" s="1"/>
      <c r="Z80" s="5">
        <f t="shared" si="60"/>
        <v>-1</v>
      </c>
    </row>
    <row r="81" spans="1:26" s="23" customFormat="1" hidden="1" outlineLevel="2" x14ac:dyDescent="0.25">
      <c r="A81" s="27"/>
      <c r="B81" s="10" t="str">
        <f>CONCATENATE("          ", "6292", " - ", "TRAVEL/CONFERENCE")</f>
        <v xml:space="preserve">          6292 - TRAVEL/CONFERENCE</v>
      </c>
      <c r="C81" s="10"/>
      <c r="D81" s="6"/>
      <c r="E81" s="2"/>
      <c r="F81" s="7">
        <f t="shared" si="53"/>
        <v>0</v>
      </c>
      <c r="G81" s="2"/>
      <c r="H81" s="6"/>
      <c r="I81" s="2"/>
      <c r="J81" s="7">
        <f t="shared" si="54"/>
        <v>0</v>
      </c>
      <c r="K81" s="2"/>
      <c r="L81" s="6">
        <f t="shared" si="55"/>
        <v>0</v>
      </c>
      <c r="M81" s="2"/>
      <c r="N81" s="7">
        <f t="shared" si="56"/>
        <v>0</v>
      </c>
      <c r="O81" s="10"/>
      <c r="P81" s="6"/>
      <c r="Q81" s="2"/>
      <c r="R81" s="7">
        <f t="shared" si="57"/>
        <v>0</v>
      </c>
      <c r="S81" s="2"/>
      <c r="T81" s="6">
        <v>1429.86</v>
      </c>
      <c r="U81" s="2"/>
      <c r="V81" s="7">
        <f t="shared" si="58"/>
        <v>3.9028930745604526E-4</v>
      </c>
      <c r="W81" s="2"/>
      <c r="X81" s="6">
        <f t="shared" si="59"/>
        <v>-1429.86</v>
      </c>
      <c r="Y81" s="2"/>
      <c r="Z81" s="7">
        <f t="shared" si="60"/>
        <v>-1</v>
      </c>
    </row>
    <row r="82" spans="1:26" s="62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4" customFormat="1" x14ac:dyDescent="0.25">
      <c r="A83" s="11"/>
      <c r="B83" s="28" t="s">
        <v>292</v>
      </c>
      <c r="C83" s="11"/>
      <c r="D83" s="4">
        <f>SUM(0)</f>
        <v>0</v>
      </c>
      <c r="E83" s="4"/>
      <c r="F83" s="13">
        <f>IF(D$12=0,0,D83/D$12)</f>
        <v>0</v>
      </c>
      <c r="G83" s="4"/>
      <c r="H83" s="4">
        <f>SUM(0)</f>
        <v>0</v>
      </c>
      <c r="I83" s="4"/>
      <c r="J83" s="13">
        <f>IF(H$12=0,0,H83/H$12)</f>
        <v>0</v>
      </c>
      <c r="K83" s="4"/>
      <c r="L83" s="4">
        <f>+D83-H83</f>
        <v>0</v>
      </c>
      <c r="M83" s="4"/>
      <c r="N83" s="13">
        <f>IF(H83=0,0,L83/H83)</f>
        <v>0</v>
      </c>
      <c r="O83" s="11"/>
      <c r="P83" s="4">
        <f>SUM(0)</f>
        <v>0</v>
      </c>
      <c r="Q83" s="4"/>
      <c r="R83" s="13">
        <f>IF(P$12=0,0,P83/P$12)</f>
        <v>0</v>
      </c>
      <c r="S83" s="4"/>
      <c r="T83" s="4">
        <f>SUM(0)</f>
        <v>0</v>
      </c>
      <c r="U83" s="4"/>
      <c r="V83" s="13">
        <f>IF(T$12=0,0,T83/T$12)</f>
        <v>0</v>
      </c>
      <c r="W83" s="4"/>
      <c r="X83" s="4">
        <f>+P83-T83</f>
        <v>0</v>
      </c>
      <c r="Y83" s="4"/>
      <c r="Z83" s="13">
        <f>IF(T83=0,0,X83/T83)</f>
        <v>0</v>
      </c>
    </row>
    <row r="84" spans="1:26" x14ac:dyDescent="0.25">
      <c r="A84" s="9"/>
      <c r="B84" s="11"/>
      <c r="C84" s="11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1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4" customFormat="1" x14ac:dyDescent="0.25">
      <c r="A85" s="11"/>
      <c r="B85" s="29" t="s">
        <v>276</v>
      </c>
      <c r="C85" s="29"/>
      <c r="D85" s="20">
        <f>+D21-D23+D83</f>
        <v>-52820.52</v>
      </c>
      <c r="E85" s="14"/>
      <c r="F85" s="22">
        <f>IF(D$12=0,0,D85/D$12)</f>
        <v>0</v>
      </c>
      <c r="G85" s="14"/>
      <c r="H85" s="20">
        <f>+H21-H23+H83</f>
        <v>-38084.53</v>
      </c>
      <c r="I85" s="14"/>
      <c r="J85" s="22">
        <f>IF(H$12=0,0,H85/H$12)</f>
        <v>-8.7576816059971954</v>
      </c>
      <c r="K85" s="16"/>
      <c r="L85" s="20">
        <f>+D85-H85</f>
        <v>-14735.989999999998</v>
      </c>
      <c r="M85" s="16"/>
      <c r="N85" s="22">
        <f>IF(H85=0,0,L85/H85)</f>
        <v>0.38692849826425579</v>
      </c>
      <c r="O85" s="28"/>
      <c r="P85" s="20">
        <f>+P21-P23+P83</f>
        <v>-516862.00999999995</v>
      </c>
      <c r="Q85" s="14"/>
      <c r="R85" s="22">
        <f>IF(P$12=0,0,P85/P$12)</f>
        <v>-21.86209960950718</v>
      </c>
      <c r="S85" s="14"/>
      <c r="T85" s="20">
        <f>+T21-T23+T83</f>
        <v>1178912.8200000003</v>
      </c>
      <c r="U85" s="14"/>
      <c r="V85" s="22">
        <f>IF(T$12=0,0,T85/T$12)</f>
        <v>0.32179169154242621</v>
      </c>
      <c r="W85" s="16"/>
      <c r="X85" s="20">
        <f>+P85-T85</f>
        <v>-1695774.8300000003</v>
      </c>
      <c r="Y85" s="16"/>
      <c r="Z85" s="22">
        <f>IF(T85=0,0,X85/T85)</f>
        <v>-1.4384225883640827</v>
      </c>
    </row>
    <row r="86" spans="1:26" x14ac:dyDescent="0.25">
      <c r="A86" s="9"/>
      <c r="B86" s="11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4" customFormat="1" x14ac:dyDescent="0.25">
      <c r="A87" s="51"/>
      <c r="B87" s="11" t="s">
        <v>127</v>
      </c>
      <c r="C87" s="11"/>
      <c r="D87" s="4">
        <v>73.59</v>
      </c>
      <c r="E87" s="4"/>
      <c r="F87" s="13">
        <f>IF(D$12=0,0,D87/D$12)</f>
        <v>0</v>
      </c>
      <c r="G87" s="4"/>
      <c r="H87" s="4">
        <v>23877.85</v>
      </c>
      <c r="I87" s="4"/>
      <c r="J87" s="13">
        <f>IF(H$12=0,0,H87/H$12)</f>
        <v>5.4908018488283856</v>
      </c>
      <c r="K87" s="4"/>
      <c r="L87" s="4">
        <f>+D87-H87</f>
        <v>-23804.26</v>
      </c>
      <c r="M87" s="4"/>
      <c r="N87" s="13">
        <f>IF(H87=0,0,L87/H87)</f>
        <v>-0.9969180642310761</v>
      </c>
      <c r="O87" s="11"/>
      <c r="P87" s="4">
        <v>4945.99</v>
      </c>
      <c r="Q87" s="4"/>
      <c r="R87" s="13">
        <f>IF(P$12=0,0,P87/P$12)</f>
        <v>0.209204243986952</v>
      </c>
      <c r="S87" s="4"/>
      <c r="T87" s="4">
        <v>415974.42</v>
      </c>
      <c r="U87" s="4"/>
      <c r="V87" s="13">
        <f>IF(T$12=0,0,T87/T$12)</f>
        <v>0.11354284216722624</v>
      </c>
      <c r="W87" s="4"/>
      <c r="X87" s="4">
        <f>+P87-T87</f>
        <v>-411028.43</v>
      </c>
      <c r="Y87" s="4"/>
      <c r="Z87" s="13">
        <f>IF(T87=0,0,X87/T87)</f>
        <v>-0.98810986983286142</v>
      </c>
    </row>
    <row r="88" spans="1:26" x14ac:dyDescent="0.25">
      <c r="A88" s="9"/>
      <c r="B88" s="11"/>
      <c r="C88" s="11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1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4" customFormat="1" ht="15.75" thickBot="1" x14ac:dyDescent="0.3">
      <c r="A89" s="11"/>
      <c r="B89" s="29" t="s">
        <v>125</v>
      </c>
      <c r="C89" s="29"/>
      <c r="D89" s="30">
        <f>+D85-D87</f>
        <v>-52894.109999999993</v>
      </c>
      <c r="E89" s="14"/>
      <c r="F89" s="34">
        <f>IF(D$12=0,0,D89/D$12)</f>
        <v>0</v>
      </c>
      <c r="G89" s="14"/>
      <c r="H89" s="30">
        <f>+H85-H87</f>
        <v>-61962.38</v>
      </c>
      <c r="I89" s="14"/>
      <c r="J89" s="34">
        <f>IF(H$12=0,0,H89/H$12)</f>
        <v>-14.24848345482558</v>
      </c>
      <c r="K89" s="16"/>
      <c r="L89" s="30">
        <f>D89-H89</f>
        <v>9068.2700000000041</v>
      </c>
      <c r="M89" s="16"/>
      <c r="N89" s="34">
        <f>IF(H89=0,0,L89/H89)</f>
        <v>-0.14635122149923879</v>
      </c>
      <c r="O89" s="28"/>
      <c r="P89" s="30">
        <f>+P85-P87</f>
        <v>-521807.99999999994</v>
      </c>
      <c r="Q89" s="14"/>
      <c r="R89" s="34">
        <f>IF(P$12=0,0,P89/P$12)</f>
        <v>-22.071303853494133</v>
      </c>
      <c r="S89" s="14"/>
      <c r="T89" s="30">
        <f>+T85-T87</f>
        <v>762938.40000000037</v>
      </c>
      <c r="U89" s="14"/>
      <c r="V89" s="34">
        <f>IF(T$12=0,0,T89/T$12)</f>
        <v>0.20824884937519997</v>
      </c>
      <c r="W89" s="16"/>
      <c r="X89" s="30">
        <f>P89-T89</f>
        <v>-1284746.4000000004</v>
      </c>
      <c r="Y89" s="16"/>
      <c r="Z89" s="34">
        <f>IF(T89=0,0,X89/T89)</f>
        <v>-1.683945125845022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4" customFormat="1" ht="15.75" thickBot="1" x14ac:dyDescent="0.3">
      <c r="A92" s="11"/>
      <c r="B92" s="29" t="s">
        <v>293</v>
      </c>
      <c r="C92" s="29"/>
      <c r="D92" s="32">
        <f>SUM(D89:D91)</f>
        <v>-52894.109999999993</v>
      </c>
      <c r="E92" s="14"/>
      <c r="F92" s="35">
        <f>IF(D$12=0,0,D92/D$12)</f>
        <v>0</v>
      </c>
      <c r="G92" s="14"/>
      <c r="H92" s="32">
        <f>SUM(H89:H91)</f>
        <v>-61962.38</v>
      </c>
      <c r="I92" s="14"/>
      <c r="J92" s="35">
        <f>IF(H$12=0,0,H92/H$12)</f>
        <v>-14.24848345482558</v>
      </c>
      <c r="K92" s="16"/>
      <c r="L92" s="32">
        <f>+D92-H92</f>
        <v>9068.2700000000041</v>
      </c>
      <c r="M92" s="16"/>
      <c r="N92" s="35">
        <f>IF(H92=0,0,L92/H92)</f>
        <v>-0.14635122149923879</v>
      </c>
      <c r="O92" s="28"/>
      <c r="P92" s="32">
        <f>SUM(P89:P91)</f>
        <v>-521807.99999999994</v>
      </c>
      <c r="Q92" s="14"/>
      <c r="R92" s="35">
        <f>IF(P$12=0,0,P92/P$12)</f>
        <v>-22.071303853494133</v>
      </c>
      <c r="S92" s="14"/>
      <c r="T92" s="32">
        <f>SUM(T89:T91)</f>
        <v>762938.40000000037</v>
      </c>
      <c r="U92" s="14"/>
      <c r="V92" s="35">
        <f>IF(T$12=0,0,T92/T$12)</f>
        <v>0.20824884937519997</v>
      </c>
      <c r="W92" s="16"/>
      <c r="X92" s="32">
        <f>+P92-T92</f>
        <v>-1284746.4000000004</v>
      </c>
      <c r="Y92" s="16"/>
      <c r="Z92" s="35">
        <f>IF(T92=0,0,X92/T92)</f>
        <v>-1.683945125845022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9">
        <v>44330.00886898148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2" t="s">
        <v>56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5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2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","435", " - ", "Ground Floor Coffee House")</f>
        <v>Department 435 - Ground Floor Coffee House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5" si="0">+D12-H12</f>
        <v>0</v>
      </c>
      <c r="M12" s="4"/>
      <c r="N12" s="13">
        <f t="shared" ref="N12:N15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5179.0200000000004</v>
      </c>
      <c r="U12" s="4"/>
      <c r="V12" s="13"/>
      <c r="W12" s="4"/>
      <c r="X12" s="4">
        <f t="shared" ref="X12:X15" si="2">+P12-T12</f>
        <v>-5179.0200000000004</v>
      </c>
      <c r="Y12" s="4"/>
      <c r="Z12" s="13">
        <f t="shared" ref="Z12:Z15" si="3">IF(T12=0,0,X12/T12)</f>
        <v>-1</v>
      </c>
    </row>
    <row r="13" spans="1:26" s="23" customFormat="1" hidden="1" outlineLevel="1" x14ac:dyDescent="0.25">
      <c r="A13" s="44"/>
      <c r="B13" s="10" t="str">
        <f>CONCATENATE("          ", "4055", " - ", "TAXABLE SALES-FOOD")</f>
        <v xml:space="preserve">          4055 - TAXABLE SALES-FOOD</v>
      </c>
      <c r="C13" s="10"/>
      <c r="D13" s="2">
        <f t="shared" ref="D13:D15" si="4">0</f>
        <v>0</v>
      </c>
      <c r="E13" s="2"/>
      <c r="F13" s="19"/>
      <c r="G13" s="2"/>
      <c r="H13" s="2">
        <f t="shared" ref="H13:H15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5" si="6">0</f>
        <v>0</v>
      </c>
      <c r="Q13" s="2"/>
      <c r="R13" s="19"/>
      <c r="S13" s="2"/>
      <c r="T13" s="2">
        <f>--973.49</f>
        <v>973.49</v>
      </c>
      <c r="U13" s="2"/>
      <c r="V13" s="19"/>
      <c r="W13" s="2"/>
      <c r="X13" s="2">
        <f t="shared" si="2"/>
        <v>-973.49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"4153", " - ", "NON-TAXABLE SALES-FOOD")</f>
        <v xml:space="preserve">          4153 -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--471.63</f>
        <v>471.63</v>
      </c>
      <c r="U14" s="2"/>
      <c r="V14" s="19"/>
      <c r="W14" s="2"/>
      <c r="X14" s="2">
        <f t="shared" si="2"/>
        <v>-471.63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"4155", " - ", "NON-TAXABLE SALES-FOOD")</f>
        <v xml:space="preserve">          4155 - NON-TAXABLE SALES-FOOD</v>
      </c>
      <c r="C15" s="10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6"/>
        <v>0</v>
      </c>
      <c r="Q15" s="2"/>
      <c r="R15" s="19"/>
      <c r="S15" s="2"/>
      <c r="T15" s="2">
        <f>--3733.9</f>
        <v>3733.9</v>
      </c>
      <c r="U15" s="2"/>
      <c r="V15" s="19"/>
      <c r="W15" s="2"/>
      <c r="X15" s="2">
        <f t="shared" si="2"/>
        <v>-3733.9</v>
      </c>
      <c r="Y15" s="2"/>
      <c r="Z15" s="19">
        <f t="shared" si="3"/>
        <v>-1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8" t="s">
        <v>256</v>
      </c>
      <c r="C17" s="11"/>
      <c r="D17" s="4">
        <f>SUM(OSRRefD16x_0)</f>
        <v>0</v>
      </c>
      <c r="E17" s="4"/>
      <c r="F17" s="13">
        <f t="shared" ref="F17:F19" si="7">IF(D$12=0,0,D17/D$12)</f>
        <v>0</v>
      </c>
      <c r="G17" s="4"/>
      <c r="H17" s="4">
        <f>SUM(OSRRefH16x_0)</f>
        <v>4512</v>
      </c>
      <c r="I17" s="4"/>
      <c r="J17" s="13">
        <f t="shared" ref="J17:J19" si="8">IF(H$12=0,0,H17/H$12)</f>
        <v>0</v>
      </c>
      <c r="K17" s="4"/>
      <c r="L17" s="4">
        <f t="shared" ref="L17:L19" si="9">+D17-H17</f>
        <v>-4512</v>
      </c>
      <c r="M17" s="4"/>
      <c r="N17" s="13">
        <f t="shared" ref="N17:N19" si="10">IF(H17=0,0,L17/H17)</f>
        <v>-1</v>
      </c>
      <c r="O17" s="11"/>
      <c r="P17" s="4">
        <f>SUM(OSRRefP16x_0)</f>
        <v>0</v>
      </c>
      <c r="Q17" s="4"/>
      <c r="R17" s="13">
        <f t="shared" ref="R17:R19" si="11">IF(P$12=0,0,P17/P$12)</f>
        <v>0</v>
      </c>
      <c r="S17" s="4"/>
      <c r="T17" s="4">
        <f>SUM(OSRRefT16x_0)</f>
        <v>6466.4699999999993</v>
      </c>
      <c r="U17" s="4"/>
      <c r="V17" s="13">
        <f t="shared" ref="V17:V19" si="12">IF(T$12=0,0,T17/T$12)</f>
        <v>1.2485895014886983</v>
      </c>
      <c r="W17" s="4"/>
      <c r="X17" s="4">
        <f t="shared" ref="X17:X19" si="13">+P17-T17</f>
        <v>-6466.4699999999993</v>
      </c>
      <c r="Y17" s="4"/>
      <c r="Z17" s="13">
        <f t="shared" ref="Z17:Z19" si="14">IF(T17=0,0,X17/T17)</f>
        <v>-1</v>
      </c>
    </row>
    <row r="18" spans="1:26" s="23" customFormat="1" hidden="1" outlineLevel="1" x14ac:dyDescent="0.25">
      <c r="A18" s="44"/>
      <c r="B18" s="10" t="str">
        <f>CONCATENATE("          ", "5053", " - ", "PURCHASES @ COST-FOOD")</f>
        <v xml:space="preserve">          5053 - PURCHASES @ COST-FOOD</v>
      </c>
      <c r="C18" s="10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0"/>
      <c r="P18" s="2"/>
      <c r="Q18" s="2"/>
      <c r="R18" s="19">
        <f t="shared" si="11"/>
        <v>0</v>
      </c>
      <c r="S18" s="2"/>
      <c r="T18" s="2">
        <v>3948.48</v>
      </c>
      <c r="U18" s="2"/>
      <c r="V18" s="19">
        <f t="shared" si="12"/>
        <v>0.762399063915567</v>
      </c>
      <c r="W18" s="2"/>
      <c r="X18" s="2">
        <f t="shared" si="13"/>
        <v>-3948.48</v>
      </c>
      <c r="Y18" s="2"/>
      <c r="Z18" s="19">
        <f t="shared" si="14"/>
        <v>-1</v>
      </c>
    </row>
    <row r="19" spans="1:26" s="23" customFormat="1" hidden="1" outlineLevel="1" x14ac:dyDescent="0.25">
      <c r="A19" s="44"/>
      <c r="B19" s="10" t="str">
        <f>CONCATENATE("          ", "5059", " - ", "PURCHASES @ COST-FOOD")</f>
        <v xml:space="preserve">          5059 - PURCHASES @ COST-FOOD</v>
      </c>
      <c r="C19" s="10"/>
      <c r="D19" s="2"/>
      <c r="E19" s="2"/>
      <c r="F19" s="19">
        <f t="shared" si="7"/>
        <v>0</v>
      </c>
      <c r="G19" s="2"/>
      <c r="H19" s="2">
        <v>4512</v>
      </c>
      <c r="I19" s="2"/>
      <c r="J19" s="19">
        <f t="shared" si="8"/>
        <v>0</v>
      </c>
      <c r="K19" s="2"/>
      <c r="L19" s="2">
        <f t="shared" si="9"/>
        <v>-4512</v>
      </c>
      <c r="M19" s="2"/>
      <c r="N19" s="19">
        <f t="shared" si="10"/>
        <v>-1</v>
      </c>
      <c r="O19" s="10"/>
      <c r="P19" s="2"/>
      <c r="Q19" s="2"/>
      <c r="R19" s="19">
        <f t="shared" si="11"/>
        <v>0</v>
      </c>
      <c r="S19" s="2"/>
      <c r="T19" s="2">
        <v>2517.9899999999998</v>
      </c>
      <c r="U19" s="2"/>
      <c r="V19" s="19">
        <f t="shared" si="12"/>
        <v>0.48619043757313152</v>
      </c>
      <c r="W19" s="2"/>
      <c r="X19" s="2">
        <f t="shared" si="13"/>
        <v>-2517.9899999999998</v>
      </c>
      <c r="Y19" s="2"/>
      <c r="Z19" s="19">
        <f t="shared" si="14"/>
        <v>-1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9" t="s">
        <v>107</v>
      </c>
      <c r="C21" s="29"/>
      <c r="D21" s="20">
        <f>D12-D17</f>
        <v>0</v>
      </c>
      <c r="E21" s="14"/>
      <c r="F21" s="22">
        <f>IF(D$12=0,0,D21/D$12)</f>
        <v>0</v>
      </c>
      <c r="G21" s="14"/>
      <c r="H21" s="20">
        <f>H12-H17</f>
        <v>-4512</v>
      </c>
      <c r="I21" s="14"/>
      <c r="J21" s="22">
        <f>IF(H$12=0,0,H21/H$12)</f>
        <v>0</v>
      </c>
      <c r="K21" s="16"/>
      <c r="L21" s="20">
        <f>+D21-H21</f>
        <v>4512</v>
      </c>
      <c r="M21" s="16"/>
      <c r="N21" s="22">
        <f>IF(H21=0,0,L21/H21)</f>
        <v>-1</v>
      </c>
      <c r="O21" s="28"/>
      <c r="P21" s="20">
        <f>P12-P17</f>
        <v>0</v>
      </c>
      <c r="Q21" s="14"/>
      <c r="R21" s="22">
        <f>IF(P$12=0,0,P21/P$12)</f>
        <v>0</v>
      </c>
      <c r="S21" s="14"/>
      <c r="T21" s="20">
        <f>T12-T17</f>
        <v>-1287.4499999999989</v>
      </c>
      <c r="U21" s="14"/>
      <c r="V21" s="22">
        <f>IF(T$12=0,0,T21/T$12)</f>
        <v>-0.24858950148869841</v>
      </c>
      <c r="W21" s="16"/>
      <c r="X21" s="20">
        <f>+P21-T21</f>
        <v>1287.4499999999989</v>
      </c>
      <c r="Y21" s="16"/>
      <c r="Z21" s="22">
        <f>IF(T21=0,0,X21/T21)</f>
        <v>-1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8" t="s">
        <v>294</v>
      </c>
      <c r="C23" s="11"/>
      <c r="D23" s="21">
        <f>SUM(OSRRefD22x_0)</f>
        <v>0</v>
      </c>
      <c r="E23" s="21"/>
      <c r="F23" s="31">
        <f t="shared" ref="F23:F27" si="15">IF(D$12=0,0,D23/D$12)</f>
        <v>0</v>
      </c>
      <c r="G23" s="21"/>
      <c r="H23" s="21">
        <f>SUM(OSRRefH22x_0)</f>
        <v>75.5</v>
      </c>
      <c r="I23" s="21"/>
      <c r="J23" s="31">
        <f t="shared" ref="J23:J27" si="16">IF(H$12=0,0,H23/H$12)</f>
        <v>0</v>
      </c>
      <c r="K23" s="4"/>
      <c r="L23" s="21">
        <f t="shared" ref="L23:L27" si="17">+D23-H23</f>
        <v>-75.5</v>
      </c>
      <c r="M23" s="4"/>
      <c r="N23" s="31">
        <f t="shared" ref="N23:N27" si="18">IF(H23=0,0,L23/H23)</f>
        <v>-1</v>
      </c>
      <c r="O23" s="11"/>
      <c r="P23" s="21">
        <f>SUM(OSRRefP22x_0)</f>
        <v>178.69</v>
      </c>
      <c r="Q23" s="21"/>
      <c r="R23" s="31">
        <f t="shared" ref="R23:R27" si="19">IF(P$12=0,0,P23/P$12)</f>
        <v>0</v>
      </c>
      <c r="S23" s="21"/>
      <c r="T23" s="21">
        <f>SUM(OSRRefT22x_0)</f>
        <v>15813.719999999998</v>
      </c>
      <c r="U23" s="21"/>
      <c r="V23" s="31">
        <f t="shared" ref="V23:V27" si="20">IF(T$12=0,0,T23/T$12)</f>
        <v>3.0534193727770882</v>
      </c>
      <c r="W23" s="4"/>
      <c r="X23" s="21">
        <f t="shared" ref="X23:X27" si="21">+P23-T23</f>
        <v>-15635.029999999997</v>
      </c>
      <c r="Y23" s="4"/>
      <c r="Z23" s="31">
        <f t="shared" ref="Z23:Z27" si="22">IF(T23=0,0,X23/T23)</f>
        <v>-0.98870031845764306</v>
      </c>
    </row>
    <row r="24" spans="1:26" s="26" customFormat="1" outlineLevel="1" collapsed="1" x14ac:dyDescent="0.25">
      <c r="A24" s="25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0</v>
      </c>
      <c r="E24" s="1"/>
      <c r="F24" s="5">
        <f t="shared" si="15"/>
        <v>0</v>
      </c>
      <c r="G24" s="1"/>
      <c r="H24" s="1">
        <f>SUM(OSRRefH22_0x_0)</f>
        <v>0</v>
      </c>
      <c r="I24" s="1"/>
      <c r="J24" s="5">
        <f t="shared" si="16"/>
        <v>0</v>
      </c>
      <c r="K24" s="1"/>
      <c r="L24" s="1">
        <f t="shared" si="17"/>
        <v>0</v>
      </c>
      <c r="M24" s="1"/>
      <c r="N24" s="5">
        <f t="shared" si="18"/>
        <v>0</v>
      </c>
      <c r="O24" s="12"/>
      <c r="P24" s="1">
        <f>SUM(OSRRefP22_0x_0)</f>
        <v>0</v>
      </c>
      <c r="Q24" s="1"/>
      <c r="R24" s="5">
        <f t="shared" si="19"/>
        <v>0</v>
      </c>
      <c r="S24" s="1"/>
      <c r="T24" s="1">
        <f>SUM(OSRRefT22_0x_0)</f>
        <v>858.58</v>
      </c>
      <c r="U24" s="1"/>
      <c r="V24" s="5">
        <f t="shared" si="20"/>
        <v>0.16578039860823091</v>
      </c>
      <c r="W24" s="1"/>
      <c r="X24" s="1">
        <f t="shared" si="21"/>
        <v>-858.58</v>
      </c>
      <c r="Y24" s="1"/>
      <c r="Z24" s="5">
        <f t="shared" si="22"/>
        <v>-1</v>
      </c>
    </row>
    <row r="25" spans="1:26" s="23" customFormat="1" hidden="1" outlineLevel="2" x14ac:dyDescent="0.25">
      <c r="A25" s="27"/>
      <c r="B25" s="10" t="str">
        <f>CONCATENATE("          ", "6111", " - ", "F.I.C.A.")</f>
        <v xml:space="preserve">          6111 - F.I.C.A.</v>
      </c>
      <c r="C25" s="10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0"/>
      <c r="P25" s="6"/>
      <c r="Q25" s="2"/>
      <c r="R25" s="7">
        <f t="shared" si="19"/>
        <v>0</v>
      </c>
      <c r="S25" s="2"/>
      <c r="T25" s="6">
        <v>602.38</v>
      </c>
      <c r="U25" s="2"/>
      <c r="V25" s="7">
        <f t="shared" si="20"/>
        <v>0.11631158018312343</v>
      </c>
      <c r="W25" s="2"/>
      <c r="X25" s="6">
        <f t="shared" si="21"/>
        <v>-602.38</v>
      </c>
      <c r="Y25" s="2"/>
      <c r="Z25" s="7">
        <f t="shared" si="22"/>
        <v>-1</v>
      </c>
    </row>
    <row r="26" spans="1:26" s="23" customFormat="1" hidden="1" outlineLevel="2" x14ac:dyDescent="0.25">
      <c r="A26" s="27"/>
      <c r="B26" s="10" t="str">
        <f>CONCATENATE("          ", "6112", " - ", "COMPENSATION INSURANCE")</f>
        <v xml:space="preserve">          6112 - COMPENSATION INSURANCE</v>
      </c>
      <c r="C26" s="10"/>
      <c r="D26" s="6"/>
      <c r="E26" s="2"/>
      <c r="F26" s="7">
        <f t="shared" si="15"/>
        <v>0</v>
      </c>
      <c r="G26" s="2"/>
      <c r="H26" s="6"/>
      <c r="I26" s="2"/>
      <c r="J26" s="7">
        <f t="shared" si="16"/>
        <v>0</v>
      </c>
      <c r="K26" s="2"/>
      <c r="L26" s="6">
        <f t="shared" si="17"/>
        <v>0</v>
      </c>
      <c r="M26" s="2"/>
      <c r="N26" s="7">
        <f t="shared" si="18"/>
        <v>0</v>
      </c>
      <c r="O26" s="10"/>
      <c r="P26" s="6"/>
      <c r="Q26" s="2"/>
      <c r="R26" s="7">
        <f t="shared" si="19"/>
        <v>0</v>
      </c>
      <c r="S26" s="2"/>
      <c r="T26" s="6">
        <v>221.3</v>
      </c>
      <c r="U26" s="2"/>
      <c r="V26" s="7">
        <f t="shared" si="20"/>
        <v>4.2730091793428099E-2</v>
      </c>
      <c r="W26" s="2"/>
      <c r="X26" s="6">
        <f t="shared" si="21"/>
        <v>-221.3</v>
      </c>
      <c r="Y26" s="2"/>
      <c r="Z26" s="7">
        <f t="shared" si="22"/>
        <v>-1</v>
      </c>
    </row>
    <row r="27" spans="1:26" s="23" customFormat="1" hidden="1" outlineLevel="2" x14ac:dyDescent="0.25">
      <c r="A27" s="27"/>
      <c r="B27" s="10" t="str">
        <f>CONCATENATE("          ", "6114", " - ", "STATE UNEMPLOYMENT INSURANCE")</f>
        <v xml:space="preserve">          6114 - STATE UNEMPLOYMENT INSURANCE</v>
      </c>
      <c r="C27" s="10"/>
      <c r="D27" s="6"/>
      <c r="E27" s="2"/>
      <c r="F27" s="7">
        <f t="shared" si="15"/>
        <v>0</v>
      </c>
      <c r="G27" s="2"/>
      <c r="H27" s="6"/>
      <c r="I27" s="2"/>
      <c r="J27" s="7">
        <f t="shared" si="16"/>
        <v>0</v>
      </c>
      <c r="K27" s="2"/>
      <c r="L27" s="6">
        <f t="shared" si="17"/>
        <v>0</v>
      </c>
      <c r="M27" s="2"/>
      <c r="N27" s="7">
        <f t="shared" si="18"/>
        <v>0</v>
      </c>
      <c r="O27" s="10"/>
      <c r="P27" s="6"/>
      <c r="Q27" s="2"/>
      <c r="R27" s="7">
        <f t="shared" si="19"/>
        <v>0</v>
      </c>
      <c r="S27" s="2"/>
      <c r="T27" s="6">
        <v>34.9</v>
      </c>
      <c r="U27" s="2"/>
      <c r="V27" s="7">
        <f t="shared" si="20"/>
        <v>6.7387266316793516E-3</v>
      </c>
      <c r="W27" s="2"/>
      <c r="X27" s="6">
        <f t="shared" si="21"/>
        <v>-34.9</v>
      </c>
      <c r="Y27" s="2"/>
      <c r="Z27" s="7">
        <f t="shared" si="22"/>
        <v>-1</v>
      </c>
    </row>
    <row r="28" spans="1:26" s="26" customFormat="1" outlineLevel="1" collapsed="1" x14ac:dyDescent="0.25">
      <c r="A28" s="25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0</v>
      </c>
      <c r="E28" s="1"/>
      <c r="F28" s="5">
        <f t="shared" ref="F28:F31" si="23">IF(D$12=0,0,D28/D$12)</f>
        <v>0</v>
      </c>
      <c r="G28" s="1"/>
      <c r="H28" s="1">
        <f>SUM(OSRRefH22_1x_0)</f>
        <v>0</v>
      </c>
      <c r="I28" s="1"/>
      <c r="J28" s="5">
        <f t="shared" ref="J28:J31" si="24">IF(H$12=0,0,H28/H$12)</f>
        <v>0</v>
      </c>
      <c r="K28" s="1"/>
      <c r="L28" s="1">
        <f t="shared" ref="L28:L31" si="25">+D28-H28</f>
        <v>0</v>
      </c>
      <c r="M28" s="1"/>
      <c r="N28" s="5">
        <f t="shared" ref="N28:N31" si="26">IF(H28=0,0,L28/H28)</f>
        <v>0</v>
      </c>
      <c r="O28" s="12"/>
      <c r="P28" s="1">
        <f>SUM(OSRRefP22_1x_0)</f>
        <v>0</v>
      </c>
      <c r="Q28" s="1"/>
      <c r="R28" s="5">
        <f t="shared" ref="R28:R31" si="27">IF(P$12=0,0,P28/P$12)</f>
        <v>0</v>
      </c>
      <c r="S28" s="1"/>
      <c r="T28" s="1">
        <f>SUM(OSRRefT22_1x_0)</f>
        <v>10914.98</v>
      </c>
      <c r="U28" s="1"/>
      <c r="V28" s="5">
        <f t="shared" ref="V28:V31" si="28">IF(T$12=0,0,T28/T$12)</f>
        <v>2.1075377194913321</v>
      </c>
      <c r="W28" s="1"/>
      <c r="X28" s="1">
        <f t="shared" ref="X28:X31" si="29">+P28-T28</f>
        <v>-10914.98</v>
      </c>
      <c r="Y28" s="1"/>
      <c r="Z28" s="5">
        <f t="shared" ref="Z28:Z31" si="30">IF(T28=0,0,X28/T28)</f>
        <v>-1</v>
      </c>
    </row>
    <row r="29" spans="1:26" s="23" customFormat="1" hidden="1" outlineLevel="2" x14ac:dyDescent="0.25">
      <c r="A29" s="27"/>
      <c r="B29" s="10" t="str">
        <f>CONCATENATE("          ", "6005", " - ", "TEMPORARY WAGES-HOURLY")</f>
        <v xml:space="preserve">          6005 - TEMPORARY WAGES-HOURLY</v>
      </c>
      <c r="C29" s="10"/>
      <c r="D29" s="6"/>
      <c r="E29" s="2"/>
      <c r="F29" s="7">
        <f t="shared" si="23"/>
        <v>0</v>
      </c>
      <c r="G29" s="2"/>
      <c r="H29" s="6"/>
      <c r="I29" s="2"/>
      <c r="J29" s="7">
        <f t="shared" si="24"/>
        <v>0</v>
      </c>
      <c r="K29" s="2"/>
      <c r="L29" s="6">
        <f t="shared" si="25"/>
        <v>0</v>
      </c>
      <c r="M29" s="2"/>
      <c r="N29" s="7">
        <f t="shared" si="26"/>
        <v>0</v>
      </c>
      <c r="O29" s="10"/>
      <c r="P29" s="6"/>
      <c r="Q29" s="2"/>
      <c r="R29" s="7">
        <f t="shared" si="27"/>
        <v>0</v>
      </c>
      <c r="S29" s="2"/>
      <c r="T29" s="6">
        <v>7765.17</v>
      </c>
      <c r="U29" s="2"/>
      <c r="V29" s="7">
        <f t="shared" si="28"/>
        <v>1.4993512286108182</v>
      </c>
      <c r="W29" s="2"/>
      <c r="X29" s="6">
        <f t="shared" si="29"/>
        <v>-7765.17</v>
      </c>
      <c r="Y29" s="2"/>
      <c r="Z29" s="7">
        <f t="shared" si="30"/>
        <v>-1</v>
      </c>
    </row>
    <row r="30" spans="1:26" s="23" customFormat="1" hidden="1" outlineLevel="2" x14ac:dyDescent="0.25">
      <c r="A30" s="27"/>
      <c r="B30" s="10" t="str">
        <f>CONCATENATE("          ", "6006", " - ", "TEMPORARY PART TIME")</f>
        <v xml:space="preserve">          6006 - TEMPORARY PART TIME</v>
      </c>
      <c r="C30" s="10"/>
      <c r="D30" s="6"/>
      <c r="E30" s="2"/>
      <c r="F30" s="7">
        <f t="shared" si="23"/>
        <v>0</v>
      </c>
      <c r="G30" s="2"/>
      <c r="H30" s="6"/>
      <c r="I30" s="2"/>
      <c r="J30" s="7">
        <f t="shared" si="24"/>
        <v>0</v>
      </c>
      <c r="K30" s="2"/>
      <c r="L30" s="6">
        <f t="shared" si="25"/>
        <v>0</v>
      </c>
      <c r="M30" s="2"/>
      <c r="N30" s="7">
        <f t="shared" si="26"/>
        <v>0</v>
      </c>
      <c r="O30" s="10"/>
      <c r="P30" s="6"/>
      <c r="Q30" s="2"/>
      <c r="R30" s="7">
        <f t="shared" si="27"/>
        <v>0</v>
      </c>
      <c r="S30" s="2"/>
      <c r="T30" s="6">
        <v>73.31</v>
      </c>
      <c r="U30" s="2"/>
      <c r="V30" s="7">
        <f t="shared" si="28"/>
        <v>1.4155187660986054E-2</v>
      </c>
      <c r="W30" s="2"/>
      <c r="X30" s="6">
        <f t="shared" si="29"/>
        <v>-73.31</v>
      </c>
      <c r="Y30" s="2"/>
      <c r="Z30" s="7">
        <f t="shared" si="30"/>
        <v>-1</v>
      </c>
    </row>
    <row r="31" spans="1:26" s="23" customFormat="1" hidden="1" outlineLevel="2" x14ac:dyDescent="0.25">
      <c r="A31" s="27"/>
      <c r="B31" s="10" t="str">
        <f>CONCATENATE("          ", "6007", " - ", "STUDENT HOURLY")</f>
        <v xml:space="preserve">          6007 - STUDENT HOURLY</v>
      </c>
      <c r="C31" s="10"/>
      <c r="D31" s="6"/>
      <c r="E31" s="2"/>
      <c r="F31" s="7">
        <f t="shared" si="23"/>
        <v>0</v>
      </c>
      <c r="G31" s="2"/>
      <c r="H31" s="6"/>
      <c r="I31" s="2"/>
      <c r="J31" s="7">
        <f t="shared" si="24"/>
        <v>0</v>
      </c>
      <c r="K31" s="2"/>
      <c r="L31" s="6">
        <f t="shared" si="25"/>
        <v>0</v>
      </c>
      <c r="M31" s="2"/>
      <c r="N31" s="7">
        <f t="shared" si="26"/>
        <v>0</v>
      </c>
      <c r="O31" s="10"/>
      <c r="P31" s="6"/>
      <c r="Q31" s="2"/>
      <c r="R31" s="7">
        <f t="shared" si="27"/>
        <v>0</v>
      </c>
      <c r="S31" s="2"/>
      <c r="T31" s="6">
        <v>3076.5</v>
      </c>
      <c r="U31" s="2"/>
      <c r="V31" s="7">
        <f t="shared" si="28"/>
        <v>0.59403130321952802</v>
      </c>
      <c r="W31" s="2"/>
      <c r="X31" s="6">
        <f t="shared" si="29"/>
        <v>-3076.5</v>
      </c>
      <c r="Y31" s="2"/>
      <c r="Z31" s="7">
        <f t="shared" si="30"/>
        <v>-1</v>
      </c>
    </row>
    <row r="32" spans="1:26" s="26" customFormat="1" outlineLevel="1" collapsed="1" x14ac:dyDescent="0.25">
      <c r="A32" s="25"/>
      <c r="B32" s="12" t="str">
        <f>CONCATENATE("     ","Bad Debts/Over/Short                              ")</f>
        <v xml:space="preserve">     Bad Debts/Over/Short                              </v>
      </c>
      <c r="C32" s="12"/>
      <c r="D32" s="1">
        <f>SUM(OSRRefD22_2x_0)</f>
        <v>0</v>
      </c>
      <c r="E32" s="1"/>
      <c r="F32" s="5">
        <f t="shared" ref="F32:F45" si="31">IF(D$12=0,0,D32/D$12)</f>
        <v>0</v>
      </c>
      <c r="G32" s="1"/>
      <c r="H32" s="1">
        <f>SUM(OSRRefH22_2x_0)</f>
        <v>0</v>
      </c>
      <c r="I32" s="1"/>
      <c r="J32" s="5">
        <f t="shared" ref="J32:J45" si="32">IF(H$12=0,0,H32/H$12)</f>
        <v>0</v>
      </c>
      <c r="K32" s="1"/>
      <c r="L32" s="1">
        <f t="shared" ref="L32:L45" si="33">+D32-H32</f>
        <v>0</v>
      </c>
      <c r="M32" s="1"/>
      <c r="N32" s="5">
        <f t="shared" ref="N32:N45" si="34">IF(H32=0,0,L32/H32)</f>
        <v>0</v>
      </c>
      <c r="O32" s="12"/>
      <c r="P32" s="1">
        <f>SUM(OSRRefP22_2x_0)</f>
        <v>0</v>
      </c>
      <c r="Q32" s="1"/>
      <c r="R32" s="5">
        <f t="shared" ref="R32:R45" si="35">IF(P$12=0,0,P32/P$12)</f>
        <v>0</v>
      </c>
      <c r="S32" s="1"/>
      <c r="T32" s="1">
        <f>SUM(OSRRefT22_2x_0)</f>
        <v>-1.41</v>
      </c>
      <c r="U32" s="1"/>
      <c r="V32" s="5">
        <f t="shared" ref="V32:V45" si="36">IF(T$12=0,0,T32/T$12)</f>
        <v>-2.7225227938876463E-4</v>
      </c>
      <c r="W32" s="1"/>
      <c r="X32" s="1">
        <f t="shared" ref="X32:X45" si="37">+P32-T32</f>
        <v>1.41</v>
      </c>
      <c r="Y32" s="1"/>
      <c r="Z32" s="5">
        <f t="shared" ref="Z32:Z45" si="38">IF(T32=0,0,X32/T32)</f>
        <v>-1</v>
      </c>
    </row>
    <row r="33" spans="1:26" s="23" customFormat="1" hidden="1" outlineLevel="2" x14ac:dyDescent="0.25">
      <c r="A33" s="27"/>
      <c r="B33" s="10" t="str">
        <f>CONCATENATE("          ", "6272", " - ", "CASH (OVER/SHORT)")</f>
        <v xml:space="preserve">          6272 - CASH (OVER/SHORT)</v>
      </c>
      <c r="C33" s="10"/>
      <c r="D33" s="6"/>
      <c r="E33" s="2"/>
      <c r="F33" s="7">
        <f t="shared" si="31"/>
        <v>0</v>
      </c>
      <c r="G33" s="2"/>
      <c r="H33" s="6"/>
      <c r="I33" s="2"/>
      <c r="J33" s="7">
        <f t="shared" si="32"/>
        <v>0</v>
      </c>
      <c r="K33" s="2"/>
      <c r="L33" s="6">
        <f t="shared" si="33"/>
        <v>0</v>
      </c>
      <c r="M33" s="2"/>
      <c r="N33" s="7">
        <f t="shared" si="34"/>
        <v>0</v>
      </c>
      <c r="O33" s="10"/>
      <c r="P33" s="6"/>
      <c r="Q33" s="2"/>
      <c r="R33" s="7">
        <f t="shared" si="35"/>
        <v>0</v>
      </c>
      <c r="S33" s="2"/>
      <c r="T33" s="6">
        <v>-1.41</v>
      </c>
      <c r="U33" s="2"/>
      <c r="V33" s="7">
        <f t="shared" si="36"/>
        <v>-2.7225227938876463E-4</v>
      </c>
      <c r="W33" s="2"/>
      <c r="X33" s="6">
        <f t="shared" si="37"/>
        <v>1.41</v>
      </c>
      <c r="Y33" s="2"/>
      <c r="Z33" s="7">
        <f t="shared" si="38"/>
        <v>-1</v>
      </c>
    </row>
    <row r="34" spans="1:26" s="26" customFormat="1" outlineLevel="1" collapsed="1" x14ac:dyDescent="0.25">
      <c r="A34" s="25"/>
      <c r="B34" s="12" t="str">
        <f>CONCATENATE("     ","Bank/card Fees                                    ")</f>
        <v xml:space="preserve">     Bank/card Fees                                    </v>
      </c>
      <c r="C34" s="12"/>
      <c r="D34" s="1">
        <f>SUM(OSRRefD22_3x_0)</f>
        <v>0</v>
      </c>
      <c r="E34" s="1"/>
      <c r="F34" s="5">
        <f t="shared" si="31"/>
        <v>0</v>
      </c>
      <c r="G34" s="1"/>
      <c r="H34" s="1">
        <f>SUM(OSRRefH22_3x_0)</f>
        <v>0</v>
      </c>
      <c r="I34" s="1"/>
      <c r="J34" s="5">
        <f t="shared" si="32"/>
        <v>0</v>
      </c>
      <c r="K34" s="1"/>
      <c r="L34" s="1">
        <f t="shared" si="33"/>
        <v>0</v>
      </c>
      <c r="M34" s="1"/>
      <c r="N34" s="5">
        <f t="shared" si="34"/>
        <v>0</v>
      </c>
      <c r="O34" s="12"/>
      <c r="P34" s="1">
        <f>SUM(OSRRefP22_3x_0)</f>
        <v>0</v>
      </c>
      <c r="Q34" s="1"/>
      <c r="R34" s="5">
        <f t="shared" si="35"/>
        <v>0</v>
      </c>
      <c r="S34" s="1"/>
      <c r="T34" s="1">
        <f>SUM(OSRRefT22_3x_0)</f>
        <v>125.26</v>
      </c>
      <c r="U34" s="1"/>
      <c r="V34" s="5">
        <f t="shared" si="36"/>
        <v>2.418604291931678E-2</v>
      </c>
      <c r="W34" s="1"/>
      <c r="X34" s="1">
        <f t="shared" si="37"/>
        <v>-125.26</v>
      </c>
      <c r="Y34" s="1"/>
      <c r="Z34" s="5">
        <f t="shared" si="38"/>
        <v>-1</v>
      </c>
    </row>
    <row r="35" spans="1:26" s="23" customFormat="1" hidden="1" outlineLevel="2" x14ac:dyDescent="0.25">
      <c r="A35" s="27"/>
      <c r="B35" s="10" t="str">
        <f>CONCATENATE("          ", "6381", " - ", "BANK/CREDIT CARD FEES")</f>
        <v xml:space="preserve">          6381 - BANK/CREDIT CARD FEES</v>
      </c>
      <c r="C35" s="10"/>
      <c r="D35" s="6"/>
      <c r="E35" s="2"/>
      <c r="F35" s="7">
        <f t="shared" si="31"/>
        <v>0</v>
      </c>
      <c r="G35" s="2"/>
      <c r="H35" s="6"/>
      <c r="I35" s="2"/>
      <c r="J35" s="7">
        <f t="shared" si="32"/>
        <v>0</v>
      </c>
      <c r="K35" s="2"/>
      <c r="L35" s="6">
        <f t="shared" si="33"/>
        <v>0</v>
      </c>
      <c r="M35" s="2"/>
      <c r="N35" s="7">
        <f t="shared" si="34"/>
        <v>0</v>
      </c>
      <c r="O35" s="10"/>
      <c r="P35" s="6"/>
      <c r="Q35" s="2"/>
      <c r="R35" s="7">
        <f t="shared" si="35"/>
        <v>0</v>
      </c>
      <c r="S35" s="2"/>
      <c r="T35" s="6">
        <v>125.26</v>
      </c>
      <c r="U35" s="2"/>
      <c r="V35" s="7">
        <f t="shared" si="36"/>
        <v>2.418604291931678E-2</v>
      </c>
      <c r="W35" s="2"/>
      <c r="X35" s="6">
        <f t="shared" si="37"/>
        <v>-125.26</v>
      </c>
      <c r="Y35" s="2"/>
      <c r="Z35" s="7">
        <f t="shared" si="38"/>
        <v>-1</v>
      </c>
    </row>
    <row r="36" spans="1:26" s="26" customFormat="1" outlineLevel="1" collapsed="1" x14ac:dyDescent="0.25">
      <c r="A36" s="25"/>
      <c r="B36" s="12" t="str">
        <f>CONCATENATE("     ","Employees' Appreciation                           ")</f>
        <v xml:space="preserve">     Employees' Appreciation                           </v>
      </c>
      <c r="C36" s="12"/>
      <c r="D36" s="1">
        <f>SUM(OSRRefD22_4x_0)</f>
        <v>0</v>
      </c>
      <c r="E36" s="1"/>
      <c r="F36" s="5">
        <f t="shared" si="31"/>
        <v>0</v>
      </c>
      <c r="G36" s="1"/>
      <c r="H36" s="1">
        <f>SUM(OSRRefH22_4x_0)</f>
        <v>0</v>
      </c>
      <c r="I36" s="1"/>
      <c r="J36" s="5">
        <f t="shared" si="32"/>
        <v>0</v>
      </c>
      <c r="K36" s="1"/>
      <c r="L36" s="1">
        <f t="shared" si="33"/>
        <v>0</v>
      </c>
      <c r="M36" s="1"/>
      <c r="N36" s="5">
        <f t="shared" si="34"/>
        <v>0</v>
      </c>
      <c r="O36" s="12"/>
      <c r="P36" s="1">
        <f>SUM(OSRRefP22_4x_0)</f>
        <v>0</v>
      </c>
      <c r="Q36" s="1"/>
      <c r="R36" s="5">
        <f t="shared" si="35"/>
        <v>0</v>
      </c>
      <c r="S36" s="1"/>
      <c r="T36" s="1">
        <f>SUM(OSRRefT22_4x_0)</f>
        <v>40.799999999999997</v>
      </c>
      <c r="U36" s="1"/>
      <c r="V36" s="5">
        <f t="shared" si="36"/>
        <v>7.877938297206807E-3</v>
      </c>
      <c r="W36" s="1"/>
      <c r="X36" s="1">
        <f t="shared" si="37"/>
        <v>-40.799999999999997</v>
      </c>
      <c r="Y36" s="1"/>
      <c r="Z36" s="5">
        <f t="shared" si="38"/>
        <v>-1</v>
      </c>
    </row>
    <row r="37" spans="1:26" s="23" customFormat="1" hidden="1" outlineLevel="2" x14ac:dyDescent="0.25">
      <c r="A37" s="27"/>
      <c r="B37" s="10" t="str">
        <f>CONCATENATE("          ", "6277", " - ", "EMPLOYEE APPRECIATION")</f>
        <v xml:space="preserve">          6277 - EMPLOYEE APPRECIATION</v>
      </c>
      <c r="C37" s="10"/>
      <c r="D37" s="6"/>
      <c r="E37" s="2"/>
      <c r="F37" s="7">
        <f t="shared" si="31"/>
        <v>0</v>
      </c>
      <c r="G37" s="2"/>
      <c r="H37" s="6"/>
      <c r="I37" s="2"/>
      <c r="J37" s="7">
        <f t="shared" si="32"/>
        <v>0</v>
      </c>
      <c r="K37" s="2"/>
      <c r="L37" s="6">
        <f t="shared" si="33"/>
        <v>0</v>
      </c>
      <c r="M37" s="2"/>
      <c r="N37" s="7">
        <f t="shared" si="34"/>
        <v>0</v>
      </c>
      <c r="O37" s="10"/>
      <c r="P37" s="6"/>
      <c r="Q37" s="2"/>
      <c r="R37" s="7">
        <f t="shared" si="35"/>
        <v>0</v>
      </c>
      <c r="S37" s="2"/>
      <c r="T37" s="6">
        <v>40.799999999999997</v>
      </c>
      <c r="U37" s="2"/>
      <c r="V37" s="7">
        <f t="shared" si="36"/>
        <v>7.877938297206807E-3</v>
      </c>
      <c r="W37" s="2"/>
      <c r="X37" s="6">
        <f t="shared" si="37"/>
        <v>-40.799999999999997</v>
      </c>
      <c r="Y37" s="2"/>
      <c r="Z37" s="7">
        <f t="shared" si="38"/>
        <v>-1</v>
      </c>
    </row>
    <row r="38" spans="1:26" s="26" customFormat="1" outlineLevel="1" collapsed="1" x14ac:dyDescent="0.25">
      <c r="A38" s="25"/>
      <c r="B38" s="12" t="str">
        <f>CONCATENATE("     ","General                                           ")</f>
        <v xml:space="preserve">     General                                           </v>
      </c>
      <c r="C38" s="12"/>
      <c r="D38" s="1">
        <f>SUM(OSRRefD22_5x_0)</f>
        <v>0</v>
      </c>
      <c r="E38" s="1"/>
      <c r="F38" s="5">
        <f t="shared" si="31"/>
        <v>0</v>
      </c>
      <c r="G38" s="1"/>
      <c r="H38" s="1">
        <f>SUM(OSRRefH22_5x_0)</f>
        <v>0</v>
      </c>
      <c r="I38" s="1"/>
      <c r="J38" s="5">
        <f t="shared" si="32"/>
        <v>0</v>
      </c>
      <c r="K38" s="1"/>
      <c r="L38" s="1">
        <f t="shared" si="33"/>
        <v>0</v>
      </c>
      <c r="M38" s="1"/>
      <c r="N38" s="5">
        <f t="shared" si="34"/>
        <v>0</v>
      </c>
      <c r="O38" s="12"/>
      <c r="P38" s="1">
        <f>SUM(OSRRefP22_5x_0)</f>
        <v>0</v>
      </c>
      <c r="Q38" s="1"/>
      <c r="R38" s="5">
        <f t="shared" si="35"/>
        <v>0</v>
      </c>
      <c r="S38" s="1"/>
      <c r="T38" s="1">
        <f>SUM(OSRRefT22_5x_0)</f>
        <v>1154.05</v>
      </c>
      <c r="U38" s="1"/>
      <c r="V38" s="5">
        <f t="shared" si="36"/>
        <v>0.22283173264439987</v>
      </c>
      <c r="W38" s="1"/>
      <c r="X38" s="1">
        <f t="shared" si="37"/>
        <v>-1154.05</v>
      </c>
      <c r="Y38" s="1"/>
      <c r="Z38" s="5">
        <f t="shared" si="38"/>
        <v>-1</v>
      </c>
    </row>
    <row r="39" spans="1:26" s="23" customFormat="1" hidden="1" outlineLevel="2" x14ac:dyDescent="0.25">
      <c r="A39" s="27"/>
      <c r="B39" s="10" t="str">
        <f>CONCATENATE("          ", "6279", " - ", "GENERAL EXPENSE")</f>
        <v xml:space="preserve">          6279 - GENERAL EXPENSE</v>
      </c>
      <c r="C39" s="10"/>
      <c r="D39" s="6"/>
      <c r="E39" s="2"/>
      <c r="F39" s="7">
        <f t="shared" si="31"/>
        <v>0</v>
      </c>
      <c r="G39" s="2"/>
      <c r="H39" s="6"/>
      <c r="I39" s="2"/>
      <c r="J39" s="7">
        <f t="shared" si="32"/>
        <v>0</v>
      </c>
      <c r="K39" s="2"/>
      <c r="L39" s="6">
        <f t="shared" si="33"/>
        <v>0</v>
      </c>
      <c r="M39" s="2"/>
      <c r="N39" s="7">
        <f t="shared" si="34"/>
        <v>0</v>
      </c>
      <c r="O39" s="10"/>
      <c r="P39" s="6"/>
      <c r="Q39" s="2"/>
      <c r="R39" s="7">
        <f t="shared" si="35"/>
        <v>0</v>
      </c>
      <c r="S39" s="2"/>
      <c r="T39" s="6">
        <v>1154.05</v>
      </c>
      <c r="U39" s="2"/>
      <c r="V39" s="7">
        <f t="shared" si="36"/>
        <v>0.22283173264439987</v>
      </c>
      <c r="W39" s="2"/>
      <c r="X39" s="6">
        <f t="shared" si="37"/>
        <v>-1154.05</v>
      </c>
      <c r="Y39" s="2"/>
      <c r="Z39" s="7">
        <f t="shared" si="38"/>
        <v>-1</v>
      </c>
    </row>
    <row r="40" spans="1:26" s="26" customFormat="1" outlineLevel="1" collapsed="1" x14ac:dyDescent="0.25">
      <c r="A40" s="25"/>
      <c r="B40" s="12" t="str">
        <f>CONCATENATE("     ","R/H Commissions                                   ")</f>
        <v xml:space="preserve">     R/H Commissions                                   </v>
      </c>
      <c r="C40" s="12"/>
      <c r="D40" s="1">
        <f>SUM(OSRRefD22_6x_0)</f>
        <v>0</v>
      </c>
      <c r="E40" s="1"/>
      <c r="F40" s="5">
        <f t="shared" si="31"/>
        <v>0</v>
      </c>
      <c r="G40" s="1"/>
      <c r="H40" s="1">
        <f>SUM(OSRRefH22_6x_0)</f>
        <v>0</v>
      </c>
      <c r="I40" s="1"/>
      <c r="J40" s="5">
        <f t="shared" si="32"/>
        <v>0</v>
      </c>
      <c r="K40" s="1"/>
      <c r="L40" s="1">
        <f t="shared" si="33"/>
        <v>0</v>
      </c>
      <c r="M40" s="1"/>
      <c r="N40" s="5">
        <f t="shared" si="34"/>
        <v>0</v>
      </c>
      <c r="O40" s="12"/>
      <c r="P40" s="1">
        <f>SUM(OSRRefP22_6x_0)</f>
        <v>0</v>
      </c>
      <c r="Q40" s="1"/>
      <c r="R40" s="5">
        <f t="shared" si="35"/>
        <v>0</v>
      </c>
      <c r="S40" s="1"/>
      <c r="T40" s="1">
        <f>SUM(OSRRefT22_6x_0)</f>
        <v>414.32</v>
      </c>
      <c r="U40" s="1"/>
      <c r="V40" s="5">
        <f t="shared" si="36"/>
        <v>7.9999691061243244E-2</v>
      </c>
      <c r="W40" s="1"/>
      <c r="X40" s="1">
        <f t="shared" si="37"/>
        <v>-414.32</v>
      </c>
      <c r="Y40" s="1"/>
      <c r="Z40" s="5">
        <f t="shared" si="38"/>
        <v>-1</v>
      </c>
    </row>
    <row r="41" spans="1:26" s="23" customFormat="1" hidden="1" outlineLevel="2" x14ac:dyDescent="0.25">
      <c r="A41" s="27"/>
      <c r="B41" s="10" t="str">
        <f>CONCATENATE("          ", "6387", " - ", "COMMISSION DUE HOUSING")</f>
        <v xml:space="preserve">          6387 - COMMISSION DUE HOUSING</v>
      </c>
      <c r="C41" s="10"/>
      <c r="D41" s="6"/>
      <c r="E41" s="2"/>
      <c r="F41" s="7">
        <f t="shared" si="31"/>
        <v>0</v>
      </c>
      <c r="G41" s="2"/>
      <c r="H41" s="6"/>
      <c r="I41" s="2"/>
      <c r="J41" s="7">
        <f t="shared" si="32"/>
        <v>0</v>
      </c>
      <c r="K41" s="2"/>
      <c r="L41" s="6">
        <f t="shared" si="33"/>
        <v>0</v>
      </c>
      <c r="M41" s="2"/>
      <c r="N41" s="7">
        <f t="shared" si="34"/>
        <v>0</v>
      </c>
      <c r="O41" s="10"/>
      <c r="P41" s="6"/>
      <c r="Q41" s="2"/>
      <c r="R41" s="7">
        <f t="shared" si="35"/>
        <v>0</v>
      </c>
      <c r="S41" s="2"/>
      <c r="T41" s="6">
        <v>414.32</v>
      </c>
      <c r="U41" s="2"/>
      <c r="V41" s="7">
        <f t="shared" si="36"/>
        <v>7.9999691061243244E-2</v>
      </c>
      <c r="W41" s="2"/>
      <c r="X41" s="6">
        <f t="shared" si="37"/>
        <v>-414.32</v>
      </c>
      <c r="Y41" s="2"/>
      <c r="Z41" s="7">
        <f t="shared" si="38"/>
        <v>-1</v>
      </c>
    </row>
    <row r="42" spans="1:26" s="26" customFormat="1" outlineLevel="1" collapsed="1" x14ac:dyDescent="0.25">
      <c r="A42" s="25"/>
      <c r="B42" s="12" t="str">
        <f>CONCATENATE("     ","Supplies                                          ")</f>
        <v xml:space="preserve">     Supplies                                          </v>
      </c>
      <c r="C42" s="12"/>
      <c r="D42" s="1">
        <f>SUM(OSRRefD22_7x_0)</f>
        <v>0</v>
      </c>
      <c r="E42" s="1"/>
      <c r="F42" s="5">
        <f t="shared" si="31"/>
        <v>0</v>
      </c>
      <c r="G42" s="1"/>
      <c r="H42" s="1">
        <f>SUM(OSRRefH22_7x_0)</f>
        <v>0</v>
      </c>
      <c r="I42" s="1"/>
      <c r="J42" s="5">
        <f t="shared" si="32"/>
        <v>0</v>
      </c>
      <c r="K42" s="1"/>
      <c r="L42" s="1">
        <f t="shared" si="33"/>
        <v>0</v>
      </c>
      <c r="M42" s="1"/>
      <c r="N42" s="5">
        <f t="shared" si="34"/>
        <v>0</v>
      </c>
      <c r="O42" s="12"/>
      <c r="P42" s="1">
        <f>SUM(OSRRefP22_7x_0)</f>
        <v>0</v>
      </c>
      <c r="Q42" s="1"/>
      <c r="R42" s="5">
        <f t="shared" si="35"/>
        <v>0</v>
      </c>
      <c r="S42" s="1"/>
      <c r="T42" s="1">
        <f>SUM(OSRRefT22_7x_0)</f>
        <v>1592.1399999999999</v>
      </c>
      <c r="U42" s="1"/>
      <c r="V42" s="5">
        <f t="shared" si="36"/>
        <v>0.30742109511065796</v>
      </c>
      <c r="W42" s="1"/>
      <c r="X42" s="1">
        <f t="shared" si="37"/>
        <v>-1592.1399999999999</v>
      </c>
      <c r="Y42" s="1"/>
      <c r="Z42" s="5">
        <f t="shared" si="38"/>
        <v>-1</v>
      </c>
    </row>
    <row r="43" spans="1:26" s="23" customFormat="1" hidden="1" outlineLevel="2" x14ac:dyDescent="0.25">
      <c r="A43" s="27"/>
      <c r="B43" s="10" t="str">
        <f>CONCATENATE("          ", "6237", " - ", "JANITORIAL SUPPLIES")</f>
        <v xml:space="preserve">          6237 - JANITORIAL SUPPLIES</v>
      </c>
      <c r="C43" s="10"/>
      <c r="D43" s="6"/>
      <c r="E43" s="2"/>
      <c r="F43" s="7">
        <f t="shared" si="31"/>
        <v>0</v>
      </c>
      <c r="G43" s="2"/>
      <c r="H43" s="6"/>
      <c r="I43" s="2"/>
      <c r="J43" s="7">
        <f t="shared" si="32"/>
        <v>0</v>
      </c>
      <c r="K43" s="2"/>
      <c r="L43" s="6">
        <f t="shared" si="33"/>
        <v>0</v>
      </c>
      <c r="M43" s="2"/>
      <c r="N43" s="7">
        <f t="shared" si="34"/>
        <v>0</v>
      </c>
      <c r="O43" s="10"/>
      <c r="P43" s="6"/>
      <c r="Q43" s="2"/>
      <c r="R43" s="7">
        <f t="shared" si="35"/>
        <v>0</v>
      </c>
      <c r="S43" s="2"/>
      <c r="T43" s="6">
        <v>47.13</v>
      </c>
      <c r="U43" s="2"/>
      <c r="V43" s="7">
        <f t="shared" si="36"/>
        <v>9.1001772536116864E-3</v>
      </c>
      <c r="W43" s="2"/>
      <c r="X43" s="6">
        <f t="shared" si="37"/>
        <v>-47.13</v>
      </c>
      <c r="Y43" s="2"/>
      <c r="Z43" s="7">
        <f t="shared" si="38"/>
        <v>-1</v>
      </c>
    </row>
    <row r="44" spans="1:26" s="23" customFormat="1" hidden="1" outlineLevel="2" x14ac:dyDescent="0.25">
      <c r="A44" s="27"/>
      <c r="B44" s="10" t="str">
        <f>CONCATENATE("          ", "6247", " - ", "STORE SUPPLIES")</f>
        <v xml:space="preserve">          6247 - STORE SUPPLIES</v>
      </c>
      <c r="C44" s="10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/>
      <c r="Q44" s="2"/>
      <c r="R44" s="7">
        <f t="shared" si="35"/>
        <v>0</v>
      </c>
      <c r="S44" s="2"/>
      <c r="T44" s="6">
        <v>431.41</v>
      </c>
      <c r="U44" s="2"/>
      <c r="V44" s="7">
        <f t="shared" si="36"/>
        <v>8.3299543156813455E-2</v>
      </c>
      <c r="W44" s="2"/>
      <c r="X44" s="6">
        <f t="shared" si="37"/>
        <v>-431.41</v>
      </c>
      <c r="Y44" s="2"/>
      <c r="Z44" s="7">
        <f t="shared" si="38"/>
        <v>-1</v>
      </c>
    </row>
    <row r="45" spans="1:26" s="23" customFormat="1" hidden="1" outlineLevel="2" x14ac:dyDescent="0.25">
      <c r="A45" s="27"/>
      <c r="B45" s="10" t="str">
        <f>CONCATENATE("          ", "6248", " - ", "UNIFORMS")</f>
        <v xml:space="preserve">          6248 - UNIFORMS</v>
      </c>
      <c r="C45" s="10"/>
      <c r="D45" s="6"/>
      <c r="E45" s="2"/>
      <c r="F45" s="7">
        <f t="shared" si="31"/>
        <v>0</v>
      </c>
      <c r="G45" s="2"/>
      <c r="H45" s="6"/>
      <c r="I45" s="2"/>
      <c r="J45" s="7">
        <f t="shared" si="32"/>
        <v>0</v>
      </c>
      <c r="K45" s="2"/>
      <c r="L45" s="6">
        <f t="shared" si="33"/>
        <v>0</v>
      </c>
      <c r="M45" s="2"/>
      <c r="N45" s="7">
        <f t="shared" si="34"/>
        <v>0</v>
      </c>
      <c r="O45" s="10"/>
      <c r="P45" s="6"/>
      <c r="Q45" s="2"/>
      <c r="R45" s="7">
        <f t="shared" si="35"/>
        <v>0</v>
      </c>
      <c r="S45" s="2"/>
      <c r="T45" s="6">
        <v>1113.5999999999999</v>
      </c>
      <c r="U45" s="2"/>
      <c r="V45" s="7">
        <f t="shared" si="36"/>
        <v>0.21502137470023283</v>
      </c>
      <c r="W45" s="2"/>
      <c r="X45" s="6">
        <f t="shared" si="37"/>
        <v>-1113.5999999999999</v>
      </c>
      <c r="Y45" s="2"/>
      <c r="Z45" s="7">
        <f t="shared" si="38"/>
        <v>-1</v>
      </c>
    </row>
    <row r="46" spans="1:26" s="26" customFormat="1" outlineLevel="1" collapsed="1" x14ac:dyDescent="0.25">
      <c r="A46" s="25"/>
      <c r="B46" s="12" t="str">
        <f>CONCATENATE("     ","Telephone/Data Lines                              ")</f>
        <v xml:space="preserve">     Telephone/Data Lines                              </v>
      </c>
      <c r="C46" s="12"/>
      <c r="D46" s="1">
        <f>SUM(OSRRefD22_8x_0)</f>
        <v>0</v>
      </c>
      <c r="E46" s="1"/>
      <c r="F46" s="5">
        <f t="shared" ref="F46:F47" si="39">IF(D$12=0,0,D46/D$12)</f>
        <v>0</v>
      </c>
      <c r="G46" s="1"/>
      <c r="H46" s="1">
        <f>SUM(OSRRefH22_8x_0)</f>
        <v>75.5</v>
      </c>
      <c r="I46" s="1"/>
      <c r="J46" s="5">
        <f t="shared" ref="J46:J47" si="40">IF(H$12=0,0,H46/H$12)</f>
        <v>0</v>
      </c>
      <c r="K46" s="1"/>
      <c r="L46" s="1">
        <f t="shared" ref="L46:L47" si="41">+D46-H46</f>
        <v>-75.5</v>
      </c>
      <c r="M46" s="1"/>
      <c r="N46" s="5">
        <f t="shared" ref="N46:N47" si="42">IF(H46=0,0,L46/H46)</f>
        <v>-1</v>
      </c>
      <c r="O46" s="12"/>
      <c r="P46" s="1">
        <f>SUM(OSRRefP22_8x_0)</f>
        <v>178.69</v>
      </c>
      <c r="Q46" s="1"/>
      <c r="R46" s="5">
        <f t="shared" ref="R46:R47" si="43">IF(P$12=0,0,P46/P$12)</f>
        <v>0</v>
      </c>
      <c r="S46" s="1"/>
      <c r="T46" s="1">
        <f>SUM(OSRRefT22_8x_0)</f>
        <v>715</v>
      </c>
      <c r="U46" s="1"/>
      <c r="V46" s="5">
        <f t="shared" ref="V46:V47" si="44">IF(T$12=0,0,T46/T$12)</f>
        <v>0.13805700692408987</v>
      </c>
      <c r="W46" s="1"/>
      <c r="X46" s="1">
        <f t="shared" ref="X46:X47" si="45">+P46-T46</f>
        <v>-536.30999999999995</v>
      </c>
      <c r="Y46" s="1"/>
      <c r="Z46" s="5">
        <f t="shared" ref="Z46:Z47" si="46">IF(T46=0,0,X46/T46)</f>
        <v>-0.750083916083916</v>
      </c>
    </row>
    <row r="47" spans="1:26" s="23" customFormat="1" hidden="1" outlineLevel="2" x14ac:dyDescent="0.25">
      <c r="A47" s="27"/>
      <c r="B47" s="10" t="str">
        <f>CONCATENATE("          ", "6309", " - ", "TELEPHONE")</f>
        <v xml:space="preserve">          6309 - TELEPHONE</v>
      </c>
      <c r="C47" s="10"/>
      <c r="D47" s="6"/>
      <c r="E47" s="2"/>
      <c r="F47" s="7">
        <f t="shared" si="39"/>
        <v>0</v>
      </c>
      <c r="G47" s="2"/>
      <c r="H47" s="6">
        <v>75.5</v>
      </c>
      <c r="I47" s="2"/>
      <c r="J47" s="7">
        <f t="shared" si="40"/>
        <v>0</v>
      </c>
      <c r="K47" s="2"/>
      <c r="L47" s="6">
        <f t="shared" si="41"/>
        <v>-75.5</v>
      </c>
      <c r="M47" s="2"/>
      <c r="N47" s="7">
        <f t="shared" si="42"/>
        <v>-1</v>
      </c>
      <c r="O47" s="10"/>
      <c r="P47" s="6">
        <v>178.69</v>
      </c>
      <c r="Q47" s="2"/>
      <c r="R47" s="7">
        <f t="shared" si="43"/>
        <v>0</v>
      </c>
      <c r="S47" s="2"/>
      <c r="T47" s="6">
        <v>715</v>
      </c>
      <c r="U47" s="2"/>
      <c r="V47" s="7">
        <f t="shared" si="44"/>
        <v>0.13805700692408987</v>
      </c>
      <c r="W47" s="2"/>
      <c r="X47" s="6">
        <f t="shared" si="45"/>
        <v>-536.30999999999995</v>
      </c>
      <c r="Y47" s="2"/>
      <c r="Z47" s="7">
        <f t="shared" si="46"/>
        <v>-0.750083916083916</v>
      </c>
    </row>
    <row r="48" spans="1:26" s="62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4" customFormat="1" x14ac:dyDescent="0.25">
      <c r="A49" s="11"/>
      <c r="B49" s="28" t="s">
        <v>292</v>
      </c>
      <c r="C49" s="11"/>
      <c r="D49" s="4">
        <f>SUM(0)</f>
        <v>0</v>
      </c>
      <c r="E49" s="4"/>
      <c r="F49" s="13">
        <f>IF(D$12=0,0,D49/D$12)</f>
        <v>0</v>
      </c>
      <c r="G49" s="4"/>
      <c r="H49" s="4">
        <f>SUM(0)</f>
        <v>0</v>
      </c>
      <c r="I49" s="4"/>
      <c r="J49" s="13">
        <f>IF(H$12=0,0,H49/H$12)</f>
        <v>0</v>
      </c>
      <c r="K49" s="4"/>
      <c r="L49" s="4">
        <f>+D49-H49</f>
        <v>0</v>
      </c>
      <c r="M49" s="4"/>
      <c r="N49" s="13">
        <f>IF(H49=0,0,L49/H49)</f>
        <v>0</v>
      </c>
      <c r="O49" s="11"/>
      <c r="P49" s="4">
        <f>SUM(0)</f>
        <v>0</v>
      </c>
      <c r="Q49" s="4"/>
      <c r="R49" s="13">
        <f>IF(P$12=0,0,P49/P$12)</f>
        <v>0</v>
      </c>
      <c r="S49" s="4"/>
      <c r="T49" s="4">
        <f>SUM(0)</f>
        <v>0</v>
      </c>
      <c r="U49" s="4"/>
      <c r="V49" s="13">
        <f>IF(T$12=0,0,T49/T$12)</f>
        <v>0</v>
      </c>
      <c r="W49" s="4"/>
      <c r="X49" s="4">
        <f>+P49-T49</f>
        <v>0</v>
      </c>
      <c r="Y49" s="4"/>
      <c r="Z49" s="13">
        <f>IF(T49=0,0,X49/T49)</f>
        <v>0</v>
      </c>
    </row>
    <row r="50" spans="1:26" x14ac:dyDescent="0.25">
      <c r="A50" s="9"/>
      <c r="B50" s="11"/>
      <c r="C50" s="11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1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4" customFormat="1" x14ac:dyDescent="0.25">
      <c r="A51" s="11"/>
      <c r="B51" s="29" t="s">
        <v>276</v>
      </c>
      <c r="C51" s="29"/>
      <c r="D51" s="20">
        <f>+D21-D23+D49</f>
        <v>0</v>
      </c>
      <c r="E51" s="14"/>
      <c r="F51" s="22">
        <f>IF(D$12=0,0,D51/D$12)</f>
        <v>0</v>
      </c>
      <c r="G51" s="14"/>
      <c r="H51" s="20">
        <f>+H21-H23+H49</f>
        <v>-4587.5</v>
      </c>
      <c r="I51" s="14"/>
      <c r="J51" s="22">
        <f>IF(H$12=0,0,H51/H$12)</f>
        <v>0</v>
      </c>
      <c r="K51" s="16"/>
      <c r="L51" s="20">
        <f>+D51-H51</f>
        <v>4587.5</v>
      </c>
      <c r="M51" s="16"/>
      <c r="N51" s="22">
        <f>IF(H51=0,0,L51/H51)</f>
        <v>-1</v>
      </c>
      <c r="O51" s="28"/>
      <c r="P51" s="20">
        <f>+P21-P23+P49</f>
        <v>-178.69</v>
      </c>
      <c r="Q51" s="14"/>
      <c r="R51" s="22">
        <f>IF(P$12=0,0,P51/P$12)</f>
        <v>0</v>
      </c>
      <c r="S51" s="14"/>
      <c r="T51" s="20">
        <f>+T21-T23+T49</f>
        <v>-17101.169999999998</v>
      </c>
      <c r="U51" s="14"/>
      <c r="V51" s="22">
        <f>IF(T$12=0,0,T51/T$12)</f>
        <v>-3.3020088742657872</v>
      </c>
      <c r="W51" s="16"/>
      <c r="X51" s="20">
        <f>+P51-T51</f>
        <v>16922.48</v>
      </c>
      <c r="Y51" s="16"/>
      <c r="Z51" s="22">
        <f>IF(T51=0,0,X51/T51)</f>
        <v>-0.98955100732873835</v>
      </c>
    </row>
    <row r="52" spans="1:26" x14ac:dyDescent="0.25">
      <c r="A52" s="9"/>
      <c r="B52" s="11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4" customFormat="1" x14ac:dyDescent="0.25">
      <c r="A53" s="51"/>
      <c r="B53" s="11" t="s">
        <v>127</v>
      </c>
      <c r="C53" s="11"/>
      <c r="D53" s="4"/>
      <c r="E53" s="4"/>
      <c r="F53" s="13">
        <f>IF(D$12=0,0,D53/D$12)</f>
        <v>0</v>
      </c>
      <c r="G53" s="4"/>
      <c r="H53" s="4">
        <v>33.1</v>
      </c>
      <c r="I53" s="4"/>
      <c r="J53" s="13">
        <f>IF(H$12=0,0,H53/H$12)</f>
        <v>0</v>
      </c>
      <c r="K53" s="4"/>
      <c r="L53" s="4">
        <f>+D53-H53</f>
        <v>-33.1</v>
      </c>
      <c r="M53" s="4"/>
      <c r="N53" s="13">
        <f>IF(H53=0,0,L53/H53)</f>
        <v>-1</v>
      </c>
      <c r="O53" s="11"/>
      <c r="P53" s="4"/>
      <c r="Q53" s="4"/>
      <c r="R53" s="13">
        <f>IF(P$12=0,0,P53/P$12)</f>
        <v>0</v>
      </c>
      <c r="S53" s="4"/>
      <c r="T53" s="4">
        <v>588.04</v>
      </c>
      <c r="U53" s="4"/>
      <c r="V53" s="13">
        <f>IF(T$12=0,0,T53/T$12)</f>
        <v>0.1135427165757228</v>
      </c>
      <c r="W53" s="4"/>
      <c r="X53" s="4">
        <f>+P53-T53</f>
        <v>-588.04</v>
      </c>
      <c r="Y53" s="4"/>
      <c r="Z53" s="13">
        <f>IF(T53=0,0,X53/T53)</f>
        <v>-1</v>
      </c>
    </row>
    <row r="54" spans="1:26" x14ac:dyDescent="0.25">
      <c r="A54" s="9"/>
      <c r="B54" s="11"/>
      <c r="C54" s="11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1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4" customFormat="1" ht="15.75" thickBot="1" x14ac:dyDescent="0.3">
      <c r="A55" s="11"/>
      <c r="B55" s="29" t="s">
        <v>125</v>
      </c>
      <c r="C55" s="29"/>
      <c r="D55" s="30">
        <f>+D51-D53</f>
        <v>0</v>
      </c>
      <c r="E55" s="14"/>
      <c r="F55" s="34">
        <f>IF(D$12=0,0,D55/D$12)</f>
        <v>0</v>
      </c>
      <c r="G55" s="14"/>
      <c r="H55" s="30">
        <f>+H51-H53</f>
        <v>-4620.6000000000004</v>
      </c>
      <c r="I55" s="14"/>
      <c r="J55" s="34">
        <f>IF(H$12=0,0,H55/H$12)</f>
        <v>0</v>
      </c>
      <c r="K55" s="16"/>
      <c r="L55" s="30">
        <f>D55-H55</f>
        <v>4620.6000000000004</v>
      </c>
      <c r="M55" s="16"/>
      <c r="N55" s="34">
        <f>IF(H55=0,0,L55/H55)</f>
        <v>-1</v>
      </c>
      <c r="O55" s="28"/>
      <c r="P55" s="30">
        <f>+P51-P53</f>
        <v>-178.69</v>
      </c>
      <c r="Q55" s="14"/>
      <c r="R55" s="34">
        <f>IF(P$12=0,0,P55/P$12)</f>
        <v>0</v>
      </c>
      <c r="S55" s="14"/>
      <c r="T55" s="30">
        <f>+T51-T53</f>
        <v>-17689.21</v>
      </c>
      <c r="U55" s="14"/>
      <c r="V55" s="34">
        <f>IF(T$12=0,0,T55/T$12)</f>
        <v>-3.4155515908415102</v>
      </c>
      <c r="W55" s="16"/>
      <c r="X55" s="30">
        <f>P55-T55</f>
        <v>17510.52</v>
      </c>
      <c r="Y55" s="16"/>
      <c r="Z55" s="34">
        <f>IF(T55=0,0,X55/T55)</f>
        <v>-0.98989836176968904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4" customFormat="1" ht="15.75" thickBot="1" x14ac:dyDescent="0.3">
      <c r="A58" s="11"/>
      <c r="B58" s="29" t="s">
        <v>293</v>
      </c>
      <c r="C58" s="29"/>
      <c r="D58" s="32">
        <f>SUM(D55:D57)</f>
        <v>0</v>
      </c>
      <c r="E58" s="14"/>
      <c r="F58" s="35">
        <f>IF(D$12=0,0,D58/D$12)</f>
        <v>0</v>
      </c>
      <c r="G58" s="14"/>
      <c r="H58" s="32">
        <f>SUM(H55:H57)</f>
        <v>-4620.6000000000004</v>
      </c>
      <c r="I58" s="14"/>
      <c r="J58" s="35">
        <f>IF(H$12=0,0,H58/H$12)</f>
        <v>0</v>
      </c>
      <c r="K58" s="16"/>
      <c r="L58" s="32">
        <f>+D58-H58</f>
        <v>4620.6000000000004</v>
      </c>
      <c r="M58" s="16"/>
      <c r="N58" s="35">
        <f>IF(H58=0,0,L58/H58)</f>
        <v>-1</v>
      </c>
      <c r="O58" s="28"/>
      <c r="P58" s="32">
        <f>SUM(P55:P57)</f>
        <v>-178.69</v>
      </c>
      <c r="Q58" s="14"/>
      <c r="R58" s="35">
        <f>IF(P$12=0,0,P58/P$12)</f>
        <v>0</v>
      </c>
      <c r="S58" s="14"/>
      <c r="T58" s="32">
        <f>SUM(T55:T57)</f>
        <v>-17689.21</v>
      </c>
      <c r="U58" s="14"/>
      <c r="V58" s="35">
        <f>IF(T$12=0,0,T58/T$12)</f>
        <v>-3.4155515908415102</v>
      </c>
      <c r="W58" s="16"/>
      <c r="X58" s="32">
        <f>+P58-T58</f>
        <v>17510.52</v>
      </c>
      <c r="Y58" s="16"/>
      <c r="Z58" s="35">
        <f>IF(T58=0,0,X58/T58)</f>
        <v>-0.98989836176968904</v>
      </c>
    </row>
    <row r="59" spans="1:26" ht="15.75" thickTop="1" x14ac:dyDescent="0.25">
      <c r="A59" s="9"/>
      <c r="C59" s="9"/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25">
      <c r="A60" s="9"/>
      <c r="B60" s="59">
        <v>44330.00886898148</v>
      </c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25">
      <c r="A61" s="9"/>
      <c r="B61" s="52" t="s">
        <v>56</v>
      </c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A62" s="9"/>
      <c r="B62" s="55"/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","444", " - ", "Parkside Dining Hall")</f>
        <v>Department 444 - Parkside Dining Hall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90165.79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5" si="0">+D12-H12</f>
        <v>90165.79</v>
      </c>
      <c r="M12" s="4"/>
      <c r="N12" s="13">
        <f t="shared" ref="N12:N15" si="1">IF(H12=0,0,L12/H12)</f>
        <v>0</v>
      </c>
      <c r="O12" s="11"/>
      <c r="P12" s="4">
        <f>SUM(OSRRefP13x_0)</f>
        <v>917713.98</v>
      </c>
      <c r="Q12" s="4"/>
      <c r="R12" s="13"/>
      <c r="S12" s="4"/>
      <c r="T12" s="4">
        <f>SUM(OSRRefT13x_0)</f>
        <v>3384443.28</v>
      </c>
      <c r="U12" s="4"/>
      <c r="V12" s="13"/>
      <c r="W12" s="4"/>
      <c r="X12" s="4">
        <f t="shared" ref="X12:X15" si="2">+P12-T12</f>
        <v>-2466729.2999999998</v>
      </c>
      <c r="Y12" s="4"/>
      <c r="Z12" s="13">
        <f t="shared" ref="Z12:Z15" si="3">IF(T12=0,0,X12/T12)</f>
        <v>-0.72884344511750832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>--161.18</f>
        <v>161.18</v>
      </c>
      <c r="E13" s="2"/>
      <c r="F13" s="19"/>
      <c r="G13" s="2"/>
      <c r="H13" s="2">
        <f t="shared" ref="H13:H15" si="4">0</f>
        <v>0</v>
      </c>
      <c r="I13" s="2"/>
      <c r="J13" s="19"/>
      <c r="K13" s="2"/>
      <c r="L13" s="2">
        <f t="shared" si="0"/>
        <v>161.18</v>
      </c>
      <c r="M13" s="2"/>
      <c r="N13" s="19">
        <f t="shared" si="1"/>
        <v>0</v>
      </c>
      <c r="O13" s="10"/>
      <c r="P13" s="2">
        <f>--867.25</f>
        <v>867.25</v>
      </c>
      <c r="Q13" s="2"/>
      <c r="R13" s="19"/>
      <c r="S13" s="2"/>
      <c r="T13" s="2">
        <f>--4314.79</f>
        <v>4314.79</v>
      </c>
      <c r="U13" s="2"/>
      <c r="V13" s="19"/>
      <c r="W13" s="2"/>
      <c r="X13" s="2">
        <f t="shared" si="2"/>
        <v>-3447.54</v>
      </c>
      <c r="Y13" s="2"/>
      <c r="Z13" s="19">
        <f t="shared" si="3"/>
        <v>-0.79900528183295128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>--85567.69</f>
        <v>85567.69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85567.69</v>
      </c>
      <c r="M14" s="2"/>
      <c r="N14" s="19">
        <f t="shared" si="1"/>
        <v>0</v>
      </c>
      <c r="O14" s="10"/>
      <c r="P14" s="2">
        <f>--876732.72</f>
        <v>876732.72</v>
      </c>
      <c r="Q14" s="2"/>
      <c r="R14" s="19"/>
      <c r="S14" s="2"/>
      <c r="T14" s="2">
        <f>--3334016.05</f>
        <v>3334016.05</v>
      </c>
      <c r="U14" s="2"/>
      <c r="V14" s="19"/>
      <c r="W14" s="2"/>
      <c r="X14" s="2">
        <f t="shared" si="2"/>
        <v>-2457283.33</v>
      </c>
      <c r="Y14" s="2"/>
      <c r="Z14" s="19">
        <f t="shared" si="3"/>
        <v>-0.73703404337240674</v>
      </c>
    </row>
    <row r="15" spans="1:26" s="23" customFormat="1" hidden="1" outlineLevel="1" x14ac:dyDescent="0.25">
      <c r="A15" s="44"/>
      <c r="B15" s="10" t="str">
        <f>CONCATENATE("          ", "4153", " - ", "NON-TAXABLE SALES-FOOD")</f>
        <v xml:space="preserve">          4153 - NON-TAXABLE SALES-FOOD</v>
      </c>
      <c r="C15" s="10"/>
      <c r="D15" s="2">
        <f>--4436.92</f>
        <v>4436.92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4436.92</v>
      </c>
      <c r="M15" s="2"/>
      <c r="N15" s="19">
        <f t="shared" si="1"/>
        <v>0</v>
      </c>
      <c r="O15" s="10"/>
      <c r="P15" s="2">
        <f>--40114.01</f>
        <v>40114.01</v>
      </c>
      <c r="Q15" s="2"/>
      <c r="R15" s="19"/>
      <c r="S15" s="2"/>
      <c r="T15" s="2">
        <f>--46112.44</f>
        <v>46112.44</v>
      </c>
      <c r="U15" s="2"/>
      <c r="V15" s="19"/>
      <c r="W15" s="2"/>
      <c r="X15" s="2">
        <f t="shared" si="2"/>
        <v>-5998.43</v>
      </c>
      <c r="Y15" s="2"/>
      <c r="Z15" s="19">
        <f t="shared" si="3"/>
        <v>-0.13008268484599816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8" t="s">
        <v>256</v>
      </c>
      <c r="C17" s="11"/>
      <c r="D17" s="4">
        <f>SUM(OSRRefD16x_0)</f>
        <v>46906.81</v>
      </c>
      <c r="E17" s="4"/>
      <c r="F17" s="13">
        <f t="shared" ref="F17:F19" si="5">IF(D$12=0,0,D17/D$12)</f>
        <v>0.52022845915285609</v>
      </c>
      <c r="G17" s="4"/>
      <c r="H17" s="4">
        <f>SUM(OSRRefH16x_0)</f>
        <v>6594</v>
      </c>
      <c r="I17" s="4"/>
      <c r="J17" s="13">
        <f t="shared" ref="J17:J19" si="6">IF(H$12=0,0,H17/H$12)</f>
        <v>0</v>
      </c>
      <c r="K17" s="4"/>
      <c r="L17" s="4">
        <f t="shared" ref="L17:L19" si="7">+D17-H17</f>
        <v>40312.81</v>
      </c>
      <c r="M17" s="4"/>
      <c r="N17" s="13">
        <f t="shared" ref="N17:N19" si="8">IF(H17=0,0,L17/H17)</f>
        <v>6.1135592963299965</v>
      </c>
      <c r="O17" s="11"/>
      <c r="P17" s="4">
        <f>SUM(OSRRefP16x_0)</f>
        <v>390567.26</v>
      </c>
      <c r="Q17" s="4"/>
      <c r="R17" s="13">
        <f t="shared" ref="R17:R19" si="9">IF(P$12=0,0,P17/P$12)</f>
        <v>0.42558713118873925</v>
      </c>
      <c r="S17" s="4"/>
      <c r="T17" s="4">
        <f>SUM(OSRRefT16x_0)</f>
        <v>841348.55</v>
      </c>
      <c r="U17" s="4"/>
      <c r="V17" s="13">
        <f t="shared" ref="V17:V19" si="10">IF(T$12=0,0,T17/T$12)</f>
        <v>0.248592894131764</v>
      </c>
      <c r="W17" s="4"/>
      <c r="X17" s="4">
        <f t="shared" ref="X17:X19" si="11">+P17-T17</f>
        <v>-450781.29000000004</v>
      </c>
      <c r="Y17" s="4"/>
      <c r="Z17" s="13">
        <f t="shared" ref="Z17:Z19" si="12">IF(T17=0,0,X17/T17)</f>
        <v>-0.53578423591506752</v>
      </c>
    </row>
    <row r="18" spans="1:26" s="23" customFormat="1" hidden="1" outlineLevel="1" x14ac:dyDescent="0.25">
      <c r="A18" s="44"/>
      <c r="B18" s="10" t="str">
        <f>CONCATENATE("          ", "5053", " - ", "PURCHASES @ COST-FOOD")</f>
        <v xml:space="preserve">          5053 - PURCHASES @ COST-FOOD</v>
      </c>
      <c r="C18" s="10"/>
      <c r="D18" s="2">
        <v>46411.81</v>
      </c>
      <c r="E18" s="2"/>
      <c r="F18" s="19">
        <f t="shared" si="5"/>
        <v>0.51473857213473095</v>
      </c>
      <c r="G18" s="2"/>
      <c r="H18" s="2"/>
      <c r="I18" s="2"/>
      <c r="J18" s="19">
        <f t="shared" si="6"/>
        <v>0</v>
      </c>
      <c r="K18" s="2"/>
      <c r="L18" s="2">
        <f t="shared" si="7"/>
        <v>46411.81</v>
      </c>
      <c r="M18" s="2"/>
      <c r="N18" s="19">
        <f t="shared" si="8"/>
        <v>0</v>
      </c>
      <c r="O18" s="10"/>
      <c r="P18" s="2">
        <v>405258.96</v>
      </c>
      <c r="Q18" s="2"/>
      <c r="R18" s="19">
        <f t="shared" si="9"/>
        <v>0.44159614959772109</v>
      </c>
      <c r="S18" s="2"/>
      <c r="T18" s="2">
        <v>830847.8</v>
      </c>
      <c r="U18" s="2"/>
      <c r="V18" s="19">
        <f t="shared" si="10"/>
        <v>0.24549024204654424</v>
      </c>
      <c r="W18" s="2"/>
      <c r="X18" s="2">
        <f t="shared" si="11"/>
        <v>-425588.84</v>
      </c>
      <c r="Y18" s="2"/>
      <c r="Z18" s="19">
        <f t="shared" si="12"/>
        <v>-0.51223441886708976</v>
      </c>
    </row>
    <row r="19" spans="1:26" s="23" customFormat="1" hidden="1" outlineLevel="1" x14ac:dyDescent="0.25">
      <c r="A19" s="44"/>
      <c r="B19" s="10" t="str">
        <f>CONCATENATE("          ", "5059", " - ", "PURCHASES @ COST-FOOD")</f>
        <v xml:space="preserve">          5059 - PURCHASES @ COST-FOOD</v>
      </c>
      <c r="C19" s="10"/>
      <c r="D19" s="2">
        <v>495</v>
      </c>
      <c r="E19" s="2"/>
      <c r="F19" s="19">
        <f t="shared" si="5"/>
        <v>5.4898870181251678E-3</v>
      </c>
      <c r="G19" s="2"/>
      <c r="H19" s="2">
        <v>6594</v>
      </c>
      <c r="I19" s="2"/>
      <c r="J19" s="19">
        <f t="shared" si="6"/>
        <v>0</v>
      </c>
      <c r="K19" s="2"/>
      <c r="L19" s="2">
        <f t="shared" si="7"/>
        <v>-6099</v>
      </c>
      <c r="M19" s="2"/>
      <c r="N19" s="19">
        <f t="shared" si="8"/>
        <v>-0.92493175614194723</v>
      </c>
      <c r="O19" s="10"/>
      <c r="P19" s="2">
        <v>-14691.7</v>
      </c>
      <c r="Q19" s="2"/>
      <c r="R19" s="19">
        <f t="shared" si="9"/>
        <v>-1.6009018408981848E-2</v>
      </c>
      <c r="S19" s="2"/>
      <c r="T19" s="2">
        <v>10500.75</v>
      </c>
      <c r="U19" s="2"/>
      <c r="V19" s="19">
        <f t="shared" si="10"/>
        <v>3.1026520852197588E-3</v>
      </c>
      <c r="W19" s="2"/>
      <c r="X19" s="2">
        <f t="shared" si="11"/>
        <v>-25192.45</v>
      </c>
      <c r="Y19" s="2"/>
      <c r="Z19" s="19">
        <f t="shared" si="12"/>
        <v>-2.3991095874104231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9" t="s">
        <v>107</v>
      </c>
      <c r="C21" s="29"/>
      <c r="D21" s="20">
        <f>D12-D17</f>
        <v>43258.979999999996</v>
      </c>
      <c r="E21" s="14"/>
      <c r="F21" s="22">
        <f>IF(D$12=0,0,D21/D$12)</f>
        <v>0.47977154084714391</v>
      </c>
      <c r="G21" s="14"/>
      <c r="H21" s="20">
        <f>H12-H17</f>
        <v>-6594</v>
      </c>
      <c r="I21" s="14"/>
      <c r="J21" s="22">
        <f>IF(H$12=0,0,H21/H$12)</f>
        <v>0</v>
      </c>
      <c r="K21" s="16"/>
      <c r="L21" s="20">
        <f>+D21-H21</f>
        <v>49852.979999999996</v>
      </c>
      <c r="M21" s="16"/>
      <c r="N21" s="22">
        <f>IF(H21=0,0,L21/H21)</f>
        <v>-7.5603548680618742</v>
      </c>
      <c r="O21" s="28"/>
      <c r="P21" s="20">
        <f>P12-P17</f>
        <v>527146.72</v>
      </c>
      <c r="Q21" s="14"/>
      <c r="R21" s="22">
        <f>IF(P$12=0,0,P21/P$12)</f>
        <v>0.57441286881126075</v>
      </c>
      <c r="S21" s="14"/>
      <c r="T21" s="20">
        <f>T12-T17</f>
        <v>2543094.7299999995</v>
      </c>
      <c r="U21" s="14"/>
      <c r="V21" s="22">
        <f>IF(T$12=0,0,T21/T$12)</f>
        <v>0.75140710586823589</v>
      </c>
      <c r="W21" s="16"/>
      <c r="X21" s="20">
        <f>+P21-T21</f>
        <v>-2015948.0099999995</v>
      </c>
      <c r="Y21" s="16"/>
      <c r="Z21" s="22">
        <f>IF(T21=0,0,X21/T21)</f>
        <v>-0.79271447745086554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8" t="s">
        <v>294</v>
      </c>
      <c r="C23" s="11"/>
      <c r="D23" s="21">
        <f>SUM(OSRRefD22x_0)</f>
        <v>132515.53999999998</v>
      </c>
      <c r="E23" s="21"/>
      <c r="F23" s="31">
        <f t="shared" ref="F23:F33" si="13">IF(D$12=0,0,D23/D$12)</f>
        <v>1.4696875611027196</v>
      </c>
      <c r="G23" s="21"/>
      <c r="H23" s="21">
        <f>SUM(OSRRefH22x_0)</f>
        <v>40687.89</v>
      </c>
      <c r="I23" s="21"/>
      <c r="J23" s="31">
        <f t="shared" ref="J23:J33" si="14">IF(H$12=0,0,H23/H$12)</f>
        <v>0</v>
      </c>
      <c r="K23" s="4"/>
      <c r="L23" s="21">
        <f t="shared" ref="L23:L33" si="15">+D23-H23</f>
        <v>91827.64999999998</v>
      </c>
      <c r="M23" s="4"/>
      <c r="N23" s="31">
        <f t="shared" ref="N23:N33" si="16">IF(H23=0,0,L23/H23)</f>
        <v>2.2568791352906228</v>
      </c>
      <c r="O23" s="11"/>
      <c r="P23" s="21">
        <f>SUM(OSRRefP22x_0)</f>
        <v>1168800.8600000003</v>
      </c>
      <c r="Q23" s="21"/>
      <c r="R23" s="31">
        <f t="shared" ref="R23:R33" si="17">IF(P$12=0,0,P23/P$12)</f>
        <v>1.2736003651159378</v>
      </c>
      <c r="S23" s="21"/>
      <c r="T23" s="21">
        <f>SUM(OSRRefT22x_0)</f>
        <v>1660757.36</v>
      </c>
      <c r="U23" s="21"/>
      <c r="V23" s="31">
        <f t="shared" ref="V23:V33" si="18">IF(T$12=0,0,T23/T$12)</f>
        <v>0.49070326272390663</v>
      </c>
      <c r="W23" s="4"/>
      <c r="X23" s="21">
        <f t="shared" ref="X23:X33" si="19">+P23-T23</f>
        <v>-491956.49999999977</v>
      </c>
      <c r="Y23" s="4"/>
      <c r="Z23" s="31">
        <f t="shared" ref="Z23:Z33" si="20">IF(T23=0,0,X23/T23)</f>
        <v>-0.29622418774046544</v>
      </c>
    </row>
    <row r="24" spans="1:26" s="26" customFormat="1" outlineLevel="1" collapsed="1" x14ac:dyDescent="0.25">
      <c r="A24" s="25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33685.910000000003</v>
      </c>
      <c r="E24" s="1"/>
      <c r="F24" s="5">
        <f t="shared" si="13"/>
        <v>0.37359967677319755</v>
      </c>
      <c r="G24" s="1"/>
      <c r="H24" s="1">
        <f>SUM(OSRRefH22_0x_0)</f>
        <v>10328.310000000001</v>
      </c>
      <c r="I24" s="1"/>
      <c r="J24" s="5">
        <f t="shared" si="14"/>
        <v>0</v>
      </c>
      <c r="K24" s="1"/>
      <c r="L24" s="1">
        <f t="shared" si="15"/>
        <v>23357.600000000002</v>
      </c>
      <c r="M24" s="1"/>
      <c r="N24" s="5">
        <f t="shared" si="16"/>
        <v>2.2615122900067872</v>
      </c>
      <c r="O24" s="12"/>
      <c r="P24" s="1">
        <f>SUM(OSRRefP22_0x_0)</f>
        <v>310671.19999999995</v>
      </c>
      <c r="Q24" s="1"/>
      <c r="R24" s="5">
        <f t="shared" si="17"/>
        <v>0.33852726096642871</v>
      </c>
      <c r="S24" s="1"/>
      <c r="T24" s="1">
        <f>SUM(OSRRefT22_0x_0)</f>
        <v>320099.02</v>
      </c>
      <c r="U24" s="1"/>
      <c r="V24" s="5">
        <f t="shared" si="18"/>
        <v>9.4579519737142723E-2</v>
      </c>
      <c r="W24" s="1"/>
      <c r="X24" s="1">
        <f t="shared" si="19"/>
        <v>-9427.8200000000652</v>
      </c>
      <c r="Y24" s="1"/>
      <c r="Z24" s="5">
        <f t="shared" si="20"/>
        <v>-2.9452823691869048E-2</v>
      </c>
    </row>
    <row r="25" spans="1:26" s="23" customFormat="1" hidden="1" outlineLevel="2" x14ac:dyDescent="0.25">
      <c r="A25" s="27"/>
      <c r="B25" s="10" t="str">
        <f>CONCATENATE("          ", "6111", " - ", "F.I.C.A.")</f>
        <v xml:space="preserve">          6111 - F.I.C.A.</v>
      </c>
      <c r="C25" s="10"/>
      <c r="D25" s="6">
        <v>4952.2299999999996</v>
      </c>
      <c r="E25" s="2"/>
      <c r="F25" s="7">
        <f t="shared" si="13"/>
        <v>5.4923602399535344E-2</v>
      </c>
      <c r="G25" s="2"/>
      <c r="H25" s="6">
        <v>3740.11</v>
      </c>
      <c r="I25" s="2"/>
      <c r="J25" s="7">
        <f t="shared" si="14"/>
        <v>0</v>
      </c>
      <c r="K25" s="2"/>
      <c r="L25" s="6">
        <f t="shared" si="15"/>
        <v>1212.1199999999994</v>
      </c>
      <c r="M25" s="2"/>
      <c r="N25" s="7">
        <f t="shared" si="16"/>
        <v>0.32408672472200001</v>
      </c>
      <c r="O25" s="10"/>
      <c r="P25" s="6">
        <v>36418.559999999998</v>
      </c>
      <c r="Q25" s="2"/>
      <c r="R25" s="7">
        <f t="shared" si="17"/>
        <v>3.9683998275802664E-2</v>
      </c>
      <c r="S25" s="2"/>
      <c r="T25" s="6">
        <v>46210.080000000002</v>
      </c>
      <c r="U25" s="2"/>
      <c r="V25" s="7">
        <f t="shared" si="18"/>
        <v>1.3653672458650276E-2</v>
      </c>
      <c r="W25" s="2"/>
      <c r="X25" s="6">
        <f t="shared" si="19"/>
        <v>-9791.5200000000041</v>
      </c>
      <c r="Y25" s="2"/>
      <c r="Z25" s="7">
        <f t="shared" si="20"/>
        <v>-0.21189143147988498</v>
      </c>
    </row>
    <row r="26" spans="1:26" s="23" customFormat="1" hidden="1" outlineLevel="2" x14ac:dyDescent="0.25">
      <c r="A26" s="27"/>
      <c r="B26" s="10" t="str">
        <f>CONCATENATE("          ", "6112", " - ", "COMPENSATION INSURANCE")</f>
        <v xml:space="preserve">          6112 - COMPENSATION INSURANCE</v>
      </c>
      <c r="C26" s="10"/>
      <c r="D26" s="6">
        <v>2152.6799999999998</v>
      </c>
      <c r="E26" s="2"/>
      <c r="F26" s="7">
        <f t="shared" si="13"/>
        <v>2.3874686840763E-2</v>
      </c>
      <c r="G26" s="2"/>
      <c r="H26" s="6">
        <v>1266.53</v>
      </c>
      <c r="I26" s="2"/>
      <c r="J26" s="7">
        <f t="shared" si="14"/>
        <v>0</v>
      </c>
      <c r="K26" s="2"/>
      <c r="L26" s="6">
        <f t="shared" si="15"/>
        <v>886.14999999999986</v>
      </c>
      <c r="M26" s="2"/>
      <c r="N26" s="7">
        <f t="shared" si="16"/>
        <v>0.69966759571427439</v>
      </c>
      <c r="O26" s="10"/>
      <c r="P26" s="6">
        <v>24196.76</v>
      </c>
      <c r="Q26" s="2"/>
      <c r="R26" s="7">
        <f t="shared" si="17"/>
        <v>2.6366341286421287E-2</v>
      </c>
      <c r="S26" s="2"/>
      <c r="T26" s="6">
        <v>30302.22</v>
      </c>
      <c r="U26" s="2"/>
      <c r="V26" s="7">
        <f t="shared" si="18"/>
        <v>8.9533839077959084E-3</v>
      </c>
      <c r="W26" s="2"/>
      <c r="X26" s="6">
        <f t="shared" si="19"/>
        <v>-6105.4600000000028</v>
      </c>
      <c r="Y26" s="2"/>
      <c r="Z26" s="7">
        <f t="shared" si="20"/>
        <v>-0.20148556772408102</v>
      </c>
    </row>
    <row r="27" spans="1:26" s="23" customFormat="1" hidden="1" outlineLevel="2" x14ac:dyDescent="0.25">
      <c r="A27" s="27"/>
      <c r="B27" s="10" t="str">
        <f>CONCATENATE("          ", "6113", " - ", "GROUP INSURANCE")</f>
        <v xml:space="preserve">          6113 - GROUP INSURANCE</v>
      </c>
      <c r="C27" s="10"/>
      <c r="D27" s="6">
        <v>17691.580000000002</v>
      </c>
      <c r="E27" s="2"/>
      <c r="F27" s="7">
        <f t="shared" si="13"/>
        <v>0.19621166741843002</v>
      </c>
      <c r="G27" s="2"/>
      <c r="H27" s="6">
        <v>16509.650000000001</v>
      </c>
      <c r="I27" s="2"/>
      <c r="J27" s="7">
        <f t="shared" si="14"/>
        <v>0</v>
      </c>
      <c r="K27" s="2"/>
      <c r="L27" s="6">
        <f t="shared" si="15"/>
        <v>1181.9300000000003</v>
      </c>
      <c r="M27" s="2"/>
      <c r="N27" s="7">
        <f t="shared" si="16"/>
        <v>7.1590251761848384E-2</v>
      </c>
      <c r="O27" s="10"/>
      <c r="P27" s="6">
        <v>173770.12</v>
      </c>
      <c r="Q27" s="2"/>
      <c r="R27" s="7">
        <f t="shared" si="17"/>
        <v>0.18935106556838113</v>
      </c>
      <c r="S27" s="2"/>
      <c r="T27" s="6">
        <v>177115.4</v>
      </c>
      <c r="U27" s="2"/>
      <c r="V27" s="7">
        <f t="shared" si="18"/>
        <v>5.2332211045356923E-2</v>
      </c>
      <c r="W27" s="2"/>
      <c r="X27" s="6">
        <f t="shared" si="19"/>
        <v>-3345.2799999999988</v>
      </c>
      <c r="Y27" s="2"/>
      <c r="Z27" s="7">
        <f t="shared" si="20"/>
        <v>-1.8887572735064251E-2</v>
      </c>
    </row>
    <row r="28" spans="1:26" s="23" customFormat="1" hidden="1" outlineLevel="2" x14ac:dyDescent="0.25">
      <c r="A28" s="27"/>
      <c r="B28" s="10" t="str">
        <f>CONCATENATE("          ", "6114", " - ", "STATE UNEMPLOYMENT INSURANCE")</f>
        <v xml:space="preserve">          6114 - STATE UNEMPLOYMENT INSURANCE</v>
      </c>
      <c r="C28" s="10"/>
      <c r="D28" s="6">
        <v>130.97999999999999</v>
      </c>
      <c r="E28" s="2"/>
      <c r="F28" s="7">
        <f t="shared" si="13"/>
        <v>1.4526573770384532E-3</v>
      </c>
      <c r="G28" s="2"/>
      <c r="H28" s="6">
        <v>84.87</v>
      </c>
      <c r="I28" s="2"/>
      <c r="J28" s="7">
        <f t="shared" si="14"/>
        <v>0</v>
      </c>
      <c r="K28" s="2"/>
      <c r="L28" s="6">
        <f t="shared" si="15"/>
        <v>46.109999999999985</v>
      </c>
      <c r="M28" s="2"/>
      <c r="N28" s="7">
        <f t="shared" si="16"/>
        <v>0.54330151997172127</v>
      </c>
      <c r="O28" s="10"/>
      <c r="P28" s="6">
        <v>1546.24</v>
      </c>
      <c r="Q28" s="2"/>
      <c r="R28" s="7">
        <f t="shared" si="17"/>
        <v>1.6848822549265295E-3</v>
      </c>
      <c r="S28" s="2"/>
      <c r="T28" s="6">
        <v>2408.85</v>
      </c>
      <c r="U28" s="2"/>
      <c r="V28" s="7">
        <f t="shared" si="18"/>
        <v>7.117418732453983E-4</v>
      </c>
      <c r="W28" s="2"/>
      <c r="X28" s="6">
        <f t="shared" si="19"/>
        <v>-862.6099999999999</v>
      </c>
      <c r="Y28" s="2"/>
      <c r="Z28" s="7">
        <f t="shared" si="20"/>
        <v>-0.35810033833572036</v>
      </c>
    </row>
    <row r="29" spans="1:26" s="23" customFormat="1" hidden="1" outlineLevel="2" x14ac:dyDescent="0.25">
      <c r="A29" s="27"/>
      <c r="B29" s="10" t="str">
        <f>CONCATENATE("          ", "6115", " - ", "P.E.R.S.")</f>
        <v xml:space="preserve">          6115 - P.E.R.S.</v>
      </c>
      <c r="C29" s="10"/>
      <c r="D29" s="6">
        <v>1457.5</v>
      </c>
      <c r="E29" s="2"/>
      <c r="F29" s="7">
        <f t="shared" si="13"/>
        <v>1.6164667331146326E-2</v>
      </c>
      <c r="G29" s="2"/>
      <c r="H29" s="6">
        <v>1334.66</v>
      </c>
      <c r="I29" s="2"/>
      <c r="J29" s="7">
        <f t="shared" si="14"/>
        <v>0</v>
      </c>
      <c r="K29" s="2"/>
      <c r="L29" s="6">
        <f t="shared" si="15"/>
        <v>122.83999999999992</v>
      </c>
      <c r="M29" s="2"/>
      <c r="N29" s="7">
        <f t="shared" si="16"/>
        <v>9.2038421770338441E-2</v>
      </c>
      <c r="O29" s="10"/>
      <c r="P29" s="6">
        <v>16099.06</v>
      </c>
      <c r="Q29" s="2"/>
      <c r="R29" s="7">
        <f t="shared" si="17"/>
        <v>1.7542568110382278E-2</v>
      </c>
      <c r="S29" s="2"/>
      <c r="T29" s="6">
        <v>13784.82</v>
      </c>
      <c r="U29" s="2"/>
      <c r="V29" s="7">
        <f t="shared" si="18"/>
        <v>4.072994835357383E-3</v>
      </c>
      <c r="W29" s="2"/>
      <c r="X29" s="6">
        <f t="shared" si="19"/>
        <v>2314.2399999999998</v>
      </c>
      <c r="Y29" s="2"/>
      <c r="Z29" s="7">
        <f t="shared" si="20"/>
        <v>0.16788322226913371</v>
      </c>
    </row>
    <row r="30" spans="1:26" s="23" customFormat="1" hidden="1" outlineLevel="2" x14ac:dyDescent="0.25">
      <c r="A30" s="27"/>
      <c r="B30" s="10" t="str">
        <f>CONCATENATE("          ", "6117", " - ", "RETIREMENT STAFF HOURLY")</f>
        <v xml:space="preserve">          6117 - RETIREMENT STAFF HOURLY</v>
      </c>
      <c r="C30" s="10"/>
      <c r="D30" s="6">
        <v>531.49</v>
      </c>
      <c r="E30" s="2"/>
      <c r="F30" s="7">
        <f t="shared" si="13"/>
        <v>5.8945859621481718E-3</v>
      </c>
      <c r="G30" s="2"/>
      <c r="H30" s="6">
        <v>1195.8399999999999</v>
      </c>
      <c r="I30" s="2"/>
      <c r="J30" s="7">
        <f t="shared" si="14"/>
        <v>0</v>
      </c>
      <c r="K30" s="2"/>
      <c r="L30" s="6">
        <f t="shared" si="15"/>
        <v>-664.34999999999991</v>
      </c>
      <c r="M30" s="2"/>
      <c r="N30" s="7">
        <f t="shared" si="16"/>
        <v>-0.55555090982071176</v>
      </c>
      <c r="O30" s="10"/>
      <c r="P30" s="6">
        <v>5468.1</v>
      </c>
      <c r="Q30" s="2"/>
      <c r="R30" s="7">
        <f t="shared" si="17"/>
        <v>5.9583923958530091E-3</v>
      </c>
      <c r="S30" s="2"/>
      <c r="T30" s="6">
        <v>7322.31</v>
      </c>
      <c r="U30" s="2"/>
      <c r="V30" s="7">
        <f t="shared" si="18"/>
        <v>2.1635197857415417E-3</v>
      </c>
      <c r="W30" s="2"/>
      <c r="X30" s="6">
        <f t="shared" si="19"/>
        <v>-1854.21</v>
      </c>
      <c r="Y30" s="2"/>
      <c r="Z30" s="7">
        <f t="shared" si="20"/>
        <v>-0.25322746510322564</v>
      </c>
    </row>
    <row r="31" spans="1:26" s="23" customFormat="1" hidden="1" outlineLevel="2" x14ac:dyDescent="0.25">
      <c r="A31" s="27"/>
      <c r="B31" s="10" t="str">
        <f>CONCATENATE("          ", "6118", " - ", "VACATION")</f>
        <v xml:space="preserve">          6118 - VACATION</v>
      </c>
      <c r="C31" s="10"/>
      <c r="D31" s="6">
        <v>3910.44</v>
      </c>
      <c r="E31" s="2"/>
      <c r="F31" s="7">
        <f t="shared" si="13"/>
        <v>4.3369442002338138E-2</v>
      </c>
      <c r="G31" s="2"/>
      <c r="H31" s="6">
        <v>3517.2</v>
      </c>
      <c r="I31" s="2"/>
      <c r="J31" s="7">
        <f t="shared" si="14"/>
        <v>0</v>
      </c>
      <c r="K31" s="2"/>
      <c r="L31" s="6">
        <f t="shared" si="15"/>
        <v>393.24000000000024</v>
      </c>
      <c r="M31" s="2"/>
      <c r="N31" s="7">
        <f t="shared" si="16"/>
        <v>0.11180484476287963</v>
      </c>
      <c r="O31" s="10"/>
      <c r="P31" s="6">
        <v>27764.26</v>
      </c>
      <c r="Q31" s="2"/>
      <c r="R31" s="7">
        <f t="shared" si="17"/>
        <v>3.0253718048405452E-2</v>
      </c>
      <c r="S31" s="2"/>
      <c r="T31" s="6">
        <v>29810.34</v>
      </c>
      <c r="U31" s="2"/>
      <c r="V31" s="7">
        <f t="shared" si="18"/>
        <v>8.8080483357960131E-3</v>
      </c>
      <c r="W31" s="2"/>
      <c r="X31" s="6">
        <f t="shared" si="19"/>
        <v>-2046.0800000000017</v>
      </c>
      <c r="Y31" s="2"/>
      <c r="Z31" s="7">
        <f t="shared" si="20"/>
        <v>-6.8636587170760266E-2</v>
      </c>
    </row>
    <row r="32" spans="1:26" s="23" customFormat="1" hidden="1" outlineLevel="2" x14ac:dyDescent="0.25">
      <c r="A32" s="27"/>
      <c r="B32" s="10" t="str">
        <f>CONCATENATE("          ", "6119", " - ", "SICK LEAVE")</f>
        <v xml:space="preserve">          6119 - SICK LEAVE</v>
      </c>
      <c r="C32" s="10"/>
      <c r="D32" s="6">
        <v>2449.83</v>
      </c>
      <c r="E32" s="2"/>
      <c r="F32" s="7">
        <f t="shared" si="13"/>
        <v>2.7170282653764803E-2</v>
      </c>
      <c r="G32" s="2"/>
      <c r="H32" s="6">
        <v>-17939.05</v>
      </c>
      <c r="I32" s="2"/>
      <c r="J32" s="7">
        <f t="shared" si="14"/>
        <v>0</v>
      </c>
      <c r="K32" s="2"/>
      <c r="L32" s="6">
        <f t="shared" si="15"/>
        <v>20388.879999999997</v>
      </c>
      <c r="M32" s="2"/>
      <c r="N32" s="7">
        <f t="shared" si="16"/>
        <v>-1.1365640878418868</v>
      </c>
      <c r="O32" s="10"/>
      <c r="P32" s="6">
        <v>17415.25</v>
      </c>
      <c r="Q32" s="2"/>
      <c r="R32" s="7">
        <f t="shared" si="17"/>
        <v>1.8976773133607489E-2</v>
      </c>
      <c r="S32" s="2"/>
      <c r="T32" s="6">
        <v>294.8</v>
      </c>
      <c r="U32" s="2"/>
      <c r="V32" s="7">
        <f t="shared" si="18"/>
        <v>8.7104429181038024E-5</v>
      </c>
      <c r="W32" s="2"/>
      <c r="X32" s="6">
        <f t="shared" si="19"/>
        <v>17120.45</v>
      </c>
      <c r="Y32" s="2"/>
      <c r="Z32" s="7">
        <f t="shared" si="20"/>
        <v>58.074796472184531</v>
      </c>
    </row>
    <row r="33" spans="1:26" s="23" customFormat="1" hidden="1" outlineLevel="2" x14ac:dyDescent="0.25">
      <c r="A33" s="27"/>
      <c r="B33" s="10" t="str">
        <f>CONCATENATE("          ", "6156", " - ", "EMPLOYEE MEALS")</f>
        <v xml:space="preserve">          6156 - EMPLOYEE MEALS</v>
      </c>
      <c r="C33" s="10"/>
      <c r="D33" s="6">
        <v>409.18</v>
      </c>
      <c r="E33" s="2"/>
      <c r="F33" s="7">
        <f t="shared" si="13"/>
        <v>4.5380847880332441E-3</v>
      </c>
      <c r="G33" s="2"/>
      <c r="H33" s="6">
        <v>618.5</v>
      </c>
      <c r="I33" s="2"/>
      <c r="J33" s="7">
        <f t="shared" si="14"/>
        <v>0</v>
      </c>
      <c r="K33" s="2"/>
      <c r="L33" s="6">
        <f t="shared" si="15"/>
        <v>-209.32</v>
      </c>
      <c r="M33" s="2"/>
      <c r="N33" s="7">
        <f t="shared" si="16"/>
        <v>-0.33843168957154407</v>
      </c>
      <c r="O33" s="10"/>
      <c r="P33" s="6">
        <v>7992.85</v>
      </c>
      <c r="Q33" s="2"/>
      <c r="R33" s="7">
        <f t="shared" si="17"/>
        <v>8.7095218926489491E-3</v>
      </c>
      <c r="S33" s="2"/>
      <c r="T33" s="6">
        <v>12850.2</v>
      </c>
      <c r="U33" s="2"/>
      <c r="V33" s="7">
        <f t="shared" si="18"/>
        <v>3.7968430660182319E-3</v>
      </c>
      <c r="W33" s="2"/>
      <c r="X33" s="6">
        <f t="shared" si="19"/>
        <v>-4857.3500000000004</v>
      </c>
      <c r="Y33" s="2"/>
      <c r="Z33" s="7">
        <f t="shared" si="20"/>
        <v>-0.37799800781310799</v>
      </c>
    </row>
    <row r="34" spans="1:26" s="26" customFormat="1" outlineLevel="1" collapsed="1" x14ac:dyDescent="0.25">
      <c r="A34" s="25"/>
      <c r="B34" s="12" t="str">
        <f>CONCATENATE("     ","*Payroll                                          ")</f>
        <v xml:space="preserve">     *Payroll                                          </v>
      </c>
      <c r="C34" s="12"/>
      <c r="D34" s="1">
        <f>SUM(OSRRefD22_1x_0)</f>
        <v>63536.719999999994</v>
      </c>
      <c r="E34" s="1"/>
      <c r="F34" s="5">
        <f t="shared" ref="F34:F40" si="21">IF(D$12=0,0,D34/D$12)</f>
        <v>0.70466548343889623</v>
      </c>
      <c r="G34" s="1"/>
      <c r="H34" s="1">
        <f>SUM(OSRRefH22_1x_0)</f>
        <v>30151.360000000001</v>
      </c>
      <c r="I34" s="1"/>
      <c r="J34" s="5">
        <f t="shared" ref="J34:J40" si="22">IF(H$12=0,0,H34/H$12)</f>
        <v>0</v>
      </c>
      <c r="K34" s="1"/>
      <c r="L34" s="1">
        <f t="shared" ref="L34:L40" si="23">+D34-H34</f>
        <v>33385.359999999993</v>
      </c>
      <c r="M34" s="1"/>
      <c r="N34" s="5">
        <f t="shared" ref="N34:N40" si="24">IF(H34=0,0,L34/H34)</f>
        <v>1.1072588433821888</v>
      </c>
      <c r="O34" s="12"/>
      <c r="P34" s="1">
        <f>SUM(OSRRefP22_1x_0)</f>
        <v>547721.71000000008</v>
      </c>
      <c r="Q34" s="1"/>
      <c r="R34" s="5">
        <f t="shared" ref="R34:R40" si="25">IF(P$12=0,0,P34/P$12)</f>
        <v>0.59683269726369437</v>
      </c>
      <c r="S34" s="1"/>
      <c r="T34" s="1">
        <f>SUM(OSRRefT22_1x_0)</f>
        <v>891950.6</v>
      </c>
      <c r="U34" s="1"/>
      <c r="V34" s="5">
        <f t="shared" ref="V34:V40" si="26">IF(T$12=0,0,T34/T$12)</f>
        <v>0.26354426007694831</v>
      </c>
      <c r="W34" s="1"/>
      <c r="X34" s="1">
        <f t="shared" ref="X34:X40" si="27">+P34-T34</f>
        <v>-344228.8899999999</v>
      </c>
      <c r="Y34" s="1"/>
      <c r="Z34" s="5">
        <f t="shared" ref="Z34:Z40" si="28">IF(T34=0,0,X34/T34)</f>
        <v>-0.38592820050796522</v>
      </c>
    </row>
    <row r="35" spans="1:26" s="23" customFormat="1" hidden="1" outlineLevel="2" x14ac:dyDescent="0.25">
      <c r="A35" s="27"/>
      <c r="B35" s="10" t="str">
        <f>CONCATENATE("          ", "6002", " - ", "STAFF SALARIES")</f>
        <v xml:space="preserve">          6002 - STAFF SALARIES</v>
      </c>
      <c r="C35" s="10"/>
      <c r="D35" s="6">
        <v>17425.37</v>
      </c>
      <c r="E35" s="2"/>
      <c r="F35" s="7">
        <f t="shared" si="21"/>
        <v>0.19325921727076312</v>
      </c>
      <c r="G35" s="2"/>
      <c r="H35" s="6">
        <v>18810.36</v>
      </c>
      <c r="I35" s="2"/>
      <c r="J35" s="7">
        <f t="shared" si="22"/>
        <v>0</v>
      </c>
      <c r="K35" s="2"/>
      <c r="L35" s="6">
        <f t="shared" si="23"/>
        <v>-1384.9900000000016</v>
      </c>
      <c r="M35" s="2"/>
      <c r="N35" s="7">
        <f t="shared" si="24"/>
        <v>-7.3629106513644696E-2</v>
      </c>
      <c r="O35" s="10"/>
      <c r="P35" s="6">
        <v>154505.26</v>
      </c>
      <c r="Q35" s="2"/>
      <c r="R35" s="7">
        <f t="shared" si="25"/>
        <v>0.16835883877458205</v>
      </c>
      <c r="S35" s="2"/>
      <c r="T35" s="6">
        <v>155710.24</v>
      </c>
      <c r="U35" s="2"/>
      <c r="V35" s="7">
        <f t="shared" si="26"/>
        <v>4.600763762836646E-2</v>
      </c>
      <c r="W35" s="2"/>
      <c r="X35" s="6">
        <f t="shared" si="27"/>
        <v>-1204.9799999999814</v>
      </c>
      <c r="Y35" s="2"/>
      <c r="Z35" s="7">
        <f t="shared" si="28"/>
        <v>-7.7386047314549223E-3</v>
      </c>
    </row>
    <row r="36" spans="1:26" s="23" customFormat="1" hidden="1" outlineLevel="2" x14ac:dyDescent="0.25">
      <c r="A36" s="27"/>
      <c r="B36" s="10" t="str">
        <f>CONCATENATE("          ", "6004", " - ", "STAFF HOURLY")</f>
        <v xml:space="preserve">          6004 - STAFF HOURLY</v>
      </c>
      <c r="C36" s="10"/>
      <c r="D36" s="6">
        <v>28528.41</v>
      </c>
      <c r="E36" s="2"/>
      <c r="F36" s="7">
        <f t="shared" si="21"/>
        <v>0.31639949031667114</v>
      </c>
      <c r="G36" s="2"/>
      <c r="H36" s="6">
        <v>15596</v>
      </c>
      <c r="I36" s="2"/>
      <c r="J36" s="7">
        <f t="shared" si="22"/>
        <v>0</v>
      </c>
      <c r="K36" s="2"/>
      <c r="L36" s="6">
        <f t="shared" si="23"/>
        <v>12932.41</v>
      </c>
      <c r="M36" s="2"/>
      <c r="N36" s="7">
        <f t="shared" si="24"/>
        <v>0.82921325981020777</v>
      </c>
      <c r="O36" s="10"/>
      <c r="P36" s="6">
        <v>168970.39</v>
      </c>
      <c r="Q36" s="2"/>
      <c r="R36" s="7">
        <f t="shared" si="25"/>
        <v>0.18412097198301372</v>
      </c>
      <c r="S36" s="2"/>
      <c r="T36" s="6">
        <v>204780.4</v>
      </c>
      <c r="U36" s="2"/>
      <c r="V36" s="7">
        <f t="shared" si="26"/>
        <v>6.050637669424911E-2</v>
      </c>
      <c r="W36" s="2"/>
      <c r="X36" s="6">
        <f t="shared" si="27"/>
        <v>-35810.00999999998</v>
      </c>
      <c r="Y36" s="2"/>
      <c r="Z36" s="7">
        <f t="shared" si="28"/>
        <v>-0.17487030008731294</v>
      </c>
    </row>
    <row r="37" spans="1:26" s="23" customFormat="1" hidden="1" outlineLevel="2" x14ac:dyDescent="0.25">
      <c r="A37" s="27"/>
      <c r="B37" s="10" t="str">
        <f>CONCATENATE("          ", "6005", " - ", "TEMPORARY WAGES-HOURLY")</f>
        <v xml:space="preserve">          6005 - TEMPORARY WAGES-HOURLY</v>
      </c>
      <c r="C37" s="10"/>
      <c r="D37" s="6">
        <v>10614.88</v>
      </c>
      <c r="E37" s="2"/>
      <c r="F37" s="7">
        <f t="shared" si="21"/>
        <v>0.11772624628476056</v>
      </c>
      <c r="G37" s="2"/>
      <c r="H37" s="6"/>
      <c r="I37" s="2"/>
      <c r="J37" s="7">
        <f t="shared" si="22"/>
        <v>0</v>
      </c>
      <c r="K37" s="2"/>
      <c r="L37" s="6">
        <f t="shared" si="23"/>
        <v>10614.88</v>
      </c>
      <c r="M37" s="2"/>
      <c r="N37" s="7">
        <f t="shared" si="24"/>
        <v>0</v>
      </c>
      <c r="O37" s="10"/>
      <c r="P37" s="6">
        <v>99974.07</v>
      </c>
      <c r="Q37" s="2"/>
      <c r="R37" s="7">
        <f t="shared" si="25"/>
        <v>0.1089381573984522</v>
      </c>
      <c r="S37" s="2"/>
      <c r="T37" s="6">
        <v>146126.23000000001</v>
      </c>
      <c r="U37" s="2"/>
      <c r="V37" s="7">
        <f t="shared" si="26"/>
        <v>4.317585431657759E-2</v>
      </c>
      <c r="W37" s="2"/>
      <c r="X37" s="6">
        <f t="shared" si="27"/>
        <v>-46152.160000000003</v>
      </c>
      <c r="Y37" s="2"/>
      <c r="Z37" s="7">
        <f t="shared" si="28"/>
        <v>-0.31583761519064718</v>
      </c>
    </row>
    <row r="38" spans="1:26" s="23" customFormat="1" hidden="1" outlineLevel="2" x14ac:dyDescent="0.25">
      <c r="A38" s="27"/>
      <c r="B38" s="10" t="str">
        <f>CONCATENATE("          ", "6006", " - ", "TEMPORARY PART TIME")</f>
        <v xml:space="preserve">          6006 - TEMPORARY PART TIME</v>
      </c>
      <c r="C38" s="10"/>
      <c r="D38" s="6">
        <v>847.56</v>
      </c>
      <c r="E38" s="2"/>
      <c r="F38" s="7">
        <f t="shared" si="21"/>
        <v>9.4000174567316491E-3</v>
      </c>
      <c r="G38" s="2"/>
      <c r="H38" s="6"/>
      <c r="I38" s="2"/>
      <c r="J38" s="7">
        <f t="shared" si="22"/>
        <v>0</v>
      </c>
      <c r="K38" s="2"/>
      <c r="L38" s="6">
        <f t="shared" si="23"/>
        <v>847.56</v>
      </c>
      <c r="M38" s="2"/>
      <c r="N38" s="7">
        <f t="shared" si="24"/>
        <v>0</v>
      </c>
      <c r="O38" s="10"/>
      <c r="P38" s="6">
        <v>2174.52</v>
      </c>
      <c r="Q38" s="2"/>
      <c r="R38" s="7">
        <f t="shared" si="25"/>
        <v>2.3694964306852991E-3</v>
      </c>
      <c r="S38" s="2"/>
      <c r="T38" s="6">
        <v>13546.1</v>
      </c>
      <c r="U38" s="2"/>
      <c r="V38" s="7">
        <f t="shared" si="26"/>
        <v>4.0024603396514894E-3</v>
      </c>
      <c r="W38" s="2"/>
      <c r="X38" s="6">
        <f t="shared" si="27"/>
        <v>-11371.58</v>
      </c>
      <c r="Y38" s="2"/>
      <c r="Z38" s="7">
        <f t="shared" si="28"/>
        <v>-0.839472615734418</v>
      </c>
    </row>
    <row r="39" spans="1:26" s="23" customFormat="1" hidden="1" outlineLevel="2" x14ac:dyDescent="0.25">
      <c r="A39" s="27"/>
      <c r="B39" s="10" t="str">
        <f>CONCATENATE("          ", "6007", " - ", "STUDENT HOURLY")</f>
        <v xml:space="preserve">          6007 - STUDENT HOURLY</v>
      </c>
      <c r="C39" s="10"/>
      <c r="D39" s="6">
        <v>6120.5</v>
      </c>
      <c r="E39" s="2"/>
      <c r="F39" s="7">
        <f t="shared" si="21"/>
        <v>6.7880512109969871E-2</v>
      </c>
      <c r="G39" s="2"/>
      <c r="H39" s="6">
        <v>-4255</v>
      </c>
      <c r="I39" s="2"/>
      <c r="J39" s="7">
        <f t="shared" si="22"/>
        <v>0</v>
      </c>
      <c r="K39" s="2"/>
      <c r="L39" s="6">
        <f t="shared" si="23"/>
        <v>10375.5</v>
      </c>
      <c r="M39" s="2"/>
      <c r="N39" s="7">
        <f t="shared" si="24"/>
        <v>-2.4384253819036426</v>
      </c>
      <c r="O39" s="10"/>
      <c r="P39" s="6">
        <v>111466.59</v>
      </c>
      <c r="Q39" s="2"/>
      <c r="R39" s="7">
        <f t="shared" si="25"/>
        <v>0.12146114413556171</v>
      </c>
      <c r="S39" s="2"/>
      <c r="T39" s="6">
        <v>291246.51</v>
      </c>
      <c r="U39" s="2"/>
      <c r="V39" s="7">
        <f t="shared" si="26"/>
        <v>8.6054481019401219E-2</v>
      </c>
      <c r="W39" s="2"/>
      <c r="X39" s="6">
        <f t="shared" si="27"/>
        <v>-179779.92</v>
      </c>
      <c r="Y39" s="2"/>
      <c r="Z39" s="7">
        <f t="shared" si="28"/>
        <v>-0.61727750832104389</v>
      </c>
    </row>
    <row r="40" spans="1:26" s="23" customFormat="1" hidden="1" outlineLevel="2" x14ac:dyDescent="0.25">
      <c r="A40" s="27"/>
      <c r="B40" s="10" t="str">
        <f>CONCATENATE("          ", "6008", " - ", "STUDENT HOURLY-FICA EXEMPT")</f>
        <v xml:space="preserve">          6008 - STUDENT HOURLY-FICA EXEMPT</v>
      </c>
      <c r="C40" s="10"/>
      <c r="D40" s="6"/>
      <c r="E40" s="2"/>
      <c r="F40" s="7">
        <f t="shared" si="21"/>
        <v>0</v>
      </c>
      <c r="G40" s="2"/>
      <c r="H40" s="6"/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0"/>
      <c r="P40" s="6">
        <v>10630.88</v>
      </c>
      <c r="Q40" s="2"/>
      <c r="R40" s="7">
        <f t="shared" si="25"/>
        <v>1.1584088541399357E-2</v>
      </c>
      <c r="S40" s="2"/>
      <c r="T40" s="6">
        <v>80541.119999999995</v>
      </c>
      <c r="U40" s="2"/>
      <c r="V40" s="7">
        <f t="shared" si="26"/>
        <v>2.3797450078702456E-2</v>
      </c>
      <c r="W40" s="2"/>
      <c r="X40" s="6">
        <f t="shared" si="27"/>
        <v>-69910.239999999991</v>
      </c>
      <c r="Y40" s="2"/>
      <c r="Z40" s="7">
        <f t="shared" si="28"/>
        <v>-0.86800680199133062</v>
      </c>
    </row>
    <row r="41" spans="1:26" s="26" customFormat="1" outlineLevel="1" collapsed="1" x14ac:dyDescent="0.25">
      <c r="A41" s="25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122.76</v>
      </c>
      <c r="E41" s="1"/>
      <c r="F41" s="5">
        <f t="shared" ref="F41:F62" si="29">IF(D$12=0,0,D41/D$12)</f>
        <v>1.3614919804950415E-3</v>
      </c>
      <c r="G41" s="1"/>
      <c r="H41" s="1">
        <f>SUM(OSRRefH22_2x_0)</f>
        <v>0</v>
      </c>
      <c r="I41" s="1"/>
      <c r="J41" s="5">
        <f t="shared" ref="J41:J62" si="30">IF(H$12=0,0,H41/H$12)</f>
        <v>0</v>
      </c>
      <c r="K41" s="1"/>
      <c r="L41" s="1">
        <f t="shared" ref="L41:L62" si="31">+D41-H41</f>
        <v>122.76</v>
      </c>
      <c r="M41" s="1"/>
      <c r="N41" s="5">
        <f t="shared" ref="N41:N62" si="32">IF(H41=0,0,L41/H41)</f>
        <v>0</v>
      </c>
      <c r="O41" s="12"/>
      <c r="P41" s="1">
        <f>SUM(OSRRefP22_2x_0)</f>
        <v>1363.18</v>
      </c>
      <c r="Q41" s="1"/>
      <c r="R41" s="5">
        <f t="shared" ref="R41:R62" si="33">IF(P$12=0,0,P41/P$12)</f>
        <v>1.4854083404068881E-3</v>
      </c>
      <c r="S41" s="1"/>
      <c r="T41" s="1">
        <f>SUM(OSRRefT22_2x_0)</f>
        <v>2628.74</v>
      </c>
      <c r="U41" s="1"/>
      <c r="V41" s="5">
        <f t="shared" ref="V41:V62" si="34">IF(T$12=0,0,T41/T$12)</f>
        <v>7.7671267695170231E-4</v>
      </c>
      <c r="W41" s="1"/>
      <c r="X41" s="1">
        <f t="shared" ref="X41:X62" si="35">+P41-T41</f>
        <v>-1265.5599999999997</v>
      </c>
      <c r="Y41" s="1"/>
      <c r="Z41" s="5">
        <f t="shared" ref="Z41:Z62" si="36">IF(T41=0,0,X41/T41)</f>
        <v>-0.48143216902394298</v>
      </c>
    </row>
    <row r="42" spans="1:26" s="23" customFormat="1" hidden="1" outlineLevel="2" x14ac:dyDescent="0.25">
      <c r="A42" s="27"/>
      <c r="B42" s="10" t="str">
        <f>CONCATENATE("          ", "6362", " - ", "ADVERTISING EXPENSE")</f>
        <v xml:space="preserve">          6362 - ADVERTISING EXPENSE</v>
      </c>
      <c r="C42" s="10"/>
      <c r="D42" s="6">
        <v>122.76</v>
      </c>
      <c r="E42" s="2"/>
      <c r="F42" s="7">
        <f t="shared" si="29"/>
        <v>1.3614919804950415E-3</v>
      </c>
      <c r="G42" s="2"/>
      <c r="H42" s="6"/>
      <c r="I42" s="2"/>
      <c r="J42" s="7">
        <f t="shared" si="30"/>
        <v>0</v>
      </c>
      <c r="K42" s="2"/>
      <c r="L42" s="6">
        <f t="shared" si="31"/>
        <v>122.76</v>
      </c>
      <c r="M42" s="2"/>
      <c r="N42" s="7">
        <f t="shared" si="32"/>
        <v>0</v>
      </c>
      <c r="O42" s="10"/>
      <c r="P42" s="6">
        <v>1363.18</v>
      </c>
      <c r="Q42" s="2"/>
      <c r="R42" s="7">
        <f t="shared" si="33"/>
        <v>1.4854083404068881E-3</v>
      </c>
      <c r="S42" s="2"/>
      <c r="T42" s="6">
        <v>2628.74</v>
      </c>
      <c r="U42" s="2"/>
      <c r="V42" s="7">
        <f t="shared" si="34"/>
        <v>7.7671267695170231E-4</v>
      </c>
      <c r="W42" s="2"/>
      <c r="X42" s="6">
        <f t="shared" si="35"/>
        <v>-1265.5599999999997</v>
      </c>
      <c r="Y42" s="2"/>
      <c r="Z42" s="7">
        <f t="shared" si="36"/>
        <v>-0.48143216902394298</v>
      </c>
    </row>
    <row r="43" spans="1:26" s="26" customFormat="1" outlineLevel="1" collapsed="1" x14ac:dyDescent="0.25">
      <c r="A43" s="25"/>
      <c r="B43" s="12" t="str">
        <f>CONCATENATE("     ","Bad Debts/Over/Short                              ")</f>
        <v xml:space="preserve">     Bad Debts/Over/Short                              </v>
      </c>
      <c r="C43" s="12"/>
      <c r="D43" s="1">
        <f>SUM(OSRRefD22_3x_0)</f>
        <v>0</v>
      </c>
      <c r="E43" s="1"/>
      <c r="F43" s="5">
        <f t="shared" si="29"/>
        <v>0</v>
      </c>
      <c r="G43" s="1"/>
      <c r="H43" s="1">
        <f>SUM(OSRRefH22_3x_0)</f>
        <v>0</v>
      </c>
      <c r="I43" s="1"/>
      <c r="J43" s="5">
        <f t="shared" si="30"/>
        <v>0</v>
      </c>
      <c r="K43" s="1"/>
      <c r="L43" s="1">
        <f t="shared" si="31"/>
        <v>0</v>
      </c>
      <c r="M43" s="1"/>
      <c r="N43" s="5">
        <f t="shared" si="32"/>
        <v>0</v>
      </c>
      <c r="O43" s="12"/>
      <c r="P43" s="1">
        <f>SUM(OSRRefP22_3x_0)</f>
        <v>23.8</v>
      </c>
      <c r="Q43" s="1"/>
      <c r="R43" s="5">
        <f t="shared" si="33"/>
        <v>2.593400614862596E-5</v>
      </c>
      <c r="S43" s="1"/>
      <c r="T43" s="1">
        <f>SUM(OSRRefT22_3x_0)</f>
        <v>16.690000000000001</v>
      </c>
      <c r="U43" s="1"/>
      <c r="V43" s="5">
        <f t="shared" si="34"/>
        <v>4.9313871201883469E-6</v>
      </c>
      <c r="W43" s="1"/>
      <c r="X43" s="1">
        <f t="shared" si="35"/>
        <v>7.1099999999999994</v>
      </c>
      <c r="Y43" s="1"/>
      <c r="Z43" s="5">
        <f t="shared" si="36"/>
        <v>0.4260035949670461</v>
      </c>
    </row>
    <row r="44" spans="1:26" s="23" customFormat="1" hidden="1" outlineLevel="2" x14ac:dyDescent="0.25">
      <c r="A44" s="27"/>
      <c r="B44" s="10" t="str">
        <f>CONCATENATE("          ", "6272", " - ", "CASH (OVER/SHORT)")</f>
        <v xml:space="preserve">          6272 - CASH (OVER/SHORT)</v>
      </c>
      <c r="C44" s="10"/>
      <c r="D44" s="6"/>
      <c r="E44" s="2"/>
      <c r="F44" s="7">
        <f t="shared" si="29"/>
        <v>0</v>
      </c>
      <c r="G44" s="2"/>
      <c r="H44" s="6"/>
      <c r="I44" s="2"/>
      <c r="J44" s="7">
        <f t="shared" si="30"/>
        <v>0</v>
      </c>
      <c r="K44" s="2"/>
      <c r="L44" s="6">
        <f t="shared" si="31"/>
        <v>0</v>
      </c>
      <c r="M44" s="2"/>
      <c r="N44" s="7">
        <f t="shared" si="32"/>
        <v>0</v>
      </c>
      <c r="O44" s="10"/>
      <c r="P44" s="6">
        <v>23.8</v>
      </c>
      <c r="Q44" s="2"/>
      <c r="R44" s="7">
        <f t="shared" si="33"/>
        <v>2.593400614862596E-5</v>
      </c>
      <c r="S44" s="2"/>
      <c r="T44" s="6">
        <v>16.690000000000001</v>
      </c>
      <c r="U44" s="2"/>
      <c r="V44" s="7">
        <f t="shared" si="34"/>
        <v>4.9313871201883469E-6</v>
      </c>
      <c r="W44" s="2"/>
      <c r="X44" s="6">
        <f t="shared" si="35"/>
        <v>7.1099999999999994</v>
      </c>
      <c r="Y44" s="2"/>
      <c r="Z44" s="7">
        <f t="shared" si="36"/>
        <v>0.4260035949670461</v>
      </c>
    </row>
    <row r="45" spans="1:26" s="26" customFormat="1" outlineLevel="1" collapsed="1" x14ac:dyDescent="0.25">
      <c r="A45" s="25"/>
      <c r="B45" s="12" t="str">
        <f>CONCATENATE("     ","Bank/card Fees                                    ")</f>
        <v xml:space="preserve">     Bank/card Fees                                    </v>
      </c>
      <c r="C45" s="12"/>
      <c r="D45" s="1">
        <f>SUM(OSRRefD22_4x_0)</f>
        <v>79.34</v>
      </c>
      <c r="E45" s="1"/>
      <c r="F45" s="5">
        <f t="shared" si="29"/>
        <v>8.7993461821828448E-4</v>
      </c>
      <c r="G45" s="1"/>
      <c r="H45" s="1">
        <f>SUM(OSRRefH22_4x_0)</f>
        <v>0</v>
      </c>
      <c r="I45" s="1"/>
      <c r="J45" s="5">
        <f t="shared" si="30"/>
        <v>0</v>
      </c>
      <c r="K45" s="1"/>
      <c r="L45" s="1">
        <f t="shared" si="31"/>
        <v>79.34</v>
      </c>
      <c r="M45" s="1"/>
      <c r="N45" s="5">
        <f t="shared" si="32"/>
        <v>0</v>
      </c>
      <c r="O45" s="12"/>
      <c r="P45" s="1">
        <f>SUM(OSRRefP22_4x_0)</f>
        <v>346.34</v>
      </c>
      <c r="Q45" s="1"/>
      <c r="R45" s="5">
        <f t="shared" si="33"/>
        <v>3.7739427266870226E-4</v>
      </c>
      <c r="S45" s="1"/>
      <c r="T45" s="1">
        <f>SUM(OSRRefT22_4x_0)</f>
        <v>1125.75</v>
      </c>
      <c r="U45" s="1"/>
      <c r="V45" s="5">
        <f t="shared" si="34"/>
        <v>3.3262486821761716E-4</v>
      </c>
      <c r="W45" s="1"/>
      <c r="X45" s="1">
        <f t="shared" si="35"/>
        <v>-779.41000000000008</v>
      </c>
      <c r="Y45" s="1"/>
      <c r="Z45" s="5">
        <f t="shared" si="36"/>
        <v>-0.69234732400621812</v>
      </c>
    </row>
    <row r="46" spans="1:26" s="23" customFormat="1" hidden="1" outlineLevel="2" x14ac:dyDescent="0.25">
      <c r="A46" s="27"/>
      <c r="B46" s="10" t="str">
        <f>CONCATENATE("          ", "6381", " - ", "BANK/CREDIT CARD FEES")</f>
        <v xml:space="preserve">          6381 - BANK/CREDIT CARD FEES</v>
      </c>
      <c r="C46" s="10"/>
      <c r="D46" s="6">
        <v>79.34</v>
      </c>
      <c r="E46" s="2"/>
      <c r="F46" s="7">
        <f t="shared" si="29"/>
        <v>8.7993461821828448E-4</v>
      </c>
      <c r="G46" s="2"/>
      <c r="H46" s="6"/>
      <c r="I46" s="2"/>
      <c r="J46" s="7">
        <f t="shared" si="30"/>
        <v>0</v>
      </c>
      <c r="K46" s="2"/>
      <c r="L46" s="6">
        <f t="shared" si="31"/>
        <v>79.34</v>
      </c>
      <c r="M46" s="2"/>
      <c r="N46" s="7">
        <f t="shared" si="32"/>
        <v>0</v>
      </c>
      <c r="O46" s="10"/>
      <c r="P46" s="6">
        <v>346.34</v>
      </c>
      <c r="Q46" s="2"/>
      <c r="R46" s="7">
        <f t="shared" si="33"/>
        <v>3.7739427266870226E-4</v>
      </c>
      <c r="S46" s="2"/>
      <c r="T46" s="6">
        <v>1125.75</v>
      </c>
      <c r="U46" s="2"/>
      <c r="V46" s="7">
        <f t="shared" si="34"/>
        <v>3.3262486821761716E-4</v>
      </c>
      <c r="W46" s="2"/>
      <c r="X46" s="6">
        <f t="shared" si="35"/>
        <v>-779.41000000000008</v>
      </c>
      <c r="Y46" s="2"/>
      <c r="Z46" s="7">
        <f t="shared" si="36"/>
        <v>-0.69234732400621812</v>
      </c>
    </row>
    <row r="47" spans="1:26" s="26" customFormat="1" outlineLevel="1" collapsed="1" x14ac:dyDescent="0.25">
      <c r="A47" s="25"/>
      <c r="B47" s="12" t="str">
        <f>CONCATENATE("     ","Depreciation                                      ")</f>
        <v xml:space="preserve">     Depreciation                                      </v>
      </c>
      <c r="C47" s="12"/>
      <c r="D47" s="1">
        <f>SUM(OSRRefD22_5x_0)</f>
        <v>272.74</v>
      </c>
      <c r="E47" s="1"/>
      <c r="F47" s="5">
        <f t="shared" si="29"/>
        <v>3.0248722935827437E-3</v>
      </c>
      <c r="G47" s="1"/>
      <c r="H47" s="1">
        <f>SUM(OSRRefH22_5x_0)</f>
        <v>0</v>
      </c>
      <c r="I47" s="1"/>
      <c r="J47" s="5">
        <f t="shared" si="30"/>
        <v>0</v>
      </c>
      <c r="K47" s="1"/>
      <c r="L47" s="1">
        <f t="shared" si="31"/>
        <v>272.74</v>
      </c>
      <c r="M47" s="1"/>
      <c r="N47" s="5">
        <f t="shared" si="32"/>
        <v>0</v>
      </c>
      <c r="O47" s="12"/>
      <c r="P47" s="1">
        <f>SUM(OSRRefP22_5x_0)</f>
        <v>2463.1799999999998</v>
      </c>
      <c r="Q47" s="1"/>
      <c r="R47" s="5">
        <f t="shared" si="33"/>
        <v>2.6840388766879194E-3</v>
      </c>
      <c r="S47" s="1"/>
      <c r="T47" s="1">
        <f>SUM(OSRRefT22_5x_0)</f>
        <v>0</v>
      </c>
      <c r="U47" s="1"/>
      <c r="V47" s="5">
        <f t="shared" si="34"/>
        <v>0</v>
      </c>
      <c r="W47" s="1"/>
      <c r="X47" s="1">
        <f t="shared" si="35"/>
        <v>2463.1799999999998</v>
      </c>
      <c r="Y47" s="1"/>
      <c r="Z47" s="5">
        <f t="shared" si="36"/>
        <v>0</v>
      </c>
    </row>
    <row r="48" spans="1:26" s="23" customFormat="1" hidden="1" outlineLevel="2" x14ac:dyDescent="0.25">
      <c r="A48" s="27"/>
      <c r="B48" s="10" t="str">
        <f>CONCATENATE("          ", "6322", " - ", "EQUIPMENT DEPRECIATION EXPENSE")</f>
        <v xml:space="preserve">          6322 - EQUIPMENT DEPRECIATION EXPENSE</v>
      </c>
      <c r="C48" s="10"/>
      <c r="D48" s="6">
        <v>272.74</v>
      </c>
      <c r="E48" s="2"/>
      <c r="F48" s="7">
        <f t="shared" si="29"/>
        <v>3.0248722935827437E-3</v>
      </c>
      <c r="G48" s="2"/>
      <c r="H48" s="6"/>
      <c r="I48" s="2"/>
      <c r="J48" s="7">
        <f t="shared" si="30"/>
        <v>0</v>
      </c>
      <c r="K48" s="2"/>
      <c r="L48" s="6">
        <f t="shared" si="31"/>
        <v>272.74</v>
      </c>
      <c r="M48" s="2"/>
      <c r="N48" s="7">
        <f t="shared" si="32"/>
        <v>0</v>
      </c>
      <c r="O48" s="10"/>
      <c r="P48" s="6">
        <v>2463.1799999999998</v>
      </c>
      <c r="Q48" s="2"/>
      <c r="R48" s="7">
        <f t="shared" si="33"/>
        <v>2.6840388766879194E-3</v>
      </c>
      <c r="S48" s="2"/>
      <c r="T48" s="6"/>
      <c r="U48" s="2"/>
      <c r="V48" s="7">
        <f t="shared" si="34"/>
        <v>0</v>
      </c>
      <c r="W48" s="2"/>
      <c r="X48" s="6">
        <f t="shared" si="35"/>
        <v>2463.1799999999998</v>
      </c>
      <c r="Y48" s="2"/>
      <c r="Z48" s="7">
        <f t="shared" si="36"/>
        <v>0</v>
      </c>
    </row>
    <row r="49" spans="1:26" s="26" customFormat="1" outlineLevel="1" collapsed="1" x14ac:dyDescent="0.25">
      <c r="A49" s="25"/>
      <c r="B49" s="12" t="str">
        <f>CONCATENATE("     ","Donations                                         ")</f>
        <v xml:space="preserve">     Donations                                         </v>
      </c>
      <c r="C49" s="12"/>
      <c r="D49" s="1">
        <f>SUM(OSRRefD22_6x_0)</f>
        <v>7325.88</v>
      </c>
      <c r="E49" s="1"/>
      <c r="F49" s="5">
        <f t="shared" si="29"/>
        <v>8.1248996986551109E-2</v>
      </c>
      <c r="G49" s="1"/>
      <c r="H49" s="1">
        <f>SUM(OSRRefH22_6x_0)</f>
        <v>0</v>
      </c>
      <c r="I49" s="1"/>
      <c r="J49" s="5">
        <f t="shared" si="30"/>
        <v>0</v>
      </c>
      <c r="K49" s="1"/>
      <c r="L49" s="1">
        <f t="shared" si="31"/>
        <v>7325.88</v>
      </c>
      <c r="M49" s="1"/>
      <c r="N49" s="5">
        <f t="shared" si="32"/>
        <v>0</v>
      </c>
      <c r="O49" s="12"/>
      <c r="P49" s="1">
        <f>SUM(OSRRefP22_6x_0)</f>
        <v>58305.64</v>
      </c>
      <c r="Q49" s="1"/>
      <c r="R49" s="5">
        <f t="shared" si="33"/>
        <v>6.3533564128553432E-2</v>
      </c>
      <c r="S49" s="1"/>
      <c r="T49" s="1">
        <f>SUM(OSRRefT22_6x_0)</f>
        <v>26858.9</v>
      </c>
      <c r="U49" s="1"/>
      <c r="V49" s="5">
        <f t="shared" si="34"/>
        <v>7.9359876286654758E-3</v>
      </c>
      <c r="W49" s="1"/>
      <c r="X49" s="1">
        <f t="shared" si="35"/>
        <v>31446.739999999998</v>
      </c>
      <c r="Y49" s="1"/>
      <c r="Z49" s="5">
        <f t="shared" si="36"/>
        <v>1.17081265427847</v>
      </c>
    </row>
    <row r="50" spans="1:26" s="23" customFormat="1" hidden="1" outlineLevel="2" x14ac:dyDescent="0.25">
      <c r="A50" s="27"/>
      <c r="B50" s="10" t="str">
        <f>CONCATENATE("          ", "6399", " - ", "DONATION-ON CAMPUS")</f>
        <v xml:space="preserve">          6399 - DONATION-ON CAMPUS</v>
      </c>
      <c r="C50" s="10"/>
      <c r="D50" s="6">
        <v>7325.88</v>
      </c>
      <c r="E50" s="2"/>
      <c r="F50" s="7">
        <f t="shared" si="29"/>
        <v>8.1248996986551109E-2</v>
      </c>
      <c r="G50" s="2"/>
      <c r="H50" s="6"/>
      <c r="I50" s="2"/>
      <c r="J50" s="7">
        <f t="shared" si="30"/>
        <v>0</v>
      </c>
      <c r="K50" s="2"/>
      <c r="L50" s="6">
        <f t="shared" si="31"/>
        <v>7325.88</v>
      </c>
      <c r="M50" s="2"/>
      <c r="N50" s="7">
        <f t="shared" si="32"/>
        <v>0</v>
      </c>
      <c r="O50" s="10"/>
      <c r="P50" s="6">
        <v>58305.64</v>
      </c>
      <c r="Q50" s="2"/>
      <c r="R50" s="7">
        <f t="shared" si="33"/>
        <v>6.3533564128553432E-2</v>
      </c>
      <c r="S50" s="2"/>
      <c r="T50" s="6">
        <v>26858.9</v>
      </c>
      <c r="U50" s="2"/>
      <c r="V50" s="7">
        <f t="shared" si="34"/>
        <v>7.9359876286654758E-3</v>
      </c>
      <c r="W50" s="2"/>
      <c r="X50" s="6">
        <f t="shared" si="35"/>
        <v>31446.739999999998</v>
      </c>
      <c r="Y50" s="2"/>
      <c r="Z50" s="7">
        <f t="shared" si="36"/>
        <v>1.17081265427847</v>
      </c>
    </row>
    <row r="51" spans="1:26" s="26" customFormat="1" outlineLevel="1" collapsed="1" x14ac:dyDescent="0.25">
      <c r="A51" s="25"/>
      <c r="B51" s="12" t="str">
        <f>CONCATENATE("     ","Employees' Appreciation                           ")</f>
        <v xml:space="preserve">     Employees' Appreciation                           </v>
      </c>
      <c r="C51" s="12"/>
      <c r="D51" s="1">
        <f>SUM(OSRRefD22_7x_0)</f>
        <v>0</v>
      </c>
      <c r="E51" s="1"/>
      <c r="F51" s="5">
        <f t="shared" si="29"/>
        <v>0</v>
      </c>
      <c r="G51" s="1"/>
      <c r="H51" s="1">
        <f>SUM(OSRRefH22_7x_0)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2"/>
      <c r="P51" s="1">
        <f>SUM(OSRRefP22_7x_0)</f>
        <v>0</v>
      </c>
      <c r="Q51" s="1"/>
      <c r="R51" s="5">
        <f t="shared" si="33"/>
        <v>0</v>
      </c>
      <c r="S51" s="1"/>
      <c r="T51" s="1">
        <f>SUM(OSRRefT22_7x_0)</f>
        <v>1564</v>
      </c>
      <c r="U51" s="1"/>
      <c r="V51" s="5">
        <f t="shared" si="34"/>
        <v>4.6211440718841066E-4</v>
      </c>
      <c r="W51" s="1"/>
      <c r="X51" s="1">
        <f t="shared" si="35"/>
        <v>-1564</v>
      </c>
      <c r="Y51" s="1"/>
      <c r="Z51" s="5">
        <f t="shared" si="36"/>
        <v>-1</v>
      </c>
    </row>
    <row r="52" spans="1:26" s="23" customFormat="1" hidden="1" outlineLevel="2" x14ac:dyDescent="0.25">
      <c r="A52" s="27"/>
      <c r="B52" s="10" t="str">
        <f>CONCATENATE("          ", "6277", " - ", "EMPLOYEE APPRECIATION")</f>
        <v xml:space="preserve">          6277 - EMPLOYEE APPRECIATION</v>
      </c>
      <c r="C52" s="10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0"/>
      <c r="P52" s="6"/>
      <c r="Q52" s="2"/>
      <c r="R52" s="7">
        <f t="shared" si="33"/>
        <v>0</v>
      </c>
      <c r="S52" s="2"/>
      <c r="T52" s="6">
        <v>1564</v>
      </c>
      <c r="U52" s="2"/>
      <c r="V52" s="7">
        <f t="shared" si="34"/>
        <v>4.6211440718841066E-4</v>
      </c>
      <c r="W52" s="2"/>
      <c r="X52" s="6">
        <f t="shared" si="35"/>
        <v>-1564</v>
      </c>
      <c r="Y52" s="2"/>
      <c r="Z52" s="7">
        <f t="shared" si="36"/>
        <v>-1</v>
      </c>
    </row>
    <row r="53" spans="1:26" s="26" customFormat="1" outlineLevel="1" collapsed="1" x14ac:dyDescent="0.25">
      <c r="A53" s="25"/>
      <c r="B53" s="12" t="str">
        <f>CONCATENATE("     ","Equipment Rental                                  ")</f>
        <v xml:space="preserve">     Equipment Rental                                  </v>
      </c>
      <c r="C53" s="12"/>
      <c r="D53" s="1">
        <f>SUM(OSRRefD22_8x_0)</f>
        <v>559.04</v>
      </c>
      <c r="E53" s="1"/>
      <c r="F53" s="5">
        <f t="shared" si="29"/>
        <v>6.2001342194195827E-3</v>
      </c>
      <c r="G53" s="1"/>
      <c r="H53" s="1">
        <f>SUM(OSRRefH22_8x_0)</f>
        <v>91.26</v>
      </c>
      <c r="I53" s="1"/>
      <c r="J53" s="5">
        <f t="shared" si="30"/>
        <v>0</v>
      </c>
      <c r="K53" s="1"/>
      <c r="L53" s="1">
        <f t="shared" si="31"/>
        <v>467.78</v>
      </c>
      <c r="M53" s="1"/>
      <c r="N53" s="5">
        <f t="shared" si="32"/>
        <v>5.1257944334867407</v>
      </c>
      <c r="O53" s="12"/>
      <c r="P53" s="1">
        <f>SUM(OSRRefP22_8x_0)</f>
        <v>3170.83</v>
      </c>
      <c r="Q53" s="1"/>
      <c r="R53" s="5">
        <f t="shared" si="33"/>
        <v>3.4551396939599853E-3</v>
      </c>
      <c r="S53" s="1"/>
      <c r="T53" s="1">
        <f>SUM(OSRRefT22_8x_0)</f>
        <v>2665.97</v>
      </c>
      <c r="U53" s="1"/>
      <c r="V53" s="5">
        <f t="shared" si="34"/>
        <v>7.8771300903586125E-4</v>
      </c>
      <c r="W53" s="1"/>
      <c r="X53" s="1">
        <f t="shared" si="35"/>
        <v>504.86000000000013</v>
      </c>
      <c r="Y53" s="1"/>
      <c r="Z53" s="5">
        <f t="shared" si="36"/>
        <v>0.18937197342805814</v>
      </c>
    </row>
    <row r="54" spans="1:26" s="23" customFormat="1" hidden="1" outlineLevel="2" x14ac:dyDescent="0.25">
      <c r="A54" s="27"/>
      <c r="B54" s="10" t="str">
        <f>CONCATENATE("          ", "6351", " - ", "EQUIPMENT RENTAL")</f>
        <v xml:space="preserve">          6351 - EQUIPMENT RENTAL</v>
      </c>
      <c r="C54" s="10"/>
      <c r="D54" s="6">
        <v>559.04</v>
      </c>
      <c r="E54" s="2"/>
      <c r="F54" s="7">
        <f t="shared" si="29"/>
        <v>6.2001342194195827E-3</v>
      </c>
      <c r="G54" s="2"/>
      <c r="H54" s="6">
        <v>91.26</v>
      </c>
      <c r="I54" s="2"/>
      <c r="J54" s="7">
        <f t="shared" si="30"/>
        <v>0</v>
      </c>
      <c r="K54" s="2"/>
      <c r="L54" s="6">
        <f t="shared" si="31"/>
        <v>467.78</v>
      </c>
      <c r="M54" s="2"/>
      <c r="N54" s="7">
        <f t="shared" si="32"/>
        <v>5.1257944334867407</v>
      </c>
      <c r="O54" s="10"/>
      <c r="P54" s="6">
        <v>3170.83</v>
      </c>
      <c r="Q54" s="2"/>
      <c r="R54" s="7">
        <f t="shared" si="33"/>
        <v>3.4551396939599853E-3</v>
      </c>
      <c r="S54" s="2"/>
      <c r="T54" s="6">
        <v>2665.97</v>
      </c>
      <c r="U54" s="2"/>
      <c r="V54" s="7">
        <f t="shared" si="34"/>
        <v>7.8771300903586125E-4</v>
      </c>
      <c r="W54" s="2"/>
      <c r="X54" s="6">
        <f t="shared" si="35"/>
        <v>504.86000000000013</v>
      </c>
      <c r="Y54" s="2"/>
      <c r="Z54" s="7">
        <f t="shared" si="36"/>
        <v>0.18937197342805814</v>
      </c>
    </row>
    <row r="55" spans="1:26" s="26" customFormat="1" outlineLevel="1" collapsed="1" x14ac:dyDescent="0.25">
      <c r="A55" s="25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SUM(OSRRefD22_9x_0)</f>
        <v>0</v>
      </c>
      <c r="E55" s="1"/>
      <c r="F55" s="5">
        <f t="shared" si="29"/>
        <v>0</v>
      </c>
      <c r="G55" s="1"/>
      <c r="H55" s="1">
        <f>SUM(OSRRefH22_9x_0)</f>
        <v>0</v>
      </c>
      <c r="I55" s="1"/>
      <c r="J55" s="5">
        <f t="shared" si="30"/>
        <v>0</v>
      </c>
      <c r="K55" s="1"/>
      <c r="L55" s="1">
        <f t="shared" si="31"/>
        <v>0</v>
      </c>
      <c r="M55" s="1"/>
      <c r="N55" s="5">
        <f t="shared" si="32"/>
        <v>0</v>
      </c>
      <c r="O55" s="12"/>
      <c r="P55" s="1">
        <f>SUM(OSRRefP22_9x_0)</f>
        <v>1888.78</v>
      </c>
      <c r="Q55" s="1"/>
      <c r="R55" s="5">
        <f t="shared" si="33"/>
        <v>2.0581358039244426E-3</v>
      </c>
      <c r="S55" s="1"/>
      <c r="T55" s="1">
        <f>SUM(OSRRefT22_9x_0)</f>
        <v>3224.62</v>
      </c>
      <c r="U55" s="1"/>
      <c r="V55" s="5">
        <f t="shared" si="34"/>
        <v>9.5277708421220755E-4</v>
      </c>
      <c r="W55" s="1"/>
      <c r="X55" s="1">
        <f t="shared" si="35"/>
        <v>-1335.84</v>
      </c>
      <c r="Y55" s="1"/>
      <c r="Z55" s="5">
        <f t="shared" si="36"/>
        <v>-0.41426276584527788</v>
      </c>
    </row>
    <row r="56" spans="1:26" s="23" customFormat="1" hidden="1" outlineLevel="2" x14ac:dyDescent="0.25">
      <c r="A56" s="27"/>
      <c r="B56" s="10" t="str">
        <f>CONCATENATE("          ", "6279", " - ", "GENERAL EXPENSE")</f>
        <v xml:space="preserve">          6279 - GENERAL EXPENSE</v>
      </c>
      <c r="C56" s="10"/>
      <c r="D56" s="6"/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0</v>
      </c>
      <c r="M56" s="2"/>
      <c r="N56" s="7">
        <f t="shared" si="32"/>
        <v>0</v>
      </c>
      <c r="O56" s="10"/>
      <c r="P56" s="6">
        <v>1888.78</v>
      </c>
      <c r="Q56" s="2"/>
      <c r="R56" s="7">
        <f t="shared" si="33"/>
        <v>2.0581358039244426E-3</v>
      </c>
      <c r="S56" s="2"/>
      <c r="T56" s="6">
        <v>3224.62</v>
      </c>
      <c r="U56" s="2"/>
      <c r="V56" s="7">
        <f t="shared" si="34"/>
        <v>9.5277708421220755E-4</v>
      </c>
      <c r="W56" s="2"/>
      <c r="X56" s="6">
        <f t="shared" si="35"/>
        <v>-1335.84</v>
      </c>
      <c r="Y56" s="2"/>
      <c r="Z56" s="7">
        <f t="shared" si="36"/>
        <v>-0.41426276584527788</v>
      </c>
    </row>
    <row r="57" spans="1:26" s="26" customFormat="1" outlineLevel="1" collapsed="1" x14ac:dyDescent="0.25">
      <c r="A57" s="25"/>
      <c r="B57" s="12" t="str">
        <f>CONCATENATE("     ","R/H Commissions                                   ")</f>
        <v xml:space="preserve">     R/H Commissions                                   </v>
      </c>
      <c r="C57" s="12"/>
      <c r="D57" s="1">
        <f>SUM(OSRRefD22_10x_0)</f>
        <v>6627.19</v>
      </c>
      <c r="E57" s="1"/>
      <c r="F57" s="5">
        <f t="shared" si="29"/>
        <v>7.3500049187169542E-2</v>
      </c>
      <c r="G57" s="1"/>
      <c r="H57" s="1">
        <f>SUM(OSRRefH22_10x_0)</f>
        <v>724.42</v>
      </c>
      <c r="I57" s="1"/>
      <c r="J57" s="5">
        <f t="shared" si="30"/>
        <v>0</v>
      </c>
      <c r="K57" s="1"/>
      <c r="L57" s="1">
        <f t="shared" si="31"/>
        <v>5902.7699999999995</v>
      </c>
      <c r="M57" s="1"/>
      <c r="N57" s="5">
        <f t="shared" si="32"/>
        <v>8.1482703404102583</v>
      </c>
      <c r="O57" s="12"/>
      <c r="P57" s="1">
        <f>SUM(OSRRefP22_10x_0)</f>
        <v>63740.44</v>
      </c>
      <c r="Q57" s="1"/>
      <c r="R57" s="5">
        <f t="shared" si="33"/>
        <v>6.9455670709080847E-2</v>
      </c>
      <c r="S57" s="1"/>
      <c r="T57" s="1">
        <f>SUM(OSRRefT22_10x_0)</f>
        <v>265321.17</v>
      </c>
      <c r="U57" s="1"/>
      <c r="V57" s="5">
        <f t="shared" si="34"/>
        <v>7.8394331962330893E-2</v>
      </c>
      <c r="W57" s="1"/>
      <c r="X57" s="1">
        <f t="shared" si="35"/>
        <v>-201580.72999999998</v>
      </c>
      <c r="Y57" s="1"/>
      <c r="Z57" s="5">
        <f t="shared" si="36"/>
        <v>-0.75976119809813891</v>
      </c>
    </row>
    <row r="58" spans="1:26" s="23" customFormat="1" hidden="1" outlineLevel="2" x14ac:dyDescent="0.25">
      <c r="A58" s="27"/>
      <c r="B58" s="10" t="str">
        <f>CONCATENATE("          ", "6387", " - ", "COMMISSION DUE HOUSING")</f>
        <v xml:space="preserve">          6387 - COMMISSION DUE HOUSING</v>
      </c>
      <c r="C58" s="10"/>
      <c r="D58" s="6">
        <v>6627.19</v>
      </c>
      <c r="E58" s="2"/>
      <c r="F58" s="7">
        <f t="shared" si="29"/>
        <v>7.3500049187169542E-2</v>
      </c>
      <c r="G58" s="2"/>
      <c r="H58" s="6">
        <v>724.42</v>
      </c>
      <c r="I58" s="2"/>
      <c r="J58" s="7">
        <f t="shared" si="30"/>
        <v>0</v>
      </c>
      <c r="K58" s="2"/>
      <c r="L58" s="6">
        <f t="shared" si="31"/>
        <v>5902.7699999999995</v>
      </c>
      <c r="M58" s="2"/>
      <c r="N58" s="7">
        <f t="shared" si="32"/>
        <v>8.1482703404102583</v>
      </c>
      <c r="O58" s="10"/>
      <c r="P58" s="6">
        <v>63740.44</v>
      </c>
      <c r="Q58" s="2"/>
      <c r="R58" s="7">
        <f t="shared" si="33"/>
        <v>6.9455670709080847E-2</v>
      </c>
      <c r="S58" s="2"/>
      <c r="T58" s="6">
        <v>265321.17</v>
      </c>
      <c r="U58" s="2"/>
      <c r="V58" s="7">
        <f t="shared" si="34"/>
        <v>7.8394331962330893E-2</v>
      </c>
      <c r="W58" s="2"/>
      <c r="X58" s="6">
        <f t="shared" si="35"/>
        <v>-201580.72999999998</v>
      </c>
      <c r="Y58" s="2"/>
      <c r="Z58" s="7">
        <f t="shared" si="36"/>
        <v>-0.75976119809813891</v>
      </c>
    </row>
    <row r="59" spans="1:26" s="26" customFormat="1" outlineLevel="1" collapsed="1" x14ac:dyDescent="0.25">
      <c r="A59" s="25"/>
      <c r="B59" s="12" t="str">
        <f>CONCATENATE("     ","Repair and Maintenance                            ")</f>
        <v xml:space="preserve">     Repair and Maintenance                            </v>
      </c>
      <c r="C59" s="12"/>
      <c r="D59" s="1">
        <f>SUM(OSRRefD22_11x_0)</f>
        <v>60.89</v>
      </c>
      <c r="E59" s="1"/>
      <c r="F59" s="5">
        <f t="shared" si="29"/>
        <v>6.7531155663361903E-4</v>
      </c>
      <c r="G59" s="1"/>
      <c r="H59" s="1">
        <f>SUM(OSRRefH22_11x_0)</f>
        <v>51.62</v>
      </c>
      <c r="I59" s="1"/>
      <c r="J59" s="5">
        <f t="shared" si="30"/>
        <v>0</v>
      </c>
      <c r="K59" s="1"/>
      <c r="L59" s="1">
        <f t="shared" si="31"/>
        <v>9.2700000000000031</v>
      </c>
      <c r="M59" s="1"/>
      <c r="N59" s="5">
        <f t="shared" si="32"/>
        <v>0.1795815575358389</v>
      </c>
      <c r="O59" s="12"/>
      <c r="P59" s="1">
        <f>SUM(OSRRefP22_11x_0)</f>
        <v>3499.74</v>
      </c>
      <c r="Q59" s="1"/>
      <c r="R59" s="5">
        <f t="shared" si="33"/>
        <v>3.8135411209492525E-3</v>
      </c>
      <c r="S59" s="1"/>
      <c r="T59" s="1">
        <f>SUM(OSRRefT22_11x_0)</f>
        <v>9444.7099999999991</v>
      </c>
      <c r="U59" s="1"/>
      <c r="V59" s="5">
        <f t="shared" si="34"/>
        <v>2.7906244007138451E-3</v>
      </c>
      <c r="W59" s="1"/>
      <c r="X59" s="1">
        <f t="shared" si="35"/>
        <v>-5944.9699999999993</v>
      </c>
      <c r="Y59" s="1"/>
      <c r="Z59" s="5">
        <f t="shared" si="36"/>
        <v>-0.62944971311983111</v>
      </c>
    </row>
    <row r="60" spans="1:26" s="23" customFormat="1" hidden="1" outlineLevel="2" x14ac:dyDescent="0.25">
      <c r="A60" s="27"/>
      <c r="B60" s="10" t="str">
        <f>CONCATENATE("          ", "6371", " - ", "COMPUTER SOFTWARE MAINTENANCE")</f>
        <v xml:space="preserve">          6371 - COMPUTER SOFTWARE MAINTENANCE</v>
      </c>
      <c r="C60" s="10"/>
      <c r="D60" s="6"/>
      <c r="E60" s="2"/>
      <c r="F60" s="7">
        <f t="shared" si="29"/>
        <v>0</v>
      </c>
      <c r="G60" s="2"/>
      <c r="H60" s="6"/>
      <c r="I60" s="2"/>
      <c r="J60" s="7">
        <f t="shared" si="30"/>
        <v>0</v>
      </c>
      <c r="K60" s="2"/>
      <c r="L60" s="6">
        <f t="shared" si="31"/>
        <v>0</v>
      </c>
      <c r="M60" s="2"/>
      <c r="N60" s="7">
        <f t="shared" si="32"/>
        <v>0</v>
      </c>
      <c r="O60" s="10"/>
      <c r="P60" s="6"/>
      <c r="Q60" s="2"/>
      <c r="R60" s="7">
        <f t="shared" si="33"/>
        <v>0</v>
      </c>
      <c r="S60" s="2"/>
      <c r="T60" s="6">
        <v>8238.75</v>
      </c>
      <c r="U60" s="2"/>
      <c r="V60" s="7">
        <f t="shared" si="34"/>
        <v>2.4342999183014822E-3</v>
      </c>
      <c r="W60" s="2"/>
      <c r="X60" s="6">
        <f t="shared" si="35"/>
        <v>-8238.75</v>
      </c>
      <c r="Y60" s="2"/>
      <c r="Z60" s="7">
        <f t="shared" si="36"/>
        <v>-1</v>
      </c>
    </row>
    <row r="61" spans="1:26" s="23" customFormat="1" hidden="1" outlineLevel="2" x14ac:dyDescent="0.25">
      <c r="A61" s="27"/>
      <c r="B61" s="10" t="str">
        <f>CONCATENATE("          ", "6373", " - ", "MAINTENANCE CONTRACTS")</f>
        <v xml:space="preserve">          6373 - MAINTENANCE CONTRACTS</v>
      </c>
      <c r="C61" s="10"/>
      <c r="D61" s="6">
        <v>12.34</v>
      </c>
      <c r="E61" s="2"/>
      <c r="F61" s="7">
        <f t="shared" si="29"/>
        <v>1.3685900162356478E-4</v>
      </c>
      <c r="G61" s="2"/>
      <c r="H61" s="6">
        <v>1.62</v>
      </c>
      <c r="I61" s="2"/>
      <c r="J61" s="7">
        <f t="shared" si="30"/>
        <v>0</v>
      </c>
      <c r="K61" s="2"/>
      <c r="L61" s="6">
        <f t="shared" si="31"/>
        <v>10.719999999999999</v>
      </c>
      <c r="M61" s="2"/>
      <c r="N61" s="7">
        <f t="shared" si="32"/>
        <v>6.6172839506172831</v>
      </c>
      <c r="O61" s="10"/>
      <c r="P61" s="6">
        <v>1696.17</v>
      </c>
      <c r="Q61" s="2"/>
      <c r="R61" s="7">
        <f t="shared" si="33"/>
        <v>1.8482555970216342E-3</v>
      </c>
      <c r="S61" s="2"/>
      <c r="T61" s="6">
        <v>298.55</v>
      </c>
      <c r="U61" s="2"/>
      <c r="V61" s="7">
        <f t="shared" si="34"/>
        <v>8.8212440067838874E-5</v>
      </c>
      <c r="W61" s="2"/>
      <c r="X61" s="6">
        <f t="shared" si="35"/>
        <v>1397.6200000000001</v>
      </c>
      <c r="Y61" s="2"/>
      <c r="Z61" s="7">
        <f t="shared" si="36"/>
        <v>4.6813599062133644</v>
      </c>
    </row>
    <row r="62" spans="1:26" s="23" customFormat="1" hidden="1" outlineLevel="2" x14ac:dyDescent="0.25">
      <c r="A62" s="27"/>
      <c r="B62" s="10" t="str">
        <f>CONCATENATE("          ", "6375", " - ", "OUTSIDE REPAIRS &amp; MAINTENANCE")</f>
        <v xml:space="preserve">          6375 - OUTSIDE REPAIRS &amp; MAINTENANCE</v>
      </c>
      <c r="C62" s="10"/>
      <c r="D62" s="6">
        <v>48.55</v>
      </c>
      <c r="E62" s="2"/>
      <c r="F62" s="7">
        <f t="shared" si="29"/>
        <v>5.3845255501005422E-4</v>
      </c>
      <c r="G62" s="2"/>
      <c r="H62" s="6">
        <v>50</v>
      </c>
      <c r="I62" s="2"/>
      <c r="J62" s="7">
        <f t="shared" si="30"/>
        <v>0</v>
      </c>
      <c r="K62" s="2"/>
      <c r="L62" s="6">
        <f t="shared" si="31"/>
        <v>-1.4500000000000028</v>
      </c>
      <c r="M62" s="2"/>
      <c r="N62" s="7">
        <f t="shared" si="32"/>
        <v>-2.9000000000000057E-2</v>
      </c>
      <c r="O62" s="10"/>
      <c r="P62" s="6">
        <v>1803.57</v>
      </c>
      <c r="Q62" s="2"/>
      <c r="R62" s="7">
        <f t="shared" si="33"/>
        <v>1.9652855239276185E-3</v>
      </c>
      <c r="S62" s="2"/>
      <c r="T62" s="6">
        <v>907.41</v>
      </c>
      <c r="U62" s="2"/>
      <c r="V62" s="7">
        <f t="shared" si="34"/>
        <v>2.6811204234452408E-4</v>
      </c>
      <c r="W62" s="2"/>
      <c r="X62" s="6">
        <f t="shared" si="35"/>
        <v>896.16</v>
      </c>
      <c r="Y62" s="2"/>
      <c r="Z62" s="7">
        <f t="shared" si="36"/>
        <v>0.9876020762389659</v>
      </c>
    </row>
    <row r="63" spans="1:26" s="26" customFormat="1" outlineLevel="1" collapsed="1" x14ac:dyDescent="0.25">
      <c r="A63" s="25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SUM(OSRRefD22_12x_0)</f>
        <v>6649.1900000000005</v>
      </c>
      <c r="E63" s="1"/>
      <c r="F63" s="5">
        <f t="shared" ref="F63:F67" si="37">IF(D$12=0,0,D63/D$12)</f>
        <v>7.3744044165752892E-2</v>
      </c>
      <c r="G63" s="1"/>
      <c r="H63" s="1">
        <f>SUM(OSRRefH22_12x_0)</f>
        <v>-821.36000000000013</v>
      </c>
      <c r="I63" s="1"/>
      <c r="J63" s="5">
        <f t="shared" ref="J63:J67" si="38">IF(H$12=0,0,H63/H$12)</f>
        <v>0</v>
      </c>
      <c r="K63" s="1"/>
      <c r="L63" s="1">
        <f t="shared" ref="L63:L67" si="39">+D63-H63</f>
        <v>7470.5500000000011</v>
      </c>
      <c r="M63" s="1"/>
      <c r="N63" s="5">
        <f t="shared" ref="N63:N67" si="40">IF(H63=0,0,L63/H63)</f>
        <v>-9.0953418720171424</v>
      </c>
      <c r="O63" s="12"/>
      <c r="P63" s="1">
        <f>SUM(OSRRefP22_12x_0)</f>
        <v>53398.790000000008</v>
      </c>
      <c r="Q63" s="1"/>
      <c r="R63" s="5">
        <f t="shared" ref="R63:R67" si="41">IF(P$12=0,0,P63/P$12)</f>
        <v>5.8186745722234728E-2</v>
      </c>
      <c r="S63" s="1"/>
      <c r="T63" s="1">
        <f>SUM(OSRRefT22_12x_0)</f>
        <v>54719.43</v>
      </c>
      <c r="U63" s="1"/>
      <c r="V63" s="5">
        <f t="shared" ref="V63:V67" si="42">IF(T$12=0,0,T63/T$12)</f>
        <v>1.6167926442543307E-2</v>
      </c>
      <c r="W63" s="1"/>
      <c r="X63" s="1">
        <f t="shared" ref="X63:X67" si="43">+P63-T63</f>
        <v>-1320.6399999999921</v>
      </c>
      <c r="Y63" s="1"/>
      <c r="Z63" s="5">
        <f t="shared" ref="Z63:Z67" si="44">IF(T63=0,0,X63/T63)</f>
        <v>-2.4134754327667377E-2</v>
      </c>
    </row>
    <row r="64" spans="1:26" s="23" customFormat="1" hidden="1" outlineLevel="2" x14ac:dyDescent="0.25">
      <c r="A64" s="27"/>
      <c r="B64" s="10" t="str">
        <f>CONCATENATE("          ", "6282", " - ", "JANITORIAL/EXTERMINATOR EXPENS")</f>
        <v xml:space="preserve">          6282 - JANITORIAL/EXTERMINATOR EXPENS</v>
      </c>
      <c r="C64" s="10"/>
      <c r="D64" s="6">
        <v>842.68</v>
      </c>
      <c r="E64" s="2"/>
      <c r="F64" s="7">
        <f t="shared" si="37"/>
        <v>9.3458949342095261E-3</v>
      </c>
      <c r="G64" s="2"/>
      <c r="H64" s="6">
        <v>421.34</v>
      </c>
      <c r="I64" s="2"/>
      <c r="J64" s="7">
        <f t="shared" si="38"/>
        <v>0</v>
      </c>
      <c r="K64" s="2"/>
      <c r="L64" s="6">
        <f t="shared" si="39"/>
        <v>421.34</v>
      </c>
      <c r="M64" s="2"/>
      <c r="N64" s="7">
        <f t="shared" si="40"/>
        <v>1</v>
      </c>
      <c r="O64" s="10"/>
      <c r="P64" s="6">
        <v>4081.44</v>
      </c>
      <c r="Q64" s="2"/>
      <c r="R64" s="7">
        <f t="shared" si="41"/>
        <v>4.4473987418171398E-3</v>
      </c>
      <c r="S64" s="2"/>
      <c r="T64" s="6">
        <v>4634.74</v>
      </c>
      <c r="U64" s="2"/>
      <c r="V64" s="7">
        <f t="shared" si="42"/>
        <v>1.3694246339977074E-3</v>
      </c>
      <c r="W64" s="2"/>
      <c r="X64" s="6">
        <f t="shared" si="43"/>
        <v>-553.29999999999973</v>
      </c>
      <c r="Y64" s="2"/>
      <c r="Z64" s="7">
        <f t="shared" si="44"/>
        <v>-0.11938102245217634</v>
      </c>
    </row>
    <row r="65" spans="1:26" s="23" customFormat="1" hidden="1" outlineLevel="2" x14ac:dyDescent="0.25">
      <c r="A65" s="27"/>
      <c r="B65" s="10" t="str">
        <f>CONCATENATE("          ", "6284", " - ", "TRASH REMOVAL EXPENSE")</f>
        <v xml:space="preserve">          6284 - TRASH REMOVAL EXPENSE</v>
      </c>
      <c r="C65" s="10"/>
      <c r="D65" s="6"/>
      <c r="E65" s="2"/>
      <c r="F65" s="7">
        <f t="shared" si="37"/>
        <v>0</v>
      </c>
      <c r="G65" s="2"/>
      <c r="H65" s="6"/>
      <c r="I65" s="2"/>
      <c r="J65" s="7">
        <f t="shared" si="38"/>
        <v>0</v>
      </c>
      <c r="K65" s="2"/>
      <c r="L65" s="6">
        <f t="shared" si="39"/>
        <v>0</v>
      </c>
      <c r="M65" s="2"/>
      <c r="N65" s="7">
        <f t="shared" si="40"/>
        <v>0</v>
      </c>
      <c r="O65" s="10"/>
      <c r="P65" s="6">
        <v>282.75</v>
      </c>
      <c r="Q65" s="2"/>
      <c r="R65" s="7">
        <f t="shared" si="41"/>
        <v>3.0810253103041976E-4</v>
      </c>
      <c r="S65" s="2"/>
      <c r="T65" s="6"/>
      <c r="U65" s="2"/>
      <c r="V65" s="7">
        <f t="shared" si="42"/>
        <v>0</v>
      </c>
      <c r="W65" s="2"/>
      <c r="X65" s="6">
        <f t="shared" si="43"/>
        <v>282.75</v>
      </c>
      <c r="Y65" s="2"/>
      <c r="Z65" s="7">
        <f t="shared" si="44"/>
        <v>0</v>
      </c>
    </row>
    <row r="66" spans="1:26" s="23" customFormat="1" hidden="1" outlineLevel="2" x14ac:dyDescent="0.25">
      <c r="A66" s="27"/>
      <c r="B66" s="10" t="str">
        <f>CONCATENATE("          ", "6285", " - ", "JANITORIAL SERVICES")</f>
        <v xml:space="preserve">          6285 - JANITORIAL SERVICES</v>
      </c>
      <c r="C66" s="10"/>
      <c r="D66" s="6">
        <v>4468.33</v>
      </c>
      <c r="E66" s="2"/>
      <c r="F66" s="7">
        <f t="shared" si="37"/>
        <v>4.955682193878632E-2</v>
      </c>
      <c r="G66" s="2"/>
      <c r="H66" s="6">
        <v>-1242.7</v>
      </c>
      <c r="I66" s="2"/>
      <c r="J66" s="7">
        <f t="shared" si="38"/>
        <v>0</v>
      </c>
      <c r="K66" s="2"/>
      <c r="L66" s="6">
        <f t="shared" si="39"/>
        <v>5711.03</v>
      </c>
      <c r="M66" s="2"/>
      <c r="N66" s="7">
        <f t="shared" si="40"/>
        <v>-4.5956626699927572</v>
      </c>
      <c r="O66" s="10"/>
      <c r="P66" s="6">
        <v>41154.94</v>
      </c>
      <c r="Q66" s="2"/>
      <c r="R66" s="7">
        <f t="shared" si="41"/>
        <v>4.4845061638921532E-2</v>
      </c>
      <c r="S66" s="2"/>
      <c r="T66" s="6">
        <v>38570.82</v>
      </c>
      <c r="U66" s="2"/>
      <c r="V66" s="7">
        <f t="shared" si="42"/>
        <v>1.1396503592756325E-2</v>
      </c>
      <c r="W66" s="2"/>
      <c r="X66" s="6">
        <f t="shared" si="43"/>
        <v>2584.1200000000026</v>
      </c>
      <c r="Y66" s="2"/>
      <c r="Z66" s="7">
        <f t="shared" si="44"/>
        <v>6.6996760763706933E-2</v>
      </c>
    </row>
    <row r="67" spans="1:26" s="23" customFormat="1" hidden="1" outlineLevel="2" x14ac:dyDescent="0.25">
      <c r="A67" s="27"/>
      <c r="B67" s="10" t="str">
        <f>CONCATENATE("          ", "6286", " - ", "LAUNDRY EXPENSE")</f>
        <v xml:space="preserve">          6286 - LAUNDRY EXPENSE</v>
      </c>
      <c r="C67" s="10"/>
      <c r="D67" s="6">
        <v>1338.18</v>
      </c>
      <c r="E67" s="2"/>
      <c r="F67" s="7">
        <f t="shared" si="37"/>
        <v>1.4841327292757044E-2</v>
      </c>
      <c r="G67" s="2"/>
      <c r="H67" s="6"/>
      <c r="I67" s="2"/>
      <c r="J67" s="7">
        <f t="shared" si="38"/>
        <v>0</v>
      </c>
      <c r="K67" s="2"/>
      <c r="L67" s="6">
        <f t="shared" si="39"/>
        <v>1338.18</v>
      </c>
      <c r="M67" s="2"/>
      <c r="N67" s="7">
        <f t="shared" si="40"/>
        <v>0</v>
      </c>
      <c r="O67" s="10"/>
      <c r="P67" s="6">
        <v>7879.66</v>
      </c>
      <c r="Q67" s="2"/>
      <c r="R67" s="7">
        <f t="shared" si="41"/>
        <v>8.5861828104656316E-3</v>
      </c>
      <c r="S67" s="2"/>
      <c r="T67" s="6">
        <v>11513.87</v>
      </c>
      <c r="U67" s="2"/>
      <c r="V67" s="7">
        <f t="shared" si="42"/>
        <v>3.4019982157892752E-3</v>
      </c>
      <c r="W67" s="2"/>
      <c r="X67" s="6">
        <f t="shared" si="43"/>
        <v>-3634.2100000000009</v>
      </c>
      <c r="Y67" s="2"/>
      <c r="Z67" s="7">
        <f t="shared" si="44"/>
        <v>-0.31563757450796309</v>
      </c>
    </row>
    <row r="68" spans="1:26" s="26" customFormat="1" outlineLevel="1" collapsed="1" x14ac:dyDescent="0.25">
      <c r="A68" s="25"/>
      <c r="B68" s="12" t="str">
        <f>CONCATENATE("     ","Subscriptions &amp; Dues                              ")</f>
        <v xml:space="preserve">     Subscriptions &amp; Dues                              </v>
      </c>
      <c r="C68" s="12"/>
      <c r="D68" s="1">
        <f>SUM(OSRRefD22_13x_0)</f>
        <v>0</v>
      </c>
      <c r="E68" s="1"/>
      <c r="F68" s="5">
        <f t="shared" ref="F68:F79" si="45">IF(D$12=0,0,D68/D$12)</f>
        <v>0</v>
      </c>
      <c r="G68" s="1"/>
      <c r="H68" s="1">
        <f>SUM(OSRRefH22_13x_0)</f>
        <v>0</v>
      </c>
      <c r="I68" s="1"/>
      <c r="J68" s="5">
        <f t="shared" ref="J68:J79" si="46">IF(H$12=0,0,H68/H$12)</f>
        <v>0</v>
      </c>
      <c r="K68" s="1"/>
      <c r="L68" s="1">
        <f t="shared" ref="L68:L79" si="47">+D68-H68</f>
        <v>0</v>
      </c>
      <c r="M68" s="1"/>
      <c r="N68" s="5">
        <f t="shared" ref="N68:N79" si="48">IF(H68=0,0,L68/H68)</f>
        <v>0</v>
      </c>
      <c r="O68" s="12"/>
      <c r="P68" s="1">
        <f>SUM(OSRRefP22_13x_0)</f>
        <v>795</v>
      </c>
      <c r="Q68" s="1"/>
      <c r="R68" s="5">
        <f t="shared" ref="R68:R79" si="49">IF(P$12=0,0,P68/P$12)</f>
        <v>8.6628297849401835E-4</v>
      </c>
      <c r="S68" s="1"/>
      <c r="T68" s="1">
        <f>SUM(OSRRefT22_13x_0)</f>
        <v>0</v>
      </c>
      <c r="U68" s="1"/>
      <c r="V68" s="5">
        <f t="shared" ref="V68:V79" si="50">IF(T$12=0,0,T68/T$12)</f>
        <v>0</v>
      </c>
      <c r="W68" s="1"/>
      <c r="X68" s="1">
        <f t="shared" ref="X68:X79" si="51">+P68-T68</f>
        <v>795</v>
      </c>
      <c r="Y68" s="1"/>
      <c r="Z68" s="5">
        <f t="shared" ref="Z68:Z79" si="52">IF(T68=0,0,X68/T68)</f>
        <v>0</v>
      </c>
    </row>
    <row r="69" spans="1:26" s="23" customFormat="1" hidden="1" outlineLevel="2" x14ac:dyDescent="0.25">
      <c r="A69" s="27"/>
      <c r="B69" s="10" t="str">
        <f>CONCATENATE("          ", "6258", " - ", "MEMBERSHIP DUES")</f>
        <v xml:space="preserve">          6258 - MEMBERSHIP DUES</v>
      </c>
      <c r="C69" s="10"/>
      <c r="D69" s="6"/>
      <c r="E69" s="2"/>
      <c r="F69" s="7">
        <f t="shared" si="45"/>
        <v>0</v>
      </c>
      <c r="G69" s="2"/>
      <c r="H69" s="6"/>
      <c r="I69" s="2"/>
      <c r="J69" s="7">
        <f t="shared" si="46"/>
        <v>0</v>
      </c>
      <c r="K69" s="2"/>
      <c r="L69" s="6">
        <f t="shared" si="47"/>
        <v>0</v>
      </c>
      <c r="M69" s="2"/>
      <c r="N69" s="7">
        <f t="shared" si="48"/>
        <v>0</v>
      </c>
      <c r="O69" s="10"/>
      <c r="P69" s="6">
        <v>795</v>
      </c>
      <c r="Q69" s="2"/>
      <c r="R69" s="7">
        <f t="shared" si="49"/>
        <v>8.6628297849401835E-4</v>
      </c>
      <c r="S69" s="2"/>
      <c r="T69" s="6"/>
      <c r="U69" s="2"/>
      <c r="V69" s="7">
        <f t="shared" si="50"/>
        <v>0</v>
      </c>
      <c r="W69" s="2"/>
      <c r="X69" s="6">
        <f t="shared" si="51"/>
        <v>795</v>
      </c>
      <c r="Y69" s="2"/>
      <c r="Z69" s="7">
        <f t="shared" si="52"/>
        <v>0</v>
      </c>
    </row>
    <row r="70" spans="1:26" s="26" customFormat="1" outlineLevel="1" collapsed="1" x14ac:dyDescent="0.25">
      <c r="A70" s="25"/>
      <c r="B70" s="12" t="str">
        <f>CONCATENATE("     ","Supplies                                          ")</f>
        <v xml:space="preserve">     Supplies                                          </v>
      </c>
      <c r="C70" s="12"/>
      <c r="D70" s="1">
        <f>SUM(OSRRefD22_14x_0)</f>
        <v>13276.58</v>
      </c>
      <c r="E70" s="1"/>
      <c r="F70" s="5">
        <f t="shared" si="45"/>
        <v>0.14724631148909137</v>
      </c>
      <c r="G70" s="1"/>
      <c r="H70" s="1">
        <f>SUM(OSRRefH22_14x_0)</f>
        <v>-103.42</v>
      </c>
      <c r="I70" s="1"/>
      <c r="J70" s="5">
        <f t="shared" si="46"/>
        <v>0</v>
      </c>
      <c r="K70" s="1"/>
      <c r="L70" s="1">
        <f t="shared" si="47"/>
        <v>13380</v>
      </c>
      <c r="M70" s="1"/>
      <c r="N70" s="5">
        <f t="shared" si="48"/>
        <v>-129.37536259911042</v>
      </c>
      <c r="O70" s="12"/>
      <c r="P70" s="1">
        <f>SUM(OSRRefP22_14x_0)</f>
        <v>118175.93</v>
      </c>
      <c r="Q70" s="1"/>
      <c r="R70" s="5">
        <f t="shared" si="49"/>
        <v>0.12877207122855425</v>
      </c>
      <c r="S70" s="1"/>
      <c r="T70" s="1">
        <f>SUM(OSRRefT22_14x_0)</f>
        <v>76941.84</v>
      </c>
      <c r="U70" s="1"/>
      <c r="V70" s="5">
        <f t="shared" si="50"/>
        <v>2.27339723654639E-2</v>
      </c>
      <c r="W70" s="1"/>
      <c r="X70" s="1">
        <f t="shared" si="51"/>
        <v>41234.089999999997</v>
      </c>
      <c r="Y70" s="1"/>
      <c r="Z70" s="5">
        <f t="shared" si="52"/>
        <v>0.53591245023513867</v>
      </c>
    </row>
    <row r="71" spans="1:26" s="23" customFormat="1" hidden="1" outlineLevel="2" x14ac:dyDescent="0.25">
      <c r="A71" s="27"/>
      <c r="B71" s="10" t="str">
        <f>CONCATENATE("          ", "6234", " - ", "EXPENDABLE SUPPLIES &amp; EQUIPMEN")</f>
        <v xml:space="preserve">          6234 - EXPENDABLE SUPPLIES &amp; EQUIPMEN</v>
      </c>
      <c r="C71" s="10"/>
      <c r="D71" s="6"/>
      <c r="E71" s="2"/>
      <c r="F71" s="7">
        <f t="shared" si="45"/>
        <v>0</v>
      </c>
      <c r="G71" s="2"/>
      <c r="H71" s="6"/>
      <c r="I71" s="2"/>
      <c r="J71" s="7">
        <f t="shared" si="46"/>
        <v>0</v>
      </c>
      <c r="K71" s="2"/>
      <c r="L71" s="6">
        <f t="shared" si="47"/>
        <v>0</v>
      </c>
      <c r="M71" s="2"/>
      <c r="N71" s="7">
        <f t="shared" si="48"/>
        <v>0</v>
      </c>
      <c r="O71" s="10"/>
      <c r="P71" s="6"/>
      <c r="Q71" s="2"/>
      <c r="R71" s="7">
        <f t="shared" si="49"/>
        <v>0</v>
      </c>
      <c r="S71" s="2"/>
      <c r="T71" s="6">
        <v>118.34</v>
      </c>
      <c r="U71" s="2"/>
      <c r="V71" s="7">
        <f t="shared" si="50"/>
        <v>3.4965868891736903E-5</v>
      </c>
      <c r="W71" s="2"/>
      <c r="X71" s="6">
        <f t="shared" si="51"/>
        <v>-118.34</v>
      </c>
      <c r="Y71" s="2"/>
      <c r="Z71" s="7">
        <f t="shared" si="52"/>
        <v>-1</v>
      </c>
    </row>
    <row r="72" spans="1:26" s="23" customFormat="1" hidden="1" outlineLevel="2" x14ac:dyDescent="0.25">
      <c r="A72" s="27"/>
      <c r="B72" s="10" t="str">
        <f>CONCATENATE("          ", "6235", " - ", "COVID-19 EXPENSES")</f>
        <v xml:space="preserve">          6235 - COVID-19 EXPENSES</v>
      </c>
      <c r="C72" s="10"/>
      <c r="D72" s="6">
        <v>2921.2</v>
      </c>
      <c r="E72" s="2"/>
      <c r="F72" s="7">
        <f t="shared" si="45"/>
        <v>3.2398096883529771E-2</v>
      </c>
      <c r="G72" s="2"/>
      <c r="H72" s="6"/>
      <c r="I72" s="2"/>
      <c r="J72" s="7">
        <f t="shared" si="46"/>
        <v>0</v>
      </c>
      <c r="K72" s="2"/>
      <c r="L72" s="6">
        <f t="shared" si="47"/>
        <v>2921.2</v>
      </c>
      <c r="M72" s="2"/>
      <c r="N72" s="7">
        <f t="shared" si="48"/>
        <v>0</v>
      </c>
      <c r="O72" s="10"/>
      <c r="P72" s="6">
        <v>50176.47</v>
      </c>
      <c r="Q72" s="2"/>
      <c r="R72" s="7">
        <f t="shared" si="49"/>
        <v>5.4675499222535548E-2</v>
      </c>
      <c r="S72" s="2"/>
      <c r="T72" s="6"/>
      <c r="U72" s="2"/>
      <c r="V72" s="7">
        <f t="shared" si="50"/>
        <v>0</v>
      </c>
      <c r="W72" s="2"/>
      <c r="X72" s="6">
        <f t="shared" si="51"/>
        <v>50176.47</v>
      </c>
      <c r="Y72" s="2"/>
      <c r="Z72" s="7">
        <f t="shared" si="52"/>
        <v>0</v>
      </c>
    </row>
    <row r="73" spans="1:26" s="23" customFormat="1" hidden="1" outlineLevel="2" x14ac:dyDescent="0.25">
      <c r="A73" s="27"/>
      <c r="B73" s="10" t="str">
        <f>CONCATENATE("          ", "6237", " - ", "JANITORIAL SUPPLIES")</f>
        <v xml:space="preserve">          6237 - JANITORIAL SUPPLIES</v>
      </c>
      <c r="C73" s="10"/>
      <c r="D73" s="6">
        <v>1902.43</v>
      </c>
      <c r="E73" s="2"/>
      <c r="F73" s="7">
        <f t="shared" si="45"/>
        <v>2.1099243959377501E-2</v>
      </c>
      <c r="G73" s="2"/>
      <c r="H73" s="6">
        <v>-103.42</v>
      </c>
      <c r="I73" s="2"/>
      <c r="J73" s="7">
        <f t="shared" si="46"/>
        <v>0</v>
      </c>
      <c r="K73" s="2"/>
      <c r="L73" s="6">
        <f t="shared" si="47"/>
        <v>2005.8500000000001</v>
      </c>
      <c r="M73" s="2"/>
      <c r="N73" s="7">
        <f t="shared" si="48"/>
        <v>-19.395184683813575</v>
      </c>
      <c r="O73" s="10"/>
      <c r="P73" s="6">
        <v>17051.79</v>
      </c>
      <c r="Q73" s="2"/>
      <c r="R73" s="7">
        <f t="shared" si="49"/>
        <v>1.8580723811137758E-2</v>
      </c>
      <c r="S73" s="2"/>
      <c r="T73" s="6">
        <v>34387.160000000003</v>
      </c>
      <c r="U73" s="2"/>
      <c r="V73" s="7">
        <f t="shared" si="50"/>
        <v>1.0160359372310121E-2</v>
      </c>
      <c r="W73" s="2"/>
      <c r="X73" s="6">
        <f t="shared" si="51"/>
        <v>-17335.370000000003</v>
      </c>
      <c r="Y73" s="2"/>
      <c r="Z73" s="7">
        <f t="shared" si="52"/>
        <v>-0.50412334138672699</v>
      </c>
    </row>
    <row r="74" spans="1:26" s="23" customFormat="1" hidden="1" outlineLevel="2" x14ac:dyDescent="0.25">
      <c r="A74" s="27"/>
      <c r="B74" s="10" t="str">
        <f>CONCATENATE("          ", "6239", " - ", "KITCHEN SUPPLIES")</f>
        <v xml:space="preserve">          6239 - KITCHEN SUPPLIES</v>
      </c>
      <c r="C74" s="10"/>
      <c r="D74" s="6">
        <v>160.30000000000001</v>
      </c>
      <c r="E74" s="2"/>
      <c r="F74" s="7">
        <f t="shared" si="45"/>
        <v>1.7778361394049785E-3</v>
      </c>
      <c r="G74" s="2"/>
      <c r="H74" s="6"/>
      <c r="I74" s="2"/>
      <c r="J74" s="7">
        <f t="shared" si="46"/>
        <v>0</v>
      </c>
      <c r="K74" s="2"/>
      <c r="L74" s="6">
        <f t="shared" si="47"/>
        <v>160.30000000000001</v>
      </c>
      <c r="M74" s="2"/>
      <c r="N74" s="7">
        <f t="shared" si="48"/>
        <v>0</v>
      </c>
      <c r="O74" s="10"/>
      <c r="P74" s="6">
        <v>6216.31</v>
      </c>
      <c r="Q74" s="2"/>
      <c r="R74" s="7">
        <f t="shared" si="49"/>
        <v>6.7736899899901283E-3</v>
      </c>
      <c r="S74" s="2"/>
      <c r="T74" s="6">
        <v>16573.400000000001</v>
      </c>
      <c r="U74" s="2"/>
      <c r="V74" s="7">
        <f t="shared" si="50"/>
        <v>4.8969353683480854E-3</v>
      </c>
      <c r="W74" s="2"/>
      <c r="X74" s="6">
        <f t="shared" si="51"/>
        <v>-10357.09</v>
      </c>
      <c r="Y74" s="2"/>
      <c r="Z74" s="7">
        <f t="shared" si="52"/>
        <v>-0.6249224661204098</v>
      </c>
    </row>
    <row r="75" spans="1:26" s="23" customFormat="1" hidden="1" outlineLevel="2" x14ac:dyDescent="0.25">
      <c r="A75" s="27"/>
      <c r="B75" s="10" t="str">
        <f>CONCATENATE("          ", "6241", " - ", "OFFICE EXPENSE")</f>
        <v xml:space="preserve">          6241 - OFFICE EXPENSE</v>
      </c>
      <c r="C75" s="10"/>
      <c r="D75" s="6">
        <v>1258.28</v>
      </c>
      <c r="E75" s="2"/>
      <c r="F75" s="7">
        <f t="shared" si="45"/>
        <v>1.3955181893265728E-2</v>
      </c>
      <c r="G75" s="2"/>
      <c r="H75" s="6"/>
      <c r="I75" s="2"/>
      <c r="J75" s="7">
        <f t="shared" si="46"/>
        <v>0</v>
      </c>
      <c r="K75" s="2"/>
      <c r="L75" s="6">
        <f t="shared" si="47"/>
        <v>1258.28</v>
      </c>
      <c r="M75" s="2"/>
      <c r="N75" s="7">
        <f t="shared" si="48"/>
        <v>0</v>
      </c>
      <c r="O75" s="10"/>
      <c r="P75" s="6">
        <v>7864.4</v>
      </c>
      <c r="Q75" s="2"/>
      <c r="R75" s="7">
        <f t="shared" si="49"/>
        <v>8.5695545359350412E-3</v>
      </c>
      <c r="S75" s="2"/>
      <c r="T75" s="6">
        <v>3279.53</v>
      </c>
      <c r="U75" s="2"/>
      <c r="V75" s="7">
        <f t="shared" si="50"/>
        <v>9.6900131829067034E-4</v>
      </c>
      <c r="W75" s="2"/>
      <c r="X75" s="6">
        <f t="shared" si="51"/>
        <v>4584.869999999999</v>
      </c>
      <c r="Y75" s="2"/>
      <c r="Z75" s="7">
        <f t="shared" si="52"/>
        <v>1.3980265464868438</v>
      </c>
    </row>
    <row r="76" spans="1:26" s="23" customFormat="1" hidden="1" outlineLevel="2" x14ac:dyDescent="0.25">
      <c r="A76" s="27"/>
      <c r="B76" s="10" t="str">
        <f>CONCATENATE("          ", "6243", " - ", "PAPER SUPPLIES")</f>
        <v xml:space="preserve">          6243 - PAPER SUPPLIES</v>
      </c>
      <c r="C76" s="10"/>
      <c r="D76" s="6">
        <v>7034.37</v>
      </c>
      <c r="E76" s="2"/>
      <c r="F76" s="7">
        <f t="shared" si="45"/>
        <v>7.8015952613513406E-2</v>
      </c>
      <c r="G76" s="2"/>
      <c r="H76" s="6"/>
      <c r="I76" s="2"/>
      <c r="J76" s="7">
        <f t="shared" si="46"/>
        <v>0</v>
      </c>
      <c r="K76" s="2"/>
      <c r="L76" s="6">
        <f t="shared" si="47"/>
        <v>7034.37</v>
      </c>
      <c r="M76" s="2"/>
      <c r="N76" s="7">
        <f t="shared" si="48"/>
        <v>0</v>
      </c>
      <c r="O76" s="10"/>
      <c r="P76" s="6">
        <v>32366.37</v>
      </c>
      <c r="Q76" s="2"/>
      <c r="R76" s="7">
        <f t="shared" si="49"/>
        <v>3.526847220960936E-2</v>
      </c>
      <c r="S76" s="2"/>
      <c r="T76" s="6">
        <v>19420.62</v>
      </c>
      <c r="U76" s="2"/>
      <c r="V76" s="7">
        <f t="shared" si="50"/>
        <v>5.738202236912654E-3</v>
      </c>
      <c r="W76" s="2"/>
      <c r="X76" s="6">
        <f t="shared" si="51"/>
        <v>12945.75</v>
      </c>
      <c r="Y76" s="2"/>
      <c r="Z76" s="7">
        <f t="shared" si="52"/>
        <v>0.66659818275626637</v>
      </c>
    </row>
    <row r="77" spans="1:26" s="23" customFormat="1" hidden="1" outlineLevel="2" x14ac:dyDescent="0.25">
      <c r="A77" s="27"/>
      <c r="B77" s="10" t="str">
        <f>CONCATENATE("          ", "6245", " - ", "PRINTING")</f>
        <v xml:space="preserve">          6245 - PRINTING</v>
      </c>
      <c r="C77" s="10"/>
      <c r="D77" s="6"/>
      <c r="E77" s="2"/>
      <c r="F77" s="7">
        <f t="shared" si="45"/>
        <v>0</v>
      </c>
      <c r="G77" s="2"/>
      <c r="H77" s="6"/>
      <c r="I77" s="2"/>
      <c r="J77" s="7">
        <f t="shared" si="46"/>
        <v>0</v>
      </c>
      <c r="K77" s="2"/>
      <c r="L77" s="6">
        <f t="shared" si="47"/>
        <v>0</v>
      </c>
      <c r="M77" s="2"/>
      <c r="N77" s="7">
        <f t="shared" si="48"/>
        <v>0</v>
      </c>
      <c r="O77" s="10"/>
      <c r="P77" s="6"/>
      <c r="Q77" s="2"/>
      <c r="R77" s="7">
        <f t="shared" si="49"/>
        <v>0</v>
      </c>
      <c r="S77" s="2"/>
      <c r="T77" s="6">
        <v>441</v>
      </c>
      <c r="U77" s="2"/>
      <c r="V77" s="7">
        <f t="shared" si="50"/>
        <v>1.3030208028778074E-4</v>
      </c>
      <c r="W77" s="2"/>
      <c r="X77" s="6">
        <f t="shared" si="51"/>
        <v>-441</v>
      </c>
      <c r="Y77" s="2"/>
      <c r="Z77" s="7">
        <f t="shared" si="52"/>
        <v>-1</v>
      </c>
    </row>
    <row r="78" spans="1:26" s="23" customFormat="1" hidden="1" outlineLevel="2" x14ac:dyDescent="0.25">
      <c r="A78" s="27"/>
      <c r="B78" s="10" t="str">
        <f>CONCATENATE("          ", "6247", " - ", "STORE SUPPLIES")</f>
        <v xml:space="preserve">          6247 - STORE SUPPLIES</v>
      </c>
      <c r="C78" s="10"/>
      <c r="D78" s="6"/>
      <c r="E78" s="2"/>
      <c r="F78" s="7">
        <f t="shared" si="45"/>
        <v>0</v>
      </c>
      <c r="G78" s="2"/>
      <c r="H78" s="6"/>
      <c r="I78" s="2"/>
      <c r="J78" s="7">
        <f t="shared" si="46"/>
        <v>0</v>
      </c>
      <c r="K78" s="2"/>
      <c r="L78" s="6">
        <f t="shared" si="47"/>
        <v>0</v>
      </c>
      <c r="M78" s="2"/>
      <c r="N78" s="7">
        <f t="shared" si="48"/>
        <v>0</v>
      </c>
      <c r="O78" s="10"/>
      <c r="P78" s="6"/>
      <c r="Q78" s="2"/>
      <c r="R78" s="7">
        <f t="shared" si="49"/>
        <v>0</v>
      </c>
      <c r="S78" s="2"/>
      <c r="T78" s="6">
        <v>153.87</v>
      </c>
      <c r="U78" s="2"/>
      <c r="V78" s="7">
        <f t="shared" si="50"/>
        <v>4.5463902707212753E-5</v>
      </c>
      <c r="W78" s="2"/>
      <c r="X78" s="6">
        <f t="shared" si="51"/>
        <v>-153.87</v>
      </c>
      <c r="Y78" s="2"/>
      <c r="Z78" s="7">
        <f t="shared" si="52"/>
        <v>-1</v>
      </c>
    </row>
    <row r="79" spans="1:26" s="23" customFormat="1" hidden="1" outlineLevel="2" x14ac:dyDescent="0.25">
      <c r="A79" s="27"/>
      <c r="B79" s="10" t="str">
        <f>CONCATENATE("          ", "6248", " - ", "UNIFORMS")</f>
        <v xml:space="preserve">          6248 - UNIFORMS</v>
      </c>
      <c r="C79" s="10"/>
      <c r="D79" s="6"/>
      <c r="E79" s="2"/>
      <c r="F79" s="7">
        <f t="shared" si="45"/>
        <v>0</v>
      </c>
      <c r="G79" s="2"/>
      <c r="H79" s="6"/>
      <c r="I79" s="2"/>
      <c r="J79" s="7">
        <f t="shared" si="46"/>
        <v>0</v>
      </c>
      <c r="K79" s="2"/>
      <c r="L79" s="6">
        <f t="shared" si="47"/>
        <v>0</v>
      </c>
      <c r="M79" s="2"/>
      <c r="N79" s="7">
        <f t="shared" si="48"/>
        <v>0</v>
      </c>
      <c r="O79" s="10"/>
      <c r="P79" s="6">
        <v>4500.59</v>
      </c>
      <c r="Q79" s="2"/>
      <c r="R79" s="7">
        <f t="shared" si="49"/>
        <v>4.9041314593464081E-3</v>
      </c>
      <c r="S79" s="2"/>
      <c r="T79" s="6">
        <v>2567.92</v>
      </c>
      <c r="U79" s="2"/>
      <c r="V79" s="7">
        <f t="shared" si="50"/>
        <v>7.587422177156416E-4</v>
      </c>
      <c r="W79" s="2"/>
      <c r="X79" s="6">
        <f t="shared" si="51"/>
        <v>1932.67</v>
      </c>
      <c r="Y79" s="2"/>
      <c r="Z79" s="7">
        <f t="shared" si="52"/>
        <v>0.75262079815570582</v>
      </c>
    </row>
    <row r="80" spans="1:26" s="26" customFormat="1" outlineLevel="1" collapsed="1" x14ac:dyDescent="0.25">
      <c r="A80" s="25"/>
      <c r="B80" s="12" t="str">
        <f>CONCATENATE("     ","Telephone/Data Lines                              ")</f>
        <v xml:space="preserve">     Telephone/Data Lines                              </v>
      </c>
      <c r="C80" s="12"/>
      <c r="D80" s="1">
        <f>SUM(OSRRefD22_15x_0)</f>
        <v>159</v>
      </c>
      <c r="E80" s="1"/>
      <c r="F80" s="5">
        <f t="shared" ref="F80:F86" si="53">IF(D$12=0,0,D80/D$12)</f>
        <v>1.7634182543068719E-3</v>
      </c>
      <c r="G80" s="1"/>
      <c r="H80" s="1">
        <f>SUM(OSRRefH22_15x_0)</f>
        <v>265.7</v>
      </c>
      <c r="I80" s="1"/>
      <c r="J80" s="5">
        <f t="shared" ref="J80:J86" si="54">IF(H$12=0,0,H80/H$12)</f>
        <v>0</v>
      </c>
      <c r="K80" s="1"/>
      <c r="L80" s="1">
        <f t="shared" ref="L80:L86" si="55">+D80-H80</f>
        <v>-106.69999999999999</v>
      </c>
      <c r="M80" s="1"/>
      <c r="N80" s="5">
        <f t="shared" ref="N80:N86" si="56">IF(H80=0,0,L80/H80)</f>
        <v>-0.40158073014678208</v>
      </c>
      <c r="O80" s="12"/>
      <c r="P80" s="1">
        <f>SUM(OSRRefP22_15x_0)</f>
        <v>2341</v>
      </c>
      <c r="Q80" s="1"/>
      <c r="R80" s="5">
        <f t="shared" ref="R80:R86" si="57">IF(P$12=0,0,P80/P$12)</f>
        <v>2.5509037140308138E-3</v>
      </c>
      <c r="S80" s="1"/>
      <c r="T80" s="1">
        <f>SUM(OSRRefT22_15x_0)</f>
        <v>3024.35</v>
      </c>
      <c r="U80" s="1"/>
      <c r="V80" s="5">
        <f t="shared" ref="V80:V86" si="58">IF(T$12=0,0,T80/T$12)</f>
        <v>8.9360339346564557E-4</v>
      </c>
      <c r="W80" s="1"/>
      <c r="X80" s="1">
        <f t="shared" ref="X80:X86" si="59">+P80-T80</f>
        <v>-683.34999999999991</v>
      </c>
      <c r="Y80" s="1"/>
      <c r="Z80" s="5">
        <f t="shared" ref="Z80:Z86" si="60">IF(T80=0,0,X80/T80)</f>
        <v>-0.22594937755220126</v>
      </c>
    </row>
    <row r="81" spans="1:26" s="23" customFormat="1" hidden="1" outlineLevel="2" x14ac:dyDescent="0.25">
      <c r="A81" s="27"/>
      <c r="B81" s="10" t="str">
        <f>CONCATENATE("          ", "6309", " - ", "TELEPHONE")</f>
        <v xml:space="preserve">          6309 - TELEPHONE</v>
      </c>
      <c r="C81" s="10"/>
      <c r="D81" s="6">
        <v>159</v>
      </c>
      <c r="E81" s="2"/>
      <c r="F81" s="7">
        <f t="shared" si="53"/>
        <v>1.7634182543068719E-3</v>
      </c>
      <c r="G81" s="2"/>
      <c r="H81" s="6">
        <v>265.7</v>
      </c>
      <c r="I81" s="2"/>
      <c r="J81" s="7">
        <f t="shared" si="54"/>
        <v>0</v>
      </c>
      <c r="K81" s="2"/>
      <c r="L81" s="6">
        <f t="shared" si="55"/>
        <v>-106.69999999999999</v>
      </c>
      <c r="M81" s="2"/>
      <c r="N81" s="7">
        <f t="shared" si="56"/>
        <v>-0.40158073014678208</v>
      </c>
      <c r="O81" s="10"/>
      <c r="P81" s="6">
        <v>2341</v>
      </c>
      <c r="Q81" s="2"/>
      <c r="R81" s="7">
        <f t="shared" si="57"/>
        <v>2.5509037140308138E-3</v>
      </c>
      <c r="S81" s="2"/>
      <c r="T81" s="6">
        <v>3024.35</v>
      </c>
      <c r="U81" s="2"/>
      <c r="V81" s="7">
        <f t="shared" si="58"/>
        <v>8.9360339346564557E-4</v>
      </c>
      <c r="W81" s="2"/>
      <c r="X81" s="6">
        <f t="shared" si="59"/>
        <v>-683.34999999999991</v>
      </c>
      <c r="Y81" s="2"/>
      <c r="Z81" s="7">
        <f t="shared" si="60"/>
        <v>-0.22594937755220126</v>
      </c>
    </row>
    <row r="82" spans="1:26" s="26" customFormat="1" outlineLevel="1" collapsed="1" x14ac:dyDescent="0.25">
      <c r="A82" s="25"/>
      <c r="B82" s="12" t="str">
        <f>CONCATENATE("     ","Training                                          ")</f>
        <v xml:space="preserve">     Training                                          </v>
      </c>
      <c r="C82" s="12"/>
      <c r="D82" s="1">
        <f>SUM(OSRRefD22_16x_0)</f>
        <v>0</v>
      </c>
      <c r="E82" s="1"/>
      <c r="F82" s="5">
        <f t="shared" si="53"/>
        <v>0</v>
      </c>
      <c r="G82" s="1"/>
      <c r="H82" s="1">
        <f>SUM(OSRRefH22_16x_0)</f>
        <v>0</v>
      </c>
      <c r="I82" s="1"/>
      <c r="J82" s="5">
        <f t="shared" si="54"/>
        <v>0</v>
      </c>
      <c r="K82" s="1"/>
      <c r="L82" s="1">
        <f t="shared" si="55"/>
        <v>0</v>
      </c>
      <c r="M82" s="1"/>
      <c r="N82" s="5">
        <f t="shared" si="56"/>
        <v>0</v>
      </c>
      <c r="O82" s="12"/>
      <c r="P82" s="1">
        <f>SUM(OSRRefP22_16x_0)</f>
        <v>735</v>
      </c>
      <c r="Q82" s="1"/>
      <c r="R82" s="5">
        <f t="shared" si="57"/>
        <v>8.0090313106050755E-4</v>
      </c>
      <c r="S82" s="1"/>
      <c r="T82" s="1">
        <f>SUM(OSRRefT22_16x_0)</f>
        <v>1112.43</v>
      </c>
      <c r="U82" s="1"/>
      <c r="V82" s="5">
        <f t="shared" si="58"/>
        <v>3.2868921354770058E-4</v>
      </c>
      <c r="W82" s="1"/>
      <c r="X82" s="1">
        <f t="shared" si="59"/>
        <v>-377.43000000000006</v>
      </c>
      <c r="Y82" s="1"/>
      <c r="Z82" s="5">
        <f t="shared" si="60"/>
        <v>-0.33928426957201807</v>
      </c>
    </row>
    <row r="83" spans="1:26" s="23" customFormat="1" hidden="1" outlineLevel="2" x14ac:dyDescent="0.25">
      <c r="A83" s="27"/>
      <c r="B83" s="10" t="str">
        <f>CONCATENATE("          ", "6376", " - ", "TRAINING")</f>
        <v xml:space="preserve">          6376 - TRAINING</v>
      </c>
      <c r="C83" s="10"/>
      <c r="D83" s="6"/>
      <c r="E83" s="2"/>
      <c r="F83" s="7">
        <f t="shared" si="53"/>
        <v>0</v>
      </c>
      <c r="G83" s="2"/>
      <c r="H83" s="6"/>
      <c r="I83" s="2"/>
      <c r="J83" s="7">
        <f t="shared" si="54"/>
        <v>0</v>
      </c>
      <c r="K83" s="2"/>
      <c r="L83" s="6">
        <f t="shared" si="55"/>
        <v>0</v>
      </c>
      <c r="M83" s="2"/>
      <c r="N83" s="7">
        <f t="shared" si="56"/>
        <v>0</v>
      </c>
      <c r="O83" s="10"/>
      <c r="P83" s="6">
        <v>735</v>
      </c>
      <c r="Q83" s="2"/>
      <c r="R83" s="7">
        <f t="shared" si="57"/>
        <v>8.0090313106050755E-4</v>
      </c>
      <c r="S83" s="2"/>
      <c r="T83" s="6">
        <v>1112.43</v>
      </c>
      <c r="U83" s="2"/>
      <c r="V83" s="7">
        <f t="shared" si="58"/>
        <v>3.2868921354770058E-4</v>
      </c>
      <c r="W83" s="2"/>
      <c r="X83" s="6">
        <f t="shared" si="59"/>
        <v>-377.43000000000006</v>
      </c>
      <c r="Y83" s="2"/>
      <c r="Z83" s="7">
        <f t="shared" si="60"/>
        <v>-0.33928426957201807</v>
      </c>
    </row>
    <row r="84" spans="1:26" s="26" customFormat="1" outlineLevel="1" collapsed="1" x14ac:dyDescent="0.25">
      <c r="A84" s="25"/>
      <c r="B84" s="12" t="str">
        <f>CONCATENATE("     ","Travel                                            ")</f>
        <v xml:space="preserve">     Travel                                            </v>
      </c>
      <c r="C84" s="12"/>
      <c r="D84" s="1">
        <f>SUM(OSRRefD22_17x_0)</f>
        <v>160.30000000000001</v>
      </c>
      <c r="E84" s="1"/>
      <c r="F84" s="5">
        <f t="shared" si="53"/>
        <v>1.7778361394049785E-3</v>
      </c>
      <c r="G84" s="1"/>
      <c r="H84" s="1">
        <f>SUM(OSRRefH22_17x_0)</f>
        <v>0</v>
      </c>
      <c r="I84" s="1"/>
      <c r="J84" s="5">
        <f t="shared" si="54"/>
        <v>0</v>
      </c>
      <c r="K84" s="1"/>
      <c r="L84" s="1">
        <f t="shared" si="55"/>
        <v>160.30000000000001</v>
      </c>
      <c r="M84" s="1"/>
      <c r="N84" s="5">
        <f t="shared" si="56"/>
        <v>0</v>
      </c>
      <c r="O84" s="12"/>
      <c r="P84" s="1">
        <f>SUM(OSRRefP22_17x_0)</f>
        <v>160.30000000000001</v>
      </c>
      <c r="Q84" s="1"/>
      <c r="R84" s="5">
        <f t="shared" si="57"/>
        <v>1.746731590598631E-4</v>
      </c>
      <c r="S84" s="1"/>
      <c r="T84" s="1">
        <f>SUM(OSRRefT22_17x_0)</f>
        <v>59.14</v>
      </c>
      <c r="U84" s="1"/>
      <c r="V84" s="5">
        <f t="shared" si="58"/>
        <v>1.7474070358774046E-5</v>
      </c>
      <c r="W84" s="1"/>
      <c r="X84" s="1">
        <f t="shared" si="59"/>
        <v>101.16000000000001</v>
      </c>
      <c r="Y84" s="1"/>
      <c r="Z84" s="5">
        <f t="shared" si="60"/>
        <v>1.7105174163003045</v>
      </c>
    </row>
    <row r="85" spans="1:26" s="23" customFormat="1" hidden="1" outlineLevel="2" x14ac:dyDescent="0.25">
      <c r="A85" s="27"/>
      <c r="B85" s="10" t="str">
        <f>CONCATENATE("          ", "6292", " - ", "TRAVEL/CONFERENCE")</f>
        <v xml:space="preserve">          6292 - TRAVEL/CONFERENCE</v>
      </c>
      <c r="C85" s="10"/>
      <c r="D85" s="6"/>
      <c r="E85" s="2"/>
      <c r="F85" s="7">
        <f t="shared" si="53"/>
        <v>0</v>
      </c>
      <c r="G85" s="2"/>
      <c r="H85" s="6"/>
      <c r="I85" s="2"/>
      <c r="J85" s="7">
        <f t="shared" si="54"/>
        <v>0</v>
      </c>
      <c r="K85" s="2"/>
      <c r="L85" s="6">
        <f t="shared" si="55"/>
        <v>0</v>
      </c>
      <c r="M85" s="2"/>
      <c r="N85" s="7">
        <f t="shared" si="56"/>
        <v>0</v>
      </c>
      <c r="O85" s="10"/>
      <c r="P85" s="6"/>
      <c r="Q85" s="2"/>
      <c r="R85" s="7">
        <f t="shared" si="57"/>
        <v>0</v>
      </c>
      <c r="S85" s="2"/>
      <c r="T85" s="6">
        <v>59.14</v>
      </c>
      <c r="U85" s="2"/>
      <c r="V85" s="7">
        <f t="shared" si="58"/>
        <v>1.7474070358774046E-5</v>
      </c>
      <c r="W85" s="2"/>
      <c r="X85" s="6">
        <f t="shared" si="59"/>
        <v>-59.14</v>
      </c>
      <c r="Y85" s="2"/>
      <c r="Z85" s="7">
        <f t="shared" si="60"/>
        <v>-1</v>
      </c>
    </row>
    <row r="86" spans="1:26" s="23" customFormat="1" hidden="1" outlineLevel="2" x14ac:dyDescent="0.25">
      <c r="A86" s="27"/>
      <c r="B86" s="10" t="str">
        <f>CONCATENATE("          ", "6294", " - ", "TRAVEL OPERATIONAL")</f>
        <v xml:space="preserve">          6294 - TRAVEL OPERATIONAL</v>
      </c>
      <c r="C86" s="10"/>
      <c r="D86" s="6">
        <v>160.30000000000001</v>
      </c>
      <c r="E86" s="2"/>
      <c r="F86" s="7">
        <f t="shared" si="53"/>
        <v>1.7778361394049785E-3</v>
      </c>
      <c r="G86" s="2"/>
      <c r="H86" s="6"/>
      <c r="I86" s="2"/>
      <c r="J86" s="7">
        <f t="shared" si="54"/>
        <v>0</v>
      </c>
      <c r="K86" s="2"/>
      <c r="L86" s="6">
        <f t="shared" si="55"/>
        <v>160.30000000000001</v>
      </c>
      <c r="M86" s="2"/>
      <c r="N86" s="7">
        <f t="shared" si="56"/>
        <v>0</v>
      </c>
      <c r="O86" s="10"/>
      <c r="P86" s="6">
        <v>160.30000000000001</v>
      </c>
      <c r="Q86" s="2"/>
      <c r="R86" s="7">
        <f t="shared" si="57"/>
        <v>1.746731590598631E-4</v>
      </c>
      <c r="S86" s="2"/>
      <c r="T86" s="6"/>
      <c r="U86" s="2"/>
      <c r="V86" s="7">
        <f t="shared" si="58"/>
        <v>0</v>
      </c>
      <c r="W86" s="2"/>
      <c r="X86" s="6">
        <f t="shared" si="59"/>
        <v>160.30000000000001</v>
      </c>
      <c r="Y86" s="2"/>
      <c r="Z86" s="7">
        <f t="shared" si="60"/>
        <v>0</v>
      </c>
    </row>
    <row r="87" spans="1:26" s="62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4" customFormat="1" x14ac:dyDescent="0.25">
      <c r="A88" s="11"/>
      <c r="B88" s="28" t="s">
        <v>292</v>
      </c>
      <c r="C88" s="11"/>
      <c r="D88" s="4">
        <f>SUM(0)</f>
        <v>0</v>
      </c>
      <c r="E88" s="4"/>
      <c r="F88" s="13">
        <f>IF(D$12=0,0,D88/D$12)</f>
        <v>0</v>
      </c>
      <c r="G88" s="4"/>
      <c r="H88" s="4">
        <f>SUM(0)</f>
        <v>0</v>
      </c>
      <c r="I88" s="4"/>
      <c r="J88" s="13">
        <f>IF(H$12=0,0,H88/H$12)</f>
        <v>0</v>
      </c>
      <c r="K88" s="4"/>
      <c r="L88" s="4">
        <f>+D88-H88</f>
        <v>0</v>
      </c>
      <c r="M88" s="4"/>
      <c r="N88" s="13">
        <f>IF(H88=0,0,L88/H88)</f>
        <v>0</v>
      </c>
      <c r="O88" s="11"/>
      <c r="P88" s="4">
        <f>SUM(0)</f>
        <v>0</v>
      </c>
      <c r="Q88" s="4"/>
      <c r="R88" s="13">
        <f>IF(P$12=0,0,P88/P$12)</f>
        <v>0</v>
      </c>
      <c r="S88" s="4"/>
      <c r="T88" s="4">
        <f>SUM(0)</f>
        <v>0</v>
      </c>
      <c r="U88" s="4"/>
      <c r="V88" s="13">
        <f>IF(T$12=0,0,T88/T$12)</f>
        <v>0</v>
      </c>
      <c r="W88" s="4"/>
      <c r="X88" s="4">
        <f>+P88-T88</f>
        <v>0</v>
      </c>
      <c r="Y88" s="4"/>
      <c r="Z88" s="13">
        <f>IF(T88=0,0,X88/T88)</f>
        <v>0</v>
      </c>
    </row>
    <row r="89" spans="1:26" x14ac:dyDescent="0.25">
      <c r="A89" s="9"/>
      <c r="B89" s="11"/>
      <c r="C89" s="11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1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4" customFormat="1" x14ac:dyDescent="0.25">
      <c r="A90" s="11"/>
      <c r="B90" s="29" t="s">
        <v>276</v>
      </c>
      <c r="C90" s="29"/>
      <c r="D90" s="20">
        <f>+D21-D23+D88</f>
        <v>-89256.559999999983</v>
      </c>
      <c r="E90" s="14"/>
      <c r="F90" s="22">
        <f>IF(D$12=0,0,D90/D$12)</f>
        <v>-0.98991602025557579</v>
      </c>
      <c r="G90" s="14"/>
      <c r="H90" s="20">
        <f>+H21-H23+H88</f>
        <v>-47281.89</v>
      </c>
      <c r="I90" s="14"/>
      <c r="J90" s="22">
        <f>IF(H$12=0,0,H90/H$12)</f>
        <v>0</v>
      </c>
      <c r="K90" s="16"/>
      <c r="L90" s="20">
        <f>+D90-H90</f>
        <v>-41974.669999999984</v>
      </c>
      <c r="M90" s="16"/>
      <c r="N90" s="22">
        <f>IF(H90=0,0,L90/H90)</f>
        <v>0.88775364098177934</v>
      </c>
      <c r="O90" s="28"/>
      <c r="P90" s="20">
        <f>+P21-P23+P88</f>
        <v>-641654.14000000036</v>
      </c>
      <c r="Q90" s="14"/>
      <c r="R90" s="22">
        <f>IF(P$12=0,0,P90/P$12)</f>
        <v>-0.69918749630467691</v>
      </c>
      <c r="S90" s="14"/>
      <c r="T90" s="20">
        <f>+T21-T23+T88</f>
        <v>882337.36999999941</v>
      </c>
      <c r="U90" s="14"/>
      <c r="V90" s="22">
        <f>IF(T$12=0,0,T90/T$12)</f>
        <v>0.26070384314432932</v>
      </c>
      <c r="W90" s="16"/>
      <c r="X90" s="20">
        <f>+P90-T90</f>
        <v>-1523991.5099999998</v>
      </c>
      <c r="Y90" s="16"/>
      <c r="Z90" s="22">
        <f>IF(T90=0,0,X90/T90)</f>
        <v>-1.7272208588422371</v>
      </c>
    </row>
    <row r="91" spans="1:26" x14ac:dyDescent="0.25">
      <c r="A91" s="9"/>
      <c r="B91" s="11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4" customFormat="1" x14ac:dyDescent="0.25">
      <c r="A92" s="51"/>
      <c r="B92" s="11" t="s">
        <v>127</v>
      </c>
      <c r="C92" s="11"/>
      <c r="D92" s="4">
        <v>21438.82</v>
      </c>
      <c r="E92" s="4"/>
      <c r="F92" s="13">
        <f>IF(D$12=0,0,D92/D$12)</f>
        <v>0.23777111030691353</v>
      </c>
      <c r="G92" s="4"/>
      <c r="H92" s="4">
        <v>21628.01</v>
      </c>
      <c r="I92" s="4"/>
      <c r="J92" s="13">
        <f>IF(H$12=0,0,H92/H$12)</f>
        <v>0</v>
      </c>
      <c r="K92" s="4"/>
      <c r="L92" s="4">
        <f>+D92-H92</f>
        <v>-189.18999999999869</v>
      </c>
      <c r="M92" s="4"/>
      <c r="N92" s="13">
        <f>IF(H92=0,0,L92/H92)</f>
        <v>-8.7474529556810215E-3</v>
      </c>
      <c r="O92" s="11"/>
      <c r="P92" s="4">
        <v>191989.48</v>
      </c>
      <c r="Q92" s="4"/>
      <c r="R92" s="13">
        <f>IF(P$12=0,0,P92/P$12)</f>
        <v>0.2092040485206513</v>
      </c>
      <c r="S92" s="4"/>
      <c r="T92" s="4">
        <v>384279.31</v>
      </c>
      <c r="U92" s="4"/>
      <c r="V92" s="13">
        <f>IF(T$12=0,0,T92/T$12)</f>
        <v>0.11354284241395235</v>
      </c>
      <c r="W92" s="4"/>
      <c r="X92" s="4">
        <f>+P92-T92</f>
        <v>-192289.83</v>
      </c>
      <c r="Y92" s="4"/>
      <c r="Z92" s="13">
        <f>IF(T92=0,0,X92/T92)</f>
        <v>-0.50039079647561557</v>
      </c>
    </row>
    <row r="93" spans="1:26" x14ac:dyDescent="0.25">
      <c r="A93" s="9"/>
      <c r="B93" s="11"/>
      <c r="C93" s="11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1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4" customFormat="1" ht="15.75" thickBot="1" x14ac:dyDescent="0.3">
      <c r="A94" s="11"/>
      <c r="B94" s="29" t="s">
        <v>125</v>
      </c>
      <c r="C94" s="29"/>
      <c r="D94" s="30">
        <f>+D90-D92</f>
        <v>-110695.37999999998</v>
      </c>
      <c r="E94" s="14"/>
      <c r="F94" s="34">
        <f>IF(D$12=0,0,D94/D$12)</f>
        <v>-1.2276871305624892</v>
      </c>
      <c r="G94" s="14"/>
      <c r="H94" s="30">
        <f>+H90-H92</f>
        <v>-68909.899999999994</v>
      </c>
      <c r="I94" s="14"/>
      <c r="J94" s="34">
        <f>IF(H$12=0,0,H94/H$12)</f>
        <v>0</v>
      </c>
      <c r="K94" s="16"/>
      <c r="L94" s="30">
        <f>D94-H94</f>
        <v>-41785.479999999981</v>
      </c>
      <c r="M94" s="16"/>
      <c r="N94" s="34">
        <f>IF(H94=0,0,L94/H94)</f>
        <v>0.60637847392029276</v>
      </c>
      <c r="O94" s="28"/>
      <c r="P94" s="30">
        <f>+P90-P92</f>
        <v>-833643.62000000034</v>
      </c>
      <c r="Q94" s="14"/>
      <c r="R94" s="34">
        <f>IF(P$12=0,0,P94/P$12)</f>
        <v>-0.90839154482532825</v>
      </c>
      <c r="S94" s="14"/>
      <c r="T94" s="30">
        <f>+T90-T92</f>
        <v>498058.05999999942</v>
      </c>
      <c r="U94" s="14"/>
      <c r="V94" s="34">
        <f>IF(T$12=0,0,T94/T$12)</f>
        <v>0.14716100073037697</v>
      </c>
      <c r="W94" s="16"/>
      <c r="X94" s="30">
        <f>P94-T94</f>
        <v>-1331701.6799999997</v>
      </c>
      <c r="Y94" s="16"/>
      <c r="Z94" s="34">
        <f>IF(T94=0,0,X94/T94)</f>
        <v>-2.6737880318611875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4" customFormat="1" ht="15.75" thickBot="1" x14ac:dyDescent="0.3">
      <c r="A97" s="11"/>
      <c r="B97" s="29" t="s">
        <v>293</v>
      </c>
      <c r="C97" s="29"/>
      <c r="D97" s="32">
        <f>SUM(D94:D96)</f>
        <v>-110695.37999999998</v>
      </c>
      <c r="E97" s="14"/>
      <c r="F97" s="35">
        <f>IF(D$12=0,0,D97/D$12)</f>
        <v>-1.2276871305624892</v>
      </c>
      <c r="G97" s="14"/>
      <c r="H97" s="32">
        <f>SUM(H94:H96)</f>
        <v>-68909.899999999994</v>
      </c>
      <c r="I97" s="14"/>
      <c r="J97" s="35">
        <f>IF(H$12=0,0,H97/H$12)</f>
        <v>0</v>
      </c>
      <c r="K97" s="16"/>
      <c r="L97" s="32">
        <f>+D97-H97</f>
        <v>-41785.479999999981</v>
      </c>
      <c r="M97" s="16"/>
      <c r="N97" s="35">
        <f>IF(H97=0,0,L97/H97)</f>
        <v>0.60637847392029276</v>
      </c>
      <c r="O97" s="28"/>
      <c r="P97" s="32">
        <f>SUM(P94:P96)</f>
        <v>-833643.62000000034</v>
      </c>
      <c r="Q97" s="14"/>
      <c r="R97" s="35">
        <f>IF(P$12=0,0,P97/P$12)</f>
        <v>-0.90839154482532825</v>
      </c>
      <c r="S97" s="14"/>
      <c r="T97" s="32">
        <f>SUM(T94:T96)</f>
        <v>498058.05999999942</v>
      </c>
      <c r="U97" s="14"/>
      <c r="V97" s="35">
        <f>IF(T$12=0,0,T97/T$12)</f>
        <v>0.14716100073037697</v>
      </c>
      <c r="W97" s="16"/>
      <c r="X97" s="32">
        <f>+P97-T97</f>
        <v>-1331701.6799999997</v>
      </c>
      <c r="Y97" s="16"/>
      <c r="Z97" s="35">
        <f>IF(T97=0,0,X97/T97)</f>
        <v>-2.6737880318611875</v>
      </c>
    </row>
    <row r="98" spans="1:26" ht="15.75" thickTop="1" x14ac:dyDescent="0.25">
      <c r="A98" s="9"/>
      <c r="C98" s="9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6" x14ac:dyDescent="0.25">
      <c r="A99" s="9"/>
      <c r="B99" s="59">
        <v>44330.00886898148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25">
      <c r="A100" s="9"/>
      <c r="B100" s="52" t="s">
        <v>56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55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","450", " - ", "Beachside Dining Hall")</f>
        <v>Department 450 - Beachside Dining Hall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5" si="0">+D12-H12</f>
        <v>0</v>
      </c>
      <c r="M12" s="4"/>
      <c r="N12" s="13">
        <f t="shared" ref="N12:N15" si="1">IF(H12=0,0,L12/H12)</f>
        <v>0</v>
      </c>
      <c r="O12" s="11"/>
      <c r="P12" s="4">
        <f>SUM(OSRRefP13x_0)</f>
        <v>0</v>
      </c>
      <c r="Q12" s="4"/>
      <c r="R12" s="13"/>
      <c r="S12" s="4"/>
      <c r="T12" s="4">
        <f>SUM(OSRRefT13x_0)</f>
        <v>1996380.34</v>
      </c>
      <c r="U12" s="4"/>
      <c r="V12" s="13"/>
      <c r="W12" s="4"/>
      <c r="X12" s="4">
        <f t="shared" ref="X12:X15" si="2">+P12-T12</f>
        <v>-1996380.34</v>
      </c>
      <c r="Y12" s="4"/>
      <c r="Z12" s="13">
        <f t="shared" ref="Z12:Z15" si="3">IF(T12=0,0,X12/T12)</f>
        <v>-1</v>
      </c>
    </row>
    <row r="13" spans="1:26" s="23" customFormat="1" hidden="1" outlineLevel="1" x14ac:dyDescent="0.25">
      <c r="A13" s="44"/>
      <c r="B13" s="10" t="str">
        <f>CONCATENATE("          ", "4053", " - ", "TAXABLE SALES-FOOD")</f>
        <v xml:space="preserve">          4053 - TAXABLE SALES-FOOD</v>
      </c>
      <c r="C13" s="10"/>
      <c r="D13" s="2">
        <f t="shared" ref="D13:D15" si="4">0</f>
        <v>0</v>
      </c>
      <c r="E13" s="2"/>
      <c r="F13" s="19"/>
      <c r="G13" s="2"/>
      <c r="H13" s="2">
        <f t="shared" ref="H13:H15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0"/>
      <c r="P13" s="2">
        <f t="shared" ref="P13:P15" si="6">0</f>
        <v>0</v>
      </c>
      <c r="Q13" s="2"/>
      <c r="R13" s="19"/>
      <c r="S13" s="2"/>
      <c r="T13" s="2">
        <f>--959.82</f>
        <v>959.82</v>
      </c>
      <c r="U13" s="2"/>
      <c r="V13" s="19"/>
      <c r="W13" s="2"/>
      <c r="X13" s="2">
        <f t="shared" si="2"/>
        <v>-959.82</v>
      </c>
      <c r="Y13" s="2"/>
      <c r="Z13" s="19">
        <f t="shared" si="3"/>
        <v>-1</v>
      </c>
    </row>
    <row r="14" spans="1:26" s="23" customFormat="1" hidden="1" outlineLevel="1" x14ac:dyDescent="0.25">
      <c r="A14" s="44"/>
      <c r="B14" s="10" t="str">
        <f>CONCATENATE("          ", "4151", " - ", "NON-TAXABLE SALES-FOOD")</f>
        <v xml:space="preserve">          4151 - NON-TAXABLE SALES-FOOD</v>
      </c>
      <c r="C14" s="10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0"/>
      <c r="P14" s="2">
        <f t="shared" si="6"/>
        <v>0</v>
      </c>
      <c r="Q14" s="2"/>
      <c r="R14" s="19"/>
      <c r="S14" s="2"/>
      <c r="T14" s="2">
        <f>--1986254.12</f>
        <v>1986254.12</v>
      </c>
      <c r="U14" s="2"/>
      <c r="V14" s="19"/>
      <c r="W14" s="2"/>
      <c r="X14" s="2">
        <f t="shared" si="2"/>
        <v>-1986254.12</v>
      </c>
      <c r="Y14" s="2"/>
      <c r="Z14" s="19">
        <f t="shared" si="3"/>
        <v>-1</v>
      </c>
    </row>
    <row r="15" spans="1:26" s="23" customFormat="1" hidden="1" outlineLevel="1" x14ac:dyDescent="0.25">
      <c r="A15" s="44"/>
      <c r="B15" s="10" t="str">
        <f>CONCATENATE("          ", "4153", " - ", "NON-TAXABLE SALES-FOOD")</f>
        <v xml:space="preserve">          4153 - NON-TAXABLE SALES-FOOD</v>
      </c>
      <c r="C15" s="10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0"/>
      <c r="P15" s="2">
        <f t="shared" si="6"/>
        <v>0</v>
      </c>
      <c r="Q15" s="2"/>
      <c r="R15" s="19"/>
      <c r="S15" s="2"/>
      <c r="T15" s="2">
        <f>--9166.4</f>
        <v>9166.4</v>
      </c>
      <c r="U15" s="2"/>
      <c r="V15" s="19"/>
      <c r="W15" s="2"/>
      <c r="X15" s="2">
        <f t="shared" si="2"/>
        <v>-9166.4</v>
      </c>
      <c r="Y15" s="2"/>
      <c r="Z15" s="19">
        <f t="shared" si="3"/>
        <v>-1</v>
      </c>
    </row>
    <row r="16" spans="1:26" x14ac:dyDescent="0.25">
      <c r="A16" s="9"/>
      <c r="B16" s="11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collapsed="1" x14ac:dyDescent="0.25">
      <c r="A17" s="11"/>
      <c r="B17" s="28" t="s">
        <v>256</v>
      </c>
      <c r="C17" s="11"/>
      <c r="D17" s="4">
        <f>SUM(OSRRefD16x_0)</f>
        <v>0</v>
      </c>
      <c r="E17" s="4"/>
      <c r="F17" s="13">
        <f t="shared" ref="F17:F19" si="7">IF(D$12=0,0,D17/D$12)</f>
        <v>0</v>
      </c>
      <c r="G17" s="4"/>
      <c r="H17" s="4">
        <f>SUM(OSRRefH16x_0)</f>
        <v>-8792</v>
      </c>
      <c r="I17" s="4"/>
      <c r="J17" s="13">
        <f t="shared" ref="J17:J19" si="8">IF(H$12=0,0,H17/H$12)</f>
        <v>0</v>
      </c>
      <c r="K17" s="4"/>
      <c r="L17" s="4">
        <f t="shared" ref="L17:L19" si="9">+D17-H17</f>
        <v>8792</v>
      </c>
      <c r="M17" s="4"/>
      <c r="N17" s="13">
        <f t="shared" ref="N17:N19" si="10">IF(H17=0,0,L17/H17)</f>
        <v>-1</v>
      </c>
      <c r="O17" s="11"/>
      <c r="P17" s="4">
        <f>SUM(OSRRefP16x_0)</f>
        <v>0</v>
      </c>
      <c r="Q17" s="4"/>
      <c r="R17" s="13">
        <f t="shared" ref="R17:R19" si="11">IF(P$12=0,0,P17/P$12)</f>
        <v>0</v>
      </c>
      <c r="S17" s="4"/>
      <c r="T17" s="4">
        <f>SUM(OSRRefT16x_0)</f>
        <v>446039.54</v>
      </c>
      <c r="U17" s="4"/>
      <c r="V17" s="13">
        <f t="shared" ref="V17:V19" si="12">IF(T$12=0,0,T17/T$12)</f>
        <v>0.22342412969264161</v>
      </c>
      <c r="W17" s="4"/>
      <c r="X17" s="4">
        <f t="shared" ref="X17:X19" si="13">+P17-T17</f>
        <v>-446039.54</v>
      </c>
      <c r="Y17" s="4"/>
      <c r="Z17" s="13">
        <f t="shared" ref="Z17:Z19" si="14">IF(T17=0,0,X17/T17)</f>
        <v>-1</v>
      </c>
    </row>
    <row r="18" spans="1:26" s="23" customFormat="1" hidden="1" outlineLevel="1" x14ac:dyDescent="0.25">
      <c r="A18" s="44"/>
      <c r="B18" s="10" t="str">
        <f>CONCATENATE("          ", "5053", " - ", "PURCHASES @ COST-FOOD")</f>
        <v xml:space="preserve">          5053 - PURCHASES @ COST-FOOD</v>
      </c>
      <c r="C18" s="10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0"/>
      <c r="P18" s="2"/>
      <c r="Q18" s="2"/>
      <c r="R18" s="19">
        <f t="shared" si="11"/>
        <v>0</v>
      </c>
      <c r="S18" s="2"/>
      <c r="T18" s="2">
        <v>437174.54</v>
      </c>
      <c r="U18" s="2"/>
      <c r="V18" s="19">
        <f t="shared" si="12"/>
        <v>0.21898359307625717</v>
      </c>
      <c r="W18" s="2"/>
      <c r="X18" s="2">
        <f t="shared" si="13"/>
        <v>-437174.54</v>
      </c>
      <c r="Y18" s="2"/>
      <c r="Z18" s="19">
        <f t="shared" si="14"/>
        <v>-1</v>
      </c>
    </row>
    <row r="19" spans="1:26" s="23" customFormat="1" hidden="1" outlineLevel="1" x14ac:dyDescent="0.25">
      <c r="A19" s="44"/>
      <c r="B19" s="10" t="str">
        <f>CONCATENATE("          ", "5059", " - ", "PURCHASES @ COST-FOOD")</f>
        <v xml:space="preserve">          5059 - PURCHASES @ COST-FOOD</v>
      </c>
      <c r="C19" s="10"/>
      <c r="D19" s="2"/>
      <c r="E19" s="2"/>
      <c r="F19" s="19">
        <f t="shared" si="7"/>
        <v>0</v>
      </c>
      <c r="G19" s="2"/>
      <c r="H19" s="2">
        <v>-8792</v>
      </c>
      <c r="I19" s="2"/>
      <c r="J19" s="19">
        <f t="shared" si="8"/>
        <v>0</v>
      </c>
      <c r="K19" s="2"/>
      <c r="L19" s="2">
        <f t="shared" si="9"/>
        <v>8792</v>
      </c>
      <c r="M19" s="2"/>
      <c r="N19" s="19">
        <f t="shared" si="10"/>
        <v>-1</v>
      </c>
      <c r="O19" s="10"/>
      <c r="P19" s="2"/>
      <c r="Q19" s="2"/>
      <c r="R19" s="19">
        <f t="shared" si="11"/>
        <v>0</v>
      </c>
      <c r="S19" s="2"/>
      <c r="T19" s="2">
        <v>8865</v>
      </c>
      <c r="U19" s="2"/>
      <c r="V19" s="19">
        <f t="shared" si="12"/>
        <v>4.4405366163844306E-3</v>
      </c>
      <c r="W19" s="2"/>
      <c r="X19" s="2">
        <f t="shared" si="13"/>
        <v>-8865</v>
      </c>
      <c r="Y19" s="2"/>
      <c r="Z19" s="19">
        <f t="shared" si="14"/>
        <v>-1</v>
      </c>
    </row>
    <row r="20" spans="1:26" x14ac:dyDescent="0.25">
      <c r="A20" s="9"/>
      <c r="B20" s="11"/>
      <c r="C20" s="11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1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4" customFormat="1" x14ac:dyDescent="0.25">
      <c r="A21" s="11"/>
      <c r="B21" s="29" t="s">
        <v>107</v>
      </c>
      <c r="C21" s="29"/>
      <c r="D21" s="20">
        <f>D12-D17</f>
        <v>0</v>
      </c>
      <c r="E21" s="14"/>
      <c r="F21" s="22">
        <f>IF(D$12=0,0,D21/D$12)</f>
        <v>0</v>
      </c>
      <c r="G21" s="14"/>
      <c r="H21" s="20">
        <f>H12-H17</f>
        <v>8792</v>
      </c>
      <c r="I21" s="14"/>
      <c r="J21" s="22">
        <f>IF(H$12=0,0,H21/H$12)</f>
        <v>0</v>
      </c>
      <c r="K21" s="16"/>
      <c r="L21" s="20">
        <f>+D21-H21</f>
        <v>-8792</v>
      </c>
      <c r="M21" s="16"/>
      <c r="N21" s="22">
        <f>IF(H21=0,0,L21/H21)</f>
        <v>-1</v>
      </c>
      <c r="O21" s="28"/>
      <c r="P21" s="20">
        <f>P12-P17</f>
        <v>0</v>
      </c>
      <c r="Q21" s="14"/>
      <c r="R21" s="22">
        <f>IF(P$12=0,0,P21/P$12)</f>
        <v>0</v>
      </c>
      <c r="S21" s="14"/>
      <c r="T21" s="20">
        <f>T12-T17</f>
        <v>1550340.8</v>
      </c>
      <c r="U21" s="14"/>
      <c r="V21" s="22">
        <f>IF(T$12=0,0,T21/T$12)</f>
        <v>0.77657587030735831</v>
      </c>
      <c r="W21" s="16"/>
      <c r="X21" s="20">
        <f>+P21-T21</f>
        <v>-1550340.8</v>
      </c>
      <c r="Y21" s="16"/>
      <c r="Z21" s="22">
        <f>IF(T21=0,0,X21/T21)</f>
        <v>-1</v>
      </c>
    </row>
    <row r="22" spans="1:26" x14ac:dyDescent="0.25">
      <c r="A22" s="9"/>
      <c r="B22" s="11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4" customFormat="1" x14ac:dyDescent="0.25">
      <c r="A23" s="11"/>
      <c r="B23" s="28" t="s">
        <v>294</v>
      </c>
      <c r="C23" s="11"/>
      <c r="D23" s="21">
        <f>SUM(OSRRefD22x_0)</f>
        <v>41903.239999999991</v>
      </c>
      <c r="E23" s="21"/>
      <c r="F23" s="31">
        <f t="shared" ref="F23:F33" si="15">IF(D$12=0,0,D23/D$12)</f>
        <v>0</v>
      </c>
      <c r="G23" s="21"/>
      <c r="H23" s="21">
        <f>SUM(OSRRefH22x_0)</f>
        <v>-8061.6799999999976</v>
      </c>
      <c r="I23" s="21"/>
      <c r="J23" s="31">
        <f t="shared" ref="J23:J33" si="16">IF(H$12=0,0,H23/H$12)</f>
        <v>0</v>
      </c>
      <c r="K23" s="4"/>
      <c r="L23" s="21">
        <f t="shared" ref="L23:L33" si="17">+D23-H23</f>
        <v>49964.919999999991</v>
      </c>
      <c r="M23" s="4"/>
      <c r="N23" s="31">
        <f t="shared" ref="N23:N33" si="18">IF(H23=0,0,L23/H23)</f>
        <v>-6.1978297327604182</v>
      </c>
      <c r="O23" s="11"/>
      <c r="P23" s="21">
        <f>SUM(OSRRefP22x_0)</f>
        <v>411167.14999999997</v>
      </c>
      <c r="Q23" s="21"/>
      <c r="R23" s="31">
        <f t="shared" ref="R23:R33" si="19">IF(P$12=0,0,P23/P$12)</f>
        <v>0</v>
      </c>
      <c r="S23" s="21"/>
      <c r="T23" s="21">
        <f>SUM(OSRRefT22x_0)</f>
        <v>1155716.6000000001</v>
      </c>
      <c r="U23" s="21"/>
      <c r="V23" s="31">
        <f t="shared" ref="V23:V33" si="20">IF(T$12=0,0,T23/T$12)</f>
        <v>0.57890602148486392</v>
      </c>
      <c r="W23" s="4"/>
      <c r="X23" s="21">
        <f t="shared" ref="X23:X33" si="21">+P23-T23</f>
        <v>-744549.45000000019</v>
      </c>
      <c r="Y23" s="4"/>
      <c r="Z23" s="31">
        <f t="shared" ref="Z23:Z33" si="22">IF(T23=0,0,X23/T23)</f>
        <v>-0.64423185580271158</v>
      </c>
    </row>
    <row r="24" spans="1:26" s="26" customFormat="1" outlineLevel="1" collapsed="1" x14ac:dyDescent="0.25">
      <c r="A24" s="25"/>
      <c r="B24" s="12" t="str">
        <f>CONCATENATE("     ","*Benefits                                         ")</f>
        <v xml:space="preserve">     *Benefits                                         </v>
      </c>
      <c r="C24" s="12"/>
      <c r="D24" s="1">
        <f>SUM(OSRRefD22_0x_0)</f>
        <v>20739.579999999998</v>
      </c>
      <c r="E24" s="1"/>
      <c r="F24" s="5">
        <f t="shared" si="15"/>
        <v>0</v>
      </c>
      <c r="G24" s="1"/>
      <c r="H24" s="1">
        <f>SUM(OSRRefH22_0x_0)</f>
        <v>-28710.289999999997</v>
      </c>
      <c r="I24" s="1"/>
      <c r="J24" s="5">
        <f t="shared" si="16"/>
        <v>0</v>
      </c>
      <c r="K24" s="1"/>
      <c r="L24" s="1">
        <f t="shared" si="17"/>
        <v>49449.869999999995</v>
      </c>
      <c r="M24" s="1"/>
      <c r="N24" s="5">
        <f t="shared" si="18"/>
        <v>-1.722374451808045</v>
      </c>
      <c r="O24" s="12"/>
      <c r="P24" s="1">
        <f>SUM(OSRRefP22_0x_0)</f>
        <v>194803.22999999995</v>
      </c>
      <c r="Q24" s="1"/>
      <c r="R24" s="5">
        <f t="shared" si="19"/>
        <v>0</v>
      </c>
      <c r="S24" s="1"/>
      <c r="T24" s="1">
        <f>SUM(OSRRefT22_0x_0)</f>
        <v>222974.41000000003</v>
      </c>
      <c r="U24" s="1"/>
      <c r="V24" s="5">
        <f t="shared" si="20"/>
        <v>0.11168934372495375</v>
      </c>
      <c r="W24" s="1"/>
      <c r="X24" s="1">
        <f t="shared" si="21"/>
        <v>-28171.18000000008</v>
      </c>
      <c r="Y24" s="1"/>
      <c r="Z24" s="5">
        <f t="shared" si="22"/>
        <v>-0.12634265968009548</v>
      </c>
    </row>
    <row r="25" spans="1:26" s="23" customFormat="1" hidden="1" outlineLevel="2" x14ac:dyDescent="0.25">
      <c r="A25" s="27"/>
      <c r="B25" s="10" t="str">
        <f>CONCATENATE("          ", "6111", " - ", "F.I.C.A.")</f>
        <v xml:space="preserve">          6111 - F.I.C.A.</v>
      </c>
      <c r="C25" s="10"/>
      <c r="D25" s="6">
        <v>2307.2399999999998</v>
      </c>
      <c r="E25" s="2"/>
      <c r="F25" s="7">
        <f t="shared" si="15"/>
        <v>0</v>
      </c>
      <c r="G25" s="2"/>
      <c r="H25" s="6">
        <v>2427.11</v>
      </c>
      <c r="I25" s="2"/>
      <c r="J25" s="7">
        <f t="shared" si="16"/>
        <v>0</v>
      </c>
      <c r="K25" s="2"/>
      <c r="L25" s="6">
        <f t="shared" si="17"/>
        <v>-119.87000000000035</v>
      </c>
      <c r="M25" s="2"/>
      <c r="N25" s="7">
        <f t="shared" si="18"/>
        <v>-4.9387955222466362E-2</v>
      </c>
      <c r="O25" s="10"/>
      <c r="P25" s="6">
        <v>17280.04</v>
      </c>
      <c r="Q25" s="2"/>
      <c r="R25" s="7">
        <f t="shared" si="19"/>
        <v>0</v>
      </c>
      <c r="S25" s="2"/>
      <c r="T25" s="6">
        <v>38583.25</v>
      </c>
      <c r="U25" s="2"/>
      <c r="V25" s="7">
        <f t="shared" si="20"/>
        <v>1.9326602865664365E-2</v>
      </c>
      <c r="W25" s="2"/>
      <c r="X25" s="6">
        <f t="shared" si="21"/>
        <v>-21303.21</v>
      </c>
      <c r="Y25" s="2"/>
      <c r="Z25" s="7">
        <f t="shared" si="22"/>
        <v>-0.55213622491625247</v>
      </c>
    </row>
    <row r="26" spans="1:26" s="23" customFormat="1" hidden="1" outlineLevel="2" x14ac:dyDescent="0.25">
      <c r="A26" s="27"/>
      <c r="B26" s="10" t="str">
        <f>CONCATENATE("          ", "6112", " - ", "COMPENSATION INSURANCE")</f>
        <v xml:space="preserve">          6112 - COMPENSATION INSURANCE</v>
      </c>
      <c r="C26" s="10"/>
      <c r="D26" s="6">
        <v>853.5</v>
      </c>
      <c r="E26" s="2"/>
      <c r="F26" s="7">
        <f t="shared" si="15"/>
        <v>0</v>
      </c>
      <c r="G26" s="2"/>
      <c r="H26" s="6">
        <v>760.55</v>
      </c>
      <c r="I26" s="2"/>
      <c r="J26" s="7">
        <f t="shared" si="16"/>
        <v>0</v>
      </c>
      <c r="K26" s="2"/>
      <c r="L26" s="6">
        <f t="shared" si="17"/>
        <v>92.950000000000045</v>
      </c>
      <c r="M26" s="2"/>
      <c r="N26" s="7">
        <f t="shared" si="18"/>
        <v>0.12221418710143982</v>
      </c>
      <c r="O26" s="10"/>
      <c r="P26" s="6">
        <v>9186.2000000000007</v>
      </c>
      <c r="Q26" s="2"/>
      <c r="R26" s="7">
        <f t="shared" si="19"/>
        <v>0</v>
      </c>
      <c r="S26" s="2"/>
      <c r="T26" s="6">
        <v>23165.27</v>
      </c>
      <c r="U26" s="2"/>
      <c r="V26" s="7">
        <f t="shared" si="20"/>
        <v>1.1603635607832122E-2</v>
      </c>
      <c r="W26" s="2"/>
      <c r="X26" s="6">
        <f t="shared" si="21"/>
        <v>-13979.07</v>
      </c>
      <c r="Y26" s="2"/>
      <c r="Z26" s="7">
        <f t="shared" si="22"/>
        <v>-0.60344947414815364</v>
      </c>
    </row>
    <row r="27" spans="1:26" s="23" customFormat="1" hidden="1" outlineLevel="2" x14ac:dyDescent="0.25">
      <c r="A27" s="27"/>
      <c r="B27" s="10" t="str">
        <f>CONCATENATE("          ", "6113", " - ", "GROUP INSURANCE")</f>
        <v xml:space="preserve">          6113 - GROUP INSURANCE</v>
      </c>
      <c r="C27" s="10"/>
      <c r="D27" s="6">
        <v>12477.9</v>
      </c>
      <c r="E27" s="2"/>
      <c r="F27" s="7">
        <f t="shared" si="15"/>
        <v>0</v>
      </c>
      <c r="G27" s="2"/>
      <c r="H27" s="6">
        <v>12616.93</v>
      </c>
      <c r="I27" s="2"/>
      <c r="J27" s="7">
        <f t="shared" si="16"/>
        <v>0</v>
      </c>
      <c r="K27" s="2"/>
      <c r="L27" s="6">
        <f t="shared" si="17"/>
        <v>-139.03000000000065</v>
      </c>
      <c r="M27" s="2"/>
      <c r="N27" s="7">
        <f t="shared" si="18"/>
        <v>-1.1019320864901419E-2</v>
      </c>
      <c r="O27" s="10"/>
      <c r="P27" s="6">
        <v>125613.18</v>
      </c>
      <c r="Q27" s="2"/>
      <c r="R27" s="7">
        <f t="shared" si="19"/>
        <v>0</v>
      </c>
      <c r="S27" s="2"/>
      <c r="T27" s="6">
        <v>142432.07</v>
      </c>
      <c r="U27" s="2"/>
      <c r="V27" s="7">
        <f t="shared" si="20"/>
        <v>7.1345157606591131E-2</v>
      </c>
      <c r="W27" s="2"/>
      <c r="X27" s="6">
        <f t="shared" si="21"/>
        <v>-16818.890000000014</v>
      </c>
      <c r="Y27" s="2"/>
      <c r="Z27" s="7">
        <f t="shared" si="22"/>
        <v>-0.11808358889960677</v>
      </c>
    </row>
    <row r="28" spans="1:26" s="23" customFormat="1" hidden="1" outlineLevel="2" x14ac:dyDescent="0.25">
      <c r="A28" s="27"/>
      <c r="B28" s="10" t="str">
        <f>CONCATENATE("          ", "6114", " - ", "STATE UNEMPLOYMENT INSURANCE")</f>
        <v xml:space="preserve">          6114 - STATE UNEMPLOYMENT INSURANCE</v>
      </c>
      <c r="C28" s="10"/>
      <c r="D28" s="6">
        <v>51.73</v>
      </c>
      <c r="E28" s="2"/>
      <c r="F28" s="7">
        <f t="shared" si="15"/>
        <v>0</v>
      </c>
      <c r="G28" s="2"/>
      <c r="H28" s="6">
        <v>54.73</v>
      </c>
      <c r="I28" s="2"/>
      <c r="J28" s="7">
        <f t="shared" si="16"/>
        <v>0</v>
      </c>
      <c r="K28" s="2"/>
      <c r="L28" s="6">
        <f t="shared" si="17"/>
        <v>-3</v>
      </c>
      <c r="M28" s="2"/>
      <c r="N28" s="7">
        <f t="shared" si="18"/>
        <v>-5.4814544125708027E-2</v>
      </c>
      <c r="O28" s="10"/>
      <c r="P28" s="6">
        <v>565.41</v>
      </c>
      <c r="Q28" s="2"/>
      <c r="R28" s="7">
        <f t="shared" si="19"/>
        <v>0</v>
      </c>
      <c r="S28" s="2"/>
      <c r="T28" s="6">
        <v>1817.04</v>
      </c>
      <c r="U28" s="2"/>
      <c r="V28" s="7">
        <f t="shared" si="20"/>
        <v>9.1016724799043041E-4</v>
      </c>
      <c r="W28" s="2"/>
      <c r="X28" s="6">
        <f t="shared" si="21"/>
        <v>-1251.6300000000001</v>
      </c>
      <c r="Y28" s="2"/>
      <c r="Z28" s="7">
        <f t="shared" si="22"/>
        <v>-0.68882908466516979</v>
      </c>
    </row>
    <row r="29" spans="1:26" s="23" customFormat="1" hidden="1" outlineLevel="2" x14ac:dyDescent="0.25">
      <c r="A29" s="27"/>
      <c r="B29" s="10" t="str">
        <f>CONCATENATE("          ", "6115", " - ", "P.E.R.S.")</f>
        <v xml:space="preserve">          6115 - P.E.R.S.</v>
      </c>
      <c r="C29" s="10"/>
      <c r="D29" s="6">
        <v>494.19</v>
      </c>
      <c r="E29" s="2"/>
      <c r="F29" s="7">
        <f t="shared" si="15"/>
        <v>0</v>
      </c>
      <c r="G29" s="2"/>
      <c r="H29" s="6">
        <v>2022.13</v>
      </c>
      <c r="I29" s="2"/>
      <c r="J29" s="7">
        <f t="shared" si="16"/>
        <v>0</v>
      </c>
      <c r="K29" s="2"/>
      <c r="L29" s="6">
        <f t="shared" si="17"/>
        <v>-1527.94</v>
      </c>
      <c r="M29" s="2"/>
      <c r="N29" s="7">
        <f t="shared" si="18"/>
        <v>-0.75560918437489177</v>
      </c>
      <c r="O29" s="10"/>
      <c r="P29" s="6">
        <v>5490.47</v>
      </c>
      <c r="Q29" s="2"/>
      <c r="R29" s="7">
        <f t="shared" si="19"/>
        <v>0</v>
      </c>
      <c r="S29" s="2"/>
      <c r="T29" s="6">
        <v>12264.74</v>
      </c>
      <c r="U29" s="2"/>
      <c r="V29" s="7">
        <f t="shared" si="20"/>
        <v>6.1434886700998063E-3</v>
      </c>
      <c r="W29" s="2"/>
      <c r="X29" s="6">
        <f t="shared" si="21"/>
        <v>-6774.2699999999995</v>
      </c>
      <c r="Y29" s="2"/>
      <c r="Z29" s="7">
        <f t="shared" si="22"/>
        <v>-0.55233702467398405</v>
      </c>
    </row>
    <row r="30" spans="1:26" s="23" customFormat="1" hidden="1" outlineLevel="2" x14ac:dyDescent="0.25">
      <c r="A30" s="27"/>
      <c r="B30" s="10" t="str">
        <f>CONCATENATE("          ", "6117", " - ", "RETIREMENT STAFF HOURLY")</f>
        <v xml:space="preserve">          6117 - RETIREMENT STAFF HOURLY</v>
      </c>
      <c r="C30" s="10"/>
      <c r="D30" s="6">
        <v>502.56</v>
      </c>
      <c r="E30" s="2"/>
      <c r="F30" s="7">
        <f t="shared" si="15"/>
        <v>0</v>
      </c>
      <c r="G30" s="2"/>
      <c r="H30" s="6">
        <v>1099.3499999999999</v>
      </c>
      <c r="I30" s="2"/>
      <c r="J30" s="7">
        <f t="shared" si="16"/>
        <v>0</v>
      </c>
      <c r="K30" s="2"/>
      <c r="L30" s="6">
        <f t="shared" si="17"/>
        <v>-596.79</v>
      </c>
      <c r="M30" s="2"/>
      <c r="N30" s="7">
        <f t="shared" si="18"/>
        <v>-0.54285714285714282</v>
      </c>
      <c r="O30" s="10"/>
      <c r="P30" s="6">
        <v>5884.77</v>
      </c>
      <c r="Q30" s="2"/>
      <c r="R30" s="7">
        <f t="shared" si="19"/>
        <v>0</v>
      </c>
      <c r="S30" s="2"/>
      <c r="T30" s="6">
        <v>5374.9</v>
      </c>
      <c r="U30" s="2"/>
      <c r="V30" s="7">
        <f t="shared" si="20"/>
        <v>2.6923226462949438E-3</v>
      </c>
      <c r="W30" s="2"/>
      <c r="X30" s="6">
        <f t="shared" si="21"/>
        <v>509.8700000000008</v>
      </c>
      <c r="Y30" s="2"/>
      <c r="Z30" s="7">
        <f t="shared" si="22"/>
        <v>9.4861299745111691E-2</v>
      </c>
    </row>
    <row r="31" spans="1:26" s="23" customFormat="1" hidden="1" outlineLevel="2" x14ac:dyDescent="0.25">
      <c r="A31" s="27"/>
      <c r="B31" s="10" t="str">
        <f>CONCATENATE("          ", "6118", " - ", "VACATION")</f>
        <v xml:space="preserve">          6118 - VACATION</v>
      </c>
      <c r="C31" s="10"/>
      <c r="D31" s="6">
        <v>1872.24</v>
      </c>
      <c r="E31" s="2"/>
      <c r="F31" s="7">
        <f t="shared" si="15"/>
        <v>0</v>
      </c>
      <c r="G31" s="2"/>
      <c r="H31" s="6">
        <v>1799.43</v>
      </c>
      <c r="I31" s="2"/>
      <c r="J31" s="7">
        <f t="shared" si="16"/>
        <v>0</v>
      </c>
      <c r="K31" s="2"/>
      <c r="L31" s="6">
        <f t="shared" si="17"/>
        <v>72.809999999999945</v>
      </c>
      <c r="M31" s="2"/>
      <c r="N31" s="7">
        <f t="shared" si="18"/>
        <v>4.0462813224187627E-2</v>
      </c>
      <c r="O31" s="10"/>
      <c r="P31" s="6">
        <v>13626.77</v>
      </c>
      <c r="Q31" s="2"/>
      <c r="R31" s="7">
        <f t="shared" si="19"/>
        <v>0</v>
      </c>
      <c r="S31" s="2"/>
      <c r="T31" s="6">
        <v>22156.1</v>
      </c>
      <c r="U31" s="2"/>
      <c r="V31" s="7">
        <f t="shared" si="20"/>
        <v>1.1098135739004521E-2</v>
      </c>
      <c r="W31" s="2"/>
      <c r="X31" s="6">
        <f t="shared" si="21"/>
        <v>-8529.3299999999981</v>
      </c>
      <c r="Y31" s="2"/>
      <c r="Z31" s="7">
        <f t="shared" si="22"/>
        <v>-0.38496531429267783</v>
      </c>
    </row>
    <row r="32" spans="1:26" s="23" customFormat="1" hidden="1" outlineLevel="2" x14ac:dyDescent="0.25">
      <c r="A32" s="27"/>
      <c r="B32" s="10" t="str">
        <f>CONCATENATE("          ", "6119", " - ", "SICK LEAVE")</f>
        <v xml:space="preserve">          6119 - SICK LEAVE</v>
      </c>
      <c r="C32" s="10"/>
      <c r="D32" s="6">
        <v>1425.51</v>
      </c>
      <c r="E32" s="2"/>
      <c r="F32" s="7">
        <f t="shared" si="15"/>
        <v>0</v>
      </c>
      <c r="G32" s="2"/>
      <c r="H32" s="6">
        <v>-50122.52</v>
      </c>
      <c r="I32" s="2"/>
      <c r="J32" s="7">
        <f t="shared" si="16"/>
        <v>0</v>
      </c>
      <c r="K32" s="2"/>
      <c r="L32" s="6">
        <f t="shared" si="17"/>
        <v>51548.03</v>
      </c>
      <c r="M32" s="2"/>
      <c r="N32" s="7">
        <f t="shared" si="18"/>
        <v>-1.0284405093758255</v>
      </c>
      <c r="O32" s="10"/>
      <c r="P32" s="6">
        <v>10428.9</v>
      </c>
      <c r="Q32" s="2"/>
      <c r="R32" s="7">
        <f t="shared" si="19"/>
        <v>0</v>
      </c>
      <c r="S32" s="2"/>
      <c r="T32" s="6">
        <v>-34429.15</v>
      </c>
      <c r="U32" s="2"/>
      <c r="V32" s="7">
        <f t="shared" si="20"/>
        <v>-1.7245786942582293E-2</v>
      </c>
      <c r="W32" s="2"/>
      <c r="X32" s="6">
        <f t="shared" si="21"/>
        <v>44858.05</v>
      </c>
      <c r="Y32" s="2"/>
      <c r="Z32" s="7">
        <f t="shared" si="22"/>
        <v>-1.3029090175040627</v>
      </c>
    </row>
    <row r="33" spans="1:26" s="23" customFormat="1" hidden="1" outlineLevel="2" x14ac:dyDescent="0.25">
      <c r="A33" s="27"/>
      <c r="B33" s="10" t="str">
        <f>CONCATENATE("          ", "6156", " - ", "EMPLOYEE MEALS")</f>
        <v xml:space="preserve">          6156 - EMPLOYEE MEALS</v>
      </c>
      <c r="C33" s="10"/>
      <c r="D33" s="6">
        <v>754.71</v>
      </c>
      <c r="E33" s="2"/>
      <c r="F33" s="7">
        <f t="shared" si="15"/>
        <v>0</v>
      </c>
      <c r="G33" s="2"/>
      <c r="H33" s="6">
        <v>632</v>
      </c>
      <c r="I33" s="2"/>
      <c r="J33" s="7">
        <f t="shared" si="16"/>
        <v>0</v>
      </c>
      <c r="K33" s="2"/>
      <c r="L33" s="6">
        <f t="shared" si="17"/>
        <v>122.71000000000004</v>
      </c>
      <c r="M33" s="2"/>
      <c r="N33" s="7">
        <f t="shared" si="18"/>
        <v>0.19416139240506336</v>
      </c>
      <c r="O33" s="10"/>
      <c r="P33" s="6">
        <v>6727.49</v>
      </c>
      <c r="Q33" s="2"/>
      <c r="R33" s="7">
        <f t="shared" si="19"/>
        <v>0</v>
      </c>
      <c r="S33" s="2"/>
      <c r="T33" s="6">
        <v>11610.19</v>
      </c>
      <c r="U33" s="2"/>
      <c r="V33" s="7">
        <f t="shared" si="20"/>
        <v>5.8156202840586981E-3</v>
      </c>
      <c r="W33" s="2"/>
      <c r="X33" s="6">
        <f t="shared" si="21"/>
        <v>-4882.7000000000007</v>
      </c>
      <c r="Y33" s="2"/>
      <c r="Z33" s="7">
        <f t="shared" si="22"/>
        <v>-0.42055297975313072</v>
      </c>
    </row>
    <row r="34" spans="1:26" s="26" customFormat="1" outlineLevel="1" collapsed="1" x14ac:dyDescent="0.25">
      <c r="A34" s="25"/>
      <c r="B34" s="12" t="str">
        <f>CONCATENATE("     ","*Payroll                                          ")</f>
        <v xml:space="preserve">     *Payroll                                          </v>
      </c>
      <c r="C34" s="12"/>
      <c r="D34" s="1">
        <f>SUM(OSRRefD22_1x_0)</f>
        <v>20275.099999999999</v>
      </c>
      <c r="E34" s="1"/>
      <c r="F34" s="5">
        <f t="shared" ref="F34:F40" si="23">IF(D$12=0,0,D34/D$12)</f>
        <v>0</v>
      </c>
      <c r="G34" s="1"/>
      <c r="H34" s="1">
        <f>SUM(OSRRefH22_1x_0)</f>
        <v>19467.86</v>
      </c>
      <c r="I34" s="1"/>
      <c r="J34" s="5">
        <f t="shared" ref="J34:J40" si="24">IF(H$12=0,0,H34/H$12)</f>
        <v>0</v>
      </c>
      <c r="K34" s="1"/>
      <c r="L34" s="1">
        <f t="shared" ref="L34:L40" si="25">+D34-H34</f>
        <v>807.23999999999796</v>
      </c>
      <c r="M34" s="1"/>
      <c r="N34" s="5">
        <f t="shared" ref="N34:N40" si="26">IF(H34=0,0,L34/H34)</f>
        <v>4.1465266341549505E-2</v>
      </c>
      <c r="O34" s="12"/>
      <c r="P34" s="1">
        <f>SUM(OSRRefP22_1x_0)</f>
        <v>204659.38999999998</v>
      </c>
      <c r="Q34" s="1"/>
      <c r="R34" s="5">
        <f t="shared" ref="R34:R40" si="27">IF(P$12=0,0,P34/P$12)</f>
        <v>0</v>
      </c>
      <c r="S34" s="1"/>
      <c r="T34" s="1">
        <f>SUM(OSRRefT22_1x_0)</f>
        <v>646704.23</v>
      </c>
      <c r="U34" s="1"/>
      <c r="V34" s="5">
        <f t="shared" ref="V34:V40" si="28">IF(T$12=0,0,T34/T$12)</f>
        <v>0.32393838841350237</v>
      </c>
      <c r="W34" s="1"/>
      <c r="X34" s="1">
        <f t="shared" ref="X34:X40" si="29">+P34-T34</f>
        <v>-442044.83999999997</v>
      </c>
      <c r="Y34" s="1"/>
      <c r="Z34" s="5">
        <f t="shared" ref="Z34:Z40" si="30">IF(T34=0,0,X34/T34)</f>
        <v>-0.68353478993016636</v>
      </c>
    </row>
    <row r="35" spans="1:26" s="23" customFormat="1" hidden="1" outlineLevel="2" x14ac:dyDescent="0.25">
      <c r="A35" s="27"/>
      <c r="B35" s="10" t="str">
        <f>CONCATENATE("          ", "6002", " - ", "STAFF SALARIES")</f>
        <v xml:space="preserve">          6002 - STAFF SALARIES</v>
      </c>
      <c r="C35" s="10"/>
      <c r="D35" s="6">
        <v>4256</v>
      </c>
      <c r="E35" s="2"/>
      <c r="F35" s="7">
        <f t="shared" si="23"/>
        <v>0</v>
      </c>
      <c r="G35" s="2"/>
      <c r="H35" s="6">
        <v>4177.78</v>
      </c>
      <c r="I35" s="2"/>
      <c r="J35" s="7">
        <f t="shared" si="24"/>
        <v>0</v>
      </c>
      <c r="K35" s="2"/>
      <c r="L35" s="6">
        <f t="shared" si="25"/>
        <v>78.220000000000255</v>
      </c>
      <c r="M35" s="2"/>
      <c r="N35" s="7">
        <f t="shared" si="26"/>
        <v>1.8722862381456241E-2</v>
      </c>
      <c r="O35" s="10"/>
      <c r="P35" s="6">
        <v>43288.99</v>
      </c>
      <c r="Q35" s="2"/>
      <c r="R35" s="7">
        <f t="shared" si="27"/>
        <v>0</v>
      </c>
      <c r="S35" s="2"/>
      <c r="T35" s="6">
        <v>96676.49</v>
      </c>
      <c r="U35" s="2"/>
      <c r="V35" s="7">
        <f t="shared" si="28"/>
        <v>4.8425887624198902E-2</v>
      </c>
      <c r="W35" s="2"/>
      <c r="X35" s="6">
        <f t="shared" si="29"/>
        <v>-53387.500000000007</v>
      </c>
      <c r="Y35" s="2"/>
      <c r="Z35" s="7">
        <f t="shared" si="30"/>
        <v>-0.55222836493132932</v>
      </c>
    </row>
    <row r="36" spans="1:26" s="23" customFormat="1" hidden="1" outlineLevel="2" x14ac:dyDescent="0.25">
      <c r="A36" s="27"/>
      <c r="B36" s="10" t="str">
        <f>CONCATENATE("          ", "6004", " - ", "STAFF HOURLY")</f>
        <v xml:space="preserve">          6004 - STAFF HOURLY</v>
      </c>
      <c r="C36" s="10"/>
      <c r="D36" s="6">
        <v>19629.099999999999</v>
      </c>
      <c r="E36" s="2"/>
      <c r="F36" s="7">
        <f t="shared" si="23"/>
        <v>0</v>
      </c>
      <c r="G36" s="2"/>
      <c r="H36" s="6">
        <v>19857.080000000002</v>
      </c>
      <c r="I36" s="2"/>
      <c r="J36" s="7">
        <f t="shared" si="24"/>
        <v>0</v>
      </c>
      <c r="K36" s="2"/>
      <c r="L36" s="6">
        <f t="shared" si="25"/>
        <v>-227.9800000000032</v>
      </c>
      <c r="M36" s="2"/>
      <c r="N36" s="7">
        <f t="shared" si="26"/>
        <v>-1.1481043537116393E-2</v>
      </c>
      <c r="O36" s="10"/>
      <c r="P36" s="6">
        <v>161370.4</v>
      </c>
      <c r="Q36" s="2"/>
      <c r="R36" s="7">
        <f t="shared" si="27"/>
        <v>0</v>
      </c>
      <c r="S36" s="2"/>
      <c r="T36" s="6">
        <v>223344.59</v>
      </c>
      <c r="U36" s="2"/>
      <c r="V36" s="7">
        <f t="shared" si="28"/>
        <v>0.1118747693137471</v>
      </c>
      <c r="W36" s="2"/>
      <c r="X36" s="6">
        <f t="shared" si="29"/>
        <v>-61974.19</v>
      </c>
      <c r="Y36" s="2"/>
      <c r="Z36" s="7">
        <f t="shared" si="30"/>
        <v>-0.27748238719370816</v>
      </c>
    </row>
    <row r="37" spans="1:26" s="23" customFormat="1" hidden="1" outlineLevel="2" x14ac:dyDescent="0.25">
      <c r="A37" s="27"/>
      <c r="B37" s="10" t="str">
        <f>CONCATENATE("          ", "6005", " - ", "TEMPORARY WAGES-HOURLY")</f>
        <v xml:space="preserve">          6005 - TEMPORARY WAGES-HOURLY</v>
      </c>
      <c r="C37" s="10"/>
      <c r="D37" s="6"/>
      <c r="E37" s="2"/>
      <c r="F37" s="7">
        <f t="shared" si="23"/>
        <v>0</v>
      </c>
      <c r="G37" s="2"/>
      <c r="H37" s="6"/>
      <c r="I37" s="2"/>
      <c r="J37" s="7">
        <f t="shared" si="24"/>
        <v>0</v>
      </c>
      <c r="K37" s="2"/>
      <c r="L37" s="6">
        <f t="shared" si="25"/>
        <v>0</v>
      </c>
      <c r="M37" s="2"/>
      <c r="N37" s="7">
        <f t="shared" si="26"/>
        <v>0</v>
      </c>
      <c r="O37" s="10"/>
      <c r="P37" s="6"/>
      <c r="Q37" s="2"/>
      <c r="R37" s="7">
        <f t="shared" si="27"/>
        <v>0</v>
      </c>
      <c r="S37" s="2"/>
      <c r="T37" s="6">
        <v>107403.49</v>
      </c>
      <c r="U37" s="2"/>
      <c r="V37" s="7">
        <f t="shared" si="28"/>
        <v>5.3799112247318565E-2</v>
      </c>
      <c r="W37" s="2"/>
      <c r="X37" s="6">
        <f t="shared" si="29"/>
        <v>-107403.49</v>
      </c>
      <c r="Y37" s="2"/>
      <c r="Z37" s="7">
        <f t="shared" si="30"/>
        <v>-1</v>
      </c>
    </row>
    <row r="38" spans="1:26" s="23" customFormat="1" hidden="1" outlineLevel="2" x14ac:dyDescent="0.25">
      <c r="A38" s="27"/>
      <c r="B38" s="10" t="str">
        <f>CONCATENATE("          ", "6006", " - ", "TEMPORARY PART TIME")</f>
        <v xml:space="preserve">          6006 - TEMPORARY PART TIME</v>
      </c>
      <c r="C38" s="10"/>
      <c r="D38" s="6"/>
      <c r="E38" s="2"/>
      <c r="F38" s="7">
        <f t="shared" si="23"/>
        <v>0</v>
      </c>
      <c r="G38" s="2"/>
      <c r="H38" s="6"/>
      <c r="I38" s="2"/>
      <c r="J38" s="7">
        <f t="shared" si="24"/>
        <v>0</v>
      </c>
      <c r="K38" s="2"/>
      <c r="L38" s="6">
        <f t="shared" si="25"/>
        <v>0</v>
      </c>
      <c r="M38" s="2"/>
      <c r="N38" s="7">
        <f t="shared" si="26"/>
        <v>0</v>
      </c>
      <c r="O38" s="10"/>
      <c r="P38" s="6"/>
      <c r="Q38" s="2"/>
      <c r="R38" s="7">
        <f t="shared" si="27"/>
        <v>0</v>
      </c>
      <c r="S38" s="2"/>
      <c r="T38" s="6">
        <v>10378.219999999999</v>
      </c>
      <c r="U38" s="2"/>
      <c r="V38" s="7">
        <f t="shared" si="28"/>
        <v>5.1985184346185253E-3</v>
      </c>
      <c r="W38" s="2"/>
      <c r="X38" s="6">
        <f t="shared" si="29"/>
        <v>-10378.219999999999</v>
      </c>
      <c r="Y38" s="2"/>
      <c r="Z38" s="7">
        <f t="shared" si="30"/>
        <v>-1</v>
      </c>
    </row>
    <row r="39" spans="1:26" s="23" customFormat="1" hidden="1" outlineLevel="2" x14ac:dyDescent="0.25">
      <c r="A39" s="27"/>
      <c r="B39" s="10" t="str">
        <f>CONCATENATE("          ", "6007", " - ", "STUDENT HOURLY")</f>
        <v xml:space="preserve">          6007 - STUDENT HOURLY</v>
      </c>
      <c r="C39" s="10"/>
      <c r="D39" s="6">
        <v>-3610</v>
      </c>
      <c r="E39" s="2"/>
      <c r="F39" s="7">
        <f t="shared" si="23"/>
        <v>0</v>
      </c>
      <c r="G39" s="2"/>
      <c r="H39" s="6">
        <v>-4567</v>
      </c>
      <c r="I39" s="2"/>
      <c r="J39" s="7">
        <f t="shared" si="24"/>
        <v>0</v>
      </c>
      <c r="K39" s="2"/>
      <c r="L39" s="6">
        <f t="shared" si="25"/>
        <v>957</v>
      </c>
      <c r="M39" s="2"/>
      <c r="N39" s="7">
        <f t="shared" si="26"/>
        <v>-0.20954674841252463</v>
      </c>
      <c r="O39" s="10"/>
      <c r="P39" s="6">
        <v>0</v>
      </c>
      <c r="Q39" s="2"/>
      <c r="R39" s="7">
        <f t="shared" si="27"/>
        <v>0</v>
      </c>
      <c r="S39" s="2"/>
      <c r="T39" s="6">
        <v>146844.07999999999</v>
      </c>
      <c r="U39" s="2"/>
      <c r="V39" s="7">
        <f t="shared" si="28"/>
        <v>7.3555162339456803E-2</v>
      </c>
      <c r="W39" s="2"/>
      <c r="X39" s="6">
        <f t="shared" si="29"/>
        <v>-146844.07999999999</v>
      </c>
      <c r="Y39" s="2"/>
      <c r="Z39" s="7">
        <f t="shared" si="30"/>
        <v>-1</v>
      </c>
    </row>
    <row r="40" spans="1:26" s="23" customFormat="1" hidden="1" outlineLevel="2" x14ac:dyDescent="0.25">
      <c r="A40" s="27"/>
      <c r="B40" s="10" t="str">
        <f>CONCATENATE("          ", "6008", " - ", "STUDENT HOURLY-FICA EXEMPT")</f>
        <v xml:space="preserve">          6008 - STUDENT HOURLY-FICA EXEMPT</v>
      </c>
      <c r="C40" s="10"/>
      <c r="D40" s="6"/>
      <c r="E40" s="2"/>
      <c r="F40" s="7">
        <f t="shared" si="23"/>
        <v>0</v>
      </c>
      <c r="G40" s="2"/>
      <c r="H40" s="6"/>
      <c r="I40" s="2"/>
      <c r="J40" s="7">
        <f t="shared" si="24"/>
        <v>0</v>
      </c>
      <c r="K40" s="2"/>
      <c r="L40" s="6">
        <f t="shared" si="25"/>
        <v>0</v>
      </c>
      <c r="M40" s="2"/>
      <c r="N40" s="7">
        <f t="shared" si="26"/>
        <v>0</v>
      </c>
      <c r="O40" s="10"/>
      <c r="P40" s="6"/>
      <c r="Q40" s="2"/>
      <c r="R40" s="7">
        <f t="shared" si="27"/>
        <v>0</v>
      </c>
      <c r="S40" s="2"/>
      <c r="T40" s="6">
        <v>62057.36</v>
      </c>
      <c r="U40" s="2"/>
      <c r="V40" s="7">
        <f t="shared" si="28"/>
        <v>3.1084938454162495E-2</v>
      </c>
      <c r="W40" s="2"/>
      <c r="X40" s="6">
        <f t="shared" si="29"/>
        <v>-62057.36</v>
      </c>
      <c r="Y40" s="2"/>
      <c r="Z40" s="7">
        <f t="shared" si="30"/>
        <v>-1</v>
      </c>
    </row>
    <row r="41" spans="1:26" s="26" customFormat="1" outlineLevel="1" collapsed="1" x14ac:dyDescent="0.25">
      <c r="A41" s="25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63" si="31">IF(D$12=0,0,D41/D$12)</f>
        <v>0</v>
      </c>
      <c r="G41" s="1"/>
      <c r="H41" s="1">
        <f>SUM(OSRRefH22_2x_0)</f>
        <v>0</v>
      </c>
      <c r="I41" s="1"/>
      <c r="J41" s="5">
        <f t="shared" ref="J41:J63" si="32">IF(H$12=0,0,H41/H$12)</f>
        <v>0</v>
      </c>
      <c r="K41" s="1"/>
      <c r="L41" s="1">
        <f t="shared" ref="L41:L63" si="33">+D41-H41</f>
        <v>0</v>
      </c>
      <c r="M41" s="1"/>
      <c r="N41" s="5">
        <f t="shared" ref="N41:N63" si="34">IF(H41=0,0,L41/H41)</f>
        <v>0</v>
      </c>
      <c r="O41" s="12"/>
      <c r="P41" s="1">
        <f>SUM(OSRRefP22_2x_0)</f>
        <v>0</v>
      </c>
      <c r="Q41" s="1"/>
      <c r="R41" s="5">
        <f t="shared" ref="R41:R63" si="35">IF(P$12=0,0,P41/P$12)</f>
        <v>0</v>
      </c>
      <c r="S41" s="1"/>
      <c r="T41" s="1">
        <f>SUM(OSRRefT22_2x_0)</f>
        <v>3020.03</v>
      </c>
      <c r="U41" s="1"/>
      <c r="V41" s="5">
        <f t="shared" ref="V41:V63" si="36">IF(T$12=0,0,T41/T$12)</f>
        <v>1.5127528254460772E-3</v>
      </c>
      <c r="W41" s="1"/>
      <c r="X41" s="1">
        <f t="shared" ref="X41:X63" si="37">+P41-T41</f>
        <v>-3020.03</v>
      </c>
      <c r="Y41" s="1"/>
      <c r="Z41" s="5">
        <f t="shared" ref="Z41:Z63" si="38">IF(T41=0,0,X41/T41)</f>
        <v>-1</v>
      </c>
    </row>
    <row r="42" spans="1:26" s="23" customFormat="1" hidden="1" outlineLevel="2" x14ac:dyDescent="0.25">
      <c r="A42" s="27"/>
      <c r="B42" s="10" t="str">
        <f>CONCATENATE("          ", "6362", " - ", "ADVERTISING EXPENSE")</f>
        <v xml:space="preserve">          6362 - ADVERTISING EXPENSE</v>
      </c>
      <c r="C42" s="10"/>
      <c r="D42" s="6"/>
      <c r="E42" s="2"/>
      <c r="F42" s="7">
        <f t="shared" si="31"/>
        <v>0</v>
      </c>
      <c r="G42" s="2"/>
      <c r="H42" s="6"/>
      <c r="I42" s="2"/>
      <c r="J42" s="7">
        <f t="shared" si="32"/>
        <v>0</v>
      </c>
      <c r="K42" s="2"/>
      <c r="L42" s="6">
        <f t="shared" si="33"/>
        <v>0</v>
      </c>
      <c r="M42" s="2"/>
      <c r="N42" s="7">
        <f t="shared" si="34"/>
        <v>0</v>
      </c>
      <c r="O42" s="10"/>
      <c r="P42" s="6"/>
      <c r="Q42" s="2"/>
      <c r="R42" s="7">
        <f t="shared" si="35"/>
        <v>0</v>
      </c>
      <c r="S42" s="2"/>
      <c r="T42" s="6">
        <v>3020.03</v>
      </c>
      <c r="U42" s="2"/>
      <c r="V42" s="7">
        <f t="shared" si="36"/>
        <v>1.5127528254460772E-3</v>
      </c>
      <c r="W42" s="2"/>
      <c r="X42" s="6">
        <f t="shared" si="37"/>
        <v>-3020.03</v>
      </c>
      <c r="Y42" s="2"/>
      <c r="Z42" s="7">
        <f t="shared" si="38"/>
        <v>-1</v>
      </c>
    </row>
    <row r="43" spans="1:26" s="26" customFormat="1" outlineLevel="1" collapsed="1" x14ac:dyDescent="0.25">
      <c r="A43" s="25"/>
      <c r="B43" s="12" t="str">
        <f>CONCATENATE("     ","Bad Debts/Over/Short                              ")</f>
        <v xml:space="preserve">     Bad Debts/Over/Short                              </v>
      </c>
      <c r="C43" s="12"/>
      <c r="D43" s="1">
        <f>SUM(OSRRefD22_3x_0)</f>
        <v>0</v>
      </c>
      <c r="E43" s="1"/>
      <c r="F43" s="5">
        <f t="shared" si="31"/>
        <v>0</v>
      </c>
      <c r="G43" s="1"/>
      <c r="H43" s="1">
        <f>SUM(OSRRefH22_3x_0)</f>
        <v>0</v>
      </c>
      <c r="I43" s="1"/>
      <c r="J43" s="5">
        <f t="shared" si="32"/>
        <v>0</v>
      </c>
      <c r="K43" s="1"/>
      <c r="L43" s="1">
        <f t="shared" si="33"/>
        <v>0</v>
      </c>
      <c r="M43" s="1"/>
      <c r="N43" s="5">
        <f t="shared" si="34"/>
        <v>0</v>
      </c>
      <c r="O43" s="12"/>
      <c r="P43" s="1">
        <f>SUM(OSRRefP22_3x_0)</f>
        <v>29.74</v>
      </c>
      <c r="Q43" s="1"/>
      <c r="R43" s="5">
        <f t="shared" si="35"/>
        <v>0</v>
      </c>
      <c r="S43" s="1"/>
      <c r="T43" s="1">
        <f>SUM(OSRRefT22_3x_0)</f>
        <v>46.62</v>
      </c>
      <c r="U43" s="1"/>
      <c r="V43" s="5">
        <f t="shared" si="36"/>
        <v>2.3352263627280558E-5</v>
      </c>
      <c r="W43" s="1"/>
      <c r="X43" s="1">
        <f t="shared" si="37"/>
        <v>-16.88</v>
      </c>
      <c r="Y43" s="1"/>
      <c r="Z43" s="5">
        <f t="shared" si="38"/>
        <v>-0.36207636207636207</v>
      </c>
    </row>
    <row r="44" spans="1:26" s="23" customFormat="1" hidden="1" outlineLevel="2" x14ac:dyDescent="0.25">
      <c r="A44" s="27"/>
      <c r="B44" s="10" t="str">
        <f>CONCATENATE("          ", "6272", " - ", "CASH (OVER/SHORT)")</f>
        <v xml:space="preserve">          6272 - CASH (OVER/SHORT)</v>
      </c>
      <c r="C44" s="10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0"/>
      <c r="P44" s="6">
        <v>29.74</v>
      </c>
      <c r="Q44" s="2"/>
      <c r="R44" s="7">
        <f t="shared" si="35"/>
        <v>0</v>
      </c>
      <c r="S44" s="2"/>
      <c r="T44" s="6">
        <v>46.62</v>
      </c>
      <c r="U44" s="2"/>
      <c r="V44" s="7">
        <f t="shared" si="36"/>
        <v>2.3352263627280558E-5</v>
      </c>
      <c r="W44" s="2"/>
      <c r="X44" s="6">
        <f t="shared" si="37"/>
        <v>-16.88</v>
      </c>
      <c r="Y44" s="2"/>
      <c r="Z44" s="7">
        <f t="shared" si="38"/>
        <v>-0.36207636207636207</v>
      </c>
    </row>
    <row r="45" spans="1:26" s="26" customFormat="1" outlineLevel="1" collapsed="1" x14ac:dyDescent="0.25">
      <c r="A45" s="25"/>
      <c r="B45" s="12" t="str">
        <f>CONCATENATE("     ","Bank/card Fees                                    ")</f>
        <v xml:space="preserve">     Bank/card Fees                                    </v>
      </c>
      <c r="C45" s="12"/>
      <c r="D45" s="1">
        <f>SUM(OSRRefD22_4x_0)</f>
        <v>0</v>
      </c>
      <c r="E45" s="1"/>
      <c r="F45" s="5">
        <f t="shared" si="31"/>
        <v>0</v>
      </c>
      <c r="G45" s="1"/>
      <c r="H45" s="1">
        <f>SUM(OSRRefH22_4x_0)</f>
        <v>0</v>
      </c>
      <c r="I45" s="1"/>
      <c r="J45" s="5">
        <f t="shared" si="32"/>
        <v>0</v>
      </c>
      <c r="K45" s="1"/>
      <c r="L45" s="1">
        <f t="shared" si="33"/>
        <v>0</v>
      </c>
      <c r="M45" s="1"/>
      <c r="N45" s="5">
        <f t="shared" si="34"/>
        <v>0</v>
      </c>
      <c r="O45" s="12"/>
      <c r="P45" s="1">
        <f>SUM(OSRRefP22_4x_0)</f>
        <v>0</v>
      </c>
      <c r="Q45" s="1"/>
      <c r="R45" s="5">
        <f t="shared" si="35"/>
        <v>0</v>
      </c>
      <c r="S45" s="1"/>
      <c r="T45" s="1">
        <f>SUM(OSRRefT22_4x_0)</f>
        <v>70.89</v>
      </c>
      <c r="U45" s="1"/>
      <c r="V45" s="5">
        <f t="shared" si="36"/>
        <v>3.5509265734404094E-5</v>
      </c>
      <c r="W45" s="1"/>
      <c r="X45" s="1">
        <f t="shared" si="37"/>
        <v>-70.89</v>
      </c>
      <c r="Y45" s="1"/>
      <c r="Z45" s="5">
        <f t="shared" si="38"/>
        <v>-1</v>
      </c>
    </row>
    <row r="46" spans="1:26" s="23" customFormat="1" hidden="1" outlineLevel="2" x14ac:dyDescent="0.25">
      <c r="A46" s="27"/>
      <c r="B46" s="10" t="str">
        <f>CONCATENATE("          ", "6381", " - ", "BANK/CREDIT CARD FEES")</f>
        <v xml:space="preserve">          6381 - BANK/CREDIT CARD FEES</v>
      </c>
      <c r="C46" s="10"/>
      <c r="D46" s="6"/>
      <c r="E46" s="2"/>
      <c r="F46" s="7">
        <f t="shared" si="31"/>
        <v>0</v>
      </c>
      <c r="G46" s="2"/>
      <c r="H46" s="6"/>
      <c r="I46" s="2"/>
      <c r="J46" s="7">
        <f t="shared" si="32"/>
        <v>0</v>
      </c>
      <c r="K46" s="2"/>
      <c r="L46" s="6">
        <f t="shared" si="33"/>
        <v>0</v>
      </c>
      <c r="M46" s="2"/>
      <c r="N46" s="7">
        <f t="shared" si="34"/>
        <v>0</v>
      </c>
      <c r="O46" s="10"/>
      <c r="P46" s="6"/>
      <c r="Q46" s="2"/>
      <c r="R46" s="7">
        <f t="shared" si="35"/>
        <v>0</v>
      </c>
      <c r="S46" s="2"/>
      <c r="T46" s="6">
        <v>70.89</v>
      </c>
      <c r="U46" s="2"/>
      <c r="V46" s="7">
        <f t="shared" si="36"/>
        <v>3.5509265734404094E-5</v>
      </c>
      <c r="W46" s="2"/>
      <c r="X46" s="6">
        <f t="shared" si="37"/>
        <v>-70.89</v>
      </c>
      <c r="Y46" s="2"/>
      <c r="Z46" s="7">
        <f t="shared" si="38"/>
        <v>-1</v>
      </c>
    </row>
    <row r="47" spans="1:26" s="26" customFormat="1" outlineLevel="1" collapsed="1" x14ac:dyDescent="0.25">
      <c r="A47" s="25"/>
      <c r="B47" s="12" t="str">
        <f>CONCATENATE("     ","Depreciation                                      ")</f>
        <v xml:space="preserve">     Depreciation                                      </v>
      </c>
      <c r="C47" s="12"/>
      <c r="D47" s="1">
        <f>SUM(OSRRefD22_5x_0)</f>
        <v>213.02</v>
      </c>
      <c r="E47" s="1"/>
      <c r="F47" s="5">
        <f t="shared" si="31"/>
        <v>0</v>
      </c>
      <c r="G47" s="1"/>
      <c r="H47" s="1">
        <f>SUM(OSRRefH22_5x_0)</f>
        <v>213.02</v>
      </c>
      <c r="I47" s="1"/>
      <c r="J47" s="5">
        <f t="shared" si="32"/>
        <v>0</v>
      </c>
      <c r="K47" s="1"/>
      <c r="L47" s="1">
        <f t="shared" si="33"/>
        <v>0</v>
      </c>
      <c r="M47" s="1"/>
      <c r="N47" s="5">
        <f t="shared" si="34"/>
        <v>0</v>
      </c>
      <c r="O47" s="12"/>
      <c r="P47" s="1">
        <f>SUM(OSRRefP22_5x_0)</f>
        <v>2130.1999999999998</v>
      </c>
      <c r="Q47" s="1"/>
      <c r="R47" s="5">
        <f t="shared" si="35"/>
        <v>0</v>
      </c>
      <c r="S47" s="1"/>
      <c r="T47" s="1">
        <f>SUM(OSRRefT22_5x_0)</f>
        <v>426.04</v>
      </c>
      <c r="U47" s="1"/>
      <c r="V47" s="5">
        <f t="shared" si="36"/>
        <v>2.134062289954228E-4</v>
      </c>
      <c r="W47" s="1"/>
      <c r="X47" s="1">
        <f t="shared" si="37"/>
        <v>1704.1599999999999</v>
      </c>
      <c r="Y47" s="1"/>
      <c r="Z47" s="5">
        <f t="shared" si="38"/>
        <v>3.9999999999999996</v>
      </c>
    </row>
    <row r="48" spans="1:26" s="23" customFormat="1" hidden="1" outlineLevel="2" x14ac:dyDescent="0.25">
      <c r="A48" s="27"/>
      <c r="B48" s="10" t="str">
        <f>CONCATENATE("          ", "6322", " - ", "EQUIPMENT DEPRECIATION EXPENSE")</f>
        <v xml:space="preserve">          6322 - EQUIPMENT DEPRECIATION EXPENSE</v>
      </c>
      <c r="C48" s="10"/>
      <c r="D48" s="6">
        <v>213.02</v>
      </c>
      <c r="E48" s="2"/>
      <c r="F48" s="7">
        <f t="shared" si="31"/>
        <v>0</v>
      </c>
      <c r="G48" s="2"/>
      <c r="H48" s="6">
        <v>213.02</v>
      </c>
      <c r="I48" s="2"/>
      <c r="J48" s="7">
        <f t="shared" si="32"/>
        <v>0</v>
      </c>
      <c r="K48" s="2"/>
      <c r="L48" s="6">
        <f t="shared" si="33"/>
        <v>0</v>
      </c>
      <c r="M48" s="2"/>
      <c r="N48" s="7">
        <f t="shared" si="34"/>
        <v>0</v>
      </c>
      <c r="O48" s="10"/>
      <c r="P48" s="6">
        <v>2130.1999999999998</v>
      </c>
      <c r="Q48" s="2"/>
      <c r="R48" s="7">
        <f t="shared" si="35"/>
        <v>0</v>
      </c>
      <c r="S48" s="2"/>
      <c r="T48" s="6">
        <v>426.04</v>
      </c>
      <c r="U48" s="2"/>
      <c r="V48" s="7">
        <f t="shared" si="36"/>
        <v>2.134062289954228E-4</v>
      </c>
      <c r="W48" s="2"/>
      <c r="X48" s="6">
        <f t="shared" si="37"/>
        <v>1704.1599999999999</v>
      </c>
      <c r="Y48" s="2"/>
      <c r="Z48" s="7">
        <f t="shared" si="38"/>
        <v>3.9999999999999996</v>
      </c>
    </row>
    <row r="49" spans="1:26" s="26" customFormat="1" outlineLevel="1" collapsed="1" x14ac:dyDescent="0.25">
      <c r="A49" s="25"/>
      <c r="B49" s="12" t="str">
        <f>CONCATENATE("     ","Donations                                         ")</f>
        <v xml:space="preserve">     Donations                                         </v>
      </c>
      <c r="C49" s="12"/>
      <c r="D49" s="1">
        <f>SUM(OSRRefD22_6x_0)</f>
        <v>0</v>
      </c>
      <c r="E49" s="1"/>
      <c r="F49" s="5">
        <f t="shared" si="31"/>
        <v>0</v>
      </c>
      <c r="G49" s="1"/>
      <c r="H49" s="1">
        <f>SUM(OSRRefH22_6x_0)</f>
        <v>0</v>
      </c>
      <c r="I49" s="1"/>
      <c r="J49" s="5">
        <f t="shared" si="32"/>
        <v>0</v>
      </c>
      <c r="K49" s="1"/>
      <c r="L49" s="1">
        <f t="shared" si="33"/>
        <v>0</v>
      </c>
      <c r="M49" s="1"/>
      <c r="N49" s="5">
        <f t="shared" si="34"/>
        <v>0</v>
      </c>
      <c r="O49" s="12"/>
      <c r="P49" s="1">
        <f>SUM(OSRRefP22_6x_0)</f>
        <v>0</v>
      </c>
      <c r="Q49" s="1"/>
      <c r="R49" s="5">
        <f t="shared" si="35"/>
        <v>0</v>
      </c>
      <c r="S49" s="1"/>
      <c r="T49" s="1">
        <f>SUM(OSRRefT22_6x_0)</f>
        <v>21140.82</v>
      </c>
      <c r="U49" s="1"/>
      <c r="V49" s="5">
        <f t="shared" si="36"/>
        <v>1.0589575331121523E-2</v>
      </c>
      <c r="W49" s="1"/>
      <c r="X49" s="1">
        <f t="shared" si="37"/>
        <v>-21140.82</v>
      </c>
      <c r="Y49" s="1"/>
      <c r="Z49" s="5">
        <f t="shared" si="38"/>
        <v>-1</v>
      </c>
    </row>
    <row r="50" spans="1:26" s="23" customFormat="1" hidden="1" outlineLevel="2" x14ac:dyDescent="0.25">
      <c r="A50" s="27"/>
      <c r="B50" s="10" t="str">
        <f>CONCATENATE("          ", "6399", " - ", "DONATION-ON CAMPUS")</f>
        <v xml:space="preserve">          6399 - DONATION-ON CAMPUS</v>
      </c>
      <c r="C50" s="10"/>
      <c r="D50" s="6"/>
      <c r="E50" s="2"/>
      <c r="F50" s="7">
        <f t="shared" si="31"/>
        <v>0</v>
      </c>
      <c r="G50" s="2"/>
      <c r="H50" s="6"/>
      <c r="I50" s="2"/>
      <c r="J50" s="7">
        <f t="shared" si="32"/>
        <v>0</v>
      </c>
      <c r="K50" s="2"/>
      <c r="L50" s="6">
        <f t="shared" si="33"/>
        <v>0</v>
      </c>
      <c r="M50" s="2"/>
      <c r="N50" s="7">
        <f t="shared" si="34"/>
        <v>0</v>
      </c>
      <c r="O50" s="10"/>
      <c r="P50" s="6"/>
      <c r="Q50" s="2"/>
      <c r="R50" s="7">
        <f t="shared" si="35"/>
        <v>0</v>
      </c>
      <c r="S50" s="2"/>
      <c r="T50" s="6">
        <v>21140.82</v>
      </c>
      <c r="U50" s="2"/>
      <c r="V50" s="7">
        <f t="shared" si="36"/>
        <v>1.0589575331121523E-2</v>
      </c>
      <c r="W50" s="2"/>
      <c r="X50" s="6">
        <f t="shared" si="37"/>
        <v>-21140.82</v>
      </c>
      <c r="Y50" s="2"/>
      <c r="Z50" s="7">
        <f t="shared" si="38"/>
        <v>-1</v>
      </c>
    </row>
    <row r="51" spans="1:26" s="26" customFormat="1" outlineLevel="1" collapsed="1" x14ac:dyDescent="0.25">
      <c r="A51" s="25"/>
      <c r="B51" s="12" t="str">
        <f>CONCATENATE("     ","Employees' Appreciation                           ")</f>
        <v xml:space="preserve">     Employees' Appreciation                           </v>
      </c>
      <c r="C51" s="12"/>
      <c r="D51" s="1">
        <f>SUM(OSRRefD22_7x_0)</f>
        <v>0</v>
      </c>
      <c r="E51" s="1"/>
      <c r="F51" s="5">
        <f t="shared" si="31"/>
        <v>0</v>
      </c>
      <c r="G51" s="1"/>
      <c r="H51" s="1">
        <f>SUM(OSRRefH22_7x_0)</f>
        <v>0</v>
      </c>
      <c r="I51" s="1"/>
      <c r="J51" s="5">
        <f t="shared" si="32"/>
        <v>0</v>
      </c>
      <c r="K51" s="1"/>
      <c r="L51" s="1">
        <f t="shared" si="33"/>
        <v>0</v>
      </c>
      <c r="M51" s="1"/>
      <c r="N51" s="5">
        <f t="shared" si="34"/>
        <v>0</v>
      </c>
      <c r="O51" s="12"/>
      <c r="P51" s="1">
        <f>SUM(OSRRefP22_7x_0)</f>
        <v>0</v>
      </c>
      <c r="Q51" s="1"/>
      <c r="R51" s="5">
        <f t="shared" si="35"/>
        <v>0</v>
      </c>
      <c r="S51" s="1"/>
      <c r="T51" s="1">
        <f>SUM(OSRRefT22_7x_0)</f>
        <v>21.34</v>
      </c>
      <c r="U51" s="1"/>
      <c r="V51" s="5">
        <f t="shared" si="36"/>
        <v>1.0689345898888185E-5</v>
      </c>
      <c r="W51" s="1"/>
      <c r="X51" s="1">
        <f t="shared" si="37"/>
        <v>-21.34</v>
      </c>
      <c r="Y51" s="1"/>
      <c r="Z51" s="5">
        <f t="shared" si="38"/>
        <v>-1</v>
      </c>
    </row>
    <row r="52" spans="1:26" s="23" customFormat="1" hidden="1" outlineLevel="2" x14ac:dyDescent="0.25">
      <c r="A52" s="27"/>
      <c r="B52" s="10" t="str">
        <f>CONCATENATE("          ", "6277", " - ", "EMPLOYEE APPRECIATION")</f>
        <v xml:space="preserve">          6277 - EMPLOYEE APPRECIATION</v>
      </c>
      <c r="C52" s="10"/>
      <c r="D52" s="6"/>
      <c r="E52" s="2"/>
      <c r="F52" s="7">
        <f t="shared" si="31"/>
        <v>0</v>
      </c>
      <c r="G52" s="2"/>
      <c r="H52" s="6"/>
      <c r="I52" s="2"/>
      <c r="J52" s="7">
        <f t="shared" si="32"/>
        <v>0</v>
      </c>
      <c r="K52" s="2"/>
      <c r="L52" s="6">
        <f t="shared" si="33"/>
        <v>0</v>
      </c>
      <c r="M52" s="2"/>
      <c r="N52" s="7">
        <f t="shared" si="34"/>
        <v>0</v>
      </c>
      <c r="O52" s="10"/>
      <c r="P52" s="6"/>
      <c r="Q52" s="2"/>
      <c r="R52" s="7">
        <f t="shared" si="35"/>
        <v>0</v>
      </c>
      <c r="S52" s="2"/>
      <c r="T52" s="6">
        <v>21.34</v>
      </c>
      <c r="U52" s="2"/>
      <c r="V52" s="7">
        <f t="shared" si="36"/>
        <v>1.0689345898888185E-5</v>
      </c>
      <c r="W52" s="2"/>
      <c r="X52" s="6">
        <f t="shared" si="37"/>
        <v>-21.34</v>
      </c>
      <c r="Y52" s="2"/>
      <c r="Z52" s="7">
        <f t="shared" si="38"/>
        <v>-1</v>
      </c>
    </row>
    <row r="53" spans="1:26" s="26" customFormat="1" outlineLevel="1" collapsed="1" x14ac:dyDescent="0.25">
      <c r="A53" s="25"/>
      <c r="B53" s="12" t="str">
        <f>CONCATENATE("     ","Equipment Rental                                  ")</f>
        <v xml:space="preserve">     Equipment Rental                                  </v>
      </c>
      <c r="C53" s="12"/>
      <c r="D53" s="1">
        <f>SUM(OSRRefD22_8x_0)</f>
        <v>0</v>
      </c>
      <c r="E53" s="1"/>
      <c r="F53" s="5">
        <f t="shared" si="31"/>
        <v>0</v>
      </c>
      <c r="G53" s="1"/>
      <c r="H53" s="1">
        <f>SUM(OSRRefH22_8x_0)</f>
        <v>0</v>
      </c>
      <c r="I53" s="1"/>
      <c r="J53" s="5">
        <f t="shared" si="32"/>
        <v>0</v>
      </c>
      <c r="K53" s="1"/>
      <c r="L53" s="1">
        <f t="shared" si="33"/>
        <v>0</v>
      </c>
      <c r="M53" s="1"/>
      <c r="N53" s="5">
        <f t="shared" si="34"/>
        <v>0</v>
      </c>
      <c r="O53" s="12"/>
      <c r="P53" s="1">
        <f>SUM(OSRRefP22_8x_0)</f>
        <v>20</v>
      </c>
      <c r="Q53" s="1"/>
      <c r="R53" s="5">
        <f t="shared" si="35"/>
        <v>0</v>
      </c>
      <c r="S53" s="1"/>
      <c r="T53" s="1">
        <f>SUM(OSRRefT22_8x_0)</f>
        <v>0.01</v>
      </c>
      <c r="U53" s="1"/>
      <c r="V53" s="5">
        <f t="shared" si="36"/>
        <v>5.0090655571172371E-9</v>
      </c>
      <c r="W53" s="1"/>
      <c r="X53" s="1">
        <f t="shared" si="37"/>
        <v>19.989999999999998</v>
      </c>
      <c r="Y53" s="1"/>
      <c r="Z53" s="5">
        <f t="shared" si="38"/>
        <v>1998.9999999999998</v>
      </c>
    </row>
    <row r="54" spans="1:26" s="23" customFormat="1" hidden="1" outlineLevel="2" x14ac:dyDescent="0.25">
      <c r="A54" s="27"/>
      <c r="B54" s="10" t="str">
        <f>CONCATENATE("          ", "6351", " - ", "EQUIPMENT RENTAL")</f>
        <v xml:space="preserve">          6351 - EQUIPMENT RENTAL</v>
      </c>
      <c r="C54" s="10"/>
      <c r="D54" s="6"/>
      <c r="E54" s="2"/>
      <c r="F54" s="7">
        <f t="shared" si="31"/>
        <v>0</v>
      </c>
      <c r="G54" s="2"/>
      <c r="H54" s="6"/>
      <c r="I54" s="2"/>
      <c r="J54" s="7">
        <f t="shared" si="32"/>
        <v>0</v>
      </c>
      <c r="K54" s="2"/>
      <c r="L54" s="6">
        <f t="shared" si="33"/>
        <v>0</v>
      </c>
      <c r="M54" s="2"/>
      <c r="N54" s="7">
        <f t="shared" si="34"/>
        <v>0</v>
      </c>
      <c r="O54" s="10"/>
      <c r="P54" s="6">
        <v>20</v>
      </c>
      <c r="Q54" s="2"/>
      <c r="R54" s="7">
        <f t="shared" si="35"/>
        <v>0</v>
      </c>
      <c r="S54" s="2"/>
      <c r="T54" s="6">
        <v>0.01</v>
      </c>
      <c r="U54" s="2"/>
      <c r="V54" s="7">
        <f t="shared" si="36"/>
        <v>5.0090655571172371E-9</v>
      </c>
      <c r="W54" s="2"/>
      <c r="X54" s="6">
        <f t="shared" si="37"/>
        <v>19.989999999999998</v>
      </c>
      <c r="Y54" s="2"/>
      <c r="Z54" s="7">
        <f t="shared" si="38"/>
        <v>1998.9999999999998</v>
      </c>
    </row>
    <row r="55" spans="1:26" s="26" customFormat="1" outlineLevel="1" collapsed="1" x14ac:dyDescent="0.25">
      <c r="A55" s="25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SUM(OSRRefD22_9x_0)</f>
        <v>0</v>
      </c>
      <c r="E55" s="1"/>
      <c r="F55" s="5">
        <f t="shared" si="31"/>
        <v>0</v>
      </c>
      <c r="G55" s="1"/>
      <c r="H55" s="1">
        <f>SUM(OSRRefH22_9x_0)</f>
        <v>0</v>
      </c>
      <c r="I55" s="1"/>
      <c r="J55" s="5">
        <f t="shared" si="32"/>
        <v>0</v>
      </c>
      <c r="K55" s="1"/>
      <c r="L55" s="1">
        <f t="shared" si="33"/>
        <v>0</v>
      </c>
      <c r="M55" s="1"/>
      <c r="N55" s="5">
        <f t="shared" si="34"/>
        <v>0</v>
      </c>
      <c r="O55" s="12"/>
      <c r="P55" s="1">
        <f>SUM(OSRRefP22_9x_0)</f>
        <v>1875.87</v>
      </c>
      <c r="Q55" s="1"/>
      <c r="R55" s="5">
        <f t="shared" si="35"/>
        <v>0</v>
      </c>
      <c r="S55" s="1"/>
      <c r="T55" s="1">
        <f>SUM(OSRRefT22_9x_0)</f>
        <v>1950.43</v>
      </c>
      <c r="U55" s="1"/>
      <c r="V55" s="5">
        <f t="shared" si="36"/>
        <v>9.7698317345681733E-4</v>
      </c>
      <c r="W55" s="1"/>
      <c r="X55" s="1">
        <f t="shared" si="37"/>
        <v>-74.560000000000173</v>
      </c>
      <c r="Y55" s="1"/>
      <c r="Z55" s="5">
        <f t="shared" si="38"/>
        <v>-3.8227467789154271E-2</v>
      </c>
    </row>
    <row r="56" spans="1:26" s="23" customFormat="1" hidden="1" outlineLevel="2" x14ac:dyDescent="0.25">
      <c r="A56" s="27"/>
      <c r="B56" s="10" t="str">
        <f>CONCATENATE("          ", "6279", " - ", "GENERAL EXPENSE")</f>
        <v xml:space="preserve">          6279 - GENERAL EXPENSE</v>
      </c>
      <c r="C56" s="10"/>
      <c r="D56" s="6"/>
      <c r="E56" s="2"/>
      <c r="F56" s="7">
        <f t="shared" si="31"/>
        <v>0</v>
      </c>
      <c r="G56" s="2"/>
      <c r="H56" s="6"/>
      <c r="I56" s="2"/>
      <c r="J56" s="7">
        <f t="shared" si="32"/>
        <v>0</v>
      </c>
      <c r="K56" s="2"/>
      <c r="L56" s="6">
        <f t="shared" si="33"/>
        <v>0</v>
      </c>
      <c r="M56" s="2"/>
      <c r="N56" s="7">
        <f t="shared" si="34"/>
        <v>0</v>
      </c>
      <c r="O56" s="10"/>
      <c r="P56" s="6">
        <v>1875.87</v>
      </c>
      <c r="Q56" s="2"/>
      <c r="R56" s="7">
        <f t="shared" si="35"/>
        <v>0</v>
      </c>
      <c r="S56" s="2"/>
      <c r="T56" s="6">
        <v>1950.43</v>
      </c>
      <c r="U56" s="2"/>
      <c r="V56" s="7">
        <f t="shared" si="36"/>
        <v>9.7698317345681733E-4</v>
      </c>
      <c r="W56" s="2"/>
      <c r="X56" s="6">
        <f t="shared" si="37"/>
        <v>-74.560000000000173</v>
      </c>
      <c r="Y56" s="2"/>
      <c r="Z56" s="7">
        <f t="shared" si="38"/>
        <v>-3.8227467789154271E-2</v>
      </c>
    </row>
    <row r="57" spans="1:26" s="26" customFormat="1" outlineLevel="1" collapsed="1" x14ac:dyDescent="0.25">
      <c r="A57" s="25"/>
      <c r="B57" s="12" t="str">
        <f>CONCATENATE("     ","Insurance                                         ")</f>
        <v xml:space="preserve">     Insurance                                         </v>
      </c>
      <c r="C57" s="12"/>
      <c r="D57" s="1">
        <f>SUM(OSRRefD22_10x_0)</f>
        <v>5.9</v>
      </c>
      <c r="E57" s="1"/>
      <c r="F57" s="5">
        <f t="shared" si="31"/>
        <v>0</v>
      </c>
      <c r="G57" s="1"/>
      <c r="H57" s="1">
        <f>SUM(OSRRefH22_10x_0)</f>
        <v>5.9</v>
      </c>
      <c r="I57" s="1"/>
      <c r="J57" s="5">
        <f t="shared" si="32"/>
        <v>0</v>
      </c>
      <c r="K57" s="1"/>
      <c r="L57" s="1">
        <f t="shared" si="33"/>
        <v>0</v>
      </c>
      <c r="M57" s="1"/>
      <c r="N57" s="5">
        <f t="shared" si="34"/>
        <v>0</v>
      </c>
      <c r="O57" s="12"/>
      <c r="P57" s="1">
        <f>SUM(OSRRefP22_10x_0)</f>
        <v>59</v>
      </c>
      <c r="Q57" s="1"/>
      <c r="R57" s="5">
        <f t="shared" si="35"/>
        <v>0</v>
      </c>
      <c r="S57" s="1"/>
      <c r="T57" s="1">
        <f>SUM(OSRRefT22_10x_0)</f>
        <v>59</v>
      </c>
      <c r="U57" s="1"/>
      <c r="V57" s="5">
        <f t="shared" si="36"/>
        <v>2.95534867869917E-5</v>
      </c>
      <c r="W57" s="1"/>
      <c r="X57" s="1">
        <f t="shared" si="37"/>
        <v>0</v>
      </c>
      <c r="Y57" s="1"/>
      <c r="Z57" s="5">
        <f t="shared" si="38"/>
        <v>0</v>
      </c>
    </row>
    <row r="58" spans="1:26" s="23" customFormat="1" hidden="1" outlineLevel="2" x14ac:dyDescent="0.25">
      <c r="A58" s="27"/>
      <c r="B58" s="10" t="str">
        <f>CONCATENATE("          ", "6314", " - ", "LIABILITY INSURANCE")</f>
        <v xml:space="preserve">          6314 - LIABILITY INSURANCE</v>
      </c>
      <c r="C58" s="10"/>
      <c r="D58" s="6">
        <v>5.9</v>
      </c>
      <c r="E58" s="2"/>
      <c r="F58" s="7">
        <f t="shared" si="31"/>
        <v>0</v>
      </c>
      <c r="G58" s="2"/>
      <c r="H58" s="6">
        <v>5.9</v>
      </c>
      <c r="I58" s="2"/>
      <c r="J58" s="7">
        <f t="shared" si="32"/>
        <v>0</v>
      </c>
      <c r="K58" s="2"/>
      <c r="L58" s="6">
        <f t="shared" si="33"/>
        <v>0</v>
      </c>
      <c r="M58" s="2"/>
      <c r="N58" s="7">
        <f t="shared" si="34"/>
        <v>0</v>
      </c>
      <c r="O58" s="10"/>
      <c r="P58" s="6">
        <v>59</v>
      </c>
      <c r="Q58" s="2"/>
      <c r="R58" s="7">
        <f t="shared" si="35"/>
        <v>0</v>
      </c>
      <c r="S58" s="2"/>
      <c r="T58" s="6">
        <v>59</v>
      </c>
      <c r="U58" s="2"/>
      <c r="V58" s="7">
        <f t="shared" si="36"/>
        <v>2.95534867869917E-5</v>
      </c>
      <c r="W58" s="2"/>
      <c r="X58" s="6">
        <f t="shared" si="37"/>
        <v>0</v>
      </c>
      <c r="Y58" s="2"/>
      <c r="Z58" s="7">
        <f t="shared" si="38"/>
        <v>0</v>
      </c>
    </row>
    <row r="59" spans="1:26" s="26" customFormat="1" outlineLevel="1" collapsed="1" x14ac:dyDescent="0.25">
      <c r="A59" s="25"/>
      <c r="B59" s="12" t="str">
        <f>CONCATENATE("     ","R/H Commissions                                   ")</f>
        <v xml:space="preserve">     R/H Commissions                                   </v>
      </c>
      <c r="C59" s="12"/>
      <c r="D59" s="1">
        <f>SUM(OSRRefD22_11x_0)</f>
        <v>0</v>
      </c>
      <c r="E59" s="1"/>
      <c r="F59" s="5">
        <f t="shared" si="31"/>
        <v>0</v>
      </c>
      <c r="G59" s="1"/>
      <c r="H59" s="1">
        <f>SUM(OSRRefH22_11x_0)</f>
        <v>256</v>
      </c>
      <c r="I59" s="1"/>
      <c r="J59" s="5">
        <f t="shared" si="32"/>
        <v>0</v>
      </c>
      <c r="K59" s="1"/>
      <c r="L59" s="1">
        <f t="shared" si="33"/>
        <v>-256</v>
      </c>
      <c r="M59" s="1"/>
      <c r="N59" s="5">
        <f t="shared" si="34"/>
        <v>-1</v>
      </c>
      <c r="O59" s="12"/>
      <c r="P59" s="1">
        <f>SUM(OSRRefP22_11x_0)</f>
        <v>0</v>
      </c>
      <c r="Q59" s="1"/>
      <c r="R59" s="5">
        <f t="shared" si="35"/>
        <v>0</v>
      </c>
      <c r="S59" s="1"/>
      <c r="T59" s="1">
        <f>SUM(OSRRefT22_11x_0)</f>
        <v>156427.13</v>
      </c>
      <c r="U59" s="1"/>
      <c r="V59" s="5">
        <f t="shared" si="36"/>
        <v>7.8355374908170058E-2</v>
      </c>
      <c r="W59" s="1"/>
      <c r="X59" s="1">
        <f t="shared" si="37"/>
        <v>-156427.13</v>
      </c>
      <c r="Y59" s="1"/>
      <c r="Z59" s="5">
        <f t="shared" si="38"/>
        <v>-1</v>
      </c>
    </row>
    <row r="60" spans="1:26" s="23" customFormat="1" hidden="1" outlineLevel="2" x14ac:dyDescent="0.25">
      <c r="A60" s="27"/>
      <c r="B60" s="10" t="str">
        <f>CONCATENATE("          ", "6387", " - ", "COMMISSION DUE HOUSING")</f>
        <v xml:space="preserve">          6387 - COMMISSION DUE HOUSING</v>
      </c>
      <c r="C60" s="10"/>
      <c r="D60" s="6"/>
      <c r="E60" s="2"/>
      <c r="F60" s="7">
        <f t="shared" si="31"/>
        <v>0</v>
      </c>
      <c r="G60" s="2"/>
      <c r="H60" s="6">
        <v>256</v>
      </c>
      <c r="I60" s="2"/>
      <c r="J60" s="7">
        <f t="shared" si="32"/>
        <v>0</v>
      </c>
      <c r="K60" s="2"/>
      <c r="L60" s="6">
        <f t="shared" si="33"/>
        <v>-256</v>
      </c>
      <c r="M60" s="2"/>
      <c r="N60" s="7">
        <f t="shared" si="34"/>
        <v>-1</v>
      </c>
      <c r="O60" s="10"/>
      <c r="P60" s="6"/>
      <c r="Q60" s="2"/>
      <c r="R60" s="7">
        <f t="shared" si="35"/>
        <v>0</v>
      </c>
      <c r="S60" s="2"/>
      <c r="T60" s="6">
        <v>156427.13</v>
      </c>
      <c r="U60" s="2"/>
      <c r="V60" s="7">
        <f t="shared" si="36"/>
        <v>7.8355374908170058E-2</v>
      </c>
      <c r="W60" s="2"/>
      <c r="X60" s="6">
        <f t="shared" si="37"/>
        <v>-156427.13</v>
      </c>
      <c r="Y60" s="2"/>
      <c r="Z60" s="7">
        <f t="shared" si="38"/>
        <v>-1</v>
      </c>
    </row>
    <row r="61" spans="1:26" s="26" customFormat="1" outlineLevel="1" collapsed="1" x14ac:dyDescent="0.25">
      <c r="A61" s="25"/>
      <c r="B61" s="12" t="str">
        <f>CONCATENATE("     ","Repair and Maintenance                            ")</f>
        <v xml:space="preserve">     Repair and Maintenance                            </v>
      </c>
      <c r="C61" s="12"/>
      <c r="D61" s="1">
        <f>SUM(OSRRefD22_12x_0)</f>
        <v>0</v>
      </c>
      <c r="E61" s="1"/>
      <c r="F61" s="5">
        <f t="shared" si="31"/>
        <v>0</v>
      </c>
      <c r="G61" s="1"/>
      <c r="H61" s="1">
        <f>SUM(OSRRefH22_12x_0)</f>
        <v>0</v>
      </c>
      <c r="I61" s="1"/>
      <c r="J61" s="5">
        <f t="shared" si="32"/>
        <v>0</v>
      </c>
      <c r="K61" s="1"/>
      <c r="L61" s="1">
        <f t="shared" si="33"/>
        <v>0</v>
      </c>
      <c r="M61" s="1"/>
      <c r="N61" s="5">
        <f t="shared" si="34"/>
        <v>0</v>
      </c>
      <c r="O61" s="12"/>
      <c r="P61" s="1">
        <f>SUM(OSRRefP22_12x_0)</f>
        <v>216.99</v>
      </c>
      <c r="Q61" s="1"/>
      <c r="R61" s="5">
        <f t="shared" si="35"/>
        <v>0</v>
      </c>
      <c r="S61" s="1"/>
      <c r="T61" s="1">
        <f>SUM(OSRRefT22_12x_0)</f>
        <v>212.16</v>
      </c>
      <c r="U61" s="1"/>
      <c r="V61" s="5">
        <f t="shared" si="36"/>
        <v>1.062723348597993E-4</v>
      </c>
      <c r="W61" s="1"/>
      <c r="X61" s="1">
        <f t="shared" si="37"/>
        <v>4.8300000000000125</v>
      </c>
      <c r="Y61" s="1"/>
      <c r="Z61" s="5">
        <f t="shared" si="38"/>
        <v>2.2765837104072456E-2</v>
      </c>
    </row>
    <row r="62" spans="1:26" s="23" customFormat="1" hidden="1" outlineLevel="2" x14ac:dyDescent="0.25">
      <c r="A62" s="27"/>
      <c r="B62" s="10" t="str">
        <f>CONCATENATE("          ", "6373", " - ", "MAINTENANCE CONTRACTS")</f>
        <v xml:space="preserve">          6373 - MAINTENANCE CONTRACTS</v>
      </c>
      <c r="C62" s="10"/>
      <c r="D62" s="6"/>
      <c r="E62" s="2"/>
      <c r="F62" s="7">
        <f t="shared" si="31"/>
        <v>0</v>
      </c>
      <c r="G62" s="2"/>
      <c r="H62" s="6"/>
      <c r="I62" s="2"/>
      <c r="J62" s="7">
        <f t="shared" si="32"/>
        <v>0</v>
      </c>
      <c r="K62" s="2"/>
      <c r="L62" s="6">
        <f t="shared" si="33"/>
        <v>0</v>
      </c>
      <c r="M62" s="2"/>
      <c r="N62" s="7">
        <f t="shared" si="34"/>
        <v>0</v>
      </c>
      <c r="O62" s="10"/>
      <c r="P62" s="6">
        <v>216.99</v>
      </c>
      <c r="Q62" s="2"/>
      <c r="R62" s="7">
        <f t="shared" si="35"/>
        <v>0</v>
      </c>
      <c r="S62" s="2"/>
      <c r="T62" s="6">
        <v>212.16</v>
      </c>
      <c r="U62" s="2"/>
      <c r="V62" s="7">
        <f t="shared" si="36"/>
        <v>1.062723348597993E-4</v>
      </c>
      <c r="W62" s="2"/>
      <c r="X62" s="6">
        <f t="shared" si="37"/>
        <v>4.8300000000000125</v>
      </c>
      <c r="Y62" s="2"/>
      <c r="Z62" s="7">
        <f t="shared" si="38"/>
        <v>2.2765837104072456E-2</v>
      </c>
    </row>
    <row r="63" spans="1:26" s="23" customFormat="1" hidden="1" outlineLevel="2" x14ac:dyDescent="0.25">
      <c r="A63" s="27"/>
      <c r="B63" s="10" t="str">
        <f>CONCATENATE("          ", "6375", " - ", "OUTSIDE REPAIRS &amp; MAINTENANCE")</f>
        <v xml:space="preserve">          6375 - OUTSIDE REPAIRS &amp; MAINTENANCE</v>
      </c>
      <c r="C63" s="10"/>
      <c r="D63" s="6"/>
      <c r="E63" s="2"/>
      <c r="F63" s="7">
        <f t="shared" si="31"/>
        <v>0</v>
      </c>
      <c r="G63" s="2"/>
      <c r="H63" s="6"/>
      <c r="I63" s="2"/>
      <c r="J63" s="7">
        <f t="shared" si="32"/>
        <v>0</v>
      </c>
      <c r="K63" s="2"/>
      <c r="L63" s="6">
        <f t="shared" si="33"/>
        <v>0</v>
      </c>
      <c r="M63" s="2"/>
      <c r="N63" s="7">
        <f t="shared" si="34"/>
        <v>0</v>
      </c>
      <c r="O63" s="10"/>
      <c r="P63" s="6"/>
      <c r="Q63" s="2"/>
      <c r="R63" s="7">
        <f t="shared" si="35"/>
        <v>0</v>
      </c>
      <c r="S63" s="2"/>
      <c r="T63" s="6">
        <v>0</v>
      </c>
      <c r="U63" s="2"/>
      <c r="V63" s="7">
        <f t="shared" si="36"/>
        <v>0</v>
      </c>
      <c r="W63" s="2"/>
      <c r="X63" s="6">
        <f t="shared" si="37"/>
        <v>0</v>
      </c>
      <c r="Y63" s="2"/>
      <c r="Z63" s="7">
        <f t="shared" si="38"/>
        <v>0</v>
      </c>
    </row>
    <row r="64" spans="1:26" s="26" customFormat="1" outlineLevel="1" collapsed="1" x14ac:dyDescent="0.25">
      <c r="A64" s="25"/>
      <c r="B64" s="12" t="str">
        <f>CONCATENATE("     ","Services                                          ")</f>
        <v xml:space="preserve">     Services                                          </v>
      </c>
      <c r="C64" s="12"/>
      <c r="D64" s="1">
        <f>SUM(OSRRefD22_13x_0)</f>
        <v>669.64</v>
      </c>
      <c r="E64" s="1"/>
      <c r="F64" s="5">
        <f t="shared" ref="F64:F67" si="39">IF(D$12=0,0,D64/D$12)</f>
        <v>0</v>
      </c>
      <c r="G64" s="1"/>
      <c r="H64" s="1">
        <f>SUM(OSRRefH22_13x_0)</f>
        <v>238.55999999999995</v>
      </c>
      <c r="I64" s="1"/>
      <c r="J64" s="5">
        <f t="shared" ref="J64:J67" si="40">IF(H$12=0,0,H64/H$12)</f>
        <v>0</v>
      </c>
      <c r="K64" s="1"/>
      <c r="L64" s="1">
        <f t="shared" ref="L64:L67" si="41">+D64-H64</f>
        <v>431.08000000000004</v>
      </c>
      <c r="M64" s="1"/>
      <c r="N64" s="5">
        <f t="shared" ref="N64:N67" si="42">IF(H64=0,0,L64/H64)</f>
        <v>1.8070087189805506</v>
      </c>
      <c r="O64" s="12"/>
      <c r="P64" s="1">
        <f>SUM(OSRRefP22_13x_0)</f>
        <v>6696.4</v>
      </c>
      <c r="Q64" s="1"/>
      <c r="R64" s="5">
        <f t="shared" ref="R64:R67" si="43">IF(P$12=0,0,P64/P$12)</f>
        <v>0</v>
      </c>
      <c r="S64" s="1"/>
      <c r="T64" s="1">
        <f>SUM(OSRRefT22_13x_0)</f>
        <v>56447.61</v>
      </c>
      <c r="U64" s="1"/>
      <c r="V64" s="5">
        <f t="shared" ref="V64:V67" si="44">IF(T$12=0,0,T64/T$12)</f>
        <v>2.8274977903258655E-2</v>
      </c>
      <c r="W64" s="1"/>
      <c r="X64" s="1">
        <f t="shared" ref="X64:X67" si="45">+P64-T64</f>
        <v>-49751.21</v>
      </c>
      <c r="Y64" s="1"/>
      <c r="Z64" s="5">
        <f t="shared" ref="Z64:Z67" si="46">IF(T64=0,0,X64/T64)</f>
        <v>-0.88136964523387262</v>
      </c>
    </row>
    <row r="65" spans="1:26" s="23" customFormat="1" hidden="1" outlineLevel="2" x14ac:dyDescent="0.25">
      <c r="A65" s="27"/>
      <c r="B65" s="10" t="str">
        <f>CONCATENATE("          ", "6282", " - ", "JANITORIAL/EXTERMINATOR EXPENS")</f>
        <v xml:space="preserve">          6282 - JANITORIAL/EXTERMINATOR EXPENS</v>
      </c>
      <c r="C65" s="10"/>
      <c r="D65" s="6">
        <v>669.64</v>
      </c>
      <c r="E65" s="2"/>
      <c r="F65" s="7">
        <f t="shared" si="39"/>
        <v>0</v>
      </c>
      <c r="G65" s="2"/>
      <c r="H65" s="6">
        <v>741.41</v>
      </c>
      <c r="I65" s="2"/>
      <c r="J65" s="7">
        <f t="shared" si="40"/>
        <v>0</v>
      </c>
      <c r="K65" s="2"/>
      <c r="L65" s="6">
        <f t="shared" si="41"/>
        <v>-71.769999999999982</v>
      </c>
      <c r="M65" s="2"/>
      <c r="N65" s="7">
        <f t="shared" si="42"/>
        <v>-9.6802039357440528E-2</v>
      </c>
      <c r="O65" s="10"/>
      <c r="P65" s="6">
        <v>6098.53</v>
      </c>
      <c r="Q65" s="2"/>
      <c r="R65" s="7">
        <f t="shared" si="43"/>
        <v>0</v>
      </c>
      <c r="S65" s="2"/>
      <c r="T65" s="6">
        <v>7516.04</v>
      </c>
      <c r="U65" s="2"/>
      <c r="V65" s="7">
        <f t="shared" si="44"/>
        <v>3.7648337089915438E-3</v>
      </c>
      <c r="W65" s="2"/>
      <c r="X65" s="6">
        <f t="shared" si="45"/>
        <v>-1417.5100000000002</v>
      </c>
      <c r="Y65" s="2"/>
      <c r="Z65" s="7">
        <f t="shared" si="46"/>
        <v>-0.18859798510917986</v>
      </c>
    </row>
    <row r="66" spans="1:26" s="23" customFormat="1" hidden="1" outlineLevel="2" x14ac:dyDescent="0.25">
      <c r="A66" s="27"/>
      <c r="B66" s="10" t="str">
        <f>CONCATENATE("          ", "6285", " - ", "JANITORIAL SERVICES")</f>
        <v xml:space="preserve">          6285 - JANITORIAL SERVICES</v>
      </c>
      <c r="C66" s="10"/>
      <c r="D66" s="6"/>
      <c r="E66" s="2"/>
      <c r="F66" s="7">
        <f t="shared" si="39"/>
        <v>0</v>
      </c>
      <c r="G66" s="2"/>
      <c r="H66" s="6">
        <v>-502.85</v>
      </c>
      <c r="I66" s="2"/>
      <c r="J66" s="7">
        <f t="shared" si="40"/>
        <v>0</v>
      </c>
      <c r="K66" s="2"/>
      <c r="L66" s="6">
        <f t="shared" si="41"/>
        <v>502.85</v>
      </c>
      <c r="M66" s="2"/>
      <c r="N66" s="7">
        <f t="shared" si="42"/>
        <v>-1</v>
      </c>
      <c r="O66" s="10"/>
      <c r="P66" s="6"/>
      <c r="Q66" s="2"/>
      <c r="R66" s="7">
        <f t="shared" si="43"/>
        <v>0</v>
      </c>
      <c r="S66" s="2"/>
      <c r="T66" s="6">
        <v>35826.720000000001</v>
      </c>
      <c r="U66" s="2"/>
      <c r="V66" s="7">
        <f t="shared" si="44"/>
        <v>1.7945838917648328E-2</v>
      </c>
      <c r="W66" s="2"/>
      <c r="X66" s="6">
        <f t="shared" si="45"/>
        <v>-35826.720000000001</v>
      </c>
      <c r="Y66" s="2"/>
      <c r="Z66" s="7">
        <f t="shared" si="46"/>
        <v>-1</v>
      </c>
    </row>
    <row r="67" spans="1:26" s="23" customFormat="1" hidden="1" outlineLevel="2" x14ac:dyDescent="0.25">
      <c r="A67" s="27"/>
      <c r="B67" s="10" t="str">
        <f>CONCATENATE("          ", "6286", " - ", "LAUNDRY EXPENSE")</f>
        <v xml:space="preserve">          6286 - LAUNDRY EXPENSE</v>
      </c>
      <c r="C67" s="10"/>
      <c r="D67" s="6"/>
      <c r="E67" s="2"/>
      <c r="F67" s="7">
        <f t="shared" si="39"/>
        <v>0</v>
      </c>
      <c r="G67" s="2"/>
      <c r="H67" s="6"/>
      <c r="I67" s="2"/>
      <c r="J67" s="7">
        <f t="shared" si="40"/>
        <v>0</v>
      </c>
      <c r="K67" s="2"/>
      <c r="L67" s="6">
        <f t="shared" si="41"/>
        <v>0</v>
      </c>
      <c r="M67" s="2"/>
      <c r="N67" s="7">
        <f t="shared" si="42"/>
        <v>0</v>
      </c>
      <c r="O67" s="10"/>
      <c r="P67" s="6">
        <v>597.87</v>
      </c>
      <c r="Q67" s="2"/>
      <c r="R67" s="7">
        <f t="shared" si="43"/>
        <v>0</v>
      </c>
      <c r="S67" s="2"/>
      <c r="T67" s="6">
        <v>13104.85</v>
      </c>
      <c r="U67" s="2"/>
      <c r="V67" s="7">
        <f t="shared" si="44"/>
        <v>6.5643052766187829E-3</v>
      </c>
      <c r="W67" s="2"/>
      <c r="X67" s="6">
        <f t="shared" si="45"/>
        <v>-12506.98</v>
      </c>
      <c r="Y67" s="2"/>
      <c r="Z67" s="7">
        <f t="shared" si="46"/>
        <v>-0.95437795930514269</v>
      </c>
    </row>
    <row r="68" spans="1:26" s="26" customFormat="1" outlineLevel="1" collapsed="1" x14ac:dyDescent="0.25">
      <c r="A68" s="25"/>
      <c r="B68" s="12" t="str">
        <f>CONCATENATE("     ","Supplies                                          ")</f>
        <v xml:space="preserve">     Supplies                                          </v>
      </c>
      <c r="C68" s="12"/>
      <c r="D68" s="1">
        <f>SUM(OSRRefD22_14x_0)</f>
        <v>0</v>
      </c>
      <c r="E68" s="1"/>
      <c r="F68" s="5">
        <f t="shared" ref="F68:F74" si="47">IF(D$12=0,0,D68/D$12)</f>
        <v>0</v>
      </c>
      <c r="G68" s="1"/>
      <c r="H68" s="1">
        <f>SUM(OSRRefH22_14x_0)</f>
        <v>356.37</v>
      </c>
      <c r="I68" s="1"/>
      <c r="J68" s="5">
        <f t="shared" ref="J68:J74" si="48">IF(H$12=0,0,H68/H$12)</f>
        <v>0</v>
      </c>
      <c r="K68" s="1"/>
      <c r="L68" s="1">
        <f t="shared" ref="L68:L74" si="49">+D68-H68</f>
        <v>-356.37</v>
      </c>
      <c r="M68" s="1"/>
      <c r="N68" s="5">
        <f t="shared" ref="N68:N74" si="50">IF(H68=0,0,L68/H68)</f>
        <v>-1</v>
      </c>
      <c r="O68" s="12"/>
      <c r="P68" s="1">
        <f>SUM(OSRRefP22_14x_0)</f>
        <v>96.7</v>
      </c>
      <c r="Q68" s="1"/>
      <c r="R68" s="5">
        <f t="shared" ref="R68:R74" si="51">IF(P$12=0,0,P68/P$12)</f>
        <v>0</v>
      </c>
      <c r="S68" s="1"/>
      <c r="T68" s="1">
        <f>SUM(OSRRefT22_14x_0)</f>
        <v>43096.97</v>
      </c>
      <c r="U68" s="1"/>
      <c r="V68" s="5">
        <f t="shared" ref="V68:V74" si="52">IF(T$12=0,0,T68/T$12)</f>
        <v>2.1587554804311487E-2</v>
      </c>
      <c r="W68" s="1"/>
      <c r="X68" s="1">
        <f t="shared" ref="X68:X74" si="53">+P68-T68</f>
        <v>-43000.270000000004</v>
      </c>
      <c r="Y68" s="1"/>
      <c r="Z68" s="5">
        <f t="shared" ref="Z68:Z74" si="54">IF(T68=0,0,X68/T68)</f>
        <v>-0.99775622276925735</v>
      </c>
    </row>
    <row r="69" spans="1:26" s="23" customFormat="1" hidden="1" outlineLevel="2" x14ac:dyDescent="0.25">
      <c r="A69" s="27"/>
      <c r="B69" s="10" t="str">
        <f>CONCATENATE("          ", "6237", " - ", "JANITORIAL SUPPLIES")</f>
        <v xml:space="preserve">          6237 - JANITORIAL SUPPLIES</v>
      </c>
      <c r="C69" s="10"/>
      <c r="D69" s="6"/>
      <c r="E69" s="2"/>
      <c r="F69" s="7">
        <f t="shared" si="47"/>
        <v>0</v>
      </c>
      <c r="G69" s="2"/>
      <c r="H69" s="6">
        <v>356.37</v>
      </c>
      <c r="I69" s="2"/>
      <c r="J69" s="7">
        <f t="shared" si="48"/>
        <v>0</v>
      </c>
      <c r="K69" s="2"/>
      <c r="L69" s="6">
        <f t="shared" si="49"/>
        <v>-356.37</v>
      </c>
      <c r="M69" s="2"/>
      <c r="N69" s="7">
        <f t="shared" si="50"/>
        <v>-1</v>
      </c>
      <c r="O69" s="10"/>
      <c r="P69" s="6"/>
      <c r="Q69" s="2"/>
      <c r="R69" s="7">
        <f t="shared" si="51"/>
        <v>0</v>
      </c>
      <c r="S69" s="2"/>
      <c r="T69" s="6">
        <v>12287.44</v>
      </c>
      <c r="U69" s="2"/>
      <c r="V69" s="7">
        <f t="shared" si="52"/>
        <v>6.1548592489144632E-3</v>
      </c>
      <c r="W69" s="2"/>
      <c r="X69" s="6">
        <f t="shared" si="53"/>
        <v>-12287.44</v>
      </c>
      <c r="Y69" s="2"/>
      <c r="Z69" s="7">
        <f t="shared" si="54"/>
        <v>-1</v>
      </c>
    </row>
    <row r="70" spans="1:26" s="23" customFormat="1" hidden="1" outlineLevel="2" x14ac:dyDescent="0.25">
      <c r="A70" s="27"/>
      <c r="B70" s="10" t="str">
        <f>CONCATENATE("          ", "6239", " - ", "KITCHEN SUPPLIES")</f>
        <v xml:space="preserve">          6239 - KITCHEN SUPPLIES</v>
      </c>
      <c r="C70" s="10"/>
      <c r="D70" s="6"/>
      <c r="E70" s="2"/>
      <c r="F70" s="7">
        <f t="shared" si="47"/>
        <v>0</v>
      </c>
      <c r="G70" s="2"/>
      <c r="H70" s="6"/>
      <c r="I70" s="2"/>
      <c r="J70" s="7">
        <f t="shared" si="48"/>
        <v>0</v>
      </c>
      <c r="K70" s="2"/>
      <c r="L70" s="6">
        <f t="shared" si="49"/>
        <v>0</v>
      </c>
      <c r="M70" s="2"/>
      <c r="N70" s="7">
        <f t="shared" si="50"/>
        <v>0</v>
      </c>
      <c r="O70" s="10"/>
      <c r="P70" s="6"/>
      <c r="Q70" s="2"/>
      <c r="R70" s="7">
        <f t="shared" si="51"/>
        <v>0</v>
      </c>
      <c r="S70" s="2"/>
      <c r="T70" s="6">
        <v>4550.0600000000004</v>
      </c>
      <c r="U70" s="2"/>
      <c r="V70" s="7">
        <f t="shared" si="52"/>
        <v>2.279154882881686E-3</v>
      </c>
      <c r="W70" s="2"/>
      <c r="X70" s="6">
        <f t="shared" si="53"/>
        <v>-4550.0600000000004</v>
      </c>
      <c r="Y70" s="2"/>
      <c r="Z70" s="7">
        <f t="shared" si="54"/>
        <v>-1</v>
      </c>
    </row>
    <row r="71" spans="1:26" s="23" customFormat="1" hidden="1" outlineLevel="2" x14ac:dyDescent="0.25">
      <c r="A71" s="27"/>
      <c r="B71" s="10" t="str">
        <f>CONCATENATE("          ", "6241", " - ", "OFFICE EXPENSE")</f>
        <v xml:space="preserve">          6241 - OFFICE EXPENSE</v>
      </c>
      <c r="C71" s="10"/>
      <c r="D71" s="6"/>
      <c r="E71" s="2"/>
      <c r="F71" s="7">
        <f t="shared" si="47"/>
        <v>0</v>
      </c>
      <c r="G71" s="2"/>
      <c r="H71" s="6"/>
      <c r="I71" s="2"/>
      <c r="J71" s="7">
        <f t="shared" si="48"/>
        <v>0</v>
      </c>
      <c r="K71" s="2"/>
      <c r="L71" s="6">
        <f t="shared" si="49"/>
        <v>0</v>
      </c>
      <c r="M71" s="2"/>
      <c r="N71" s="7">
        <f t="shared" si="50"/>
        <v>0</v>
      </c>
      <c r="O71" s="10"/>
      <c r="P71" s="6">
        <v>96.7</v>
      </c>
      <c r="Q71" s="2"/>
      <c r="R71" s="7">
        <f t="shared" si="51"/>
        <v>0</v>
      </c>
      <c r="S71" s="2"/>
      <c r="T71" s="6">
        <v>18733.82</v>
      </c>
      <c r="U71" s="2"/>
      <c r="V71" s="7">
        <f t="shared" si="52"/>
        <v>9.3838932515234036E-3</v>
      </c>
      <c r="W71" s="2"/>
      <c r="X71" s="6">
        <f t="shared" si="53"/>
        <v>-18637.12</v>
      </c>
      <c r="Y71" s="2"/>
      <c r="Z71" s="7">
        <f t="shared" si="54"/>
        <v>-0.99483821238807668</v>
      </c>
    </row>
    <row r="72" spans="1:26" s="23" customFormat="1" hidden="1" outlineLevel="2" x14ac:dyDescent="0.25">
      <c r="A72" s="27"/>
      <c r="B72" s="10" t="str">
        <f>CONCATENATE("          ", "6243", " - ", "PAPER SUPPLIES")</f>
        <v xml:space="preserve">          6243 - PAPER SUPPLIES</v>
      </c>
      <c r="C72" s="10"/>
      <c r="D72" s="6"/>
      <c r="E72" s="2"/>
      <c r="F72" s="7">
        <f t="shared" si="47"/>
        <v>0</v>
      </c>
      <c r="G72" s="2"/>
      <c r="H72" s="6"/>
      <c r="I72" s="2"/>
      <c r="J72" s="7">
        <f t="shared" si="48"/>
        <v>0</v>
      </c>
      <c r="K72" s="2"/>
      <c r="L72" s="6">
        <f t="shared" si="49"/>
        <v>0</v>
      </c>
      <c r="M72" s="2"/>
      <c r="N72" s="7">
        <f t="shared" si="50"/>
        <v>0</v>
      </c>
      <c r="O72" s="10"/>
      <c r="P72" s="6"/>
      <c r="Q72" s="2"/>
      <c r="R72" s="7">
        <f t="shared" si="51"/>
        <v>0</v>
      </c>
      <c r="S72" s="2"/>
      <c r="T72" s="6">
        <v>14386.16</v>
      </c>
      <c r="U72" s="2"/>
      <c r="V72" s="7">
        <f t="shared" si="52"/>
        <v>7.2061218555177714E-3</v>
      </c>
      <c r="W72" s="2"/>
      <c r="X72" s="6">
        <f t="shared" si="53"/>
        <v>-14386.16</v>
      </c>
      <c r="Y72" s="2"/>
      <c r="Z72" s="7">
        <f t="shared" si="54"/>
        <v>-1</v>
      </c>
    </row>
    <row r="73" spans="1:26" s="23" customFormat="1" hidden="1" outlineLevel="2" x14ac:dyDescent="0.25">
      <c r="A73" s="27"/>
      <c r="B73" s="10" t="str">
        <f>CONCATENATE("          ", "6245", " - ", "PRINTING")</f>
        <v xml:space="preserve">          6245 - PRINTING</v>
      </c>
      <c r="C73" s="10"/>
      <c r="D73" s="6"/>
      <c r="E73" s="2"/>
      <c r="F73" s="7">
        <f t="shared" si="47"/>
        <v>0</v>
      </c>
      <c r="G73" s="2"/>
      <c r="H73" s="6"/>
      <c r="I73" s="2"/>
      <c r="J73" s="7">
        <f t="shared" si="48"/>
        <v>0</v>
      </c>
      <c r="K73" s="2"/>
      <c r="L73" s="6">
        <f t="shared" si="49"/>
        <v>0</v>
      </c>
      <c r="M73" s="2"/>
      <c r="N73" s="7">
        <f t="shared" si="50"/>
        <v>0</v>
      </c>
      <c r="O73" s="10"/>
      <c r="P73" s="6"/>
      <c r="Q73" s="2"/>
      <c r="R73" s="7">
        <f t="shared" si="51"/>
        <v>0</v>
      </c>
      <c r="S73" s="2"/>
      <c r="T73" s="6">
        <v>469.44</v>
      </c>
      <c r="U73" s="2"/>
      <c r="V73" s="7">
        <f t="shared" si="52"/>
        <v>2.3514557351331157E-4</v>
      </c>
      <c r="W73" s="2"/>
      <c r="X73" s="6">
        <f t="shared" si="53"/>
        <v>-469.44</v>
      </c>
      <c r="Y73" s="2"/>
      <c r="Z73" s="7">
        <f t="shared" si="54"/>
        <v>-1</v>
      </c>
    </row>
    <row r="74" spans="1:26" s="23" customFormat="1" hidden="1" outlineLevel="2" x14ac:dyDescent="0.25">
      <c r="A74" s="27"/>
      <c r="B74" s="10" t="str">
        <f>CONCATENATE("          ", "6248", " - ", "UNIFORMS")</f>
        <v xml:space="preserve">          6248 - UNIFORMS</v>
      </c>
      <c r="C74" s="10"/>
      <c r="D74" s="6"/>
      <c r="E74" s="2"/>
      <c r="F74" s="7">
        <f t="shared" si="47"/>
        <v>0</v>
      </c>
      <c r="G74" s="2"/>
      <c r="H74" s="6"/>
      <c r="I74" s="2"/>
      <c r="J74" s="7">
        <f t="shared" si="48"/>
        <v>0</v>
      </c>
      <c r="K74" s="2"/>
      <c r="L74" s="6">
        <f t="shared" si="49"/>
        <v>0</v>
      </c>
      <c r="M74" s="2"/>
      <c r="N74" s="7">
        <f t="shared" si="50"/>
        <v>0</v>
      </c>
      <c r="O74" s="10"/>
      <c r="P74" s="6"/>
      <c r="Q74" s="2"/>
      <c r="R74" s="7">
        <f t="shared" si="51"/>
        <v>0</v>
      </c>
      <c r="S74" s="2"/>
      <c r="T74" s="6">
        <v>-7329.95</v>
      </c>
      <c r="U74" s="2"/>
      <c r="V74" s="7">
        <f t="shared" si="52"/>
        <v>-3.6716200080391492E-3</v>
      </c>
      <c r="W74" s="2"/>
      <c r="X74" s="6">
        <f t="shared" si="53"/>
        <v>7329.95</v>
      </c>
      <c r="Y74" s="2"/>
      <c r="Z74" s="7">
        <f t="shared" si="54"/>
        <v>-1</v>
      </c>
    </row>
    <row r="75" spans="1:26" s="26" customFormat="1" outlineLevel="1" collapsed="1" x14ac:dyDescent="0.25">
      <c r="A75" s="25"/>
      <c r="B75" s="12" t="str">
        <f>CONCATENATE("     ","Telephone/Data Lines                              ")</f>
        <v xml:space="preserve">     Telephone/Data Lines                              </v>
      </c>
      <c r="C75" s="12"/>
      <c r="D75" s="1">
        <f>SUM(OSRRefD22_15x_0)</f>
        <v>0</v>
      </c>
      <c r="E75" s="1"/>
      <c r="F75" s="5">
        <f t="shared" ref="F75:F80" si="55">IF(D$12=0,0,D75/D$12)</f>
        <v>0</v>
      </c>
      <c r="G75" s="1"/>
      <c r="H75" s="1">
        <f>SUM(OSRRefH22_15x_0)</f>
        <v>110.9</v>
      </c>
      <c r="I75" s="1"/>
      <c r="J75" s="5">
        <f t="shared" ref="J75:J80" si="56">IF(H$12=0,0,H75/H$12)</f>
        <v>0</v>
      </c>
      <c r="K75" s="1"/>
      <c r="L75" s="1">
        <f t="shared" ref="L75:L80" si="57">+D75-H75</f>
        <v>-110.9</v>
      </c>
      <c r="M75" s="1"/>
      <c r="N75" s="5">
        <f t="shared" ref="N75:N80" si="58">IF(H75=0,0,L75/H75)</f>
        <v>-1</v>
      </c>
      <c r="O75" s="12"/>
      <c r="P75" s="1">
        <f>SUM(OSRRefP22_15x_0)</f>
        <v>579.63</v>
      </c>
      <c r="Q75" s="1"/>
      <c r="R75" s="5">
        <f t="shared" ref="R75:R80" si="59">IF(P$12=0,0,P75/P$12)</f>
        <v>0</v>
      </c>
      <c r="S75" s="1"/>
      <c r="T75" s="1">
        <f>SUM(OSRRefT22_15x_0)</f>
        <v>1382.3</v>
      </c>
      <c r="U75" s="1"/>
      <c r="V75" s="5">
        <f t="shared" ref="V75:V80" si="60">IF(T$12=0,0,T75/T$12)</f>
        <v>6.9240313196031569E-4</v>
      </c>
      <c r="W75" s="1"/>
      <c r="X75" s="1">
        <f t="shared" ref="X75:X80" si="61">+P75-T75</f>
        <v>-802.67</v>
      </c>
      <c r="Y75" s="1"/>
      <c r="Z75" s="5">
        <f t="shared" ref="Z75:Z80" si="62">IF(T75=0,0,X75/T75)</f>
        <v>-0.58067713231570572</v>
      </c>
    </row>
    <row r="76" spans="1:26" s="23" customFormat="1" hidden="1" outlineLevel="2" x14ac:dyDescent="0.25">
      <c r="A76" s="27"/>
      <c r="B76" s="10" t="str">
        <f>CONCATENATE("          ", "6309", " - ", "TELEPHONE")</f>
        <v xml:space="preserve">          6309 - TELEPHONE</v>
      </c>
      <c r="C76" s="10"/>
      <c r="D76" s="6">
        <v>0</v>
      </c>
      <c r="E76" s="2"/>
      <c r="F76" s="7">
        <f t="shared" si="55"/>
        <v>0</v>
      </c>
      <c r="G76" s="2"/>
      <c r="H76" s="6">
        <v>110.9</v>
      </c>
      <c r="I76" s="2"/>
      <c r="J76" s="7">
        <f t="shared" si="56"/>
        <v>0</v>
      </c>
      <c r="K76" s="2"/>
      <c r="L76" s="6">
        <f t="shared" si="57"/>
        <v>-110.9</v>
      </c>
      <c r="M76" s="2"/>
      <c r="N76" s="7">
        <f t="shared" si="58"/>
        <v>-1</v>
      </c>
      <c r="O76" s="10"/>
      <c r="P76" s="6">
        <v>579.63</v>
      </c>
      <c r="Q76" s="2"/>
      <c r="R76" s="7">
        <f t="shared" si="59"/>
        <v>0</v>
      </c>
      <c r="S76" s="2"/>
      <c r="T76" s="6">
        <v>1382.3</v>
      </c>
      <c r="U76" s="2"/>
      <c r="V76" s="7">
        <f t="shared" si="60"/>
        <v>6.9240313196031569E-4</v>
      </c>
      <c r="W76" s="2"/>
      <c r="X76" s="6">
        <f t="shared" si="61"/>
        <v>-802.67</v>
      </c>
      <c r="Y76" s="2"/>
      <c r="Z76" s="7">
        <f t="shared" si="62"/>
        <v>-0.58067713231570572</v>
      </c>
    </row>
    <row r="77" spans="1:26" s="26" customFormat="1" outlineLevel="1" collapsed="1" x14ac:dyDescent="0.25">
      <c r="A77" s="25"/>
      <c r="B77" s="12" t="str">
        <f>CONCATENATE("     ","Training                                          ")</f>
        <v xml:space="preserve">     Training                                          </v>
      </c>
      <c r="C77" s="12"/>
      <c r="D77" s="1">
        <f>SUM(OSRRefD22_16x_0)</f>
        <v>0</v>
      </c>
      <c r="E77" s="1"/>
      <c r="F77" s="5">
        <f t="shared" si="55"/>
        <v>0</v>
      </c>
      <c r="G77" s="1"/>
      <c r="H77" s="1">
        <f>SUM(OSRRefH22_16x_0)</f>
        <v>0</v>
      </c>
      <c r="I77" s="1"/>
      <c r="J77" s="5">
        <f t="shared" si="56"/>
        <v>0</v>
      </c>
      <c r="K77" s="1"/>
      <c r="L77" s="1">
        <f t="shared" si="57"/>
        <v>0</v>
      </c>
      <c r="M77" s="1"/>
      <c r="N77" s="5">
        <f t="shared" si="58"/>
        <v>0</v>
      </c>
      <c r="O77" s="12"/>
      <c r="P77" s="1">
        <f>SUM(OSRRefP22_16x_0)</f>
        <v>0</v>
      </c>
      <c r="Q77" s="1"/>
      <c r="R77" s="5">
        <f t="shared" si="59"/>
        <v>0</v>
      </c>
      <c r="S77" s="1"/>
      <c r="T77" s="1">
        <f>SUM(OSRRefT22_16x_0)</f>
        <v>1657.1</v>
      </c>
      <c r="U77" s="1"/>
      <c r="V77" s="5">
        <f t="shared" si="60"/>
        <v>8.3005225346989737E-4</v>
      </c>
      <c r="W77" s="1"/>
      <c r="X77" s="1">
        <f t="shared" si="61"/>
        <v>-1657.1</v>
      </c>
      <c r="Y77" s="1"/>
      <c r="Z77" s="5">
        <f t="shared" si="62"/>
        <v>-1</v>
      </c>
    </row>
    <row r="78" spans="1:26" s="23" customFormat="1" hidden="1" outlineLevel="2" x14ac:dyDescent="0.25">
      <c r="A78" s="27"/>
      <c r="B78" s="10" t="str">
        <f>CONCATENATE("          ", "6376", " - ", "TRAINING")</f>
        <v xml:space="preserve">          6376 - TRAINING</v>
      </c>
      <c r="C78" s="10"/>
      <c r="D78" s="6"/>
      <c r="E78" s="2"/>
      <c r="F78" s="7">
        <f t="shared" si="55"/>
        <v>0</v>
      </c>
      <c r="G78" s="2"/>
      <c r="H78" s="6"/>
      <c r="I78" s="2"/>
      <c r="J78" s="7">
        <f t="shared" si="56"/>
        <v>0</v>
      </c>
      <c r="K78" s="2"/>
      <c r="L78" s="6">
        <f t="shared" si="57"/>
        <v>0</v>
      </c>
      <c r="M78" s="2"/>
      <c r="N78" s="7">
        <f t="shared" si="58"/>
        <v>0</v>
      </c>
      <c r="O78" s="10"/>
      <c r="P78" s="6"/>
      <c r="Q78" s="2"/>
      <c r="R78" s="7">
        <f t="shared" si="59"/>
        <v>0</v>
      </c>
      <c r="S78" s="2"/>
      <c r="T78" s="6">
        <v>1657.1</v>
      </c>
      <c r="U78" s="2"/>
      <c r="V78" s="7">
        <f t="shared" si="60"/>
        <v>8.3005225346989737E-4</v>
      </c>
      <c r="W78" s="2"/>
      <c r="X78" s="6">
        <f t="shared" si="61"/>
        <v>-1657.1</v>
      </c>
      <c r="Y78" s="2"/>
      <c r="Z78" s="7">
        <f t="shared" si="62"/>
        <v>-1</v>
      </c>
    </row>
    <row r="79" spans="1:26" s="26" customFormat="1" outlineLevel="1" collapsed="1" x14ac:dyDescent="0.25">
      <c r="A79" s="25"/>
      <c r="B79" s="12" t="str">
        <f>CONCATENATE("     ","Travel                                            ")</f>
        <v xml:space="preserve">     Travel                                            </v>
      </c>
      <c r="C79" s="12"/>
      <c r="D79" s="1">
        <f>SUM(OSRRefD22_17x_0)</f>
        <v>0</v>
      </c>
      <c r="E79" s="1"/>
      <c r="F79" s="5">
        <f t="shared" si="55"/>
        <v>0</v>
      </c>
      <c r="G79" s="1"/>
      <c r="H79" s="1">
        <f>SUM(OSRRefH22_17x_0)</f>
        <v>0</v>
      </c>
      <c r="I79" s="1"/>
      <c r="J79" s="5">
        <f t="shared" si="56"/>
        <v>0</v>
      </c>
      <c r="K79" s="1"/>
      <c r="L79" s="1">
        <f t="shared" si="57"/>
        <v>0</v>
      </c>
      <c r="M79" s="1"/>
      <c r="N79" s="5">
        <f t="shared" si="58"/>
        <v>0</v>
      </c>
      <c r="O79" s="12"/>
      <c r="P79" s="1">
        <f>SUM(OSRRefP22_17x_0)</f>
        <v>0</v>
      </c>
      <c r="Q79" s="1"/>
      <c r="R79" s="5">
        <f t="shared" si="59"/>
        <v>0</v>
      </c>
      <c r="S79" s="1"/>
      <c r="T79" s="1">
        <f>SUM(OSRRefT22_17x_0)</f>
        <v>79.510000000000005</v>
      </c>
      <c r="U79" s="1"/>
      <c r="V79" s="5">
        <f t="shared" si="60"/>
        <v>3.9827080244639157E-5</v>
      </c>
      <c r="W79" s="1"/>
      <c r="X79" s="1">
        <f t="shared" si="61"/>
        <v>-79.510000000000005</v>
      </c>
      <c r="Y79" s="1"/>
      <c r="Z79" s="5">
        <f t="shared" si="62"/>
        <v>-1</v>
      </c>
    </row>
    <row r="80" spans="1:26" s="23" customFormat="1" hidden="1" outlineLevel="2" x14ac:dyDescent="0.25">
      <c r="A80" s="27"/>
      <c r="B80" s="10" t="str">
        <f>CONCATENATE("          ", "6292", " - ", "TRAVEL/CONFERENCE")</f>
        <v xml:space="preserve">          6292 - TRAVEL/CONFERENCE</v>
      </c>
      <c r="C80" s="10"/>
      <c r="D80" s="6"/>
      <c r="E80" s="2"/>
      <c r="F80" s="7">
        <f t="shared" si="55"/>
        <v>0</v>
      </c>
      <c r="G80" s="2"/>
      <c r="H80" s="6"/>
      <c r="I80" s="2"/>
      <c r="J80" s="7">
        <f t="shared" si="56"/>
        <v>0</v>
      </c>
      <c r="K80" s="2"/>
      <c r="L80" s="6">
        <f t="shared" si="57"/>
        <v>0</v>
      </c>
      <c r="M80" s="2"/>
      <c r="N80" s="7">
        <f t="shared" si="58"/>
        <v>0</v>
      </c>
      <c r="O80" s="10"/>
      <c r="P80" s="6"/>
      <c r="Q80" s="2"/>
      <c r="R80" s="7">
        <f t="shared" si="59"/>
        <v>0</v>
      </c>
      <c r="S80" s="2"/>
      <c r="T80" s="6">
        <v>79.510000000000005</v>
      </c>
      <c r="U80" s="2"/>
      <c r="V80" s="7">
        <f t="shared" si="60"/>
        <v>3.9827080244639157E-5</v>
      </c>
      <c r="W80" s="2"/>
      <c r="X80" s="6">
        <f t="shared" si="61"/>
        <v>-79.510000000000005</v>
      </c>
      <c r="Y80" s="2"/>
      <c r="Z80" s="7">
        <f t="shared" si="62"/>
        <v>-1</v>
      </c>
    </row>
    <row r="81" spans="1:26" s="62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4" customFormat="1" x14ac:dyDescent="0.25">
      <c r="A82" s="11"/>
      <c r="B82" s="28" t="s">
        <v>292</v>
      </c>
      <c r="C82" s="11"/>
      <c r="D82" s="4">
        <f>SUM(0)</f>
        <v>0</v>
      </c>
      <c r="E82" s="4"/>
      <c r="F82" s="13">
        <f>IF(D$12=0,0,D82/D$12)</f>
        <v>0</v>
      </c>
      <c r="G82" s="4"/>
      <c r="H82" s="4">
        <f>SUM(0)</f>
        <v>0</v>
      </c>
      <c r="I82" s="4"/>
      <c r="J82" s="13">
        <f>IF(H$12=0,0,H82/H$12)</f>
        <v>0</v>
      </c>
      <c r="K82" s="4"/>
      <c r="L82" s="4">
        <f>+D82-H82</f>
        <v>0</v>
      </c>
      <c r="M82" s="4"/>
      <c r="N82" s="13">
        <f>IF(H82=0,0,L82/H82)</f>
        <v>0</v>
      </c>
      <c r="O82" s="11"/>
      <c r="P82" s="4">
        <f>SUM(0)</f>
        <v>0</v>
      </c>
      <c r="Q82" s="4"/>
      <c r="R82" s="13">
        <f>IF(P$12=0,0,P82/P$12)</f>
        <v>0</v>
      </c>
      <c r="S82" s="4"/>
      <c r="T82" s="4">
        <f>SUM(0)</f>
        <v>0</v>
      </c>
      <c r="U82" s="4"/>
      <c r="V82" s="13">
        <f>IF(T$12=0,0,T82/T$12)</f>
        <v>0</v>
      </c>
      <c r="W82" s="4"/>
      <c r="X82" s="4">
        <f>+P82-T82</f>
        <v>0</v>
      </c>
      <c r="Y82" s="4"/>
      <c r="Z82" s="13">
        <f>IF(T82=0,0,X82/T82)</f>
        <v>0</v>
      </c>
    </row>
    <row r="83" spans="1:26" x14ac:dyDescent="0.25">
      <c r="A83" s="9"/>
      <c r="B83" s="11"/>
      <c r="C83" s="11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1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4" customFormat="1" x14ac:dyDescent="0.25">
      <c r="A84" s="11"/>
      <c r="B84" s="29" t="s">
        <v>276</v>
      </c>
      <c r="C84" s="29"/>
      <c r="D84" s="20">
        <f>+D21-D23+D82</f>
        <v>-41903.239999999991</v>
      </c>
      <c r="E84" s="14"/>
      <c r="F84" s="22">
        <f>IF(D$12=0,0,D84/D$12)</f>
        <v>0</v>
      </c>
      <c r="G84" s="14"/>
      <c r="H84" s="20">
        <f>+H21-H23+H82</f>
        <v>16853.679999999997</v>
      </c>
      <c r="I84" s="14"/>
      <c r="J84" s="22">
        <f>IF(H$12=0,0,H84/H$12)</f>
        <v>0</v>
      </c>
      <c r="K84" s="16"/>
      <c r="L84" s="20">
        <f>+D84-H84</f>
        <v>-58756.919999999984</v>
      </c>
      <c r="M84" s="16"/>
      <c r="N84" s="22">
        <f>IF(H84=0,0,L84/H84)</f>
        <v>-3.48629616795857</v>
      </c>
      <c r="O84" s="28"/>
      <c r="P84" s="20">
        <f>+P21-P23+P82</f>
        <v>-411167.14999999997</v>
      </c>
      <c r="Q84" s="14"/>
      <c r="R84" s="22">
        <f>IF(P$12=0,0,P84/P$12)</f>
        <v>0</v>
      </c>
      <c r="S84" s="14"/>
      <c r="T84" s="20">
        <f>+T21-T23+T82</f>
        <v>394624.19999999995</v>
      </c>
      <c r="U84" s="14"/>
      <c r="V84" s="22">
        <f>IF(T$12=0,0,T84/T$12)</f>
        <v>0.19766984882249439</v>
      </c>
      <c r="W84" s="16"/>
      <c r="X84" s="20">
        <f>+P84-T84</f>
        <v>-805791.34999999986</v>
      </c>
      <c r="Y84" s="16"/>
      <c r="Z84" s="22">
        <f>IF(T84=0,0,X84/T84)</f>
        <v>-2.0419207691773589</v>
      </c>
    </row>
    <row r="85" spans="1:26" x14ac:dyDescent="0.25">
      <c r="A85" s="9"/>
      <c r="B85" s="11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4" customFormat="1" x14ac:dyDescent="0.25">
      <c r="A86" s="51"/>
      <c r="B86" s="11" t="s">
        <v>127</v>
      </c>
      <c r="C86" s="11"/>
      <c r="D86" s="4"/>
      <c r="E86" s="4"/>
      <c r="F86" s="13">
        <f>IF(D$12=0,0,D86/D$12)</f>
        <v>0</v>
      </c>
      <c r="G86" s="4"/>
      <c r="H86" s="4">
        <v>12757.72</v>
      </c>
      <c r="I86" s="4"/>
      <c r="J86" s="13">
        <f>IF(H$12=0,0,H86/H$12)</f>
        <v>0</v>
      </c>
      <c r="K86" s="4"/>
      <c r="L86" s="4">
        <f>+D86-H86</f>
        <v>-12757.72</v>
      </c>
      <c r="M86" s="4"/>
      <c r="N86" s="13">
        <f>IF(H86=0,0,L86/H86)</f>
        <v>-1</v>
      </c>
      <c r="O86" s="11"/>
      <c r="P86" s="4">
        <v>0</v>
      </c>
      <c r="Q86" s="4"/>
      <c r="R86" s="13">
        <f>IF(P$12=0,0,P86/P$12)</f>
        <v>0</v>
      </c>
      <c r="S86" s="4"/>
      <c r="T86" s="4">
        <v>226674.7</v>
      </c>
      <c r="U86" s="4"/>
      <c r="V86" s="13">
        <f>IF(T$12=0,0,T86/T$12)</f>
        <v>0.11354284324398826</v>
      </c>
      <c r="W86" s="4"/>
      <c r="X86" s="4">
        <f>+P86-T86</f>
        <v>-226674.7</v>
      </c>
      <c r="Y86" s="4"/>
      <c r="Z86" s="13">
        <f>IF(T86=0,0,X86/T86)</f>
        <v>-1</v>
      </c>
    </row>
    <row r="87" spans="1:26" x14ac:dyDescent="0.25">
      <c r="A87" s="9"/>
      <c r="B87" s="11"/>
      <c r="C87" s="11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1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4" customFormat="1" ht="15.75" thickBot="1" x14ac:dyDescent="0.3">
      <c r="A88" s="11"/>
      <c r="B88" s="29" t="s">
        <v>125</v>
      </c>
      <c r="C88" s="29"/>
      <c r="D88" s="30">
        <f>+D84-D86</f>
        <v>-41903.239999999991</v>
      </c>
      <c r="E88" s="14"/>
      <c r="F88" s="34">
        <f>IF(D$12=0,0,D88/D$12)</f>
        <v>0</v>
      </c>
      <c r="G88" s="14"/>
      <c r="H88" s="30">
        <f>+H84-H86</f>
        <v>4095.9599999999973</v>
      </c>
      <c r="I88" s="14"/>
      <c r="J88" s="34">
        <f>IF(H$12=0,0,H88/H$12)</f>
        <v>0</v>
      </c>
      <c r="K88" s="16"/>
      <c r="L88" s="30">
        <f>D88-H88</f>
        <v>-45999.19999999999</v>
      </c>
      <c r="M88" s="16"/>
      <c r="N88" s="34">
        <f>IF(H88=0,0,L88/H88)</f>
        <v>-11.230383109210056</v>
      </c>
      <c r="O88" s="28"/>
      <c r="P88" s="30">
        <f>+P84-P86</f>
        <v>-411167.14999999997</v>
      </c>
      <c r="Q88" s="14"/>
      <c r="R88" s="34">
        <f>IF(P$12=0,0,P88/P$12)</f>
        <v>0</v>
      </c>
      <c r="S88" s="14"/>
      <c r="T88" s="30">
        <f>+T84-T86</f>
        <v>167949.49999999994</v>
      </c>
      <c r="U88" s="14"/>
      <c r="V88" s="34">
        <f>IF(T$12=0,0,T88/T$12)</f>
        <v>8.4127005578506109E-2</v>
      </c>
      <c r="W88" s="16"/>
      <c r="X88" s="30">
        <f>P88-T88</f>
        <v>-579116.64999999991</v>
      </c>
      <c r="Y88" s="16"/>
      <c r="Z88" s="34">
        <f>IF(T88=0,0,X88/T88)</f>
        <v>-3.4481594169676009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4" customFormat="1" ht="15.75" thickBot="1" x14ac:dyDescent="0.3">
      <c r="A91" s="11"/>
      <c r="B91" s="29" t="s">
        <v>293</v>
      </c>
      <c r="C91" s="29"/>
      <c r="D91" s="32">
        <f>SUM(D88:D90)</f>
        <v>-41903.239999999991</v>
      </c>
      <c r="E91" s="14"/>
      <c r="F91" s="35">
        <f>IF(D$12=0,0,D91/D$12)</f>
        <v>0</v>
      </c>
      <c r="G91" s="14"/>
      <c r="H91" s="32">
        <f>SUM(H88:H90)</f>
        <v>4095.9599999999973</v>
      </c>
      <c r="I91" s="14"/>
      <c r="J91" s="35">
        <f>IF(H$12=0,0,H91/H$12)</f>
        <v>0</v>
      </c>
      <c r="K91" s="16"/>
      <c r="L91" s="32">
        <f>+D91-H91</f>
        <v>-45999.19999999999</v>
      </c>
      <c r="M91" s="16"/>
      <c r="N91" s="35">
        <f>IF(H91=0,0,L91/H91)</f>
        <v>-11.230383109210056</v>
      </c>
      <c r="O91" s="28"/>
      <c r="P91" s="32">
        <f>SUM(P88:P90)</f>
        <v>-411167.14999999997</v>
      </c>
      <c r="Q91" s="14"/>
      <c r="R91" s="35">
        <f>IF(P$12=0,0,P91/P$12)</f>
        <v>0</v>
      </c>
      <c r="S91" s="14"/>
      <c r="T91" s="32">
        <f>SUM(T88:T90)</f>
        <v>167949.49999999994</v>
      </c>
      <c r="U91" s="14"/>
      <c r="V91" s="35">
        <f>IF(T$12=0,0,T91/T$12)</f>
        <v>8.4127005578506109E-2</v>
      </c>
      <c r="W91" s="16"/>
      <c r="X91" s="32">
        <f>+P91-T91</f>
        <v>-579116.64999999991</v>
      </c>
      <c r="Y91" s="16"/>
      <c r="Z91" s="35">
        <f>IF(T91=0,0,X91/T91)</f>
        <v>-3.4481594169676009</v>
      </c>
    </row>
    <row r="92" spans="1:26" ht="15.75" thickTop="1" x14ac:dyDescent="0.25">
      <c r="A92" s="9"/>
      <c r="C92" s="9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59">
        <v>44330.00886898148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2" t="s">
        <v>56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5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">
        <v>104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33674</v>
      </c>
      <c r="E12" s="4"/>
      <c r="F12" s="13"/>
      <c r="G12" s="4"/>
      <c r="H12" s="4">
        <f>SUM(OSRRefH13x_0)</f>
        <v>25388</v>
      </c>
      <c r="I12" s="4"/>
      <c r="J12" s="13"/>
      <c r="K12" s="4"/>
      <c r="L12" s="4">
        <f t="shared" ref="L12:L13" si="0">+D12-H12</f>
        <v>8286</v>
      </c>
      <c r="M12" s="4"/>
      <c r="N12" s="13">
        <f t="shared" ref="N12:N13" si="1">IF(H12=0,0,L12/H12)</f>
        <v>0.32637466519615566</v>
      </c>
      <c r="O12" s="11"/>
      <c r="P12" s="4">
        <f>SUM(OSRRefP13x_0)</f>
        <v>477553</v>
      </c>
      <c r="Q12" s="4"/>
      <c r="R12" s="13"/>
      <c r="S12" s="4"/>
      <c r="T12" s="4">
        <f>SUM(OSRRefT13x_0)</f>
        <v>404888</v>
      </c>
      <c r="U12" s="4"/>
      <c r="V12" s="13"/>
      <c r="W12" s="4"/>
      <c r="X12" s="4">
        <f t="shared" ref="X12:X13" si="2">+P12-T12</f>
        <v>72665</v>
      </c>
      <c r="Y12" s="4"/>
      <c r="Z12" s="13">
        <f t="shared" ref="Z12:Z13" si="3">IF(T12=0,0,X12/T12)</f>
        <v>0.17946938412598051</v>
      </c>
    </row>
    <row r="13" spans="1:26" s="23" customFormat="1" hidden="1" outlineLevel="1" x14ac:dyDescent="0.25">
      <c r="A13" s="44"/>
      <c r="B13" s="10" t="str">
        <f>CONCATENATE("          ", "4100", " - ", "NON-TAXABLE SALES")</f>
        <v xml:space="preserve">          4100 - NON-TAXABLE SALES</v>
      </c>
      <c r="C13" s="10"/>
      <c r="D13" s="2">
        <f>--33674</f>
        <v>33674</v>
      </c>
      <c r="E13" s="2"/>
      <c r="F13" s="19"/>
      <c r="G13" s="2"/>
      <c r="H13" s="2">
        <f>--25388</f>
        <v>25388</v>
      </c>
      <c r="I13" s="2"/>
      <c r="J13" s="19"/>
      <c r="K13" s="2"/>
      <c r="L13" s="2">
        <f t="shared" si="0"/>
        <v>8286</v>
      </c>
      <c r="M13" s="2"/>
      <c r="N13" s="19">
        <f t="shared" si="1"/>
        <v>0.32637466519615566</v>
      </c>
      <c r="O13" s="10"/>
      <c r="P13" s="2">
        <f>--477553</f>
        <v>477553</v>
      </c>
      <c r="Q13" s="2"/>
      <c r="R13" s="19"/>
      <c r="S13" s="2"/>
      <c r="T13" s="2">
        <f>--404888</f>
        <v>404888</v>
      </c>
      <c r="U13" s="2"/>
      <c r="V13" s="19"/>
      <c r="W13" s="2"/>
      <c r="X13" s="2">
        <f t="shared" si="2"/>
        <v>72665</v>
      </c>
      <c r="Y13" s="2"/>
      <c r="Z13" s="19">
        <f t="shared" si="3"/>
        <v>0.17946938412598051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x14ac:dyDescent="0.25">
      <c r="A15" s="11"/>
      <c r="B15" s="28" t="s">
        <v>256</v>
      </c>
      <c r="C15" s="11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1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25">
      <c r="A16" s="9"/>
      <c r="B16" s="11"/>
      <c r="C16" s="11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1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x14ac:dyDescent="0.25">
      <c r="A17" s="11"/>
      <c r="B17" s="29" t="s">
        <v>107</v>
      </c>
      <c r="C17" s="29"/>
      <c r="D17" s="20">
        <f>D12-D15</f>
        <v>33674</v>
      </c>
      <c r="E17" s="14"/>
      <c r="F17" s="22">
        <f>IF(D$12=0,0,D17/D$12)</f>
        <v>1</v>
      </c>
      <c r="G17" s="14"/>
      <c r="H17" s="20">
        <f>H12-H15</f>
        <v>25388</v>
      </c>
      <c r="I17" s="14"/>
      <c r="J17" s="22">
        <f>IF(H$12=0,0,H17/H$12)</f>
        <v>1</v>
      </c>
      <c r="K17" s="16"/>
      <c r="L17" s="20">
        <f>+D17-H17</f>
        <v>8286</v>
      </c>
      <c r="M17" s="16"/>
      <c r="N17" s="22">
        <f>IF(H17=0,0,L17/H17)</f>
        <v>0.32637466519615566</v>
      </c>
      <c r="O17" s="28"/>
      <c r="P17" s="20">
        <f>P12-P15</f>
        <v>477553</v>
      </c>
      <c r="Q17" s="14"/>
      <c r="R17" s="22">
        <f>IF(P$12=0,0,P17/P$12)</f>
        <v>1</v>
      </c>
      <c r="S17" s="14"/>
      <c r="T17" s="20">
        <f>T12-T15</f>
        <v>404888</v>
      </c>
      <c r="U17" s="14"/>
      <c r="V17" s="22">
        <f>IF(T$12=0,0,T17/T$12)</f>
        <v>1</v>
      </c>
      <c r="W17" s="16"/>
      <c r="X17" s="20">
        <f>+P17-T17</f>
        <v>72665</v>
      </c>
      <c r="Y17" s="16"/>
      <c r="Z17" s="22">
        <f>IF(T17=0,0,X17/T17)</f>
        <v>0.17946938412598051</v>
      </c>
    </row>
    <row r="18" spans="1:26" x14ac:dyDescent="0.25">
      <c r="A18" s="9"/>
      <c r="B18" s="11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4" customFormat="1" x14ac:dyDescent="0.25">
      <c r="A19" s="11"/>
      <c r="B19" s="28" t="s">
        <v>294</v>
      </c>
      <c r="C19" s="11"/>
      <c r="D19" s="21">
        <f>SUM(OSRRefD22x_0)</f>
        <v>20096.279999999995</v>
      </c>
      <c r="E19" s="21"/>
      <c r="F19" s="31">
        <f t="shared" ref="F19:F29" si="4">IF(D$12=0,0,D19/D$12)</f>
        <v>0.59678921423056353</v>
      </c>
      <c r="G19" s="21"/>
      <c r="H19" s="21">
        <f>SUM(OSRRefH22x_0)</f>
        <v>16558.04</v>
      </c>
      <c r="I19" s="21"/>
      <c r="J19" s="31">
        <f t="shared" ref="J19:J29" si="5">IF(H$12=0,0,H19/H$12)</f>
        <v>0.65219946431384912</v>
      </c>
      <c r="K19" s="4"/>
      <c r="L19" s="21">
        <f t="shared" ref="L19:L29" si="6">+D19-H19</f>
        <v>3538.2399999999943</v>
      </c>
      <c r="M19" s="4"/>
      <c r="N19" s="31">
        <f t="shared" ref="N19:N29" si="7">IF(H19=0,0,L19/H19)</f>
        <v>0.21368712722037114</v>
      </c>
      <c r="O19" s="11"/>
      <c r="P19" s="21">
        <f>SUM(OSRRefP22x_0)</f>
        <v>388233.3</v>
      </c>
      <c r="Q19" s="21"/>
      <c r="R19" s="31">
        <f t="shared" ref="R19:R29" si="8">IF(P$12=0,0,P19/P$12)</f>
        <v>0.81296379668853502</v>
      </c>
      <c r="S19" s="21"/>
      <c r="T19" s="21">
        <f>SUM(OSRRefT22x_0)</f>
        <v>384741.12</v>
      </c>
      <c r="U19" s="21"/>
      <c r="V19" s="31">
        <f t="shared" ref="V19:V29" si="9">IF(T$12=0,0,T19/T$12)</f>
        <v>0.95024085673075021</v>
      </c>
      <c r="W19" s="4"/>
      <c r="X19" s="21">
        <f t="shared" ref="X19:X29" si="10">+P19-T19</f>
        <v>3492.179999999993</v>
      </c>
      <c r="Y19" s="4"/>
      <c r="Z19" s="31">
        <f t="shared" ref="Z19:Z29" si="11">IF(T19=0,0,X19/T19)</f>
        <v>9.0767007176149848E-3</v>
      </c>
    </row>
    <row r="20" spans="1:26" s="26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4442.8100000000004</v>
      </c>
      <c r="E20" s="1"/>
      <c r="F20" s="5">
        <f t="shared" si="4"/>
        <v>0.131935914949219</v>
      </c>
      <c r="G20" s="1"/>
      <c r="H20" s="1">
        <f>SUM(OSRRefH22_0x_0)</f>
        <v>4493.4399999999996</v>
      </c>
      <c r="I20" s="1"/>
      <c r="J20" s="5">
        <f t="shared" si="5"/>
        <v>0.17699070426973371</v>
      </c>
      <c r="K20" s="1"/>
      <c r="L20" s="1">
        <f t="shared" si="6"/>
        <v>-50.6299999999992</v>
      </c>
      <c r="M20" s="1"/>
      <c r="N20" s="5">
        <f t="shared" si="7"/>
        <v>-1.1267536675687046E-2</v>
      </c>
      <c r="O20" s="12"/>
      <c r="P20" s="1">
        <f>SUM(OSRRefP22_0x_0)</f>
        <v>42945.78</v>
      </c>
      <c r="Q20" s="1"/>
      <c r="R20" s="5">
        <f t="shared" si="8"/>
        <v>8.9928824654017456E-2</v>
      </c>
      <c r="S20" s="1"/>
      <c r="T20" s="1">
        <f>SUM(OSRRefT22_0x_0)</f>
        <v>45041.630000000005</v>
      </c>
      <c r="U20" s="1"/>
      <c r="V20" s="5">
        <f t="shared" si="9"/>
        <v>0.11124466519136157</v>
      </c>
      <c r="W20" s="1"/>
      <c r="X20" s="1">
        <f t="shared" si="10"/>
        <v>-2095.8500000000058</v>
      </c>
      <c r="Y20" s="1"/>
      <c r="Z20" s="5">
        <f t="shared" si="11"/>
        <v>-4.653139773138773E-2</v>
      </c>
    </row>
    <row r="21" spans="1:26" s="23" customFormat="1" hidden="1" outlineLevel="2" x14ac:dyDescent="0.25">
      <c r="A21" s="27"/>
      <c r="B21" s="10" t="str">
        <f>CONCATENATE("          ", "6111", " - ", "F.I.C.A.")</f>
        <v xml:space="preserve">          6111 - F.I.C.A.</v>
      </c>
      <c r="C21" s="10"/>
      <c r="D21" s="6">
        <v>1265.6400000000001</v>
      </c>
      <c r="E21" s="2"/>
      <c r="F21" s="7">
        <f t="shared" si="4"/>
        <v>3.7585080477519753E-2</v>
      </c>
      <c r="G21" s="2"/>
      <c r="H21" s="6">
        <v>1387.22</v>
      </c>
      <c r="I21" s="2"/>
      <c r="J21" s="7">
        <f t="shared" si="5"/>
        <v>5.464077516937136E-2</v>
      </c>
      <c r="K21" s="2"/>
      <c r="L21" s="6">
        <f t="shared" si="6"/>
        <v>-121.57999999999993</v>
      </c>
      <c r="M21" s="2"/>
      <c r="N21" s="7">
        <f t="shared" si="7"/>
        <v>-8.764291172272598E-2</v>
      </c>
      <c r="O21" s="10"/>
      <c r="P21" s="6">
        <v>10347.290000000001</v>
      </c>
      <c r="Q21" s="2"/>
      <c r="R21" s="7">
        <f t="shared" si="8"/>
        <v>2.16673123192609E-2</v>
      </c>
      <c r="S21" s="2"/>
      <c r="T21" s="6">
        <v>11147.7</v>
      </c>
      <c r="U21" s="2"/>
      <c r="V21" s="7">
        <f t="shared" si="9"/>
        <v>2.753279919385114E-2</v>
      </c>
      <c r="W21" s="2"/>
      <c r="X21" s="6">
        <f t="shared" si="10"/>
        <v>-800.40999999999985</v>
      </c>
      <c r="Y21" s="2"/>
      <c r="Z21" s="7">
        <f t="shared" si="11"/>
        <v>-7.1800461081658079E-2</v>
      </c>
    </row>
    <row r="22" spans="1:26" s="23" customFormat="1" hidden="1" outlineLevel="2" x14ac:dyDescent="0.25">
      <c r="A22" s="27"/>
      <c r="B22" s="10" t="str">
        <f>CONCATENATE("          ", "6112", " - ", "COMPENSATION INSURANCE")</f>
        <v xml:space="preserve">          6112 - COMPENSATION INSURANCE</v>
      </c>
      <c r="C22" s="10"/>
      <c r="D22" s="6">
        <v>14.14</v>
      </c>
      <c r="E22" s="2"/>
      <c r="F22" s="7">
        <f t="shared" si="4"/>
        <v>4.1990853477460359E-4</v>
      </c>
      <c r="G22" s="2"/>
      <c r="H22" s="6">
        <v>77.69</v>
      </c>
      <c r="I22" s="2"/>
      <c r="J22" s="7">
        <f t="shared" si="5"/>
        <v>3.0601071372301876E-3</v>
      </c>
      <c r="K22" s="2"/>
      <c r="L22" s="6">
        <f t="shared" si="6"/>
        <v>-63.55</v>
      </c>
      <c r="M22" s="2"/>
      <c r="N22" s="7">
        <f t="shared" si="7"/>
        <v>-0.81799459389882867</v>
      </c>
      <c r="O22" s="10"/>
      <c r="P22" s="6">
        <v>782.22</v>
      </c>
      <c r="Q22" s="2"/>
      <c r="R22" s="7">
        <f t="shared" si="8"/>
        <v>1.6379752613846002E-3</v>
      </c>
      <c r="S22" s="2"/>
      <c r="T22" s="6">
        <v>548.53</v>
      </c>
      <c r="U22" s="2"/>
      <c r="V22" s="7">
        <f t="shared" si="9"/>
        <v>1.3547697140937739E-3</v>
      </c>
      <c r="W22" s="2"/>
      <c r="X22" s="6">
        <f t="shared" si="10"/>
        <v>233.69000000000005</v>
      </c>
      <c r="Y22" s="2"/>
      <c r="Z22" s="7">
        <f t="shared" si="11"/>
        <v>0.42602956994148006</v>
      </c>
    </row>
    <row r="23" spans="1:26" s="23" customFormat="1" hidden="1" outlineLevel="2" x14ac:dyDescent="0.25">
      <c r="A23" s="27"/>
      <c r="B23" s="10" t="str">
        <f>CONCATENATE("          ", "6113", " - ", "GROUP INSURANCE")</f>
        <v xml:space="preserve">          6113 - GROUP INSURANCE</v>
      </c>
      <c r="C23" s="10"/>
      <c r="D23" s="6">
        <v>1207.95</v>
      </c>
      <c r="E23" s="2"/>
      <c r="F23" s="7">
        <f t="shared" si="4"/>
        <v>3.5871889291441472E-2</v>
      </c>
      <c r="G23" s="2"/>
      <c r="H23" s="6">
        <v>1285.8499999999999</v>
      </c>
      <c r="I23" s="2"/>
      <c r="J23" s="7">
        <f t="shared" si="5"/>
        <v>5.0647943910508898E-2</v>
      </c>
      <c r="K23" s="2"/>
      <c r="L23" s="6">
        <f t="shared" si="6"/>
        <v>-77.899999999999864</v>
      </c>
      <c r="M23" s="2"/>
      <c r="N23" s="7">
        <f t="shared" si="7"/>
        <v>-6.0582494070070277E-2</v>
      </c>
      <c r="O23" s="10"/>
      <c r="P23" s="6">
        <v>12234.8</v>
      </c>
      <c r="Q23" s="2"/>
      <c r="R23" s="7">
        <f t="shared" si="8"/>
        <v>2.5619774140252495E-2</v>
      </c>
      <c r="S23" s="2"/>
      <c r="T23" s="6">
        <v>12641.87</v>
      </c>
      <c r="U23" s="2"/>
      <c r="V23" s="7">
        <f t="shared" si="9"/>
        <v>3.1223128371302682E-2</v>
      </c>
      <c r="W23" s="2"/>
      <c r="X23" s="6">
        <f t="shared" si="10"/>
        <v>-407.07000000000153</v>
      </c>
      <c r="Y23" s="2"/>
      <c r="Z23" s="7">
        <f t="shared" si="11"/>
        <v>-3.220014127656759E-2</v>
      </c>
    </row>
    <row r="24" spans="1:26" s="23" customFormat="1" hidden="1" outlineLevel="2" x14ac:dyDescent="0.25">
      <c r="A24" s="27"/>
      <c r="B24" s="10" t="str">
        <f>CONCATENATE("          ", "6114", " - ", "STATE UNEMPLOYMENT INSURANCE")</f>
        <v xml:space="preserve">          6114 - STATE UNEMPLOYMENT INSURANCE</v>
      </c>
      <c r="C24" s="10"/>
      <c r="D24" s="6">
        <v>11.14</v>
      </c>
      <c r="E24" s="2"/>
      <c r="F24" s="7">
        <f t="shared" si="4"/>
        <v>3.3081902951832278E-4</v>
      </c>
      <c r="G24" s="2"/>
      <c r="H24" s="6">
        <v>32.200000000000003</v>
      </c>
      <c r="I24" s="2"/>
      <c r="J24" s="7">
        <f t="shared" si="5"/>
        <v>1.2683157397195526E-3</v>
      </c>
      <c r="K24" s="2"/>
      <c r="L24" s="6">
        <f t="shared" si="6"/>
        <v>-21.060000000000002</v>
      </c>
      <c r="M24" s="2"/>
      <c r="N24" s="7">
        <f t="shared" si="7"/>
        <v>-0.65403726708074539</v>
      </c>
      <c r="O24" s="10"/>
      <c r="P24" s="6">
        <v>358.12</v>
      </c>
      <c r="Q24" s="2"/>
      <c r="R24" s="7">
        <f t="shared" si="8"/>
        <v>7.4990629312348582E-4</v>
      </c>
      <c r="S24" s="2"/>
      <c r="T24" s="6">
        <v>448.95</v>
      </c>
      <c r="U24" s="2"/>
      <c r="V24" s="7">
        <f t="shared" si="9"/>
        <v>1.1088251565865128E-3</v>
      </c>
      <c r="W24" s="2"/>
      <c r="X24" s="6">
        <f t="shared" si="10"/>
        <v>-90.829999999999984</v>
      </c>
      <c r="Y24" s="2"/>
      <c r="Z24" s="7">
        <f t="shared" si="11"/>
        <v>-0.20231651631584807</v>
      </c>
    </row>
    <row r="25" spans="1:26" s="23" customFormat="1" hidden="1" outlineLevel="2" x14ac:dyDescent="0.25">
      <c r="A25" s="27"/>
      <c r="B25" s="10" t="str">
        <f>CONCATENATE("          ", "6115", " - ", "P.E.R.S.")</f>
        <v xml:space="preserve">          6115 - P.E.R.S.</v>
      </c>
      <c r="C25" s="10"/>
      <c r="D25" s="6">
        <v>640.35</v>
      </c>
      <c r="E25" s="2"/>
      <c r="F25" s="7">
        <f t="shared" si="4"/>
        <v>1.9016154896953141E-2</v>
      </c>
      <c r="G25" s="2"/>
      <c r="H25" s="6">
        <v>550.21</v>
      </c>
      <c r="I25" s="2"/>
      <c r="J25" s="7">
        <f t="shared" si="5"/>
        <v>2.1672049787301088E-2</v>
      </c>
      <c r="K25" s="2"/>
      <c r="L25" s="6">
        <f t="shared" si="6"/>
        <v>90.139999999999986</v>
      </c>
      <c r="M25" s="2"/>
      <c r="N25" s="7">
        <f t="shared" si="7"/>
        <v>0.16382835644572069</v>
      </c>
      <c r="O25" s="10"/>
      <c r="P25" s="6">
        <v>7701.28</v>
      </c>
      <c r="Q25" s="2"/>
      <c r="R25" s="7">
        <f t="shared" si="8"/>
        <v>1.6126545116458276E-2</v>
      </c>
      <c r="S25" s="2"/>
      <c r="T25" s="6">
        <v>7208.87</v>
      </c>
      <c r="U25" s="2"/>
      <c r="V25" s="7">
        <f t="shared" si="9"/>
        <v>1.7804602754341942E-2</v>
      </c>
      <c r="W25" s="2"/>
      <c r="X25" s="6">
        <f t="shared" si="10"/>
        <v>492.40999999999985</v>
      </c>
      <c r="Y25" s="2"/>
      <c r="Z25" s="7">
        <f t="shared" si="11"/>
        <v>6.8306128422346346E-2</v>
      </c>
    </row>
    <row r="26" spans="1:26" s="23" customFormat="1" hidden="1" outlineLevel="2" x14ac:dyDescent="0.25">
      <c r="A26" s="27"/>
      <c r="B26" s="10" t="str">
        <f>CONCATENATE("          ", "6117", " - ", "RETIREMENT STAFF HOURLY")</f>
        <v xml:space="preserve">          6117 - RETIREMENT STAFF HOURLY</v>
      </c>
      <c r="C26" s="10"/>
      <c r="D26" s="6">
        <v>74.67</v>
      </c>
      <c r="E26" s="2"/>
      <c r="F26" s="7">
        <f t="shared" si="4"/>
        <v>2.2174377858288296E-3</v>
      </c>
      <c r="G26" s="2"/>
      <c r="H26" s="6"/>
      <c r="I26" s="2"/>
      <c r="J26" s="7">
        <f t="shared" si="5"/>
        <v>0</v>
      </c>
      <c r="K26" s="2"/>
      <c r="L26" s="6">
        <f t="shared" si="6"/>
        <v>74.67</v>
      </c>
      <c r="M26" s="2"/>
      <c r="N26" s="7">
        <f t="shared" si="7"/>
        <v>0</v>
      </c>
      <c r="O26" s="10"/>
      <c r="P26" s="6">
        <v>889.45</v>
      </c>
      <c r="Q26" s="2"/>
      <c r="R26" s="7">
        <f t="shared" si="8"/>
        <v>1.8625157835884185E-3</v>
      </c>
      <c r="S26" s="2"/>
      <c r="T26" s="6"/>
      <c r="U26" s="2"/>
      <c r="V26" s="7">
        <f t="shared" si="9"/>
        <v>0</v>
      </c>
      <c r="W26" s="2"/>
      <c r="X26" s="6">
        <f t="shared" si="10"/>
        <v>889.45</v>
      </c>
      <c r="Y26" s="2"/>
      <c r="Z26" s="7">
        <f t="shared" si="11"/>
        <v>0</v>
      </c>
    </row>
    <row r="27" spans="1:26" s="23" customFormat="1" hidden="1" outlineLevel="2" x14ac:dyDescent="0.25">
      <c r="A27" s="27"/>
      <c r="B27" s="10" t="str">
        <f>CONCATENATE("          ", "6118", " - ", "VACATION")</f>
        <v xml:space="preserve">          6118 - VACATION</v>
      </c>
      <c r="C27" s="10"/>
      <c r="D27" s="6">
        <v>780.03</v>
      </c>
      <c r="E27" s="2"/>
      <c r="F27" s="7">
        <f t="shared" si="4"/>
        <v>2.3164162261685571E-2</v>
      </c>
      <c r="G27" s="2"/>
      <c r="H27" s="6">
        <v>727.06</v>
      </c>
      <c r="I27" s="2"/>
      <c r="J27" s="7">
        <f t="shared" si="5"/>
        <v>2.8637939183866392E-2</v>
      </c>
      <c r="K27" s="2"/>
      <c r="L27" s="6">
        <f t="shared" si="6"/>
        <v>52.970000000000027</v>
      </c>
      <c r="M27" s="2"/>
      <c r="N27" s="7">
        <f t="shared" si="7"/>
        <v>7.2855060105080777E-2</v>
      </c>
      <c r="O27" s="10"/>
      <c r="P27" s="6">
        <v>5720.22</v>
      </c>
      <c r="Q27" s="2"/>
      <c r="R27" s="7">
        <f t="shared" si="8"/>
        <v>1.1978188808362633E-2</v>
      </c>
      <c r="S27" s="2"/>
      <c r="T27" s="6">
        <v>7463.8</v>
      </c>
      <c r="U27" s="2"/>
      <c r="V27" s="7">
        <f t="shared" si="9"/>
        <v>1.8434233664618365E-2</v>
      </c>
      <c r="W27" s="2"/>
      <c r="X27" s="6">
        <f t="shared" si="10"/>
        <v>-1743.58</v>
      </c>
      <c r="Y27" s="2"/>
      <c r="Z27" s="7">
        <f t="shared" si="11"/>
        <v>-0.2336048661539698</v>
      </c>
    </row>
    <row r="28" spans="1:26" s="23" customFormat="1" hidden="1" outlineLevel="2" x14ac:dyDescent="0.25">
      <c r="A28" s="27"/>
      <c r="B28" s="10" t="str">
        <f>CONCATENATE("          ", "6119", " - ", "SICK LEAVE")</f>
        <v xml:space="preserve">          6119 - SICK LEAVE</v>
      </c>
      <c r="C28" s="10"/>
      <c r="D28" s="6">
        <v>448.89</v>
      </c>
      <c r="E28" s="2"/>
      <c r="F28" s="7">
        <f t="shared" si="4"/>
        <v>1.3330462671497297E-2</v>
      </c>
      <c r="G28" s="2"/>
      <c r="H28" s="6">
        <v>422.43</v>
      </c>
      <c r="I28" s="2"/>
      <c r="J28" s="7">
        <f t="shared" si="5"/>
        <v>1.6638963289743187E-2</v>
      </c>
      <c r="K28" s="2"/>
      <c r="L28" s="6">
        <f t="shared" si="6"/>
        <v>26.45999999999998</v>
      </c>
      <c r="M28" s="2"/>
      <c r="N28" s="7">
        <f t="shared" si="7"/>
        <v>6.2637596761593584E-2</v>
      </c>
      <c r="O28" s="10"/>
      <c r="P28" s="6">
        <v>3291.87</v>
      </c>
      <c r="Q28" s="2"/>
      <c r="R28" s="7">
        <f t="shared" si="8"/>
        <v>6.8932034768915702E-3</v>
      </c>
      <c r="S28" s="2"/>
      <c r="T28" s="6">
        <v>4261.22</v>
      </c>
      <c r="U28" s="2"/>
      <c r="V28" s="7">
        <f t="shared" si="9"/>
        <v>1.0524441326984253E-2</v>
      </c>
      <c r="W28" s="2"/>
      <c r="X28" s="6">
        <f t="shared" si="10"/>
        <v>-969.35000000000036</v>
      </c>
      <c r="Y28" s="2"/>
      <c r="Z28" s="7">
        <f t="shared" si="11"/>
        <v>-0.227481800986572</v>
      </c>
    </row>
    <row r="29" spans="1:26" s="23" customFormat="1" hidden="1" outlineLevel="2" x14ac:dyDescent="0.25">
      <c r="A29" s="27"/>
      <c r="B29" s="10" t="str">
        <f>CONCATENATE("          ", "6156", " - ", "EMPLOYEE MEALS")</f>
        <v xml:space="preserve">          6156 - EMPLOYEE MEALS</v>
      </c>
      <c r="C29" s="10"/>
      <c r="D29" s="6"/>
      <c r="E29" s="2"/>
      <c r="F29" s="7">
        <f t="shared" si="4"/>
        <v>0</v>
      </c>
      <c r="G29" s="2"/>
      <c r="H29" s="6">
        <v>10.78</v>
      </c>
      <c r="I29" s="2"/>
      <c r="J29" s="7">
        <f t="shared" si="5"/>
        <v>4.2461005199306758E-4</v>
      </c>
      <c r="K29" s="2"/>
      <c r="L29" s="6">
        <f t="shared" si="6"/>
        <v>-10.78</v>
      </c>
      <c r="M29" s="2"/>
      <c r="N29" s="7">
        <f t="shared" si="7"/>
        <v>-1</v>
      </c>
      <c r="O29" s="10"/>
      <c r="P29" s="6">
        <v>1620.53</v>
      </c>
      <c r="Q29" s="2"/>
      <c r="R29" s="7">
        <f t="shared" si="8"/>
        <v>3.3934034546950808E-3</v>
      </c>
      <c r="S29" s="2"/>
      <c r="T29" s="6">
        <v>1320.69</v>
      </c>
      <c r="U29" s="2"/>
      <c r="V29" s="7">
        <f t="shared" si="9"/>
        <v>3.2618650095828971E-3</v>
      </c>
      <c r="W29" s="2"/>
      <c r="X29" s="6">
        <f t="shared" si="10"/>
        <v>299.83999999999992</v>
      </c>
      <c r="Y29" s="2"/>
      <c r="Z29" s="7">
        <f t="shared" si="11"/>
        <v>0.22703283889482007</v>
      </c>
    </row>
    <row r="30" spans="1:26" s="26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12186.69</v>
      </c>
      <c r="E30" s="1"/>
      <c r="F30" s="5">
        <f t="shared" ref="F30:F35" si="12">IF(D$12=0,0,D30/D$12)</f>
        <v>0.3619020609372216</v>
      </c>
      <c r="G30" s="1"/>
      <c r="H30" s="1">
        <f>SUM(OSRRefH22_1x_0)</f>
        <v>9735.4200000000019</v>
      </c>
      <c r="I30" s="1"/>
      <c r="J30" s="5">
        <f t="shared" ref="J30:J35" si="13">IF(H$12=0,0,H30/H$12)</f>
        <v>0.38346541673231455</v>
      </c>
      <c r="K30" s="1"/>
      <c r="L30" s="1">
        <f t="shared" ref="L30:L35" si="14">+D30-H30</f>
        <v>2451.2699999999986</v>
      </c>
      <c r="M30" s="1"/>
      <c r="N30" s="5">
        <f t="shared" ref="N30:N35" si="15">IF(H30=0,0,L30/H30)</f>
        <v>0.25178882883327047</v>
      </c>
      <c r="O30" s="12"/>
      <c r="P30" s="1">
        <f>SUM(OSRRefP22_1x_0)</f>
        <v>140334.41</v>
      </c>
      <c r="Q30" s="1"/>
      <c r="R30" s="5">
        <f t="shared" ref="R30:R35" si="16">IF(P$12=0,0,P30/P$12)</f>
        <v>0.29386143527524694</v>
      </c>
      <c r="S30" s="1"/>
      <c r="T30" s="1">
        <f>SUM(OSRRefT22_1x_0)</f>
        <v>165569.9</v>
      </c>
      <c r="U30" s="1"/>
      <c r="V30" s="5">
        <f t="shared" ref="V30:V35" si="17">IF(T$12=0,0,T30/T$12)</f>
        <v>0.40892765406729759</v>
      </c>
      <c r="W30" s="1"/>
      <c r="X30" s="1">
        <f t="shared" ref="X30:X35" si="18">+P30-T30</f>
        <v>-25235.489999999991</v>
      </c>
      <c r="Y30" s="1"/>
      <c r="Z30" s="5">
        <f t="shared" ref="Z30:Z35" si="19">IF(T30=0,0,X30/T30)</f>
        <v>-0.1524159282574912</v>
      </c>
    </row>
    <row r="31" spans="1:26" s="23" customFormat="1" hidden="1" outlineLevel="2" x14ac:dyDescent="0.25">
      <c r="A31" s="27"/>
      <c r="B31" s="10" t="str">
        <f>CONCATENATE("          ", "6001", " - ", "ADMINISTRATIVE SALARIES")</f>
        <v xml:space="preserve">          6001 - ADMINISTRATIVE SALARIES</v>
      </c>
      <c r="C31" s="10"/>
      <c r="D31" s="6">
        <v>4416.3900000000003</v>
      </c>
      <c r="E31" s="2"/>
      <c r="F31" s="7">
        <f t="shared" si="12"/>
        <v>0.13115133337292867</v>
      </c>
      <c r="G31" s="2"/>
      <c r="H31" s="6"/>
      <c r="I31" s="2"/>
      <c r="J31" s="7">
        <f t="shared" si="13"/>
        <v>0</v>
      </c>
      <c r="K31" s="2"/>
      <c r="L31" s="6">
        <f t="shared" si="14"/>
        <v>4416.3900000000003</v>
      </c>
      <c r="M31" s="2"/>
      <c r="N31" s="7">
        <f t="shared" si="15"/>
        <v>0</v>
      </c>
      <c r="O31" s="10"/>
      <c r="P31" s="6">
        <v>43739.44</v>
      </c>
      <c r="Q31" s="2"/>
      <c r="R31" s="7">
        <f t="shared" si="16"/>
        <v>9.1590755371655092E-2</v>
      </c>
      <c r="S31" s="2"/>
      <c r="T31" s="6"/>
      <c r="U31" s="2"/>
      <c r="V31" s="7">
        <f t="shared" si="17"/>
        <v>0</v>
      </c>
      <c r="W31" s="2"/>
      <c r="X31" s="6">
        <f t="shared" si="18"/>
        <v>43739.44</v>
      </c>
      <c r="Y31" s="2"/>
      <c r="Z31" s="7">
        <f t="shared" si="19"/>
        <v>0</v>
      </c>
    </row>
    <row r="32" spans="1:26" s="23" customFormat="1" hidden="1" outlineLevel="2" x14ac:dyDescent="0.25">
      <c r="A32" s="27"/>
      <c r="B32" s="10" t="str">
        <f>CONCATENATE("          ", "6002", " - ", "STAFF SALARIES")</f>
        <v xml:space="preserve">          6002 - STAFF SALARIES</v>
      </c>
      <c r="C32" s="10"/>
      <c r="D32" s="6">
        <v>2395.9899999999998</v>
      </c>
      <c r="E32" s="2"/>
      <c r="F32" s="7">
        <f t="shared" si="12"/>
        <v>7.1152521232998742E-2</v>
      </c>
      <c r="G32" s="2"/>
      <c r="H32" s="6">
        <v>5649.64</v>
      </c>
      <c r="I32" s="2"/>
      <c r="J32" s="7">
        <f t="shared" si="13"/>
        <v>0.22253190483693083</v>
      </c>
      <c r="K32" s="2"/>
      <c r="L32" s="6">
        <f t="shared" si="14"/>
        <v>-3253.6500000000005</v>
      </c>
      <c r="M32" s="2"/>
      <c r="N32" s="7">
        <f t="shared" si="15"/>
        <v>-0.57590395140221329</v>
      </c>
      <c r="O32" s="10"/>
      <c r="P32" s="6">
        <v>23507.68</v>
      </c>
      <c r="Q32" s="2"/>
      <c r="R32" s="7">
        <f t="shared" si="16"/>
        <v>4.9225279707173865E-2</v>
      </c>
      <c r="S32" s="2"/>
      <c r="T32" s="6">
        <v>58631.59</v>
      </c>
      <c r="U32" s="2"/>
      <c r="V32" s="7">
        <f t="shared" si="17"/>
        <v>0.14480940408211654</v>
      </c>
      <c r="W32" s="2"/>
      <c r="X32" s="6">
        <f t="shared" si="18"/>
        <v>-35123.909999999996</v>
      </c>
      <c r="Y32" s="2"/>
      <c r="Z32" s="7">
        <f t="shared" si="19"/>
        <v>-0.59906118868684954</v>
      </c>
    </row>
    <row r="33" spans="1:26" s="23" customFormat="1" hidden="1" outlineLevel="2" x14ac:dyDescent="0.25">
      <c r="A33" s="27"/>
      <c r="B33" s="10" t="str">
        <f>CONCATENATE("          ", "6005", " - ", "TEMPORARY WAGES-HOURLY")</f>
        <v xml:space="preserve">          6005 - TEMPORARY WAGES-HOURLY</v>
      </c>
      <c r="C33" s="10"/>
      <c r="D33" s="6">
        <v>6926.31</v>
      </c>
      <c r="E33" s="2"/>
      <c r="F33" s="7">
        <f t="shared" si="12"/>
        <v>0.20568717705054346</v>
      </c>
      <c r="G33" s="2"/>
      <c r="H33" s="6">
        <v>9075.7800000000007</v>
      </c>
      <c r="I33" s="2"/>
      <c r="J33" s="7">
        <f t="shared" si="13"/>
        <v>0.35748306286434539</v>
      </c>
      <c r="K33" s="2"/>
      <c r="L33" s="6">
        <f t="shared" si="14"/>
        <v>-2149.4700000000003</v>
      </c>
      <c r="M33" s="2"/>
      <c r="N33" s="7">
        <f t="shared" si="15"/>
        <v>-0.23683584220860357</v>
      </c>
      <c r="O33" s="10"/>
      <c r="P33" s="6">
        <v>64897.63</v>
      </c>
      <c r="Q33" s="2"/>
      <c r="R33" s="7">
        <f t="shared" si="16"/>
        <v>0.13589618325086431</v>
      </c>
      <c r="S33" s="2"/>
      <c r="T33" s="6">
        <v>75230.16</v>
      </c>
      <c r="U33" s="2"/>
      <c r="V33" s="7">
        <f t="shared" si="17"/>
        <v>0.18580486455513626</v>
      </c>
      <c r="W33" s="2"/>
      <c r="X33" s="6">
        <f t="shared" si="18"/>
        <v>-10332.530000000006</v>
      </c>
      <c r="Y33" s="2"/>
      <c r="Z33" s="7">
        <f t="shared" si="19"/>
        <v>-0.13734558054907772</v>
      </c>
    </row>
    <row r="34" spans="1:26" s="23" customFormat="1" hidden="1" outlineLevel="2" x14ac:dyDescent="0.25">
      <c r="A34" s="27"/>
      <c r="B34" s="10" t="str">
        <f>CONCATENATE("          ", "6007", " - ", "STUDENT HOURLY")</f>
        <v xml:space="preserve">          6007 - STUDENT HOURLY</v>
      </c>
      <c r="C34" s="10"/>
      <c r="D34" s="6">
        <v>-1552</v>
      </c>
      <c r="E34" s="2"/>
      <c r="F34" s="7">
        <f t="shared" si="12"/>
        <v>-4.6088970719249271E-2</v>
      </c>
      <c r="G34" s="2"/>
      <c r="H34" s="6">
        <v>-4990</v>
      </c>
      <c r="I34" s="2"/>
      <c r="J34" s="7">
        <f t="shared" si="13"/>
        <v>-0.19654955096896171</v>
      </c>
      <c r="K34" s="2"/>
      <c r="L34" s="6">
        <f t="shared" si="14"/>
        <v>3438</v>
      </c>
      <c r="M34" s="2"/>
      <c r="N34" s="7">
        <f t="shared" si="15"/>
        <v>-0.68897795591182365</v>
      </c>
      <c r="O34" s="10"/>
      <c r="P34" s="6">
        <v>4277.78</v>
      </c>
      <c r="Q34" s="2"/>
      <c r="R34" s="7">
        <f t="shared" si="16"/>
        <v>8.9577073120679796E-3</v>
      </c>
      <c r="S34" s="2"/>
      <c r="T34" s="6">
        <v>25787.41</v>
      </c>
      <c r="U34" s="2"/>
      <c r="V34" s="7">
        <f t="shared" si="17"/>
        <v>6.3690230384698981E-2</v>
      </c>
      <c r="W34" s="2"/>
      <c r="X34" s="6">
        <f t="shared" si="18"/>
        <v>-21509.63</v>
      </c>
      <c r="Y34" s="2"/>
      <c r="Z34" s="7">
        <f t="shared" si="19"/>
        <v>-0.8341136236636405</v>
      </c>
    </row>
    <row r="35" spans="1:26" s="23" customFormat="1" hidden="1" outlineLevel="2" x14ac:dyDescent="0.25">
      <c r="A35" s="27"/>
      <c r="B35" s="10" t="str">
        <f>CONCATENATE("          ", "6008", " - ", "STUDENT HOURLY-FICA EXEMPT")</f>
        <v xml:space="preserve">          6008 - STUDENT HOURLY-FICA EXEMPT</v>
      </c>
      <c r="C35" s="10"/>
      <c r="D35" s="6"/>
      <c r="E35" s="2"/>
      <c r="F35" s="7">
        <f t="shared" si="12"/>
        <v>0</v>
      </c>
      <c r="G35" s="2"/>
      <c r="H35" s="6"/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0"/>
      <c r="P35" s="6">
        <v>3911.88</v>
      </c>
      <c r="Q35" s="2"/>
      <c r="R35" s="7">
        <f t="shared" si="16"/>
        <v>8.1915096334857079E-3</v>
      </c>
      <c r="S35" s="2"/>
      <c r="T35" s="6">
        <v>5920.74</v>
      </c>
      <c r="U35" s="2"/>
      <c r="V35" s="7">
        <f t="shared" si="17"/>
        <v>1.4623155045345873E-2</v>
      </c>
      <c r="W35" s="2"/>
      <c r="X35" s="6">
        <f t="shared" si="18"/>
        <v>-2008.8599999999997</v>
      </c>
      <c r="Y35" s="2"/>
      <c r="Z35" s="7">
        <f t="shared" si="19"/>
        <v>-0.33929204795346524</v>
      </c>
    </row>
    <row r="36" spans="1:26" s="26" customFormat="1" outlineLevel="1" collapsed="1" x14ac:dyDescent="0.25">
      <c r="A36" s="25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0</v>
      </c>
      <c r="I36" s="1"/>
      <c r="J36" s="5">
        <f t="shared" ref="J36:J44" si="21">IF(H$12=0,0,H36/H$12)</f>
        <v>0</v>
      </c>
      <c r="K36" s="1"/>
      <c r="L36" s="1">
        <f t="shared" ref="L36:L44" si="22">+D36-H36</f>
        <v>0</v>
      </c>
      <c r="M36" s="1"/>
      <c r="N36" s="5">
        <f t="shared" ref="N36:N44" si="23">IF(H36=0,0,L36/H36)</f>
        <v>0</v>
      </c>
      <c r="O36" s="12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155.11000000000001</v>
      </c>
      <c r="U36" s="1"/>
      <c r="V36" s="5">
        <f t="shared" ref="V36:V44" si="25">IF(T$12=0,0,T36/T$12)</f>
        <v>3.8309359625377887E-4</v>
      </c>
      <c r="W36" s="1"/>
      <c r="X36" s="1">
        <f t="shared" ref="X36:X44" si="26">+P36-T36</f>
        <v>-155.11000000000001</v>
      </c>
      <c r="Y36" s="1"/>
      <c r="Z36" s="5">
        <f t="shared" ref="Z36:Z44" si="27">IF(T36=0,0,X36/T36)</f>
        <v>-1</v>
      </c>
    </row>
    <row r="37" spans="1:26" s="23" customFormat="1" hidden="1" outlineLevel="2" x14ac:dyDescent="0.25">
      <c r="A37" s="27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0"/>
      <c r="P37" s="6"/>
      <c r="Q37" s="2"/>
      <c r="R37" s="7">
        <f t="shared" si="24"/>
        <v>0</v>
      </c>
      <c r="S37" s="2"/>
      <c r="T37" s="6">
        <v>155.11000000000001</v>
      </c>
      <c r="U37" s="2"/>
      <c r="V37" s="7">
        <f t="shared" si="25"/>
        <v>3.8309359625377887E-4</v>
      </c>
      <c r="W37" s="2"/>
      <c r="X37" s="6">
        <f t="shared" si="26"/>
        <v>-155.11000000000001</v>
      </c>
      <c r="Y37" s="2"/>
      <c r="Z37" s="7">
        <f t="shared" si="27"/>
        <v>-1</v>
      </c>
    </row>
    <row r="38" spans="1:26" s="26" customFormat="1" outlineLevel="1" collapsed="1" x14ac:dyDescent="0.25">
      <c r="A38" s="25"/>
      <c r="B38" s="12" t="str">
        <f>CONCATENATE("     ","Bank/card Fees                                    ")</f>
        <v xml:space="preserve">     Bank/card Fees                                    </v>
      </c>
      <c r="C38" s="12"/>
      <c r="D38" s="1">
        <f>SUM(OSRRefD22_3x_0)</f>
        <v>50.67</v>
      </c>
      <c r="E38" s="1"/>
      <c r="F38" s="5">
        <f t="shared" si="20"/>
        <v>1.5047217437785829E-3</v>
      </c>
      <c r="G38" s="1"/>
      <c r="H38" s="1">
        <f>SUM(OSRRefH22_3x_0)</f>
        <v>53.34</v>
      </c>
      <c r="I38" s="1"/>
      <c r="J38" s="5">
        <f t="shared" si="21"/>
        <v>2.1009925949267371E-3</v>
      </c>
      <c r="K38" s="1"/>
      <c r="L38" s="1">
        <f t="shared" si="22"/>
        <v>-2.6700000000000017</v>
      </c>
      <c r="M38" s="1"/>
      <c r="N38" s="5">
        <f t="shared" si="23"/>
        <v>-5.0056242969628822E-2</v>
      </c>
      <c r="O38" s="12"/>
      <c r="P38" s="1">
        <f>SUM(OSRRefP22_3x_0)</f>
        <v>803.94</v>
      </c>
      <c r="Q38" s="1"/>
      <c r="R38" s="5">
        <f t="shared" si="24"/>
        <v>1.683457124130725E-3</v>
      </c>
      <c r="S38" s="1"/>
      <c r="T38" s="1">
        <f>SUM(OSRRefT22_3x_0)</f>
        <v>17790.62</v>
      </c>
      <c r="U38" s="1"/>
      <c r="V38" s="5">
        <f t="shared" si="25"/>
        <v>4.3939607990357822E-2</v>
      </c>
      <c r="W38" s="1"/>
      <c r="X38" s="1">
        <f t="shared" si="26"/>
        <v>-16986.68</v>
      </c>
      <c r="Y38" s="1"/>
      <c r="Z38" s="5">
        <f t="shared" si="27"/>
        <v>-0.95481101839059013</v>
      </c>
    </row>
    <row r="39" spans="1:26" s="23" customFormat="1" hidden="1" outlineLevel="2" x14ac:dyDescent="0.25">
      <c r="A39" s="27"/>
      <c r="B39" s="10" t="str">
        <f>CONCATENATE("          ", "6381", " - ", "BANK/CREDIT CARD FEES")</f>
        <v xml:space="preserve">          6381 - BANK/CREDIT CARD FEES</v>
      </c>
      <c r="C39" s="10"/>
      <c r="D39" s="6">
        <v>50.67</v>
      </c>
      <c r="E39" s="2"/>
      <c r="F39" s="7">
        <f t="shared" si="20"/>
        <v>1.5047217437785829E-3</v>
      </c>
      <c r="G39" s="2"/>
      <c r="H39" s="6">
        <v>53.34</v>
      </c>
      <c r="I39" s="2"/>
      <c r="J39" s="7">
        <f t="shared" si="21"/>
        <v>2.1009925949267371E-3</v>
      </c>
      <c r="K39" s="2"/>
      <c r="L39" s="6">
        <f t="shared" si="22"/>
        <v>-2.6700000000000017</v>
      </c>
      <c r="M39" s="2"/>
      <c r="N39" s="7">
        <f t="shared" si="23"/>
        <v>-5.0056242969628822E-2</v>
      </c>
      <c r="O39" s="10"/>
      <c r="P39" s="6">
        <v>803.94</v>
      </c>
      <c r="Q39" s="2"/>
      <c r="R39" s="7">
        <f t="shared" si="24"/>
        <v>1.683457124130725E-3</v>
      </c>
      <c r="S39" s="2"/>
      <c r="T39" s="6">
        <v>17790.62</v>
      </c>
      <c r="U39" s="2"/>
      <c r="V39" s="7">
        <f t="shared" si="25"/>
        <v>4.3939607990357822E-2</v>
      </c>
      <c r="W39" s="2"/>
      <c r="X39" s="6">
        <f t="shared" si="26"/>
        <v>-16986.68</v>
      </c>
      <c r="Y39" s="2"/>
      <c r="Z39" s="7">
        <f t="shared" si="27"/>
        <v>-0.95481101839059013</v>
      </c>
    </row>
    <row r="40" spans="1:26" s="26" customFormat="1" outlineLevel="1" collapsed="1" x14ac:dyDescent="0.25">
      <c r="A40" s="25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2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1.5866116061725712E-4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3" customFormat="1" hidden="1" outlineLevel="2" x14ac:dyDescent="0.25">
      <c r="A41" s="27"/>
      <c r="B41" s="10" t="str">
        <f>CONCATENATE("          ", "6277", " - ", "EMPLOYEE APPRECIATION")</f>
        <v xml:space="preserve">          6277 - EMPLOYEE APPRECIATION</v>
      </c>
      <c r="C41" s="10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0"/>
      <c r="P41" s="6"/>
      <c r="Q41" s="2"/>
      <c r="R41" s="7">
        <f t="shared" si="24"/>
        <v>0</v>
      </c>
      <c r="S41" s="2"/>
      <c r="T41" s="6">
        <v>64.239999999999995</v>
      </c>
      <c r="U41" s="2"/>
      <c r="V41" s="7">
        <f t="shared" si="25"/>
        <v>1.5866116061725712E-4</v>
      </c>
      <c r="W41" s="2"/>
      <c r="X41" s="6">
        <f t="shared" si="26"/>
        <v>-64.239999999999995</v>
      </c>
      <c r="Y41" s="2"/>
      <c r="Z41" s="7">
        <f t="shared" si="27"/>
        <v>-1</v>
      </c>
    </row>
    <row r="42" spans="1:26" s="26" customFormat="1" outlineLevel="1" collapsed="1" x14ac:dyDescent="0.25">
      <c r="A42" s="25"/>
      <c r="B42" s="12" t="str">
        <f>CONCATENATE("     ","Freight out/Postage                               ")</f>
        <v xml:space="preserve">     Freight out/Postage                               </v>
      </c>
      <c r="C42" s="12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2"/>
      <c r="P42" s="1">
        <f>SUM(OSRRefP22_5x_0)</f>
        <v>2.12</v>
      </c>
      <c r="Q42" s="1"/>
      <c r="R42" s="5">
        <f t="shared" si="24"/>
        <v>4.4392978370987095E-6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3" customFormat="1" hidden="1" outlineLevel="2" x14ac:dyDescent="0.25">
      <c r="A43" s="27"/>
      <c r="B43" s="10" t="str">
        <f>CONCATENATE("          ", "6305", " - ", "FREIGHT OUT")</f>
        <v xml:space="preserve">          6305 - FREIGHT OUT</v>
      </c>
      <c r="C43" s="10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0"/>
      <c r="P43" s="6">
        <v>1.62</v>
      </c>
      <c r="Q43" s="2"/>
      <c r="R43" s="7">
        <f t="shared" si="24"/>
        <v>3.3922936302358064E-6</v>
      </c>
      <c r="S43" s="2"/>
      <c r="T43" s="6"/>
      <c r="U43" s="2"/>
      <c r="V43" s="7">
        <f t="shared" si="25"/>
        <v>0</v>
      </c>
      <c r="W43" s="2"/>
      <c r="X43" s="6">
        <f t="shared" si="26"/>
        <v>1.62</v>
      </c>
      <c r="Y43" s="2"/>
      <c r="Z43" s="7">
        <f t="shared" si="27"/>
        <v>0</v>
      </c>
    </row>
    <row r="44" spans="1:26" s="23" customFormat="1" hidden="1" outlineLevel="2" x14ac:dyDescent="0.25">
      <c r="A44" s="27"/>
      <c r="B44" s="10" t="str">
        <f>CONCATENATE("          ", "6307", " - ", "POSTAGE")</f>
        <v xml:space="preserve">          6307 - POSTAGE</v>
      </c>
      <c r="C44" s="10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0"/>
      <c r="P44" s="6">
        <v>0.5</v>
      </c>
      <c r="Q44" s="2"/>
      <c r="R44" s="7">
        <f t="shared" si="24"/>
        <v>1.0470042068629033E-6</v>
      </c>
      <c r="S44" s="2"/>
      <c r="T44" s="6"/>
      <c r="U44" s="2"/>
      <c r="V44" s="7">
        <f t="shared" si="25"/>
        <v>0</v>
      </c>
      <c r="W44" s="2"/>
      <c r="X44" s="6">
        <f t="shared" si="26"/>
        <v>0.5</v>
      </c>
      <c r="Y44" s="2"/>
      <c r="Z44" s="7">
        <f t="shared" si="27"/>
        <v>0</v>
      </c>
    </row>
    <row r="45" spans="1:26" s="26" customFormat="1" outlineLevel="1" collapsed="1" x14ac:dyDescent="0.25">
      <c r="A45" s="25"/>
      <c r="B45" s="12" t="str">
        <f>CONCATENATE("     ","General                                           ")</f>
        <v xml:space="preserve">     General                                           </v>
      </c>
      <c r="C45" s="12"/>
      <c r="D45" s="1">
        <f>SUM(OSRRefD22_6x_0)</f>
        <v>0</v>
      </c>
      <c r="E45" s="1"/>
      <c r="F45" s="5">
        <f t="shared" ref="F45:F54" si="28">IF(D$12=0,0,D45/D$12)</f>
        <v>0</v>
      </c>
      <c r="G45" s="1"/>
      <c r="H45" s="1">
        <f>SUM(OSRRefH22_6x_0)</f>
        <v>0</v>
      </c>
      <c r="I45" s="1"/>
      <c r="J45" s="5">
        <f t="shared" ref="J45:J54" si="29">IF(H$12=0,0,H45/H$12)</f>
        <v>0</v>
      </c>
      <c r="K45" s="1"/>
      <c r="L45" s="1">
        <f t="shared" ref="L45:L54" si="30">+D45-H45</f>
        <v>0</v>
      </c>
      <c r="M45" s="1"/>
      <c r="N45" s="5">
        <f t="shared" ref="N45:N54" si="31">IF(H45=0,0,L45/H45)</f>
        <v>0</v>
      </c>
      <c r="O45" s="12"/>
      <c r="P45" s="1">
        <f>SUM(OSRRefP22_6x_0)</f>
        <v>0</v>
      </c>
      <c r="Q45" s="1"/>
      <c r="R45" s="5">
        <f t="shared" ref="R45:R54" si="32">IF(P$12=0,0,P45/P$12)</f>
        <v>0</v>
      </c>
      <c r="S45" s="1"/>
      <c r="T45" s="1">
        <f>SUM(OSRRefT22_6x_0)</f>
        <v>47.34</v>
      </c>
      <c r="U45" s="1"/>
      <c r="V45" s="5">
        <f t="shared" ref="V45:V54" si="33">IF(T$12=0,0,T45/T$12)</f>
        <v>1.1692122265910574E-4</v>
      </c>
      <c r="W45" s="1"/>
      <c r="X45" s="1">
        <f t="shared" ref="X45:X54" si="34">+P45-T45</f>
        <v>-47.34</v>
      </c>
      <c r="Y45" s="1"/>
      <c r="Z45" s="5">
        <f t="shared" ref="Z45:Z54" si="35">IF(T45=0,0,X45/T45)</f>
        <v>-1</v>
      </c>
    </row>
    <row r="46" spans="1:26" s="23" customFormat="1" hidden="1" outlineLevel="2" x14ac:dyDescent="0.25">
      <c r="A46" s="27"/>
      <c r="B46" s="10" t="str">
        <f>CONCATENATE("          ", "6279", " - ", "GENERAL EXPENSE")</f>
        <v xml:space="preserve">          6279 - GENERAL EXPENSE</v>
      </c>
      <c r="C46" s="10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0"/>
      <c r="P46" s="6"/>
      <c r="Q46" s="2"/>
      <c r="R46" s="7">
        <f t="shared" si="32"/>
        <v>0</v>
      </c>
      <c r="S46" s="2"/>
      <c r="T46" s="6">
        <v>47.34</v>
      </c>
      <c r="U46" s="2"/>
      <c r="V46" s="7">
        <f t="shared" si="33"/>
        <v>1.1692122265910574E-4</v>
      </c>
      <c r="W46" s="2"/>
      <c r="X46" s="6">
        <f t="shared" si="34"/>
        <v>-47.34</v>
      </c>
      <c r="Y46" s="2"/>
      <c r="Z46" s="7">
        <f t="shared" si="35"/>
        <v>-1</v>
      </c>
    </row>
    <row r="47" spans="1:26" s="26" customFormat="1" outlineLevel="1" collapsed="1" x14ac:dyDescent="0.25">
      <c r="A47" s="25"/>
      <c r="B47" s="12" t="str">
        <f>CONCATENATE("     ","Insurance                                         ")</f>
        <v xml:space="preserve">     Insurance                                         </v>
      </c>
      <c r="C47" s="12"/>
      <c r="D47" s="1">
        <f>SUM(OSRRefD22_7x_0)</f>
        <v>29.01</v>
      </c>
      <c r="E47" s="1"/>
      <c r="F47" s="5">
        <f t="shared" si="28"/>
        <v>8.6149551582823548E-4</v>
      </c>
      <c r="G47" s="1"/>
      <c r="H47" s="1">
        <f>SUM(OSRRefH22_7x_0)</f>
        <v>29.01</v>
      </c>
      <c r="I47" s="1"/>
      <c r="J47" s="5">
        <f t="shared" si="29"/>
        <v>1.1426658263746653E-3</v>
      </c>
      <c r="K47" s="1"/>
      <c r="L47" s="1">
        <f t="shared" si="30"/>
        <v>0</v>
      </c>
      <c r="M47" s="1"/>
      <c r="N47" s="5">
        <f t="shared" si="31"/>
        <v>0</v>
      </c>
      <c r="O47" s="12"/>
      <c r="P47" s="1">
        <f>SUM(OSRRefP22_7x_0)</f>
        <v>290.10000000000002</v>
      </c>
      <c r="Q47" s="1"/>
      <c r="R47" s="5">
        <f t="shared" si="32"/>
        <v>6.0747184082185642E-4</v>
      </c>
      <c r="S47" s="1"/>
      <c r="T47" s="1">
        <f>SUM(OSRRefT22_7x_0)</f>
        <v>290.10000000000002</v>
      </c>
      <c r="U47" s="1"/>
      <c r="V47" s="5">
        <f t="shared" si="33"/>
        <v>7.1649443796803069E-4</v>
      </c>
      <c r="W47" s="1"/>
      <c r="X47" s="1">
        <f t="shared" si="34"/>
        <v>0</v>
      </c>
      <c r="Y47" s="1"/>
      <c r="Z47" s="5">
        <f t="shared" si="35"/>
        <v>0</v>
      </c>
    </row>
    <row r="48" spans="1:26" s="23" customFormat="1" hidden="1" outlineLevel="2" x14ac:dyDescent="0.25">
      <c r="A48" s="27"/>
      <c r="B48" s="10" t="str">
        <f>CONCATENATE("          ", "6314", " - ", "LIABILITY INSURANCE")</f>
        <v xml:space="preserve">          6314 - LIABILITY INSURANCE</v>
      </c>
      <c r="C48" s="10"/>
      <c r="D48" s="6">
        <v>29.01</v>
      </c>
      <c r="E48" s="2"/>
      <c r="F48" s="7">
        <f t="shared" si="28"/>
        <v>8.6149551582823548E-4</v>
      </c>
      <c r="G48" s="2"/>
      <c r="H48" s="6">
        <v>29.01</v>
      </c>
      <c r="I48" s="2"/>
      <c r="J48" s="7">
        <f t="shared" si="29"/>
        <v>1.1426658263746653E-3</v>
      </c>
      <c r="K48" s="2"/>
      <c r="L48" s="6">
        <f t="shared" si="30"/>
        <v>0</v>
      </c>
      <c r="M48" s="2"/>
      <c r="N48" s="7">
        <f t="shared" si="31"/>
        <v>0</v>
      </c>
      <c r="O48" s="10"/>
      <c r="P48" s="6">
        <v>290.10000000000002</v>
      </c>
      <c r="Q48" s="2"/>
      <c r="R48" s="7">
        <f t="shared" si="32"/>
        <v>6.0747184082185642E-4</v>
      </c>
      <c r="S48" s="2"/>
      <c r="T48" s="6">
        <v>290.10000000000002</v>
      </c>
      <c r="U48" s="2"/>
      <c r="V48" s="7">
        <f t="shared" si="33"/>
        <v>7.1649443796803069E-4</v>
      </c>
      <c r="W48" s="2"/>
      <c r="X48" s="6">
        <f t="shared" si="34"/>
        <v>0</v>
      </c>
      <c r="Y48" s="2"/>
      <c r="Z48" s="7">
        <f t="shared" si="35"/>
        <v>0</v>
      </c>
    </row>
    <row r="49" spans="1:26" s="26" customFormat="1" outlineLevel="1" collapsed="1" x14ac:dyDescent="0.25">
      <c r="A49" s="25"/>
      <c r="B49" s="12" t="str">
        <f>CONCATENATE("     ","Rent                                              ")</f>
        <v xml:space="preserve">     Rent                                              </v>
      </c>
      <c r="C49" s="12"/>
      <c r="D49" s="1">
        <f>SUM(OSRRefD22_8x_0)</f>
        <v>800</v>
      </c>
      <c r="E49" s="1"/>
      <c r="F49" s="5">
        <f t="shared" si="28"/>
        <v>2.3757201401674883E-2</v>
      </c>
      <c r="G49" s="1"/>
      <c r="H49" s="1">
        <f>SUM(OSRRefH22_8x_0)</f>
        <v>800</v>
      </c>
      <c r="I49" s="1"/>
      <c r="J49" s="5">
        <f t="shared" si="29"/>
        <v>3.1510950055144163E-2</v>
      </c>
      <c r="K49" s="1"/>
      <c r="L49" s="1">
        <f t="shared" si="30"/>
        <v>0</v>
      </c>
      <c r="M49" s="1"/>
      <c r="N49" s="5">
        <f t="shared" si="31"/>
        <v>0</v>
      </c>
      <c r="O49" s="12"/>
      <c r="P49" s="1">
        <f>SUM(OSRRefP22_8x_0)</f>
        <v>8000</v>
      </c>
      <c r="Q49" s="1"/>
      <c r="R49" s="5">
        <f t="shared" si="32"/>
        <v>1.675206730980645E-2</v>
      </c>
      <c r="S49" s="1"/>
      <c r="T49" s="1">
        <f>SUM(OSRRefT22_8x_0)</f>
        <v>6400</v>
      </c>
      <c r="U49" s="1"/>
      <c r="V49" s="5">
        <f t="shared" si="33"/>
        <v>1.5806840410187508E-2</v>
      </c>
      <c r="W49" s="1"/>
      <c r="X49" s="1">
        <f t="shared" si="34"/>
        <v>1600</v>
      </c>
      <c r="Y49" s="1"/>
      <c r="Z49" s="5">
        <f t="shared" si="35"/>
        <v>0.25</v>
      </c>
    </row>
    <row r="50" spans="1:26" s="23" customFormat="1" hidden="1" outlineLevel="2" x14ac:dyDescent="0.25">
      <c r="A50" s="27"/>
      <c r="B50" s="10" t="str">
        <f>CONCATENATE("          ", "6273", " - ", "RENT")</f>
        <v xml:space="preserve">          6273 - RENT</v>
      </c>
      <c r="C50" s="10"/>
      <c r="D50" s="6">
        <v>800</v>
      </c>
      <c r="E50" s="2"/>
      <c r="F50" s="7">
        <f t="shared" si="28"/>
        <v>2.3757201401674883E-2</v>
      </c>
      <c r="G50" s="2"/>
      <c r="H50" s="6">
        <v>800</v>
      </c>
      <c r="I50" s="2"/>
      <c r="J50" s="7">
        <f t="shared" si="29"/>
        <v>3.1510950055144163E-2</v>
      </c>
      <c r="K50" s="2"/>
      <c r="L50" s="6">
        <f t="shared" si="30"/>
        <v>0</v>
      </c>
      <c r="M50" s="2"/>
      <c r="N50" s="7">
        <f t="shared" si="31"/>
        <v>0</v>
      </c>
      <c r="O50" s="10"/>
      <c r="P50" s="6">
        <v>8000</v>
      </c>
      <c r="Q50" s="2"/>
      <c r="R50" s="7">
        <f t="shared" si="32"/>
        <v>1.675206730980645E-2</v>
      </c>
      <c r="S50" s="2"/>
      <c r="T50" s="6">
        <v>6400</v>
      </c>
      <c r="U50" s="2"/>
      <c r="V50" s="7">
        <f t="shared" si="33"/>
        <v>1.5806840410187508E-2</v>
      </c>
      <c r="W50" s="2"/>
      <c r="X50" s="6">
        <f t="shared" si="34"/>
        <v>1600</v>
      </c>
      <c r="Y50" s="2"/>
      <c r="Z50" s="7">
        <f t="shared" si="35"/>
        <v>0.25</v>
      </c>
    </row>
    <row r="51" spans="1:26" s="26" customFormat="1" outlineLevel="1" collapsed="1" x14ac:dyDescent="0.25">
      <c r="A51" s="25"/>
      <c r="B51" s="12" t="str">
        <f>CONCATENATE("     ","Repair and Maintenance                            ")</f>
        <v xml:space="preserve">     Repair and Maintenance                            </v>
      </c>
      <c r="C51" s="12"/>
      <c r="D51" s="1">
        <f>SUM(OSRRefD22_9x_0)</f>
        <v>0</v>
      </c>
      <c r="E51" s="1"/>
      <c r="F51" s="5">
        <f t="shared" si="28"/>
        <v>0</v>
      </c>
      <c r="G51" s="1"/>
      <c r="H51" s="1">
        <f>SUM(OSRRefH22_9x_0)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2"/>
      <c r="P51" s="1">
        <f>SUM(OSRRefP22_9x_0)</f>
        <v>149496.13</v>
      </c>
      <c r="Q51" s="1"/>
      <c r="R51" s="5">
        <f t="shared" si="32"/>
        <v>0.31304615403944697</v>
      </c>
      <c r="S51" s="1"/>
      <c r="T51" s="1">
        <f>SUM(OSRRefT22_9x_0)</f>
        <v>118520.76</v>
      </c>
      <c r="U51" s="1"/>
      <c r="V51" s="5">
        <f t="shared" si="33"/>
        <v>0.29272480290845865</v>
      </c>
      <c r="W51" s="1"/>
      <c r="X51" s="1">
        <f t="shared" si="34"/>
        <v>30975.37000000001</v>
      </c>
      <c r="Y51" s="1"/>
      <c r="Z51" s="5">
        <f t="shared" si="35"/>
        <v>0.26134974159801211</v>
      </c>
    </row>
    <row r="52" spans="1:26" s="23" customFormat="1" hidden="1" outlineLevel="2" x14ac:dyDescent="0.25">
      <c r="A52" s="27"/>
      <c r="B52" s="10" t="str">
        <f>CONCATENATE("          ", "6371", " - ", "COMPUTER SOFTWARE MAINTENANCE")</f>
        <v xml:space="preserve">          6371 - COMPUTER SOFTWARE MAINTENANCE</v>
      </c>
      <c r="C52" s="10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0"/>
      <c r="P52" s="6"/>
      <c r="Q52" s="2"/>
      <c r="R52" s="7">
        <f t="shared" si="32"/>
        <v>0</v>
      </c>
      <c r="S52" s="2"/>
      <c r="T52" s="6">
        <v>437.31</v>
      </c>
      <c r="U52" s="2"/>
      <c r="V52" s="7">
        <f t="shared" si="33"/>
        <v>1.0800764655904843E-3</v>
      </c>
      <c r="W52" s="2"/>
      <c r="X52" s="6">
        <f t="shared" si="34"/>
        <v>-437.31</v>
      </c>
      <c r="Y52" s="2"/>
      <c r="Z52" s="7">
        <f t="shared" si="35"/>
        <v>-1</v>
      </c>
    </row>
    <row r="53" spans="1:26" s="23" customFormat="1" hidden="1" outlineLevel="2" x14ac:dyDescent="0.25">
      <c r="A53" s="27"/>
      <c r="B53" s="10" t="str">
        <f>CONCATENATE("          ", "6373", " - ", "MAINTENANCE CONTRACTS")</f>
        <v xml:space="preserve">          6373 - MAINTENANCE CONTRACTS</v>
      </c>
      <c r="C53" s="10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0"/>
      <c r="P53" s="6">
        <v>142934.13</v>
      </c>
      <c r="Q53" s="2"/>
      <c r="R53" s="7">
        <f t="shared" si="32"/>
        <v>0.29930527082857822</v>
      </c>
      <c r="S53" s="2"/>
      <c r="T53" s="6">
        <v>117094</v>
      </c>
      <c r="U53" s="2"/>
      <c r="V53" s="7">
        <f t="shared" si="33"/>
        <v>0.28920096421726504</v>
      </c>
      <c r="W53" s="2"/>
      <c r="X53" s="6">
        <f t="shared" si="34"/>
        <v>25840.130000000005</v>
      </c>
      <c r="Y53" s="2"/>
      <c r="Z53" s="7">
        <f t="shared" si="35"/>
        <v>0.22067851469759342</v>
      </c>
    </row>
    <row r="54" spans="1:26" s="23" customFormat="1" hidden="1" outlineLevel="2" x14ac:dyDescent="0.25">
      <c r="A54" s="27"/>
      <c r="B54" s="10" t="str">
        <f>CONCATENATE("          ", "6375", " - ", "OUTSIDE REPAIRS &amp; MAINTENANCE")</f>
        <v xml:space="preserve">          6375 - OUTSIDE REPAIRS &amp; MAINTENANCE</v>
      </c>
      <c r="C54" s="10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0"/>
      <c r="P54" s="6">
        <v>6562</v>
      </c>
      <c r="Q54" s="2"/>
      <c r="R54" s="7">
        <f t="shared" si="32"/>
        <v>1.3740883210868741E-2</v>
      </c>
      <c r="S54" s="2"/>
      <c r="T54" s="6">
        <v>989.45</v>
      </c>
      <c r="U54" s="2"/>
      <c r="V54" s="7">
        <f t="shared" si="33"/>
        <v>2.4437622256031299E-3</v>
      </c>
      <c r="W54" s="2"/>
      <c r="X54" s="6">
        <f t="shared" si="34"/>
        <v>5572.55</v>
      </c>
      <c r="Y54" s="2"/>
      <c r="Z54" s="7">
        <f t="shared" si="35"/>
        <v>5.6319672545353479</v>
      </c>
    </row>
    <row r="55" spans="1:26" s="26" customFormat="1" outlineLevel="1" collapsed="1" x14ac:dyDescent="0.25">
      <c r="A55" s="25"/>
      <c r="B55" s="12" t="str">
        <f>CONCATENATE("     ","Subscriptions &amp; Dues                              ")</f>
        <v xml:space="preserve">     Subscriptions &amp; Dues                              </v>
      </c>
      <c r="C55" s="12"/>
      <c r="D55" s="1">
        <f>SUM(OSRRefD22_10x_0)</f>
        <v>0</v>
      </c>
      <c r="E55" s="1"/>
      <c r="F55" s="5">
        <f t="shared" ref="F55:F60" si="36">IF(D$12=0,0,D55/D$12)</f>
        <v>0</v>
      </c>
      <c r="G55" s="1"/>
      <c r="H55" s="1">
        <f>SUM(OSRRefH22_10x_0)</f>
        <v>0</v>
      </c>
      <c r="I55" s="1"/>
      <c r="J55" s="5">
        <f t="shared" ref="J55:J60" si="37">IF(H$12=0,0,H55/H$12)</f>
        <v>0</v>
      </c>
      <c r="K55" s="1"/>
      <c r="L55" s="1">
        <f t="shared" ref="L55:L60" si="38">+D55-H55</f>
        <v>0</v>
      </c>
      <c r="M55" s="1"/>
      <c r="N55" s="5">
        <f t="shared" ref="N55:N60" si="39">IF(H55=0,0,L55/H55)</f>
        <v>0</v>
      </c>
      <c r="O55" s="12"/>
      <c r="P55" s="1">
        <f>SUM(OSRRefP22_10x_0)</f>
        <v>0</v>
      </c>
      <c r="Q55" s="1"/>
      <c r="R55" s="5">
        <f t="shared" ref="R55:R60" si="40">IF(P$12=0,0,P55/P$12)</f>
        <v>0</v>
      </c>
      <c r="S55" s="1"/>
      <c r="T55" s="1">
        <f>SUM(OSRRefT22_10x_0)</f>
        <v>825</v>
      </c>
      <c r="U55" s="1"/>
      <c r="V55" s="5">
        <f t="shared" ref="V55:V60" si="41">IF(T$12=0,0,T55/T$12)</f>
        <v>2.0376005216257336E-3</v>
      </c>
      <c r="W55" s="1"/>
      <c r="X55" s="1">
        <f t="shared" ref="X55:X60" si="42">+P55-T55</f>
        <v>-825</v>
      </c>
      <c r="Y55" s="1"/>
      <c r="Z55" s="5">
        <f t="shared" ref="Z55:Z60" si="43">IF(T55=0,0,X55/T55)</f>
        <v>-1</v>
      </c>
    </row>
    <row r="56" spans="1:26" s="23" customFormat="1" hidden="1" outlineLevel="2" x14ac:dyDescent="0.25">
      <c r="A56" s="27"/>
      <c r="B56" s="10" t="str">
        <f>CONCATENATE("          ", "6258", " - ", "MEMBERSHIP DUES")</f>
        <v xml:space="preserve">          6258 - MEMBERSHIP DUES</v>
      </c>
      <c r="C56" s="10"/>
      <c r="D56" s="6"/>
      <c r="E56" s="2"/>
      <c r="F56" s="7">
        <f t="shared" si="36"/>
        <v>0</v>
      </c>
      <c r="G56" s="2"/>
      <c r="H56" s="6"/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0"/>
      <c r="P56" s="6"/>
      <c r="Q56" s="2"/>
      <c r="R56" s="7">
        <f t="shared" si="40"/>
        <v>0</v>
      </c>
      <c r="S56" s="2"/>
      <c r="T56" s="6">
        <v>825</v>
      </c>
      <c r="U56" s="2"/>
      <c r="V56" s="7">
        <f t="shared" si="41"/>
        <v>2.0376005216257336E-3</v>
      </c>
      <c r="W56" s="2"/>
      <c r="X56" s="6">
        <f t="shared" si="42"/>
        <v>-825</v>
      </c>
      <c r="Y56" s="2"/>
      <c r="Z56" s="7">
        <f t="shared" si="43"/>
        <v>-1</v>
      </c>
    </row>
    <row r="57" spans="1:26" s="26" customFormat="1" outlineLevel="1" collapsed="1" x14ac:dyDescent="0.25">
      <c r="A57" s="25"/>
      <c r="B57" s="12" t="str">
        <f>CONCATENATE("     ","Supplies                                          ")</f>
        <v xml:space="preserve">     Supplies                                          </v>
      </c>
      <c r="C57" s="12"/>
      <c r="D57" s="1">
        <f>SUM(OSRRefD22_11x_0)</f>
        <v>2500</v>
      </c>
      <c r="E57" s="1"/>
      <c r="F57" s="5">
        <f t="shared" si="36"/>
        <v>7.4241254380234004E-2</v>
      </c>
      <c r="G57" s="1"/>
      <c r="H57" s="1">
        <f>SUM(OSRRefH22_11x_0)</f>
        <v>77.78</v>
      </c>
      <c r="I57" s="1"/>
      <c r="J57" s="5">
        <f t="shared" si="37"/>
        <v>3.0636521191113914E-3</v>
      </c>
      <c r="K57" s="1"/>
      <c r="L57" s="1">
        <f t="shared" si="38"/>
        <v>2422.2199999999998</v>
      </c>
      <c r="M57" s="1"/>
      <c r="N57" s="5">
        <f t="shared" si="39"/>
        <v>31.14193880174852</v>
      </c>
      <c r="O57" s="12"/>
      <c r="P57" s="1">
        <f>SUM(OSRRefP22_11x_0)</f>
        <v>44561.89</v>
      </c>
      <c r="Q57" s="1"/>
      <c r="R57" s="5">
        <f t="shared" si="40"/>
        <v>9.3312972591523866E-2</v>
      </c>
      <c r="S57" s="1"/>
      <c r="T57" s="1">
        <f>SUM(OSRRefT22_11x_0)</f>
        <v>24956.58</v>
      </c>
      <c r="U57" s="1"/>
      <c r="V57" s="5">
        <f t="shared" si="41"/>
        <v>6.1638230819387095E-2</v>
      </c>
      <c r="W57" s="1"/>
      <c r="X57" s="1">
        <f t="shared" si="42"/>
        <v>19605.309999999998</v>
      </c>
      <c r="Y57" s="1"/>
      <c r="Z57" s="5">
        <f t="shared" si="43"/>
        <v>0.78557678976846979</v>
      </c>
    </row>
    <row r="58" spans="1:26" s="23" customFormat="1" hidden="1" outlineLevel="2" x14ac:dyDescent="0.25">
      <c r="A58" s="27"/>
      <c r="B58" s="10" t="str">
        <f>CONCATENATE("          ", "6234", " - ", "EXPENDABLE SUPPLIES &amp; EQUIPMEN")</f>
        <v xml:space="preserve">          6234 - EXPENDABLE SUPPLIES &amp; EQUIPMEN</v>
      </c>
      <c r="C58" s="10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0"/>
      <c r="P58" s="6"/>
      <c r="Q58" s="2"/>
      <c r="R58" s="7">
        <f t="shared" si="40"/>
        <v>0</v>
      </c>
      <c r="S58" s="2"/>
      <c r="T58" s="6">
        <v>413.27</v>
      </c>
      <c r="U58" s="2"/>
      <c r="V58" s="7">
        <f t="shared" si="41"/>
        <v>1.0207020212997175E-3</v>
      </c>
      <c r="W58" s="2"/>
      <c r="X58" s="6">
        <f t="shared" si="42"/>
        <v>-413.27</v>
      </c>
      <c r="Y58" s="2"/>
      <c r="Z58" s="7">
        <f t="shared" si="43"/>
        <v>-1</v>
      </c>
    </row>
    <row r="59" spans="1:26" s="23" customFormat="1" hidden="1" outlineLevel="2" x14ac:dyDescent="0.25">
      <c r="A59" s="27"/>
      <c r="B59" s="10" t="str">
        <f>CONCATENATE("          ", "6241", " - ", "OFFICE EXPENSE")</f>
        <v xml:space="preserve">          6241 - OFFICE EXPENSE</v>
      </c>
      <c r="C59" s="10"/>
      <c r="D59" s="6">
        <v>2500</v>
      </c>
      <c r="E59" s="2"/>
      <c r="F59" s="7">
        <f t="shared" si="36"/>
        <v>7.4241254380234004E-2</v>
      </c>
      <c r="G59" s="2"/>
      <c r="H59" s="6">
        <v>77.78</v>
      </c>
      <c r="I59" s="2"/>
      <c r="J59" s="7">
        <f t="shared" si="37"/>
        <v>3.0636521191113914E-3</v>
      </c>
      <c r="K59" s="2"/>
      <c r="L59" s="6">
        <f t="shared" si="38"/>
        <v>2422.2199999999998</v>
      </c>
      <c r="M59" s="2"/>
      <c r="N59" s="7">
        <f t="shared" si="39"/>
        <v>31.14193880174852</v>
      </c>
      <c r="O59" s="10"/>
      <c r="P59" s="6">
        <v>44561.89</v>
      </c>
      <c r="Q59" s="2"/>
      <c r="R59" s="7">
        <f t="shared" si="40"/>
        <v>9.3312972591523866E-2</v>
      </c>
      <c r="S59" s="2"/>
      <c r="T59" s="6">
        <v>24339.79</v>
      </c>
      <c r="U59" s="2"/>
      <c r="V59" s="7">
        <f t="shared" si="41"/>
        <v>6.0114871273043415E-2</v>
      </c>
      <c r="W59" s="2"/>
      <c r="X59" s="6">
        <f t="shared" si="42"/>
        <v>20222.099999999999</v>
      </c>
      <c r="Y59" s="2"/>
      <c r="Z59" s="7">
        <f t="shared" si="43"/>
        <v>0.83082475239104359</v>
      </c>
    </row>
    <row r="60" spans="1:26" s="23" customFormat="1" hidden="1" outlineLevel="2" x14ac:dyDescent="0.25">
      <c r="A60" s="27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0"/>
      <c r="P60" s="6"/>
      <c r="Q60" s="2"/>
      <c r="R60" s="7">
        <f t="shared" si="40"/>
        <v>0</v>
      </c>
      <c r="S60" s="2"/>
      <c r="T60" s="6">
        <v>203.52</v>
      </c>
      <c r="U60" s="2"/>
      <c r="V60" s="7">
        <f t="shared" si="41"/>
        <v>5.0265752504396284E-4</v>
      </c>
      <c r="W60" s="2"/>
      <c r="X60" s="6">
        <f t="shared" si="42"/>
        <v>-203.52</v>
      </c>
      <c r="Y60" s="2"/>
      <c r="Z60" s="7">
        <f t="shared" si="43"/>
        <v>-1</v>
      </c>
    </row>
    <row r="61" spans="1:26" s="26" customFormat="1" outlineLevel="1" collapsed="1" x14ac:dyDescent="0.25">
      <c r="A61" s="25"/>
      <c r="B61" s="12" t="str">
        <f>CONCATENATE("     ","Telephone/Data Lines                              ")</f>
        <v xml:space="preserve">     Telephone/Data Lines                              </v>
      </c>
      <c r="C61" s="12"/>
      <c r="D61" s="1">
        <f>SUM(OSRRefD22_12x_0)</f>
        <v>87.1</v>
      </c>
      <c r="E61" s="1"/>
      <c r="F61" s="5">
        <f t="shared" ref="F61:F64" si="44">IF(D$12=0,0,D61/D$12)</f>
        <v>2.5865653026073527E-3</v>
      </c>
      <c r="G61" s="1"/>
      <c r="H61" s="1">
        <f>SUM(OSRRefH22_12x_0)</f>
        <v>194.05</v>
      </c>
      <c r="I61" s="1"/>
      <c r="J61" s="5">
        <f t="shared" ref="J61:J64" si="45">IF(H$12=0,0,H61/H$12)</f>
        <v>7.6433748227509061E-3</v>
      </c>
      <c r="K61" s="1"/>
      <c r="L61" s="1">
        <f t="shared" ref="L61:L64" si="46">+D61-H61</f>
        <v>-106.95000000000002</v>
      </c>
      <c r="M61" s="1"/>
      <c r="N61" s="5">
        <f t="shared" ref="N61:N64" si="47">IF(H61=0,0,L61/H61)</f>
        <v>-0.55114661169801604</v>
      </c>
      <c r="O61" s="12"/>
      <c r="P61" s="1">
        <f>SUM(OSRRefP22_12x_0)</f>
        <v>1798.93</v>
      </c>
      <c r="Q61" s="1"/>
      <c r="R61" s="5">
        <f t="shared" ref="R61:R64" si="48">IF(P$12=0,0,P61/P$12)</f>
        <v>3.7669745557037649E-3</v>
      </c>
      <c r="S61" s="1"/>
      <c r="T61" s="1">
        <f>SUM(OSRRefT22_12x_0)</f>
        <v>1893.6</v>
      </c>
      <c r="U61" s="1"/>
      <c r="V61" s="5">
        <f t="shared" ref="V61:V64" si="49">IF(T$12=0,0,T61/T$12)</f>
        <v>4.6768489063642293E-3</v>
      </c>
      <c r="W61" s="1"/>
      <c r="X61" s="1">
        <f t="shared" ref="X61:X64" si="50">+P61-T61</f>
        <v>-94.669999999999845</v>
      </c>
      <c r="Y61" s="1"/>
      <c r="Z61" s="5">
        <f t="shared" ref="Z61:Z64" si="51">IF(T61=0,0,X61/T61)</f>
        <v>-4.9994719053654338E-2</v>
      </c>
    </row>
    <row r="62" spans="1:26" s="23" customFormat="1" hidden="1" outlineLevel="2" x14ac:dyDescent="0.25">
      <c r="A62" s="27"/>
      <c r="B62" s="10" t="str">
        <f>CONCATENATE("          ", "6309", " - ", "TELEPHONE")</f>
        <v xml:space="preserve">          6309 - TELEPHONE</v>
      </c>
      <c r="C62" s="10"/>
      <c r="D62" s="6">
        <v>87.1</v>
      </c>
      <c r="E62" s="2"/>
      <c r="F62" s="7">
        <f t="shared" si="44"/>
        <v>2.5865653026073527E-3</v>
      </c>
      <c r="G62" s="2"/>
      <c r="H62" s="6">
        <v>194.05</v>
      </c>
      <c r="I62" s="2"/>
      <c r="J62" s="7">
        <f t="shared" si="45"/>
        <v>7.6433748227509061E-3</v>
      </c>
      <c r="K62" s="2"/>
      <c r="L62" s="6">
        <f t="shared" si="46"/>
        <v>-106.95000000000002</v>
      </c>
      <c r="M62" s="2"/>
      <c r="N62" s="7">
        <f t="shared" si="47"/>
        <v>-0.55114661169801604</v>
      </c>
      <c r="O62" s="10"/>
      <c r="P62" s="6">
        <v>1798.93</v>
      </c>
      <c r="Q62" s="2"/>
      <c r="R62" s="7">
        <f t="shared" si="48"/>
        <v>3.7669745557037649E-3</v>
      </c>
      <c r="S62" s="2"/>
      <c r="T62" s="6">
        <v>1893.6</v>
      </c>
      <c r="U62" s="2"/>
      <c r="V62" s="7">
        <f t="shared" si="49"/>
        <v>4.6768489063642293E-3</v>
      </c>
      <c r="W62" s="2"/>
      <c r="X62" s="6">
        <f t="shared" si="50"/>
        <v>-94.669999999999845</v>
      </c>
      <c r="Y62" s="2"/>
      <c r="Z62" s="7">
        <f t="shared" si="51"/>
        <v>-4.9994719053654338E-2</v>
      </c>
    </row>
    <row r="63" spans="1:26" s="26" customFormat="1" outlineLevel="1" collapsed="1" x14ac:dyDescent="0.25">
      <c r="A63" s="25"/>
      <c r="B63" s="12" t="str">
        <f>CONCATENATE("     ","Training                                          ")</f>
        <v xml:space="preserve">     Training                                          </v>
      </c>
      <c r="C63" s="12"/>
      <c r="D63" s="1">
        <f>SUM(OSRRefD22_13x_0)</f>
        <v>0</v>
      </c>
      <c r="E63" s="1"/>
      <c r="F63" s="5">
        <f t="shared" si="44"/>
        <v>0</v>
      </c>
      <c r="G63" s="1"/>
      <c r="H63" s="1">
        <f>SUM(OSRRefH22_13x_0)</f>
        <v>1175</v>
      </c>
      <c r="I63" s="1"/>
      <c r="J63" s="5">
        <f t="shared" si="45"/>
        <v>4.6281707893492986E-2</v>
      </c>
      <c r="K63" s="1"/>
      <c r="L63" s="1">
        <f t="shared" si="46"/>
        <v>-1175</v>
      </c>
      <c r="M63" s="1"/>
      <c r="N63" s="5">
        <f t="shared" si="47"/>
        <v>-1</v>
      </c>
      <c r="O63" s="12"/>
      <c r="P63" s="1">
        <f>SUM(OSRRefP22_13x_0)</f>
        <v>0</v>
      </c>
      <c r="Q63" s="1"/>
      <c r="R63" s="5">
        <f t="shared" si="48"/>
        <v>0</v>
      </c>
      <c r="S63" s="1"/>
      <c r="T63" s="1">
        <f>SUM(OSRRefT22_13x_0)</f>
        <v>3186.24</v>
      </c>
      <c r="U63" s="1"/>
      <c r="V63" s="5">
        <f t="shared" si="49"/>
        <v>7.8694354982118513E-3</v>
      </c>
      <c r="W63" s="1"/>
      <c r="X63" s="1">
        <f t="shared" si="50"/>
        <v>-3186.24</v>
      </c>
      <c r="Y63" s="1"/>
      <c r="Z63" s="5">
        <f t="shared" si="51"/>
        <v>-1</v>
      </c>
    </row>
    <row r="64" spans="1:26" s="23" customFormat="1" hidden="1" outlineLevel="2" x14ac:dyDescent="0.25">
      <c r="A64" s="27"/>
      <c r="B64" s="10" t="str">
        <f>CONCATENATE("          ", "6376", " - ", "TRAINING")</f>
        <v xml:space="preserve">          6376 - TRAINING</v>
      </c>
      <c r="C64" s="10"/>
      <c r="D64" s="6"/>
      <c r="E64" s="2"/>
      <c r="F64" s="7">
        <f t="shared" si="44"/>
        <v>0</v>
      </c>
      <c r="G64" s="2"/>
      <c r="H64" s="6">
        <v>1175</v>
      </c>
      <c r="I64" s="2"/>
      <c r="J64" s="7">
        <f t="shared" si="45"/>
        <v>4.6281707893492986E-2</v>
      </c>
      <c r="K64" s="2"/>
      <c r="L64" s="6">
        <f t="shared" si="46"/>
        <v>-1175</v>
      </c>
      <c r="M64" s="2"/>
      <c r="N64" s="7">
        <f t="shared" si="47"/>
        <v>-1</v>
      </c>
      <c r="O64" s="10"/>
      <c r="P64" s="6"/>
      <c r="Q64" s="2"/>
      <c r="R64" s="7">
        <f t="shared" si="48"/>
        <v>0</v>
      </c>
      <c r="S64" s="2"/>
      <c r="T64" s="6">
        <v>3186.24</v>
      </c>
      <c r="U64" s="2"/>
      <c r="V64" s="7">
        <f t="shared" si="49"/>
        <v>7.8694354982118513E-3</v>
      </c>
      <c r="W64" s="2"/>
      <c r="X64" s="6">
        <f t="shared" si="50"/>
        <v>-3186.24</v>
      </c>
      <c r="Y64" s="2"/>
      <c r="Z64" s="7">
        <f t="shared" si="51"/>
        <v>-1</v>
      </c>
    </row>
    <row r="65" spans="1:26" s="62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4" customFormat="1" collapsed="1" x14ac:dyDescent="0.25">
      <c r="A66" s="11"/>
      <c r="B66" s="28" t="s">
        <v>292</v>
      </c>
      <c r="C66" s="11"/>
      <c r="D66" s="4">
        <f>SUM(OSRRefD25x_0)</f>
        <v>221.44</v>
      </c>
      <c r="E66" s="4"/>
      <c r="F66" s="13">
        <f t="shared" ref="F66:F67" si="52">IF(D$12=0,0,D66/D$12)</f>
        <v>6.5759933479836077E-3</v>
      </c>
      <c r="G66" s="4"/>
      <c r="H66" s="4">
        <f>SUM(OSRRefH25x_0)</f>
        <v>181.5</v>
      </c>
      <c r="I66" s="4"/>
      <c r="J66" s="13">
        <f t="shared" ref="J66:J67" si="53">IF(H$12=0,0,H66/H$12)</f>
        <v>7.1490467937608323E-3</v>
      </c>
      <c r="K66" s="4"/>
      <c r="L66" s="4">
        <f t="shared" ref="L66:L67" si="54">+D66-H66</f>
        <v>39.94</v>
      </c>
      <c r="M66" s="4"/>
      <c r="N66" s="13">
        <f t="shared" ref="N66:N67" si="55">IF(H66=0,0,L66/H66)</f>
        <v>0.22005509641873278</v>
      </c>
      <c r="O66" s="11"/>
      <c r="P66" s="4">
        <f>SUM(OSRRefP25x_0)</f>
        <v>2160.12</v>
      </c>
      <c r="Q66" s="4"/>
      <c r="R66" s="13">
        <f t="shared" ref="R66:R67" si="56">IF(P$12=0,0,P66/P$12)</f>
        <v>4.5233094546573887E-3</v>
      </c>
      <c r="S66" s="4"/>
      <c r="T66" s="4">
        <f>SUM(OSRRefT25x_0)</f>
        <v>20517.75</v>
      </c>
      <c r="U66" s="4"/>
      <c r="V66" s="13">
        <f t="shared" ref="V66:V67" si="57">IF(T$12=0,0,T66/T$12)</f>
        <v>5.0675124972831991E-2</v>
      </c>
      <c r="W66" s="4"/>
      <c r="X66" s="4">
        <f t="shared" ref="X66:X67" si="58">+P66-T66</f>
        <v>-18357.63</v>
      </c>
      <c r="Y66" s="4"/>
      <c r="Z66" s="13">
        <f t="shared" ref="Z66:Z67" si="59">IF(T66=0,0,X66/T66)</f>
        <v>-0.89471945023211619</v>
      </c>
    </row>
    <row r="67" spans="1:26" s="23" customFormat="1" hidden="1" outlineLevel="1" x14ac:dyDescent="0.25">
      <c r="A67" s="44"/>
      <c r="B67" s="10" t="str">
        <f>CONCATENATE("          ", "9150", " - ", "MISC. INCOME")</f>
        <v xml:space="preserve">          9150 - MISC. INCOME</v>
      </c>
      <c r="C67" s="10"/>
      <c r="D67" s="2">
        <f>--221.44</f>
        <v>221.44</v>
      </c>
      <c r="E67" s="2"/>
      <c r="F67" s="19">
        <f t="shared" si="52"/>
        <v>6.5759933479836077E-3</v>
      </c>
      <c r="G67" s="2"/>
      <c r="H67" s="2">
        <f>--181.5</f>
        <v>181.5</v>
      </c>
      <c r="I67" s="2"/>
      <c r="J67" s="19">
        <f t="shared" si="53"/>
        <v>7.1490467937608323E-3</v>
      </c>
      <c r="K67" s="2"/>
      <c r="L67" s="2">
        <f t="shared" si="54"/>
        <v>39.94</v>
      </c>
      <c r="M67" s="2"/>
      <c r="N67" s="19">
        <f t="shared" si="55"/>
        <v>0.22005509641873278</v>
      </c>
      <c r="O67" s="10"/>
      <c r="P67" s="2">
        <f>--2160.12</f>
        <v>2160.12</v>
      </c>
      <c r="Q67" s="2"/>
      <c r="R67" s="19">
        <f t="shared" si="56"/>
        <v>4.5233094546573887E-3</v>
      </c>
      <c r="S67" s="2"/>
      <c r="T67" s="2">
        <f>--20517.75</f>
        <v>20517.75</v>
      </c>
      <c r="U67" s="2"/>
      <c r="V67" s="19">
        <f t="shared" si="57"/>
        <v>5.0675124972831991E-2</v>
      </c>
      <c r="W67" s="2"/>
      <c r="X67" s="2">
        <f t="shared" si="58"/>
        <v>-18357.63</v>
      </c>
      <c r="Y67" s="2"/>
      <c r="Z67" s="19">
        <f t="shared" si="59"/>
        <v>-0.89471945023211619</v>
      </c>
    </row>
    <row r="68" spans="1:26" x14ac:dyDescent="0.25">
      <c r="A68" s="9"/>
      <c r="B68" s="11"/>
      <c r="C68" s="11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1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4" customFormat="1" x14ac:dyDescent="0.25">
      <c r="A69" s="11"/>
      <c r="B69" s="29" t="s">
        <v>276</v>
      </c>
      <c r="C69" s="29"/>
      <c r="D69" s="20">
        <f>+D17-D19+D66</f>
        <v>13799.160000000005</v>
      </c>
      <c r="E69" s="14"/>
      <c r="F69" s="22">
        <f>IF(D$12=0,0,D69/D$12)</f>
        <v>0.40978677911742012</v>
      </c>
      <c r="G69" s="14"/>
      <c r="H69" s="20">
        <f>+H17-H19+H66</f>
        <v>9011.4599999999991</v>
      </c>
      <c r="I69" s="14"/>
      <c r="J69" s="22">
        <f>IF(H$12=0,0,H69/H$12)</f>
        <v>0.35494958247991176</v>
      </c>
      <c r="K69" s="16"/>
      <c r="L69" s="20">
        <f>+D69-H69</f>
        <v>4787.7000000000062</v>
      </c>
      <c r="M69" s="16"/>
      <c r="N69" s="22">
        <f>IF(H69=0,0,L69/H69)</f>
        <v>0.53129015719983297</v>
      </c>
      <c r="O69" s="28"/>
      <c r="P69" s="20">
        <f>+P17-P19+P66</f>
        <v>91479.82</v>
      </c>
      <c r="Q69" s="14"/>
      <c r="R69" s="22">
        <f>IF(P$12=0,0,P69/P$12)</f>
        <v>0.19155951276612232</v>
      </c>
      <c r="S69" s="14"/>
      <c r="T69" s="20">
        <f>+T17-T19+T66</f>
        <v>40664.630000000005</v>
      </c>
      <c r="U69" s="14"/>
      <c r="V69" s="22">
        <f>IF(T$12=0,0,T69/T$12)</f>
        <v>0.10043426824208178</v>
      </c>
      <c r="W69" s="16"/>
      <c r="X69" s="20">
        <f>+P69-T69</f>
        <v>50815.19</v>
      </c>
      <c r="Y69" s="16"/>
      <c r="Z69" s="22">
        <f>IF(T69=0,0,X69/T69)</f>
        <v>1.2496164357083783</v>
      </c>
    </row>
    <row r="70" spans="1:26" x14ac:dyDescent="0.25">
      <c r="A70" s="9"/>
      <c r="B70" s="11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4" customFormat="1" x14ac:dyDescent="0.25">
      <c r="A71" s="51"/>
      <c r="B71" s="11" t="s">
        <v>127</v>
      </c>
      <c r="C71" s="11"/>
      <c r="D71" s="4">
        <v>8426.34</v>
      </c>
      <c r="E71" s="4"/>
      <c r="F71" s="13">
        <f>IF(D$12=0,0,D71/D$12)</f>
        <v>0.25023282057373641</v>
      </c>
      <c r="G71" s="4"/>
      <c r="H71" s="4">
        <v>5307.79</v>
      </c>
      <c r="I71" s="4"/>
      <c r="J71" s="13">
        <f>IF(H$12=0,0,H71/H$12)</f>
        <v>0.20906688199149204</v>
      </c>
      <c r="K71" s="4"/>
      <c r="L71" s="4">
        <f>+D71-H71</f>
        <v>3118.55</v>
      </c>
      <c r="M71" s="4"/>
      <c r="N71" s="13">
        <f>IF(H71=0,0,L71/H71)</f>
        <v>0.58754208437033117</v>
      </c>
      <c r="O71" s="11"/>
      <c r="P71" s="4">
        <v>99906.03</v>
      </c>
      <c r="Q71" s="4"/>
      <c r="R71" s="13">
        <f>IF(P$12=0,0,P71/P$12)</f>
        <v>0.20920406740194281</v>
      </c>
      <c r="S71" s="4"/>
      <c r="T71" s="4">
        <v>45972.13</v>
      </c>
      <c r="U71" s="4"/>
      <c r="V71" s="13">
        <f>IF(T$12=0,0,T71/T$12)</f>
        <v>0.11354283159787397</v>
      </c>
      <c r="W71" s="4"/>
      <c r="X71" s="4">
        <f>+P71-T71</f>
        <v>53933.9</v>
      </c>
      <c r="Y71" s="4"/>
      <c r="Z71" s="13">
        <f>IF(T71=0,0,X71/T71)</f>
        <v>1.1731868851845673</v>
      </c>
    </row>
    <row r="72" spans="1:26" x14ac:dyDescent="0.25">
      <c r="A72" s="9"/>
      <c r="B72" s="11"/>
      <c r="C72" s="11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1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ht="15.75" thickBot="1" x14ac:dyDescent="0.3">
      <c r="A73" s="11"/>
      <c r="B73" s="29" t="s">
        <v>125</v>
      </c>
      <c r="C73" s="29"/>
      <c r="D73" s="30">
        <f>+D69-D71</f>
        <v>5372.8200000000052</v>
      </c>
      <c r="E73" s="14"/>
      <c r="F73" s="34">
        <f>IF(D$12=0,0,D73/D$12)</f>
        <v>0.1595539585436837</v>
      </c>
      <c r="G73" s="14"/>
      <c r="H73" s="30">
        <f>+H69-H71</f>
        <v>3703.6699999999992</v>
      </c>
      <c r="I73" s="14"/>
      <c r="J73" s="34">
        <f>IF(H$12=0,0,H73/H$12)</f>
        <v>0.1458827004884197</v>
      </c>
      <c r="K73" s="16"/>
      <c r="L73" s="30">
        <f>D73-H73</f>
        <v>1669.150000000006</v>
      </c>
      <c r="M73" s="16"/>
      <c r="N73" s="34">
        <f>IF(H73=0,0,L73/H73)</f>
        <v>0.45067460113887209</v>
      </c>
      <c r="O73" s="28"/>
      <c r="P73" s="30">
        <f>+P69-P71</f>
        <v>-8426.2099999999919</v>
      </c>
      <c r="Q73" s="14"/>
      <c r="R73" s="34">
        <f>IF(P$12=0,0,P73/P$12)</f>
        <v>-1.7644554635820511E-2</v>
      </c>
      <c r="S73" s="14"/>
      <c r="T73" s="30">
        <f>+T69-T71</f>
        <v>-5307.4999999999927</v>
      </c>
      <c r="U73" s="14"/>
      <c r="V73" s="34">
        <f>IF(T$12=0,0,T73/T$12)</f>
        <v>-1.3108563355792201E-2</v>
      </c>
      <c r="W73" s="16"/>
      <c r="X73" s="30">
        <f>P73-T73</f>
        <v>-3118.7099999999991</v>
      </c>
      <c r="Y73" s="16"/>
      <c r="Z73" s="34">
        <f>IF(T73=0,0,X73/T73)</f>
        <v>0.58760433349034447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ht="15.75" thickBot="1" x14ac:dyDescent="0.3">
      <c r="A76" s="11"/>
      <c r="B76" s="29" t="s">
        <v>293</v>
      </c>
      <c r="C76" s="29"/>
      <c r="D76" s="32">
        <f>SUM(D73:D75)</f>
        <v>5372.8200000000052</v>
      </c>
      <c r="E76" s="14"/>
      <c r="F76" s="35">
        <f>IF(D$12=0,0,D76/D$12)</f>
        <v>0.1595539585436837</v>
      </c>
      <c r="G76" s="14"/>
      <c r="H76" s="32">
        <f>SUM(H73:H75)</f>
        <v>3703.6699999999992</v>
      </c>
      <c r="I76" s="14"/>
      <c r="J76" s="35">
        <f>IF(H$12=0,0,H76/H$12)</f>
        <v>0.1458827004884197</v>
      </c>
      <c r="K76" s="16"/>
      <c r="L76" s="32">
        <f>+D76-H76</f>
        <v>1669.150000000006</v>
      </c>
      <c r="M76" s="16"/>
      <c r="N76" s="35">
        <f>IF(H76=0,0,L76/H76)</f>
        <v>0.45067460113887209</v>
      </c>
      <c r="O76" s="28"/>
      <c r="P76" s="32">
        <f>SUM(P73:P75)</f>
        <v>-8426.2099999999919</v>
      </c>
      <c r="Q76" s="14"/>
      <c r="R76" s="35">
        <f>IF(P$12=0,0,P76/P$12)</f>
        <v>-1.7644554635820511E-2</v>
      </c>
      <c r="S76" s="14"/>
      <c r="T76" s="32">
        <f>SUM(T73:T75)</f>
        <v>-5307.4999999999927</v>
      </c>
      <c r="U76" s="14"/>
      <c r="V76" s="35">
        <f>IF(T$12=0,0,T76/T$12)</f>
        <v>-1.3108563355792201E-2</v>
      </c>
      <c r="W76" s="16"/>
      <c r="X76" s="32">
        <f>+P76-T76</f>
        <v>-3118.7099999999991</v>
      </c>
      <c r="Y76" s="16"/>
      <c r="Z76" s="35">
        <f>IF(T76=0,0,X76/T76)</f>
        <v>0.58760433349034447</v>
      </c>
    </row>
    <row r="77" spans="1:26" ht="15.75" thickTop="1" x14ac:dyDescent="0.25">
      <c r="A77" s="9"/>
      <c r="C77" s="9"/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25">
      <c r="A78" s="9"/>
      <c r="B78" s="59">
        <v>44330.008827048609</v>
      </c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52" t="s">
        <v>56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5"/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4:24" x14ac:dyDescent="0.25"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str">
        <f>CONCATENATE("Period ",RIGHT(202110,2),", ",2021)</f>
        <v>Period 10, 2021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3">
        <v>44317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str">
        <f>CONCATENATE("Department ","501", " - ", "ID Card Services")</f>
        <v>Department 501 - ID Card Services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>
        <f>SUM(OSRRefD13x_0)</f>
        <v>33674</v>
      </c>
      <c r="E12" s="4"/>
      <c r="F12" s="13"/>
      <c r="G12" s="4"/>
      <c r="H12" s="4">
        <f>SUM(OSRRefH13x_0)</f>
        <v>25388</v>
      </c>
      <c r="I12" s="4"/>
      <c r="J12" s="13"/>
      <c r="K12" s="4"/>
      <c r="L12" s="4">
        <f t="shared" ref="L12:L13" si="0">+D12-H12</f>
        <v>8286</v>
      </c>
      <c r="M12" s="4"/>
      <c r="N12" s="13">
        <f t="shared" ref="N12:N13" si="1">IF(H12=0,0,L12/H12)</f>
        <v>0.32637466519615566</v>
      </c>
      <c r="O12" s="11"/>
      <c r="P12" s="4">
        <f>SUM(OSRRefP13x_0)</f>
        <v>477553</v>
      </c>
      <c r="Q12" s="4"/>
      <c r="R12" s="13"/>
      <c r="S12" s="4"/>
      <c r="T12" s="4">
        <f>SUM(OSRRefT13x_0)</f>
        <v>404888</v>
      </c>
      <c r="U12" s="4"/>
      <c r="V12" s="13"/>
      <c r="W12" s="4"/>
      <c r="X12" s="4">
        <f t="shared" ref="X12:X13" si="2">+P12-T12</f>
        <v>72665</v>
      </c>
      <c r="Y12" s="4"/>
      <c r="Z12" s="13">
        <f t="shared" ref="Z12:Z13" si="3">IF(T12=0,0,X12/T12)</f>
        <v>0.17946938412598051</v>
      </c>
    </row>
    <row r="13" spans="1:26" s="23" customFormat="1" hidden="1" outlineLevel="1" x14ac:dyDescent="0.25">
      <c r="A13" s="44"/>
      <c r="B13" s="10" t="str">
        <f>CONCATENATE("          ", "4100", " - ", "NON-TAXABLE SALES")</f>
        <v xml:space="preserve">          4100 - NON-TAXABLE SALES</v>
      </c>
      <c r="C13" s="10"/>
      <c r="D13" s="2">
        <f>--33674</f>
        <v>33674</v>
      </c>
      <c r="E13" s="2"/>
      <c r="F13" s="19"/>
      <c r="G13" s="2"/>
      <c r="H13" s="2">
        <f>--25388</f>
        <v>25388</v>
      </c>
      <c r="I13" s="2"/>
      <c r="J13" s="19"/>
      <c r="K13" s="2"/>
      <c r="L13" s="2">
        <f t="shared" si="0"/>
        <v>8286</v>
      </c>
      <c r="M13" s="2"/>
      <c r="N13" s="19">
        <f t="shared" si="1"/>
        <v>0.32637466519615566</v>
      </c>
      <c r="O13" s="10"/>
      <c r="P13" s="2">
        <f>--477553</f>
        <v>477553</v>
      </c>
      <c r="Q13" s="2"/>
      <c r="R13" s="19"/>
      <c r="S13" s="2"/>
      <c r="T13" s="2">
        <f>--404888</f>
        <v>404888</v>
      </c>
      <c r="U13" s="2"/>
      <c r="V13" s="19"/>
      <c r="W13" s="2"/>
      <c r="X13" s="2">
        <f t="shared" si="2"/>
        <v>72665</v>
      </c>
      <c r="Y13" s="2"/>
      <c r="Z13" s="19">
        <f t="shared" si="3"/>
        <v>0.17946938412598051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x14ac:dyDescent="0.25">
      <c r="A15" s="11"/>
      <c r="B15" s="28" t="s">
        <v>256</v>
      </c>
      <c r="C15" s="11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1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25">
      <c r="A16" s="9"/>
      <c r="B16" s="11"/>
      <c r="C16" s="11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1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4" customFormat="1" x14ac:dyDescent="0.25">
      <c r="A17" s="11"/>
      <c r="B17" s="29" t="s">
        <v>107</v>
      </c>
      <c r="C17" s="29"/>
      <c r="D17" s="20">
        <f>D12-D15</f>
        <v>33674</v>
      </c>
      <c r="E17" s="14"/>
      <c r="F17" s="22">
        <f>IF(D$12=0,0,D17/D$12)</f>
        <v>1</v>
      </c>
      <c r="G17" s="14"/>
      <c r="H17" s="20">
        <f>H12-H15</f>
        <v>25388</v>
      </c>
      <c r="I17" s="14"/>
      <c r="J17" s="22">
        <f>IF(H$12=0,0,H17/H$12)</f>
        <v>1</v>
      </c>
      <c r="K17" s="16"/>
      <c r="L17" s="20">
        <f>+D17-H17</f>
        <v>8286</v>
      </c>
      <c r="M17" s="16"/>
      <c r="N17" s="22">
        <f>IF(H17=0,0,L17/H17)</f>
        <v>0.32637466519615566</v>
      </c>
      <c r="O17" s="28"/>
      <c r="P17" s="20">
        <f>P12-P15</f>
        <v>477553</v>
      </c>
      <c r="Q17" s="14"/>
      <c r="R17" s="22">
        <f>IF(P$12=0,0,P17/P$12)</f>
        <v>1</v>
      </c>
      <c r="S17" s="14"/>
      <c r="T17" s="20">
        <f>T12-T15</f>
        <v>404888</v>
      </c>
      <c r="U17" s="14"/>
      <c r="V17" s="22">
        <f>IF(T$12=0,0,T17/T$12)</f>
        <v>1</v>
      </c>
      <c r="W17" s="16"/>
      <c r="X17" s="20">
        <f>+P17-T17</f>
        <v>72665</v>
      </c>
      <c r="Y17" s="16"/>
      <c r="Z17" s="22">
        <f>IF(T17=0,0,X17/T17)</f>
        <v>0.17946938412598051</v>
      </c>
    </row>
    <row r="18" spans="1:26" x14ac:dyDescent="0.25">
      <c r="A18" s="9"/>
      <c r="B18" s="11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4" customFormat="1" x14ac:dyDescent="0.25">
      <c r="A19" s="11"/>
      <c r="B19" s="28" t="s">
        <v>294</v>
      </c>
      <c r="C19" s="11"/>
      <c r="D19" s="21">
        <f>SUM(OSRRefD22x_0)</f>
        <v>20096.279999999995</v>
      </c>
      <c r="E19" s="21"/>
      <c r="F19" s="31">
        <f t="shared" ref="F19:F29" si="4">IF(D$12=0,0,D19/D$12)</f>
        <v>0.59678921423056353</v>
      </c>
      <c r="G19" s="21"/>
      <c r="H19" s="21">
        <f>SUM(OSRRefH22x_0)</f>
        <v>16558.04</v>
      </c>
      <c r="I19" s="21"/>
      <c r="J19" s="31">
        <f t="shared" ref="J19:J29" si="5">IF(H$12=0,0,H19/H$12)</f>
        <v>0.65219946431384912</v>
      </c>
      <c r="K19" s="4"/>
      <c r="L19" s="21">
        <f t="shared" ref="L19:L29" si="6">+D19-H19</f>
        <v>3538.2399999999943</v>
      </c>
      <c r="M19" s="4"/>
      <c r="N19" s="31">
        <f t="shared" ref="N19:N29" si="7">IF(H19=0,0,L19/H19)</f>
        <v>0.21368712722037114</v>
      </c>
      <c r="O19" s="11"/>
      <c r="P19" s="21">
        <f>SUM(OSRRefP22x_0)</f>
        <v>388233.3</v>
      </c>
      <c r="Q19" s="21"/>
      <c r="R19" s="31">
        <f t="shared" ref="R19:R29" si="8">IF(P$12=0,0,P19/P$12)</f>
        <v>0.81296379668853502</v>
      </c>
      <c r="S19" s="21"/>
      <c r="T19" s="21">
        <f>SUM(OSRRefT22x_0)</f>
        <v>384741.12</v>
      </c>
      <c r="U19" s="21"/>
      <c r="V19" s="31">
        <f t="shared" ref="V19:V29" si="9">IF(T$12=0,0,T19/T$12)</f>
        <v>0.95024085673075021</v>
      </c>
      <c r="W19" s="4"/>
      <c r="X19" s="21">
        <f t="shared" ref="X19:X29" si="10">+P19-T19</f>
        <v>3492.179999999993</v>
      </c>
      <c r="Y19" s="4"/>
      <c r="Z19" s="31">
        <f t="shared" ref="Z19:Z29" si="11">IF(T19=0,0,X19/T19)</f>
        <v>9.0767007176149848E-3</v>
      </c>
    </row>
    <row r="20" spans="1:26" s="26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4442.8100000000004</v>
      </c>
      <c r="E20" s="1"/>
      <c r="F20" s="5">
        <f t="shared" si="4"/>
        <v>0.131935914949219</v>
      </c>
      <c r="G20" s="1"/>
      <c r="H20" s="1">
        <f>SUM(OSRRefH22_0x_0)</f>
        <v>4493.4399999999996</v>
      </c>
      <c r="I20" s="1"/>
      <c r="J20" s="5">
        <f t="shared" si="5"/>
        <v>0.17699070426973371</v>
      </c>
      <c r="K20" s="1"/>
      <c r="L20" s="1">
        <f t="shared" si="6"/>
        <v>-50.6299999999992</v>
      </c>
      <c r="M20" s="1"/>
      <c r="N20" s="5">
        <f t="shared" si="7"/>
        <v>-1.1267536675687046E-2</v>
      </c>
      <c r="O20" s="12"/>
      <c r="P20" s="1">
        <f>SUM(OSRRefP22_0x_0)</f>
        <v>42945.78</v>
      </c>
      <c r="Q20" s="1"/>
      <c r="R20" s="5">
        <f t="shared" si="8"/>
        <v>8.9928824654017456E-2</v>
      </c>
      <c r="S20" s="1"/>
      <c r="T20" s="1">
        <f>SUM(OSRRefT22_0x_0)</f>
        <v>45041.630000000005</v>
      </c>
      <c r="U20" s="1"/>
      <c r="V20" s="5">
        <f t="shared" si="9"/>
        <v>0.11124466519136157</v>
      </c>
      <c r="W20" s="1"/>
      <c r="X20" s="1">
        <f t="shared" si="10"/>
        <v>-2095.8500000000058</v>
      </c>
      <c r="Y20" s="1"/>
      <c r="Z20" s="5">
        <f t="shared" si="11"/>
        <v>-4.653139773138773E-2</v>
      </c>
    </row>
    <row r="21" spans="1:26" s="23" customFormat="1" hidden="1" outlineLevel="2" x14ac:dyDescent="0.25">
      <c r="A21" s="27"/>
      <c r="B21" s="10" t="str">
        <f>CONCATENATE("          ", "6111", " - ", "F.I.C.A.")</f>
        <v xml:space="preserve">          6111 - F.I.C.A.</v>
      </c>
      <c r="C21" s="10"/>
      <c r="D21" s="6">
        <v>1265.6400000000001</v>
      </c>
      <c r="E21" s="2"/>
      <c r="F21" s="7">
        <f t="shared" si="4"/>
        <v>3.7585080477519753E-2</v>
      </c>
      <c r="G21" s="2"/>
      <c r="H21" s="6">
        <v>1387.22</v>
      </c>
      <c r="I21" s="2"/>
      <c r="J21" s="7">
        <f t="shared" si="5"/>
        <v>5.464077516937136E-2</v>
      </c>
      <c r="K21" s="2"/>
      <c r="L21" s="6">
        <f t="shared" si="6"/>
        <v>-121.57999999999993</v>
      </c>
      <c r="M21" s="2"/>
      <c r="N21" s="7">
        <f t="shared" si="7"/>
        <v>-8.764291172272598E-2</v>
      </c>
      <c r="O21" s="10"/>
      <c r="P21" s="6">
        <v>10347.290000000001</v>
      </c>
      <c r="Q21" s="2"/>
      <c r="R21" s="7">
        <f t="shared" si="8"/>
        <v>2.16673123192609E-2</v>
      </c>
      <c r="S21" s="2"/>
      <c r="T21" s="6">
        <v>11147.7</v>
      </c>
      <c r="U21" s="2"/>
      <c r="V21" s="7">
        <f t="shared" si="9"/>
        <v>2.753279919385114E-2</v>
      </c>
      <c r="W21" s="2"/>
      <c r="X21" s="6">
        <f t="shared" si="10"/>
        <v>-800.40999999999985</v>
      </c>
      <c r="Y21" s="2"/>
      <c r="Z21" s="7">
        <f t="shared" si="11"/>
        <v>-7.1800461081658079E-2</v>
      </c>
    </row>
    <row r="22" spans="1:26" s="23" customFormat="1" hidden="1" outlineLevel="2" x14ac:dyDescent="0.25">
      <c r="A22" s="27"/>
      <c r="B22" s="10" t="str">
        <f>CONCATENATE("          ", "6112", " - ", "COMPENSATION INSURANCE")</f>
        <v xml:space="preserve">          6112 - COMPENSATION INSURANCE</v>
      </c>
      <c r="C22" s="10"/>
      <c r="D22" s="6">
        <v>14.14</v>
      </c>
      <c r="E22" s="2"/>
      <c r="F22" s="7">
        <f t="shared" si="4"/>
        <v>4.1990853477460359E-4</v>
      </c>
      <c r="G22" s="2"/>
      <c r="H22" s="6">
        <v>77.69</v>
      </c>
      <c r="I22" s="2"/>
      <c r="J22" s="7">
        <f t="shared" si="5"/>
        <v>3.0601071372301876E-3</v>
      </c>
      <c r="K22" s="2"/>
      <c r="L22" s="6">
        <f t="shared" si="6"/>
        <v>-63.55</v>
      </c>
      <c r="M22" s="2"/>
      <c r="N22" s="7">
        <f t="shared" si="7"/>
        <v>-0.81799459389882867</v>
      </c>
      <c r="O22" s="10"/>
      <c r="P22" s="6">
        <v>782.22</v>
      </c>
      <c r="Q22" s="2"/>
      <c r="R22" s="7">
        <f t="shared" si="8"/>
        <v>1.6379752613846002E-3</v>
      </c>
      <c r="S22" s="2"/>
      <c r="T22" s="6">
        <v>548.53</v>
      </c>
      <c r="U22" s="2"/>
      <c r="V22" s="7">
        <f t="shared" si="9"/>
        <v>1.3547697140937739E-3</v>
      </c>
      <c r="W22" s="2"/>
      <c r="X22" s="6">
        <f t="shared" si="10"/>
        <v>233.69000000000005</v>
      </c>
      <c r="Y22" s="2"/>
      <c r="Z22" s="7">
        <f t="shared" si="11"/>
        <v>0.42602956994148006</v>
      </c>
    </row>
    <row r="23" spans="1:26" s="23" customFormat="1" hidden="1" outlineLevel="2" x14ac:dyDescent="0.25">
      <c r="A23" s="27"/>
      <c r="B23" s="10" t="str">
        <f>CONCATENATE("          ", "6113", " - ", "GROUP INSURANCE")</f>
        <v xml:space="preserve">          6113 - GROUP INSURANCE</v>
      </c>
      <c r="C23" s="10"/>
      <c r="D23" s="6">
        <v>1207.95</v>
      </c>
      <c r="E23" s="2"/>
      <c r="F23" s="7">
        <f t="shared" si="4"/>
        <v>3.5871889291441472E-2</v>
      </c>
      <c r="G23" s="2"/>
      <c r="H23" s="6">
        <v>1285.8499999999999</v>
      </c>
      <c r="I23" s="2"/>
      <c r="J23" s="7">
        <f t="shared" si="5"/>
        <v>5.0647943910508898E-2</v>
      </c>
      <c r="K23" s="2"/>
      <c r="L23" s="6">
        <f t="shared" si="6"/>
        <v>-77.899999999999864</v>
      </c>
      <c r="M23" s="2"/>
      <c r="N23" s="7">
        <f t="shared" si="7"/>
        <v>-6.0582494070070277E-2</v>
      </c>
      <c r="O23" s="10"/>
      <c r="P23" s="6">
        <v>12234.8</v>
      </c>
      <c r="Q23" s="2"/>
      <c r="R23" s="7">
        <f t="shared" si="8"/>
        <v>2.5619774140252495E-2</v>
      </c>
      <c r="S23" s="2"/>
      <c r="T23" s="6">
        <v>12641.87</v>
      </c>
      <c r="U23" s="2"/>
      <c r="V23" s="7">
        <f t="shared" si="9"/>
        <v>3.1223128371302682E-2</v>
      </c>
      <c r="W23" s="2"/>
      <c r="X23" s="6">
        <f t="shared" si="10"/>
        <v>-407.07000000000153</v>
      </c>
      <c r="Y23" s="2"/>
      <c r="Z23" s="7">
        <f t="shared" si="11"/>
        <v>-3.220014127656759E-2</v>
      </c>
    </row>
    <row r="24" spans="1:26" s="23" customFormat="1" hidden="1" outlineLevel="2" x14ac:dyDescent="0.25">
      <c r="A24" s="27"/>
      <c r="B24" s="10" t="str">
        <f>CONCATENATE("          ", "6114", " - ", "STATE UNEMPLOYMENT INSURANCE")</f>
        <v xml:space="preserve">          6114 - STATE UNEMPLOYMENT INSURANCE</v>
      </c>
      <c r="C24" s="10"/>
      <c r="D24" s="6">
        <v>11.14</v>
      </c>
      <c r="E24" s="2"/>
      <c r="F24" s="7">
        <f t="shared" si="4"/>
        <v>3.3081902951832278E-4</v>
      </c>
      <c r="G24" s="2"/>
      <c r="H24" s="6">
        <v>32.200000000000003</v>
      </c>
      <c r="I24" s="2"/>
      <c r="J24" s="7">
        <f t="shared" si="5"/>
        <v>1.2683157397195526E-3</v>
      </c>
      <c r="K24" s="2"/>
      <c r="L24" s="6">
        <f t="shared" si="6"/>
        <v>-21.060000000000002</v>
      </c>
      <c r="M24" s="2"/>
      <c r="N24" s="7">
        <f t="shared" si="7"/>
        <v>-0.65403726708074539</v>
      </c>
      <c r="O24" s="10"/>
      <c r="P24" s="6">
        <v>358.12</v>
      </c>
      <c r="Q24" s="2"/>
      <c r="R24" s="7">
        <f t="shared" si="8"/>
        <v>7.4990629312348582E-4</v>
      </c>
      <c r="S24" s="2"/>
      <c r="T24" s="6">
        <v>448.95</v>
      </c>
      <c r="U24" s="2"/>
      <c r="V24" s="7">
        <f t="shared" si="9"/>
        <v>1.1088251565865128E-3</v>
      </c>
      <c r="W24" s="2"/>
      <c r="X24" s="6">
        <f t="shared" si="10"/>
        <v>-90.829999999999984</v>
      </c>
      <c r="Y24" s="2"/>
      <c r="Z24" s="7">
        <f t="shared" si="11"/>
        <v>-0.20231651631584807</v>
      </c>
    </row>
    <row r="25" spans="1:26" s="23" customFormat="1" hidden="1" outlineLevel="2" x14ac:dyDescent="0.25">
      <c r="A25" s="27"/>
      <c r="B25" s="10" t="str">
        <f>CONCATENATE("          ", "6115", " - ", "P.E.R.S.")</f>
        <v xml:space="preserve">          6115 - P.E.R.S.</v>
      </c>
      <c r="C25" s="10"/>
      <c r="D25" s="6">
        <v>640.35</v>
      </c>
      <c r="E25" s="2"/>
      <c r="F25" s="7">
        <f t="shared" si="4"/>
        <v>1.9016154896953141E-2</v>
      </c>
      <c r="G25" s="2"/>
      <c r="H25" s="6">
        <v>550.21</v>
      </c>
      <c r="I25" s="2"/>
      <c r="J25" s="7">
        <f t="shared" si="5"/>
        <v>2.1672049787301088E-2</v>
      </c>
      <c r="K25" s="2"/>
      <c r="L25" s="6">
        <f t="shared" si="6"/>
        <v>90.139999999999986</v>
      </c>
      <c r="M25" s="2"/>
      <c r="N25" s="7">
        <f t="shared" si="7"/>
        <v>0.16382835644572069</v>
      </c>
      <c r="O25" s="10"/>
      <c r="P25" s="6">
        <v>7701.28</v>
      </c>
      <c r="Q25" s="2"/>
      <c r="R25" s="7">
        <f t="shared" si="8"/>
        <v>1.6126545116458276E-2</v>
      </c>
      <c r="S25" s="2"/>
      <c r="T25" s="6">
        <v>7208.87</v>
      </c>
      <c r="U25" s="2"/>
      <c r="V25" s="7">
        <f t="shared" si="9"/>
        <v>1.7804602754341942E-2</v>
      </c>
      <c r="W25" s="2"/>
      <c r="X25" s="6">
        <f t="shared" si="10"/>
        <v>492.40999999999985</v>
      </c>
      <c r="Y25" s="2"/>
      <c r="Z25" s="7">
        <f t="shared" si="11"/>
        <v>6.8306128422346346E-2</v>
      </c>
    </row>
    <row r="26" spans="1:26" s="23" customFormat="1" hidden="1" outlineLevel="2" x14ac:dyDescent="0.25">
      <c r="A26" s="27"/>
      <c r="B26" s="10" t="str">
        <f>CONCATENATE("          ", "6117", " - ", "RETIREMENT STAFF HOURLY")</f>
        <v xml:space="preserve">          6117 - RETIREMENT STAFF HOURLY</v>
      </c>
      <c r="C26" s="10"/>
      <c r="D26" s="6">
        <v>74.67</v>
      </c>
      <c r="E26" s="2"/>
      <c r="F26" s="7">
        <f t="shared" si="4"/>
        <v>2.2174377858288296E-3</v>
      </c>
      <c r="G26" s="2"/>
      <c r="H26" s="6"/>
      <c r="I26" s="2"/>
      <c r="J26" s="7">
        <f t="shared" si="5"/>
        <v>0</v>
      </c>
      <c r="K26" s="2"/>
      <c r="L26" s="6">
        <f t="shared" si="6"/>
        <v>74.67</v>
      </c>
      <c r="M26" s="2"/>
      <c r="N26" s="7">
        <f t="shared" si="7"/>
        <v>0</v>
      </c>
      <c r="O26" s="10"/>
      <c r="P26" s="6">
        <v>889.45</v>
      </c>
      <c r="Q26" s="2"/>
      <c r="R26" s="7">
        <f t="shared" si="8"/>
        <v>1.8625157835884185E-3</v>
      </c>
      <c r="S26" s="2"/>
      <c r="T26" s="6"/>
      <c r="U26" s="2"/>
      <c r="V26" s="7">
        <f t="shared" si="9"/>
        <v>0</v>
      </c>
      <c r="W26" s="2"/>
      <c r="X26" s="6">
        <f t="shared" si="10"/>
        <v>889.45</v>
      </c>
      <c r="Y26" s="2"/>
      <c r="Z26" s="7">
        <f t="shared" si="11"/>
        <v>0</v>
      </c>
    </row>
    <row r="27" spans="1:26" s="23" customFormat="1" hidden="1" outlineLevel="2" x14ac:dyDescent="0.25">
      <c r="A27" s="27"/>
      <c r="B27" s="10" t="str">
        <f>CONCATENATE("          ", "6118", " - ", "VACATION")</f>
        <v xml:space="preserve">          6118 - VACATION</v>
      </c>
      <c r="C27" s="10"/>
      <c r="D27" s="6">
        <v>780.03</v>
      </c>
      <c r="E27" s="2"/>
      <c r="F27" s="7">
        <f t="shared" si="4"/>
        <v>2.3164162261685571E-2</v>
      </c>
      <c r="G27" s="2"/>
      <c r="H27" s="6">
        <v>727.06</v>
      </c>
      <c r="I27" s="2"/>
      <c r="J27" s="7">
        <f t="shared" si="5"/>
        <v>2.8637939183866392E-2</v>
      </c>
      <c r="K27" s="2"/>
      <c r="L27" s="6">
        <f t="shared" si="6"/>
        <v>52.970000000000027</v>
      </c>
      <c r="M27" s="2"/>
      <c r="N27" s="7">
        <f t="shared" si="7"/>
        <v>7.2855060105080777E-2</v>
      </c>
      <c r="O27" s="10"/>
      <c r="P27" s="6">
        <v>5720.22</v>
      </c>
      <c r="Q27" s="2"/>
      <c r="R27" s="7">
        <f t="shared" si="8"/>
        <v>1.1978188808362633E-2</v>
      </c>
      <c r="S27" s="2"/>
      <c r="T27" s="6">
        <v>7463.8</v>
      </c>
      <c r="U27" s="2"/>
      <c r="V27" s="7">
        <f t="shared" si="9"/>
        <v>1.8434233664618365E-2</v>
      </c>
      <c r="W27" s="2"/>
      <c r="X27" s="6">
        <f t="shared" si="10"/>
        <v>-1743.58</v>
      </c>
      <c r="Y27" s="2"/>
      <c r="Z27" s="7">
        <f t="shared" si="11"/>
        <v>-0.2336048661539698</v>
      </c>
    </row>
    <row r="28" spans="1:26" s="23" customFormat="1" hidden="1" outlineLevel="2" x14ac:dyDescent="0.25">
      <c r="A28" s="27"/>
      <c r="B28" s="10" t="str">
        <f>CONCATENATE("          ", "6119", " - ", "SICK LEAVE")</f>
        <v xml:space="preserve">          6119 - SICK LEAVE</v>
      </c>
      <c r="C28" s="10"/>
      <c r="D28" s="6">
        <v>448.89</v>
      </c>
      <c r="E28" s="2"/>
      <c r="F28" s="7">
        <f t="shared" si="4"/>
        <v>1.3330462671497297E-2</v>
      </c>
      <c r="G28" s="2"/>
      <c r="H28" s="6">
        <v>422.43</v>
      </c>
      <c r="I28" s="2"/>
      <c r="J28" s="7">
        <f t="shared" si="5"/>
        <v>1.6638963289743187E-2</v>
      </c>
      <c r="K28" s="2"/>
      <c r="L28" s="6">
        <f t="shared" si="6"/>
        <v>26.45999999999998</v>
      </c>
      <c r="M28" s="2"/>
      <c r="N28" s="7">
        <f t="shared" si="7"/>
        <v>6.2637596761593584E-2</v>
      </c>
      <c r="O28" s="10"/>
      <c r="P28" s="6">
        <v>3291.87</v>
      </c>
      <c r="Q28" s="2"/>
      <c r="R28" s="7">
        <f t="shared" si="8"/>
        <v>6.8932034768915702E-3</v>
      </c>
      <c r="S28" s="2"/>
      <c r="T28" s="6">
        <v>4261.22</v>
      </c>
      <c r="U28" s="2"/>
      <c r="V28" s="7">
        <f t="shared" si="9"/>
        <v>1.0524441326984253E-2</v>
      </c>
      <c r="W28" s="2"/>
      <c r="X28" s="6">
        <f t="shared" si="10"/>
        <v>-969.35000000000036</v>
      </c>
      <c r="Y28" s="2"/>
      <c r="Z28" s="7">
        <f t="shared" si="11"/>
        <v>-0.227481800986572</v>
      </c>
    </row>
    <row r="29" spans="1:26" s="23" customFormat="1" hidden="1" outlineLevel="2" x14ac:dyDescent="0.25">
      <c r="A29" s="27"/>
      <c r="B29" s="10" t="str">
        <f>CONCATENATE("          ", "6156", " - ", "EMPLOYEE MEALS")</f>
        <v xml:space="preserve">          6156 - EMPLOYEE MEALS</v>
      </c>
      <c r="C29" s="10"/>
      <c r="D29" s="6"/>
      <c r="E29" s="2"/>
      <c r="F29" s="7">
        <f t="shared" si="4"/>
        <v>0</v>
      </c>
      <c r="G29" s="2"/>
      <c r="H29" s="6">
        <v>10.78</v>
      </c>
      <c r="I29" s="2"/>
      <c r="J29" s="7">
        <f t="shared" si="5"/>
        <v>4.2461005199306758E-4</v>
      </c>
      <c r="K29" s="2"/>
      <c r="L29" s="6">
        <f t="shared" si="6"/>
        <v>-10.78</v>
      </c>
      <c r="M29" s="2"/>
      <c r="N29" s="7">
        <f t="shared" si="7"/>
        <v>-1</v>
      </c>
      <c r="O29" s="10"/>
      <c r="P29" s="6">
        <v>1620.53</v>
      </c>
      <c r="Q29" s="2"/>
      <c r="R29" s="7">
        <f t="shared" si="8"/>
        <v>3.3934034546950808E-3</v>
      </c>
      <c r="S29" s="2"/>
      <c r="T29" s="6">
        <v>1320.69</v>
      </c>
      <c r="U29" s="2"/>
      <c r="V29" s="7">
        <f t="shared" si="9"/>
        <v>3.2618650095828971E-3</v>
      </c>
      <c r="W29" s="2"/>
      <c r="X29" s="6">
        <f t="shared" si="10"/>
        <v>299.83999999999992</v>
      </c>
      <c r="Y29" s="2"/>
      <c r="Z29" s="7">
        <f t="shared" si="11"/>
        <v>0.22703283889482007</v>
      </c>
    </row>
    <row r="30" spans="1:26" s="26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12186.69</v>
      </c>
      <c r="E30" s="1"/>
      <c r="F30" s="5">
        <f t="shared" ref="F30:F35" si="12">IF(D$12=0,0,D30/D$12)</f>
        <v>0.3619020609372216</v>
      </c>
      <c r="G30" s="1"/>
      <c r="H30" s="1">
        <f>SUM(OSRRefH22_1x_0)</f>
        <v>9735.4200000000019</v>
      </c>
      <c r="I30" s="1"/>
      <c r="J30" s="5">
        <f t="shared" ref="J30:J35" si="13">IF(H$12=0,0,H30/H$12)</f>
        <v>0.38346541673231455</v>
      </c>
      <c r="K30" s="1"/>
      <c r="L30" s="1">
        <f t="shared" ref="L30:L35" si="14">+D30-H30</f>
        <v>2451.2699999999986</v>
      </c>
      <c r="M30" s="1"/>
      <c r="N30" s="5">
        <f t="shared" ref="N30:N35" si="15">IF(H30=0,0,L30/H30)</f>
        <v>0.25178882883327047</v>
      </c>
      <c r="O30" s="12"/>
      <c r="P30" s="1">
        <f>SUM(OSRRefP22_1x_0)</f>
        <v>140334.41</v>
      </c>
      <c r="Q30" s="1"/>
      <c r="R30" s="5">
        <f t="shared" ref="R30:R35" si="16">IF(P$12=0,0,P30/P$12)</f>
        <v>0.29386143527524694</v>
      </c>
      <c r="S30" s="1"/>
      <c r="T30" s="1">
        <f>SUM(OSRRefT22_1x_0)</f>
        <v>165569.9</v>
      </c>
      <c r="U30" s="1"/>
      <c r="V30" s="5">
        <f t="shared" ref="V30:V35" si="17">IF(T$12=0,0,T30/T$12)</f>
        <v>0.40892765406729759</v>
      </c>
      <c r="W30" s="1"/>
      <c r="X30" s="1">
        <f t="shared" ref="X30:X35" si="18">+P30-T30</f>
        <v>-25235.489999999991</v>
      </c>
      <c r="Y30" s="1"/>
      <c r="Z30" s="5">
        <f t="shared" ref="Z30:Z35" si="19">IF(T30=0,0,X30/T30)</f>
        <v>-0.1524159282574912</v>
      </c>
    </row>
    <row r="31" spans="1:26" s="23" customFormat="1" hidden="1" outlineLevel="2" x14ac:dyDescent="0.25">
      <c r="A31" s="27"/>
      <c r="B31" s="10" t="str">
        <f>CONCATENATE("          ", "6001", " - ", "ADMINISTRATIVE SALARIES")</f>
        <v xml:space="preserve">          6001 - ADMINISTRATIVE SALARIES</v>
      </c>
      <c r="C31" s="10"/>
      <c r="D31" s="6">
        <v>4416.3900000000003</v>
      </c>
      <c r="E31" s="2"/>
      <c r="F31" s="7">
        <f t="shared" si="12"/>
        <v>0.13115133337292867</v>
      </c>
      <c r="G31" s="2"/>
      <c r="H31" s="6"/>
      <c r="I31" s="2"/>
      <c r="J31" s="7">
        <f t="shared" si="13"/>
        <v>0</v>
      </c>
      <c r="K31" s="2"/>
      <c r="L31" s="6">
        <f t="shared" si="14"/>
        <v>4416.3900000000003</v>
      </c>
      <c r="M31" s="2"/>
      <c r="N31" s="7">
        <f t="shared" si="15"/>
        <v>0</v>
      </c>
      <c r="O31" s="10"/>
      <c r="P31" s="6">
        <v>43739.44</v>
      </c>
      <c r="Q31" s="2"/>
      <c r="R31" s="7">
        <f t="shared" si="16"/>
        <v>9.1590755371655092E-2</v>
      </c>
      <c r="S31" s="2"/>
      <c r="T31" s="6"/>
      <c r="U31" s="2"/>
      <c r="V31" s="7">
        <f t="shared" si="17"/>
        <v>0</v>
      </c>
      <c r="W31" s="2"/>
      <c r="X31" s="6">
        <f t="shared" si="18"/>
        <v>43739.44</v>
      </c>
      <c r="Y31" s="2"/>
      <c r="Z31" s="7">
        <f t="shared" si="19"/>
        <v>0</v>
      </c>
    </row>
    <row r="32" spans="1:26" s="23" customFormat="1" hidden="1" outlineLevel="2" x14ac:dyDescent="0.25">
      <c r="A32" s="27"/>
      <c r="B32" s="10" t="str">
        <f>CONCATENATE("          ", "6002", " - ", "STAFF SALARIES")</f>
        <v xml:space="preserve">          6002 - STAFF SALARIES</v>
      </c>
      <c r="C32" s="10"/>
      <c r="D32" s="6">
        <v>2395.9899999999998</v>
      </c>
      <c r="E32" s="2"/>
      <c r="F32" s="7">
        <f t="shared" si="12"/>
        <v>7.1152521232998742E-2</v>
      </c>
      <c r="G32" s="2"/>
      <c r="H32" s="6">
        <v>5649.64</v>
      </c>
      <c r="I32" s="2"/>
      <c r="J32" s="7">
        <f t="shared" si="13"/>
        <v>0.22253190483693083</v>
      </c>
      <c r="K32" s="2"/>
      <c r="L32" s="6">
        <f t="shared" si="14"/>
        <v>-3253.6500000000005</v>
      </c>
      <c r="M32" s="2"/>
      <c r="N32" s="7">
        <f t="shared" si="15"/>
        <v>-0.57590395140221329</v>
      </c>
      <c r="O32" s="10"/>
      <c r="P32" s="6">
        <v>23507.68</v>
      </c>
      <c r="Q32" s="2"/>
      <c r="R32" s="7">
        <f t="shared" si="16"/>
        <v>4.9225279707173865E-2</v>
      </c>
      <c r="S32" s="2"/>
      <c r="T32" s="6">
        <v>58631.59</v>
      </c>
      <c r="U32" s="2"/>
      <c r="V32" s="7">
        <f t="shared" si="17"/>
        <v>0.14480940408211654</v>
      </c>
      <c r="W32" s="2"/>
      <c r="X32" s="6">
        <f t="shared" si="18"/>
        <v>-35123.909999999996</v>
      </c>
      <c r="Y32" s="2"/>
      <c r="Z32" s="7">
        <f t="shared" si="19"/>
        <v>-0.59906118868684954</v>
      </c>
    </row>
    <row r="33" spans="1:26" s="23" customFormat="1" hidden="1" outlineLevel="2" x14ac:dyDescent="0.25">
      <c r="A33" s="27"/>
      <c r="B33" s="10" t="str">
        <f>CONCATENATE("          ", "6005", " - ", "TEMPORARY WAGES-HOURLY")</f>
        <v xml:space="preserve">          6005 - TEMPORARY WAGES-HOURLY</v>
      </c>
      <c r="C33" s="10"/>
      <c r="D33" s="6">
        <v>6926.31</v>
      </c>
      <c r="E33" s="2"/>
      <c r="F33" s="7">
        <f t="shared" si="12"/>
        <v>0.20568717705054346</v>
      </c>
      <c r="G33" s="2"/>
      <c r="H33" s="6">
        <v>9075.7800000000007</v>
      </c>
      <c r="I33" s="2"/>
      <c r="J33" s="7">
        <f t="shared" si="13"/>
        <v>0.35748306286434539</v>
      </c>
      <c r="K33" s="2"/>
      <c r="L33" s="6">
        <f t="shared" si="14"/>
        <v>-2149.4700000000003</v>
      </c>
      <c r="M33" s="2"/>
      <c r="N33" s="7">
        <f t="shared" si="15"/>
        <v>-0.23683584220860357</v>
      </c>
      <c r="O33" s="10"/>
      <c r="P33" s="6">
        <v>64897.63</v>
      </c>
      <c r="Q33" s="2"/>
      <c r="R33" s="7">
        <f t="shared" si="16"/>
        <v>0.13589618325086431</v>
      </c>
      <c r="S33" s="2"/>
      <c r="T33" s="6">
        <v>75230.16</v>
      </c>
      <c r="U33" s="2"/>
      <c r="V33" s="7">
        <f t="shared" si="17"/>
        <v>0.18580486455513626</v>
      </c>
      <c r="W33" s="2"/>
      <c r="X33" s="6">
        <f t="shared" si="18"/>
        <v>-10332.530000000006</v>
      </c>
      <c r="Y33" s="2"/>
      <c r="Z33" s="7">
        <f t="shared" si="19"/>
        <v>-0.13734558054907772</v>
      </c>
    </row>
    <row r="34" spans="1:26" s="23" customFormat="1" hidden="1" outlineLevel="2" x14ac:dyDescent="0.25">
      <c r="A34" s="27"/>
      <c r="B34" s="10" t="str">
        <f>CONCATENATE("          ", "6007", " - ", "STUDENT HOURLY")</f>
        <v xml:space="preserve">          6007 - STUDENT HOURLY</v>
      </c>
      <c r="C34" s="10"/>
      <c r="D34" s="6">
        <v>-1552</v>
      </c>
      <c r="E34" s="2"/>
      <c r="F34" s="7">
        <f t="shared" si="12"/>
        <v>-4.6088970719249271E-2</v>
      </c>
      <c r="G34" s="2"/>
      <c r="H34" s="6">
        <v>-4990</v>
      </c>
      <c r="I34" s="2"/>
      <c r="J34" s="7">
        <f t="shared" si="13"/>
        <v>-0.19654955096896171</v>
      </c>
      <c r="K34" s="2"/>
      <c r="L34" s="6">
        <f t="shared" si="14"/>
        <v>3438</v>
      </c>
      <c r="M34" s="2"/>
      <c r="N34" s="7">
        <f t="shared" si="15"/>
        <v>-0.68897795591182365</v>
      </c>
      <c r="O34" s="10"/>
      <c r="P34" s="6">
        <v>4277.78</v>
      </c>
      <c r="Q34" s="2"/>
      <c r="R34" s="7">
        <f t="shared" si="16"/>
        <v>8.9577073120679796E-3</v>
      </c>
      <c r="S34" s="2"/>
      <c r="T34" s="6">
        <v>25787.41</v>
      </c>
      <c r="U34" s="2"/>
      <c r="V34" s="7">
        <f t="shared" si="17"/>
        <v>6.3690230384698981E-2</v>
      </c>
      <c r="W34" s="2"/>
      <c r="X34" s="6">
        <f t="shared" si="18"/>
        <v>-21509.63</v>
      </c>
      <c r="Y34" s="2"/>
      <c r="Z34" s="7">
        <f t="shared" si="19"/>
        <v>-0.8341136236636405</v>
      </c>
    </row>
    <row r="35" spans="1:26" s="23" customFormat="1" hidden="1" outlineLevel="2" x14ac:dyDescent="0.25">
      <c r="A35" s="27"/>
      <c r="B35" s="10" t="str">
        <f>CONCATENATE("          ", "6008", " - ", "STUDENT HOURLY-FICA EXEMPT")</f>
        <v xml:space="preserve">          6008 - STUDENT HOURLY-FICA EXEMPT</v>
      </c>
      <c r="C35" s="10"/>
      <c r="D35" s="6"/>
      <c r="E35" s="2"/>
      <c r="F35" s="7">
        <f t="shared" si="12"/>
        <v>0</v>
      </c>
      <c r="G35" s="2"/>
      <c r="H35" s="6"/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0"/>
      <c r="P35" s="6">
        <v>3911.88</v>
      </c>
      <c r="Q35" s="2"/>
      <c r="R35" s="7">
        <f t="shared" si="16"/>
        <v>8.1915096334857079E-3</v>
      </c>
      <c r="S35" s="2"/>
      <c r="T35" s="6">
        <v>5920.74</v>
      </c>
      <c r="U35" s="2"/>
      <c r="V35" s="7">
        <f t="shared" si="17"/>
        <v>1.4623155045345873E-2</v>
      </c>
      <c r="W35" s="2"/>
      <c r="X35" s="6">
        <f t="shared" si="18"/>
        <v>-2008.8599999999997</v>
      </c>
      <c r="Y35" s="2"/>
      <c r="Z35" s="7">
        <f t="shared" si="19"/>
        <v>-0.33929204795346524</v>
      </c>
    </row>
    <row r="36" spans="1:26" s="26" customFormat="1" outlineLevel="1" collapsed="1" x14ac:dyDescent="0.25">
      <c r="A36" s="25"/>
      <c r="B36" s="12" t="str">
        <f>CONCATENATE("     ","Advertising/Promo                                 ")</f>
        <v xml:space="preserve">     Advertising/Promo                                 </v>
      </c>
      <c r="C36" s="12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0</v>
      </c>
      <c r="I36" s="1"/>
      <c r="J36" s="5">
        <f t="shared" ref="J36:J44" si="21">IF(H$12=0,0,H36/H$12)</f>
        <v>0</v>
      </c>
      <c r="K36" s="1"/>
      <c r="L36" s="1">
        <f t="shared" ref="L36:L44" si="22">+D36-H36</f>
        <v>0</v>
      </c>
      <c r="M36" s="1"/>
      <c r="N36" s="5">
        <f t="shared" ref="N36:N44" si="23">IF(H36=0,0,L36/H36)</f>
        <v>0</v>
      </c>
      <c r="O36" s="12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155.11000000000001</v>
      </c>
      <c r="U36" s="1"/>
      <c r="V36" s="5">
        <f t="shared" ref="V36:V44" si="25">IF(T$12=0,0,T36/T$12)</f>
        <v>3.8309359625377887E-4</v>
      </c>
      <c r="W36" s="1"/>
      <c r="X36" s="1">
        <f t="shared" ref="X36:X44" si="26">+P36-T36</f>
        <v>-155.11000000000001</v>
      </c>
      <c r="Y36" s="1"/>
      <c r="Z36" s="5">
        <f t="shared" ref="Z36:Z44" si="27">IF(T36=0,0,X36/T36)</f>
        <v>-1</v>
      </c>
    </row>
    <row r="37" spans="1:26" s="23" customFormat="1" hidden="1" outlineLevel="2" x14ac:dyDescent="0.25">
      <c r="A37" s="27"/>
      <c r="B37" s="10" t="str">
        <f>CONCATENATE("          ", "6362", " - ", "ADVERTISING EXPENSE")</f>
        <v xml:space="preserve">          6362 - ADVERTISING EXPENSE</v>
      </c>
      <c r="C37" s="10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0"/>
      <c r="P37" s="6"/>
      <c r="Q37" s="2"/>
      <c r="R37" s="7">
        <f t="shared" si="24"/>
        <v>0</v>
      </c>
      <c r="S37" s="2"/>
      <c r="T37" s="6">
        <v>155.11000000000001</v>
      </c>
      <c r="U37" s="2"/>
      <c r="V37" s="7">
        <f t="shared" si="25"/>
        <v>3.8309359625377887E-4</v>
      </c>
      <c r="W37" s="2"/>
      <c r="X37" s="6">
        <f t="shared" si="26"/>
        <v>-155.11000000000001</v>
      </c>
      <c r="Y37" s="2"/>
      <c r="Z37" s="7">
        <f t="shared" si="27"/>
        <v>-1</v>
      </c>
    </row>
    <row r="38" spans="1:26" s="26" customFormat="1" outlineLevel="1" collapsed="1" x14ac:dyDescent="0.25">
      <c r="A38" s="25"/>
      <c r="B38" s="12" t="str">
        <f>CONCATENATE("     ","Bank/card Fees                                    ")</f>
        <v xml:space="preserve">     Bank/card Fees                                    </v>
      </c>
      <c r="C38" s="12"/>
      <c r="D38" s="1">
        <f>SUM(OSRRefD22_3x_0)</f>
        <v>50.67</v>
      </c>
      <c r="E38" s="1"/>
      <c r="F38" s="5">
        <f t="shared" si="20"/>
        <v>1.5047217437785829E-3</v>
      </c>
      <c r="G38" s="1"/>
      <c r="H38" s="1">
        <f>SUM(OSRRefH22_3x_0)</f>
        <v>53.34</v>
      </c>
      <c r="I38" s="1"/>
      <c r="J38" s="5">
        <f t="shared" si="21"/>
        <v>2.1009925949267371E-3</v>
      </c>
      <c r="K38" s="1"/>
      <c r="L38" s="1">
        <f t="shared" si="22"/>
        <v>-2.6700000000000017</v>
      </c>
      <c r="M38" s="1"/>
      <c r="N38" s="5">
        <f t="shared" si="23"/>
        <v>-5.0056242969628822E-2</v>
      </c>
      <c r="O38" s="12"/>
      <c r="P38" s="1">
        <f>SUM(OSRRefP22_3x_0)</f>
        <v>803.94</v>
      </c>
      <c r="Q38" s="1"/>
      <c r="R38" s="5">
        <f t="shared" si="24"/>
        <v>1.683457124130725E-3</v>
      </c>
      <c r="S38" s="1"/>
      <c r="T38" s="1">
        <f>SUM(OSRRefT22_3x_0)</f>
        <v>17790.62</v>
      </c>
      <c r="U38" s="1"/>
      <c r="V38" s="5">
        <f t="shared" si="25"/>
        <v>4.3939607990357822E-2</v>
      </c>
      <c r="W38" s="1"/>
      <c r="X38" s="1">
        <f t="shared" si="26"/>
        <v>-16986.68</v>
      </c>
      <c r="Y38" s="1"/>
      <c r="Z38" s="5">
        <f t="shared" si="27"/>
        <v>-0.95481101839059013</v>
      </c>
    </row>
    <row r="39" spans="1:26" s="23" customFormat="1" hidden="1" outlineLevel="2" x14ac:dyDescent="0.25">
      <c r="A39" s="27"/>
      <c r="B39" s="10" t="str">
        <f>CONCATENATE("          ", "6381", " - ", "BANK/CREDIT CARD FEES")</f>
        <v xml:space="preserve">          6381 - BANK/CREDIT CARD FEES</v>
      </c>
      <c r="C39" s="10"/>
      <c r="D39" s="6">
        <v>50.67</v>
      </c>
      <c r="E39" s="2"/>
      <c r="F39" s="7">
        <f t="shared" si="20"/>
        <v>1.5047217437785829E-3</v>
      </c>
      <c r="G39" s="2"/>
      <c r="H39" s="6">
        <v>53.34</v>
      </c>
      <c r="I39" s="2"/>
      <c r="J39" s="7">
        <f t="shared" si="21"/>
        <v>2.1009925949267371E-3</v>
      </c>
      <c r="K39" s="2"/>
      <c r="L39" s="6">
        <f t="shared" si="22"/>
        <v>-2.6700000000000017</v>
      </c>
      <c r="M39" s="2"/>
      <c r="N39" s="7">
        <f t="shared" si="23"/>
        <v>-5.0056242969628822E-2</v>
      </c>
      <c r="O39" s="10"/>
      <c r="P39" s="6">
        <v>803.94</v>
      </c>
      <c r="Q39" s="2"/>
      <c r="R39" s="7">
        <f t="shared" si="24"/>
        <v>1.683457124130725E-3</v>
      </c>
      <c r="S39" s="2"/>
      <c r="T39" s="6">
        <v>17790.62</v>
      </c>
      <c r="U39" s="2"/>
      <c r="V39" s="7">
        <f t="shared" si="25"/>
        <v>4.3939607990357822E-2</v>
      </c>
      <c r="W39" s="2"/>
      <c r="X39" s="6">
        <f t="shared" si="26"/>
        <v>-16986.68</v>
      </c>
      <c r="Y39" s="2"/>
      <c r="Z39" s="7">
        <f t="shared" si="27"/>
        <v>-0.95481101839059013</v>
      </c>
    </row>
    <row r="40" spans="1:26" s="26" customFormat="1" outlineLevel="1" collapsed="1" x14ac:dyDescent="0.25">
      <c r="A40" s="25"/>
      <c r="B40" s="12" t="str">
        <f>CONCATENATE("     ","Employees' Appreciation                           ")</f>
        <v xml:space="preserve">     Employees' Appreciation                           </v>
      </c>
      <c r="C40" s="12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2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1.5866116061725712E-4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3" customFormat="1" hidden="1" outlineLevel="2" x14ac:dyDescent="0.25">
      <c r="A41" s="27"/>
      <c r="B41" s="10" t="str">
        <f>CONCATENATE("          ", "6277", " - ", "EMPLOYEE APPRECIATION")</f>
        <v xml:space="preserve">          6277 - EMPLOYEE APPRECIATION</v>
      </c>
      <c r="C41" s="10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0"/>
      <c r="P41" s="6"/>
      <c r="Q41" s="2"/>
      <c r="R41" s="7">
        <f t="shared" si="24"/>
        <v>0</v>
      </c>
      <c r="S41" s="2"/>
      <c r="T41" s="6">
        <v>64.239999999999995</v>
      </c>
      <c r="U41" s="2"/>
      <c r="V41" s="7">
        <f t="shared" si="25"/>
        <v>1.5866116061725712E-4</v>
      </c>
      <c r="W41" s="2"/>
      <c r="X41" s="6">
        <f t="shared" si="26"/>
        <v>-64.239999999999995</v>
      </c>
      <c r="Y41" s="2"/>
      <c r="Z41" s="7">
        <f t="shared" si="27"/>
        <v>-1</v>
      </c>
    </row>
    <row r="42" spans="1:26" s="26" customFormat="1" outlineLevel="1" collapsed="1" x14ac:dyDescent="0.25">
      <c r="A42" s="25"/>
      <c r="B42" s="12" t="str">
        <f>CONCATENATE("     ","Freight out/Postage                               ")</f>
        <v xml:space="preserve">     Freight out/Postage                               </v>
      </c>
      <c r="C42" s="12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2"/>
      <c r="P42" s="1">
        <f>SUM(OSRRefP22_5x_0)</f>
        <v>2.12</v>
      </c>
      <c r="Q42" s="1"/>
      <c r="R42" s="5">
        <f t="shared" si="24"/>
        <v>4.4392978370987095E-6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3" customFormat="1" hidden="1" outlineLevel="2" x14ac:dyDescent="0.25">
      <c r="A43" s="27"/>
      <c r="B43" s="10" t="str">
        <f>CONCATENATE("          ", "6305", " - ", "FREIGHT OUT")</f>
        <v xml:space="preserve">          6305 - FREIGHT OUT</v>
      </c>
      <c r="C43" s="10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0"/>
      <c r="P43" s="6">
        <v>1.62</v>
      </c>
      <c r="Q43" s="2"/>
      <c r="R43" s="7">
        <f t="shared" si="24"/>
        <v>3.3922936302358064E-6</v>
      </c>
      <c r="S43" s="2"/>
      <c r="T43" s="6"/>
      <c r="U43" s="2"/>
      <c r="V43" s="7">
        <f t="shared" si="25"/>
        <v>0</v>
      </c>
      <c r="W43" s="2"/>
      <c r="X43" s="6">
        <f t="shared" si="26"/>
        <v>1.62</v>
      </c>
      <c r="Y43" s="2"/>
      <c r="Z43" s="7">
        <f t="shared" si="27"/>
        <v>0</v>
      </c>
    </row>
    <row r="44" spans="1:26" s="23" customFormat="1" hidden="1" outlineLevel="2" x14ac:dyDescent="0.25">
      <c r="A44" s="27"/>
      <c r="B44" s="10" t="str">
        <f>CONCATENATE("          ", "6307", " - ", "POSTAGE")</f>
        <v xml:space="preserve">          6307 - POSTAGE</v>
      </c>
      <c r="C44" s="10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0"/>
      <c r="P44" s="6">
        <v>0.5</v>
      </c>
      <c r="Q44" s="2"/>
      <c r="R44" s="7">
        <f t="shared" si="24"/>
        <v>1.0470042068629033E-6</v>
      </c>
      <c r="S44" s="2"/>
      <c r="T44" s="6"/>
      <c r="U44" s="2"/>
      <c r="V44" s="7">
        <f t="shared" si="25"/>
        <v>0</v>
      </c>
      <c r="W44" s="2"/>
      <c r="X44" s="6">
        <f t="shared" si="26"/>
        <v>0.5</v>
      </c>
      <c r="Y44" s="2"/>
      <c r="Z44" s="7">
        <f t="shared" si="27"/>
        <v>0</v>
      </c>
    </row>
    <row r="45" spans="1:26" s="26" customFormat="1" outlineLevel="1" collapsed="1" x14ac:dyDescent="0.25">
      <c r="A45" s="25"/>
      <c r="B45" s="12" t="str">
        <f>CONCATENATE("     ","General                                           ")</f>
        <v xml:space="preserve">     General                                           </v>
      </c>
      <c r="C45" s="12"/>
      <c r="D45" s="1">
        <f>SUM(OSRRefD22_6x_0)</f>
        <v>0</v>
      </c>
      <c r="E45" s="1"/>
      <c r="F45" s="5">
        <f t="shared" ref="F45:F54" si="28">IF(D$12=0,0,D45/D$12)</f>
        <v>0</v>
      </c>
      <c r="G45" s="1"/>
      <c r="H45" s="1">
        <f>SUM(OSRRefH22_6x_0)</f>
        <v>0</v>
      </c>
      <c r="I45" s="1"/>
      <c r="J45" s="5">
        <f t="shared" ref="J45:J54" si="29">IF(H$12=0,0,H45/H$12)</f>
        <v>0</v>
      </c>
      <c r="K45" s="1"/>
      <c r="L45" s="1">
        <f t="shared" ref="L45:L54" si="30">+D45-H45</f>
        <v>0</v>
      </c>
      <c r="M45" s="1"/>
      <c r="N45" s="5">
        <f t="shared" ref="N45:N54" si="31">IF(H45=0,0,L45/H45)</f>
        <v>0</v>
      </c>
      <c r="O45" s="12"/>
      <c r="P45" s="1">
        <f>SUM(OSRRefP22_6x_0)</f>
        <v>0</v>
      </c>
      <c r="Q45" s="1"/>
      <c r="R45" s="5">
        <f t="shared" ref="R45:R54" si="32">IF(P$12=0,0,P45/P$12)</f>
        <v>0</v>
      </c>
      <c r="S45" s="1"/>
      <c r="T45" s="1">
        <f>SUM(OSRRefT22_6x_0)</f>
        <v>47.34</v>
      </c>
      <c r="U45" s="1"/>
      <c r="V45" s="5">
        <f t="shared" ref="V45:V54" si="33">IF(T$12=0,0,T45/T$12)</f>
        <v>1.1692122265910574E-4</v>
      </c>
      <c r="W45" s="1"/>
      <c r="X45" s="1">
        <f t="shared" ref="X45:X54" si="34">+P45-T45</f>
        <v>-47.34</v>
      </c>
      <c r="Y45" s="1"/>
      <c r="Z45" s="5">
        <f t="shared" ref="Z45:Z54" si="35">IF(T45=0,0,X45/T45)</f>
        <v>-1</v>
      </c>
    </row>
    <row r="46" spans="1:26" s="23" customFormat="1" hidden="1" outlineLevel="2" x14ac:dyDescent="0.25">
      <c r="A46" s="27"/>
      <c r="B46" s="10" t="str">
        <f>CONCATENATE("          ", "6279", " - ", "GENERAL EXPENSE")</f>
        <v xml:space="preserve">          6279 - GENERAL EXPENSE</v>
      </c>
      <c r="C46" s="10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0"/>
      <c r="P46" s="6"/>
      <c r="Q46" s="2"/>
      <c r="R46" s="7">
        <f t="shared" si="32"/>
        <v>0</v>
      </c>
      <c r="S46" s="2"/>
      <c r="T46" s="6">
        <v>47.34</v>
      </c>
      <c r="U46" s="2"/>
      <c r="V46" s="7">
        <f t="shared" si="33"/>
        <v>1.1692122265910574E-4</v>
      </c>
      <c r="W46" s="2"/>
      <c r="X46" s="6">
        <f t="shared" si="34"/>
        <v>-47.34</v>
      </c>
      <c r="Y46" s="2"/>
      <c r="Z46" s="7">
        <f t="shared" si="35"/>
        <v>-1</v>
      </c>
    </row>
    <row r="47" spans="1:26" s="26" customFormat="1" outlineLevel="1" collapsed="1" x14ac:dyDescent="0.25">
      <c r="A47" s="25"/>
      <c r="B47" s="12" t="str">
        <f>CONCATENATE("     ","Insurance                                         ")</f>
        <v xml:space="preserve">     Insurance                                         </v>
      </c>
      <c r="C47" s="12"/>
      <c r="D47" s="1">
        <f>SUM(OSRRefD22_7x_0)</f>
        <v>29.01</v>
      </c>
      <c r="E47" s="1"/>
      <c r="F47" s="5">
        <f t="shared" si="28"/>
        <v>8.6149551582823548E-4</v>
      </c>
      <c r="G47" s="1"/>
      <c r="H47" s="1">
        <f>SUM(OSRRefH22_7x_0)</f>
        <v>29.01</v>
      </c>
      <c r="I47" s="1"/>
      <c r="J47" s="5">
        <f t="shared" si="29"/>
        <v>1.1426658263746653E-3</v>
      </c>
      <c r="K47" s="1"/>
      <c r="L47" s="1">
        <f t="shared" si="30"/>
        <v>0</v>
      </c>
      <c r="M47" s="1"/>
      <c r="N47" s="5">
        <f t="shared" si="31"/>
        <v>0</v>
      </c>
      <c r="O47" s="12"/>
      <c r="P47" s="1">
        <f>SUM(OSRRefP22_7x_0)</f>
        <v>290.10000000000002</v>
      </c>
      <c r="Q47" s="1"/>
      <c r="R47" s="5">
        <f t="shared" si="32"/>
        <v>6.0747184082185642E-4</v>
      </c>
      <c r="S47" s="1"/>
      <c r="T47" s="1">
        <f>SUM(OSRRefT22_7x_0)</f>
        <v>290.10000000000002</v>
      </c>
      <c r="U47" s="1"/>
      <c r="V47" s="5">
        <f t="shared" si="33"/>
        <v>7.1649443796803069E-4</v>
      </c>
      <c r="W47" s="1"/>
      <c r="X47" s="1">
        <f t="shared" si="34"/>
        <v>0</v>
      </c>
      <c r="Y47" s="1"/>
      <c r="Z47" s="5">
        <f t="shared" si="35"/>
        <v>0</v>
      </c>
    </row>
    <row r="48" spans="1:26" s="23" customFormat="1" hidden="1" outlineLevel="2" x14ac:dyDescent="0.25">
      <c r="A48" s="27"/>
      <c r="B48" s="10" t="str">
        <f>CONCATENATE("          ", "6314", " - ", "LIABILITY INSURANCE")</f>
        <v xml:space="preserve">          6314 - LIABILITY INSURANCE</v>
      </c>
      <c r="C48" s="10"/>
      <c r="D48" s="6">
        <v>29.01</v>
      </c>
      <c r="E48" s="2"/>
      <c r="F48" s="7">
        <f t="shared" si="28"/>
        <v>8.6149551582823548E-4</v>
      </c>
      <c r="G48" s="2"/>
      <c r="H48" s="6">
        <v>29.01</v>
      </c>
      <c r="I48" s="2"/>
      <c r="J48" s="7">
        <f t="shared" si="29"/>
        <v>1.1426658263746653E-3</v>
      </c>
      <c r="K48" s="2"/>
      <c r="L48" s="6">
        <f t="shared" si="30"/>
        <v>0</v>
      </c>
      <c r="M48" s="2"/>
      <c r="N48" s="7">
        <f t="shared" si="31"/>
        <v>0</v>
      </c>
      <c r="O48" s="10"/>
      <c r="P48" s="6">
        <v>290.10000000000002</v>
      </c>
      <c r="Q48" s="2"/>
      <c r="R48" s="7">
        <f t="shared" si="32"/>
        <v>6.0747184082185642E-4</v>
      </c>
      <c r="S48" s="2"/>
      <c r="T48" s="6">
        <v>290.10000000000002</v>
      </c>
      <c r="U48" s="2"/>
      <c r="V48" s="7">
        <f t="shared" si="33"/>
        <v>7.1649443796803069E-4</v>
      </c>
      <c r="W48" s="2"/>
      <c r="X48" s="6">
        <f t="shared" si="34"/>
        <v>0</v>
      </c>
      <c r="Y48" s="2"/>
      <c r="Z48" s="7">
        <f t="shared" si="35"/>
        <v>0</v>
      </c>
    </row>
    <row r="49" spans="1:26" s="26" customFormat="1" outlineLevel="1" collapsed="1" x14ac:dyDescent="0.25">
      <c r="A49" s="25"/>
      <c r="B49" s="12" t="str">
        <f>CONCATENATE("     ","Rent                                              ")</f>
        <v xml:space="preserve">     Rent                                              </v>
      </c>
      <c r="C49" s="12"/>
      <c r="D49" s="1">
        <f>SUM(OSRRefD22_8x_0)</f>
        <v>800</v>
      </c>
      <c r="E49" s="1"/>
      <c r="F49" s="5">
        <f t="shared" si="28"/>
        <v>2.3757201401674883E-2</v>
      </c>
      <c r="G49" s="1"/>
      <c r="H49" s="1">
        <f>SUM(OSRRefH22_8x_0)</f>
        <v>800</v>
      </c>
      <c r="I49" s="1"/>
      <c r="J49" s="5">
        <f t="shared" si="29"/>
        <v>3.1510950055144163E-2</v>
      </c>
      <c r="K49" s="1"/>
      <c r="L49" s="1">
        <f t="shared" si="30"/>
        <v>0</v>
      </c>
      <c r="M49" s="1"/>
      <c r="N49" s="5">
        <f t="shared" si="31"/>
        <v>0</v>
      </c>
      <c r="O49" s="12"/>
      <c r="P49" s="1">
        <f>SUM(OSRRefP22_8x_0)</f>
        <v>8000</v>
      </c>
      <c r="Q49" s="1"/>
      <c r="R49" s="5">
        <f t="shared" si="32"/>
        <v>1.675206730980645E-2</v>
      </c>
      <c r="S49" s="1"/>
      <c r="T49" s="1">
        <f>SUM(OSRRefT22_8x_0)</f>
        <v>6400</v>
      </c>
      <c r="U49" s="1"/>
      <c r="V49" s="5">
        <f t="shared" si="33"/>
        <v>1.5806840410187508E-2</v>
      </c>
      <c r="W49" s="1"/>
      <c r="X49" s="1">
        <f t="shared" si="34"/>
        <v>1600</v>
      </c>
      <c r="Y49" s="1"/>
      <c r="Z49" s="5">
        <f t="shared" si="35"/>
        <v>0.25</v>
      </c>
    </row>
    <row r="50" spans="1:26" s="23" customFormat="1" hidden="1" outlineLevel="2" x14ac:dyDescent="0.25">
      <c r="A50" s="27"/>
      <c r="B50" s="10" t="str">
        <f>CONCATENATE("          ", "6273", " - ", "RENT")</f>
        <v xml:space="preserve">          6273 - RENT</v>
      </c>
      <c r="C50" s="10"/>
      <c r="D50" s="6">
        <v>800</v>
      </c>
      <c r="E50" s="2"/>
      <c r="F50" s="7">
        <f t="shared" si="28"/>
        <v>2.3757201401674883E-2</v>
      </c>
      <c r="G50" s="2"/>
      <c r="H50" s="6">
        <v>800</v>
      </c>
      <c r="I50" s="2"/>
      <c r="J50" s="7">
        <f t="shared" si="29"/>
        <v>3.1510950055144163E-2</v>
      </c>
      <c r="K50" s="2"/>
      <c r="L50" s="6">
        <f t="shared" si="30"/>
        <v>0</v>
      </c>
      <c r="M50" s="2"/>
      <c r="N50" s="7">
        <f t="shared" si="31"/>
        <v>0</v>
      </c>
      <c r="O50" s="10"/>
      <c r="P50" s="6">
        <v>8000</v>
      </c>
      <c r="Q50" s="2"/>
      <c r="R50" s="7">
        <f t="shared" si="32"/>
        <v>1.675206730980645E-2</v>
      </c>
      <c r="S50" s="2"/>
      <c r="T50" s="6">
        <v>6400</v>
      </c>
      <c r="U50" s="2"/>
      <c r="V50" s="7">
        <f t="shared" si="33"/>
        <v>1.5806840410187508E-2</v>
      </c>
      <c r="W50" s="2"/>
      <c r="X50" s="6">
        <f t="shared" si="34"/>
        <v>1600</v>
      </c>
      <c r="Y50" s="2"/>
      <c r="Z50" s="7">
        <f t="shared" si="35"/>
        <v>0.25</v>
      </c>
    </row>
    <row r="51" spans="1:26" s="26" customFormat="1" outlineLevel="1" collapsed="1" x14ac:dyDescent="0.25">
      <c r="A51" s="25"/>
      <c r="B51" s="12" t="str">
        <f>CONCATENATE("     ","Repair and Maintenance                            ")</f>
        <v xml:space="preserve">     Repair and Maintenance                            </v>
      </c>
      <c r="C51" s="12"/>
      <c r="D51" s="1">
        <f>SUM(OSRRefD22_9x_0)</f>
        <v>0</v>
      </c>
      <c r="E51" s="1"/>
      <c r="F51" s="5">
        <f t="shared" si="28"/>
        <v>0</v>
      </c>
      <c r="G51" s="1"/>
      <c r="H51" s="1">
        <f>SUM(OSRRefH22_9x_0)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2"/>
      <c r="P51" s="1">
        <f>SUM(OSRRefP22_9x_0)</f>
        <v>149496.13</v>
      </c>
      <c r="Q51" s="1"/>
      <c r="R51" s="5">
        <f t="shared" si="32"/>
        <v>0.31304615403944697</v>
      </c>
      <c r="S51" s="1"/>
      <c r="T51" s="1">
        <f>SUM(OSRRefT22_9x_0)</f>
        <v>118520.76</v>
      </c>
      <c r="U51" s="1"/>
      <c r="V51" s="5">
        <f t="shared" si="33"/>
        <v>0.29272480290845865</v>
      </c>
      <c r="W51" s="1"/>
      <c r="X51" s="1">
        <f t="shared" si="34"/>
        <v>30975.37000000001</v>
      </c>
      <c r="Y51" s="1"/>
      <c r="Z51" s="5">
        <f t="shared" si="35"/>
        <v>0.26134974159801211</v>
      </c>
    </row>
    <row r="52" spans="1:26" s="23" customFormat="1" hidden="1" outlineLevel="2" x14ac:dyDescent="0.25">
      <c r="A52" s="27"/>
      <c r="B52" s="10" t="str">
        <f>CONCATENATE("          ", "6371", " - ", "COMPUTER SOFTWARE MAINTENANCE")</f>
        <v xml:space="preserve">          6371 - COMPUTER SOFTWARE MAINTENANCE</v>
      </c>
      <c r="C52" s="10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0"/>
      <c r="P52" s="6"/>
      <c r="Q52" s="2"/>
      <c r="R52" s="7">
        <f t="shared" si="32"/>
        <v>0</v>
      </c>
      <c r="S52" s="2"/>
      <c r="T52" s="6">
        <v>437.31</v>
      </c>
      <c r="U52" s="2"/>
      <c r="V52" s="7">
        <f t="shared" si="33"/>
        <v>1.0800764655904843E-3</v>
      </c>
      <c r="W52" s="2"/>
      <c r="X52" s="6">
        <f t="shared" si="34"/>
        <v>-437.31</v>
      </c>
      <c r="Y52" s="2"/>
      <c r="Z52" s="7">
        <f t="shared" si="35"/>
        <v>-1</v>
      </c>
    </row>
    <row r="53" spans="1:26" s="23" customFormat="1" hidden="1" outlineLevel="2" x14ac:dyDescent="0.25">
      <c r="A53" s="27"/>
      <c r="B53" s="10" t="str">
        <f>CONCATENATE("          ", "6373", " - ", "MAINTENANCE CONTRACTS")</f>
        <v xml:space="preserve">          6373 - MAINTENANCE CONTRACTS</v>
      </c>
      <c r="C53" s="10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0"/>
      <c r="P53" s="6">
        <v>142934.13</v>
      </c>
      <c r="Q53" s="2"/>
      <c r="R53" s="7">
        <f t="shared" si="32"/>
        <v>0.29930527082857822</v>
      </c>
      <c r="S53" s="2"/>
      <c r="T53" s="6">
        <v>117094</v>
      </c>
      <c r="U53" s="2"/>
      <c r="V53" s="7">
        <f t="shared" si="33"/>
        <v>0.28920096421726504</v>
      </c>
      <c r="W53" s="2"/>
      <c r="X53" s="6">
        <f t="shared" si="34"/>
        <v>25840.130000000005</v>
      </c>
      <c r="Y53" s="2"/>
      <c r="Z53" s="7">
        <f t="shared" si="35"/>
        <v>0.22067851469759342</v>
      </c>
    </row>
    <row r="54" spans="1:26" s="23" customFormat="1" hidden="1" outlineLevel="2" x14ac:dyDescent="0.25">
      <c r="A54" s="27"/>
      <c r="B54" s="10" t="str">
        <f>CONCATENATE("          ", "6375", " - ", "OUTSIDE REPAIRS &amp; MAINTENANCE")</f>
        <v xml:space="preserve">          6375 - OUTSIDE REPAIRS &amp; MAINTENANCE</v>
      </c>
      <c r="C54" s="10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0"/>
      <c r="P54" s="6">
        <v>6562</v>
      </c>
      <c r="Q54" s="2"/>
      <c r="R54" s="7">
        <f t="shared" si="32"/>
        <v>1.3740883210868741E-2</v>
      </c>
      <c r="S54" s="2"/>
      <c r="T54" s="6">
        <v>989.45</v>
      </c>
      <c r="U54" s="2"/>
      <c r="V54" s="7">
        <f t="shared" si="33"/>
        <v>2.4437622256031299E-3</v>
      </c>
      <c r="W54" s="2"/>
      <c r="X54" s="6">
        <f t="shared" si="34"/>
        <v>5572.55</v>
      </c>
      <c r="Y54" s="2"/>
      <c r="Z54" s="7">
        <f t="shared" si="35"/>
        <v>5.6319672545353479</v>
      </c>
    </row>
    <row r="55" spans="1:26" s="26" customFormat="1" outlineLevel="1" collapsed="1" x14ac:dyDescent="0.25">
      <c r="A55" s="25"/>
      <c r="B55" s="12" t="str">
        <f>CONCATENATE("     ","Subscriptions &amp; Dues                              ")</f>
        <v xml:space="preserve">     Subscriptions &amp; Dues                              </v>
      </c>
      <c r="C55" s="12"/>
      <c r="D55" s="1">
        <f>SUM(OSRRefD22_10x_0)</f>
        <v>0</v>
      </c>
      <c r="E55" s="1"/>
      <c r="F55" s="5">
        <f t="shared" ref="F55:F60" si="36">IF(D$12=0,0,D55/D$12)</f>
        <v>0</v>
      </c>
      <c r="G55" s="1"/>
      <c r="H55" s="1">
        <f>SUM(OSRRefH22_10x_0)</f>
        <v>0</v>
      </c>
      <c r="I55" s="1"/>
      <c r="J55" s="5">
        <f t="shared" ref="J55:J60" si="37">IF(H$12=0,0,H55/H$12)</f>
        <v>0</v>
      </c>
      <c r="K55" s="1"/>
      <c r="L55" s="1">
        <f t="shared" ref="L55:L60" si="38">+D55-H55</f>
        <v>0</v>
      </c>
      <c r="M55" s="1"/>
      <c r="N55" s="5">
        <f t="shared" ref="N55:N60" si="39">IF(H55=0,0,L55/H55)</f>
        <v>0</v>
      </c>
      <c r="O55" s="12"/>
      <c r="P55" s="1">
        <f>SUM(OSRRefP22_10x_0)</f>
        <v>0</v>
      </c>
      <c r="Q55" s="1"/>
      <c r="R55" s="5">
        <f t="shared" ref="R55:R60" si="40">IF(P$12=0,0,P55/P$12)</f>
        <v>0</v>
      </c>
      <c r="S55" s="1"/>
      <c r="T55" s="1">
        <f>SUM(OSRRefT22_10x_0)</f>
        <v>825</v>
      </c>
      <c r="U55" s="1"/>
      <c r="V55" s="5">
        <f t="shared" ref="V55:V60" si="41">IF(T$12=0,0,T55/T$12)</f>
        <v>2.0376005216257336E-3</v>
      </c>
      <c r="W55" s="1"/>
      <c r="X55" s="1">
        <f t="shared" ref="X55:X60" si="42">+P55-T55</f>
        <v>-825</v>
      </c>
      <c r="Y55" s="1"/>
      <c r="Z55" s="5">
        <f t="shared" ref="Z55:Z60" si="43">IF(T55=0,0,X55/T55)</f>
        <v>-1</v>
      </c>
    </row>
    <row r="56" spans="1:26" s="23" customFormat="1" hidden="1" outlineLevel="2" x14ac:dyDescent="0.25">
      <c r="A56" s="27"/>
      <c r="B56" s="10" t="str">
        <f>CONCATENATE("          ", "6258", " - ", "MEMBERSHIP DUES")</f>
        <v xml:space="preserve">          6258 - MEMBERSHIP DUES</v>
      </c>
      <c r="C56" s="10"/>
      <c r="D56" s="6"/>
      <c r="E56" s="2"/>
      <c r="F56" s="7">
        <f t="shared" si="36"/>
        <v>0</v>
      </c>
      <c r="G56" s="2"/>
      <c r="H56" s="6"/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0"/>
      <c r="P56" s="6"/>
      <c r="Q56" s="2"/>
      <c r="R56" s="7">
        <f t="shared" si="40"/>
        <v>0</v>
      </c>
      <c r="S56" s="2"/>
      <c r="T56" s="6">
        <v>825</v>
      </c>
      <c r="U56" s="2"/>
      <c r="V56" s="7">
        <f t="shared" si="41"/>
        <v>2.0376005216257336E-3</v>
      </c>
      <c r="W56" s="2"/>
      <c r="X56" s="6">
        <f t="shared" si="42"/>
        <v>-825</v>
      </c>
      <c r="Y56" s="2"/>
      <c r="Z56" s="7">
        <f t="shared" si="43"/>
        <v>-1</v>
      </c>
    </row>
    <row r="57" spans="1:26" s="26" customFormat="1" outlineLevel="1" collapsed="1" x14ac:dyDescent="0.25">
      <c r="A57" s="25"/>
      <c r="B57" s="12" t="str">
        <f>CONCATENATE("     ","Supplies                                          ")</f>
        <v xml:space="preserve">     Supplies                                          </v>
      </c>
      <c r="C57" s="12"/>
      <c r="D57" s="1">
        <f>SUM(OSRRefD22_11x_0)</f>
        <v>2500</v>
      </c>
      <c r="E57" s="1"/>
      <c r="F57" s="5">
        <f t="shared" si="36"/>
        <v>7.4241254380234004E-2</v>
      </c>
      <c r="G57" s="1"/>
      <c r="H57" s="1">
        <f>SUM(OSRRefH22_11x_0)</f>
        <v>77.78</v>
      </c>
      <c r="I57" s="1"/>
      <c r="J57" s="5">
        <f t="shared" si="37"/>
        <v>3.0636521191113914E-3</v>
      </c>
      <c r="K57" s="1"/>
      <c r="L57" s="1">
        <f t="shared" si="38"/>
        <v>2422.2199999999998</v>
      </c>
      <c r="M57" s="1"/>
      <c r="N57" s="5">
        <f t="shared" si="39"/>
        <v>31.14193880174852</v>
      </c>
      <c r="O57" s="12"/>
      <c r="P57" s="1">
        <f>SUM(OSRRefP22_11x_0)</f>
        <v>44561.89</v>
      </c>
      <c r="Q57" s="1"/>
      <c r="R57" s="5">
        <f t="shared" si="40"/>
        <v>9.3312972591523866E-2</v>
      </c>
      <c r="S57" s="1"/>
      <c r="T57" s="1">
        <f>SUM(OSRRefT22_11x_0)</f>
        <v>24956.58</v>
      </c>
      <c r="U57" s="1"/>
      <c r="V57" s="5">
        <f t="shared" si="41"/>
        <v>6.1638230819387095E-2</v>
      </c>
      <c r="W57" s="1"/>
      <c r="X57" s="1">
        <f t="shared" si="42"/>
        <v>19605.309999999998</v>
      </c>
      <c r="Y57" s="1"/>
      <c r="Z57" s="5">
        <f t="shared" si="43"/>
        <v>0.78557678976846979</v>
      </c>
    </row>
    <row r="58" spans="1:26" s="23" customFormat="1" hidden="1" outlineLevel="2" x14ac:dyDescent="0.25">
      <c r="A58" s="27"/>
      <c r="B58" s="10" t="str">
        <f>CONCATENATE("          ", "6234", " - ", "EXPENDABLE SUPPLIES &amp; EQUIPMEN")</f>
        <v xml:space="preserve">          6234 - EXPENDABLE SUPPLIES &amp; EQUIPMEN</v>
      </c>
      <c r="C58" s="10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0"/>
      <c r="P58" s="6"/>
      <c r="Q58" s="2"/>
      <c r="R58" s="7">
        <f t="shared" si="40"/>
        <v>0</v>
      </c>
      <c r="S58" s="2"/>
      <c r="T58" s="6">
        <v>413.27</v>
      </c>
      <c r="U58" s="2"/>
      <c r="V58" s="7">
        <f t="shared" si="41"/>
        <v>1.0207020212997175E-3</v>
      </c>
      <c r="W58" s="2"/>
      <c r="X58" s="6">
        <f t="shared" si="42"/>
        <v>-413.27</v>
      </c>
      <c r="Y58" s="2"/>
      <c r="Z58" s="7">
        <f t="shared" si="43"/>
        <v>-1</v>
      </c>
    </row>
    <row r="59" spans="1:26" s="23" customFormat="1" hidden="1" outlineLevel="2" x14ac:dyDescent="0.25">
      <c r="A59" s="27"/>
      <c r="B59" s="10" t="str">
        <f>CONCATENATE("          ", "6241", " - ", "OFFICE EXPENSE")</f>
        <v xml:space="preserve">          6241 - OFFICE EXPENSE</v>
      </c>
      <c r="C59" s="10"/>
      <c r="D59" s="6">
        <v>2500</v>
      </c>
      <c r="E59" s="2"/>
      <c r="F59" s="7">
        <f t="shared" si="36"/>
        <v>7.4241254380234004E-2</v>
      </c>
      <c r="G59" s="2"/>
      <c r="H59" s="6">
        <v>77.78</v>
      </c>
      <c r="I59" s="2"/>
      <c r="J59" s="7">
        <f t="shared" si="37"/>
        <v>3.0636521191113914E-3</v>
      </c>
      <c r="K59" s="2"/>
      <c r="L59" s="6">
        <f t="shared" si="38"/>
        <v>2422.2199999999998</v>
      </c>
      <c r="M59" s="2"/>
      <c r="N59" s="7">
        <f t="shared" si="39"/>
        <v>31.14193880174852</v>
      </c>
      <c r="O59" s="10"/>
      <c r="P59" s="6">
        <v>44561.89</v>
      </c>
      <c r="Q59" s="2"/>
      <c r="R59" s="7">
        <f t="shared" si="40"/>
        <v>9.3312972591523866E-2</v>
      </c>
      <c r="S59" s="2"/>
      <c r="T59" s="6">
        <v>24339.79</v>
      </c>
      <c r="U59" s="2"/>
      <c r="V59" s="7">
        <f t="shared" si="41"/>
        <v>6.0114871273043415E-2</v>
      </c>
      <c r="W59" s="2"/>
      <c r="X59" s="6">
        <f t="shared" si="42"/>
        <v>20222.099999999999</v>
      </c>
      <c r="Y59" s="2"/>
      <c r="Z59" s="7">
        <f t="shared" si="43"/>
        <v>0.83082475239104359</v>
      </c>
    </row>
    <row r="60" spans="1:26" s="23" customFormat="1" hidden="1" outlineLevel="2" x14ac:dyDescent="0.25">
      <c r="A60" s="27"/>
      <c r="B60" s="10" t="str">
        <f>CONCATENATE("          ", "6245", " - ", "PRINTING")</f>
        <v xml:space="preserve">          6245 - PRINTING</v>
      </c>
      <c r="C60" s="10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0"/>
      <c r="P60" s="6"/>
      <c r="Q60" s="2"/>
      <c r="R60" s="7">
        <f t="shared" si="40"/>
        <v>0</v>
      </c>
      <c r="S60" s="2"/>
      <c r="T60" s="6">
        <v>203.52</v>
      </c>
      <c r="U60" s="2"/>
      <c r="V60" s="7">
        <f t="shared" si="41"/>
        <v>5.0265752504396284E-4</v>
      </c>
      <c r="W60" s="2"/>
      <c r="X60" s="6">
        <f t="shared" si="42"/>
        <v>-203.52</v>
      </c>
      <c r="Y60" s="2"/>
      <c r="Z60" s="7">
        <f t="shared" si="43"/>
        <v>-1</v>
      </c>
    </row>
    <row r="61" spans="1:26" s="26" customFormat="1" outlineLevel="1" collapsed="1" x14ac:dyDescent="0.25">
      <c r="A61" s="25"/>
      <c r="B61" s="12" t="str">
        <f>CONCATENATE("     ","Telephone/Data Lines                              ")</f>
        <v xml:space="preserve">     Telephone/Data Lines                              </v>
      </c>
      <c r="C61" s="12"/>
      <c r="D61" s="1">
        <f>SUM(OSRRefD22_12x_0)</f>
        <v>87.1</v>
      </c>
      <c r="E61" s="1"/>
      <c r="F61" s="5">
        <f t="shared" ref="F61:F64" si="44">IF(D$12=0,0,D61/D$12)</f>
        <v>2.5865653026073527E-3</v>
      </c>
      <c r="G61" s="1"/>
      <c r="H61" s="1">
        <f>SUM(OSRRefH22_12x_0)</f>
        <v>194.05</v>
      </c>
      <c r="I61" s="1"/>
      <c r="J61" s="5">
        <f t="shared" ref="J61:J64" si="45">IF(H$12=0,0,H61/H$12)</f>
        <v>7.6433748227509061E-3</v>
      </c>
      <c r="K61" s="1"/>
      <c r="L61" s="1">
        <f t="shared" ref="L61:L64" si="46">+D61-H61</f>
        <v>-106.95000000000002</v>
      </c>
      <c r="M61" s="1"/>
      <c r="N61" s="5">
        <f t="shared" ref="N61:N64" si="47">IF(H61=0,0,L61/H61)</f>
        <v>-0.55114661169801604</v>
      </c>
      <c r="O61" s="12"/>
      <c r="P61" s="1">
        <f>SUM(OSRRefP22_12x_0)</f>
        <v>1798.93</v>
      </c>
      <c r="Q61" s="1"/>
      <c r="R61" s="5">
        <f t="shared" ref="R61:R64" si="48">IF(P$12=0,0,P61/P$12)</f>
        <v>3.7669745557037649E-3</v>
      </c>
      <c r="S61" s="1"/>
      <c r="T61" s="1">
        <f>SUM(OSRRefT22_12x_0)</f>
        <v>1893.6</v>
      </c>
      <c r="U61" s="1"/>
      <c r="V61" s="5">
        <f t="shared" ref="V61:V64" si="49">IF(T$12=0,0,T61/T$12)</f>
        <v>4.6768489063642293E-3</v>
      </c>
      <c r="W61" s="1"/>
      <c r="X61" s="1">
        <f t="shared" ref="X61:X64" si="50">+P61-T61</f>
        <v>-94.669999999999845</v>
      </c>
      <c r="Y61" s="1"/>
      <c r="Z61" s="5">
        <f t="shared" ref="Z61:Z64" si="51">IF(T61=0,0,X61/T61)</f>
        <v>-4.9994719053654338E-2</v>
      </c>
    </row>
    <row r="62" spans="1:26" s="23" customFormat="1" hidden="1" outlineLevel="2" x14ac:dyDescent="0.25">
      <c r="A62" s="27"/>
      <c r="B62" s="10" t="str">
        <f>CONCATENATE("          ", "6309", " - ", "TELEPHONE")</f>
        <v xml:space="preserve">          6309 - TELEPHONE</v>
      </c>
      <c r="C62" s="10"/>
      <c r="D62" s="6">
        <v>87.1</v>
      </c>
      <c r="E62" s="2"/>
      <c r="F62" s="7">
        <f t="shared" si="44"/>
        <v>2.5865653026073527E-3</v>
      </c>
      <c r="G62" s="2"/>
      <c r="H62" s="6">
        <v>194.05</v>
      </c>
      <c r="I62" s="2"/>
      <c r="J62" s="7">
        <f t="shared" si="45"/>
        <v>7.6433748227509061E-3</v>
      </c>
      <c r="K62" s="2"/>
      <c r="L62" s="6">
        <f t="shared" si="46"/>
        <v>-106.95000000000002</v>
      </c>
      <c r="M62" s="2"/>
      <c r="N62" s="7">
        <f t="shared" si="47"/>
        <v>-0.55114661169801604</v>
      </c>
      <c r="O62" s="10"/>
      <c r="P62" s="6">
        <v>1798.93</v>
      </c>
      <c r="Q62" s="2"/>
      <c r="R62" s="7">
        <f t="shared" si="48"/>
        <v>3.7669745557037649E-3</v>
      </c>
      <c r="S62" s="2"/>
      <c r="T62" s="6">
        <v>1893.6</v>
      </c>
      <c r="U62" s="2"/>
      <c r="V62" s="7">
        <f t="shared" si="49"/>
        <v>4.6768489063642293E-3</v>
      </c>
      <c r="W62" s="2"/>
      <c r="X62" s="6">
        <f t="shared" si="50"/>
        <v>-94.669999999999845</v>
      </c>
      <c r="Y62" s="2"/>
      <c r="Z62" s="7">
        <f t="shared" si="51"/>
        <v>-4.9994719053654338E-2</v>
      </c>
    </row>
    <row r="63" spans="1:26" s="26" customFormat="1" outlineLevel="1" collapsed="1" x14ac:dyDescent="0.25">
      <c r="A63" s="25"/>
      <c r="B63" s="12" t="str">
        <f>CONCATENATE("     ","Training                                          ")</f>
        <v xml:space="preserve">     Training                                          </v>
      </c>
      <c r="C63" s="12"/>
      <c r="D63" s="1">
        <f>SUM(OSRRefD22_13x_0)</f>
        <v>0</v>
      </c>
      <c r="E63" s="1"/>
      <c r="F63" s="5">
        <f t="shared" si="44"/>
        <v>0</v>
      </c>
      <c r="G63" s="1"/>
      <c r="H63" s="1">
        <f>SUM(OSRRefH22_13x_0)</f>
        <v>1175</v>
      </c>
      <c r="I63" s="1"/>
      <c r="J63" s="5">
        <f t="shared" si="45"/>
        <v>4.6281707893492986E-2</v>
      </c>
      <c r="K63" s="1"/>
      <c r="L63" s="1">
        <f t="shared" si="46"/>
        <v>-1175</v>
      </c>
      <c r="M63" s="1"/>
      <c r="N63" s="5">
        <f t="shared" si="47"/>
        <v>-1</v>
      </c>
      <c r="O63" s="12"/>
      <c r="P63" s="1">
        <f>SUM(OSRRefP22_13x_0)</f>
        <v>0</v>
      </c>
      <c r="Q63" s="1"/>
      <c r="R63" s="5">
        <f t="shared" si="48"/>
        <v>0</v>
      </c>
      <c r="S63" s="1"/>
      <c r="T63" s="1">
        <f>SUM(OSRRefT22_13x_0)</f>
        <v>3186.24</v>
      </c>
      <c r="U63" s="1"/>
      <c r="V63" s="5">
        <f t="shared" si="49"/>
        <v>7.8694354982118513E-3</v>
      </c>
      <c r="W63" s="1"/>
      <c r="X63" s="1">
        <f t="shared" si="50"/>
        <v>-3186.24</v>
      </c>
      <c r="Y63" s="1"/>
      <c r="Z63" s="5">
        <f t="shared" si="51"/>
        <v>-1</v>
      </c>
    </row>
    <row r="64" spans="1:26" s="23" customFormat="1" hidden="1" outlineLevel="2" x14ac:dyDescent="0.25">
      <c r="A64" s="27"/>
      <c r="B64" s="10" t="str">
        <f>CONCATENATE("          ", "6376", " - ", "TRAINING")</f>
        <v xml:space="preserve">          6376 - TRAINING</v>
      </c>
      <c r="C64" s="10"/>
      <c r="D64" s="6"/>
      <c r="E64" s="2"/>
      <c r="F64" s="7">
        <f t="shared" si="44"/>
        <v>0</v>
      </c>
      <c r="G64" s="2"/>
      <c r="H64" s="6">
        <v>1175</v>
      </c>
      <c r="I64" s="2"/>
      <c r="J64" s="7">
        <f t="shared" si="45"/>
        <v>4.6281707893492986E-2</v>
      </c>
      <c r="K64" s="2"/>
      <c r="L64" s="6">
        <f t="shared" si="46"/>
        <v>-1175</v>
      </c>
      <c r="M64" s="2"/>
      <c r="N64" s="7">
        <f t="shared" si="47"/>
        <v>-1</v>
      </c>
      <c r="O64" s="10"/>
      <c r="P64" s="6"/>
      <c r="Q64" s="2"/>
      <c r="R64" s="7">
        <f t="shared" si="48"/>
        <v>0</v>
      </c>
      <c r="S64" s="2"/>
      <c r="T64" s="6">
        <v>3186.24</v>
      </c>
      <c r="U64" s="2"/>
      <c r="V64" s="7">
        <f t="shared" si="49"/>
        <v>7.8694354982118513E-3</v>
      </c>
      <c r="W64" s="2"/>
      <c r="X64" s="6">
        <f t="shared" si="50"/>
        <v>-3186.24</v>
      </c>
      <c r="Y64" s="2"/>
      <c r="Z64" s="7">
        <f t="shared" si="51"/>
        <v>-1</v>
      </c>
    </row>
    <row r="65" spans="1:26" s="62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4" customFormat="1" collapsed="1" x14ac:dyDescent="0.25">
      <c r="A66" s="11"/>
      <c r="B66" s="28" t="s">
        <v>292</v>
      </c>
      <c r="C66" s="11"/>
      <c r="D66" s="4">
        <f>SUM(OSRRefD25x_0)</f>
        <v>221.44</v>
      </c>
      <c r="E66" s="4"/>
      <c r="F66" s="13">
        <f t="shared" ref="F66:F67" si="52">IF(D$12=0,0,D66/D$12)</f>
        <v>6.5759933479836077E-3</v>
      </c>
      <c r="G66" s="4"/>
      <c r="H66" s="4">
        <f>SUM(OSRRefH25x_0)</f>
        <v>181.5</v>
      </c>
      <c r="I66" s="4"/>
      <c r="J66" s="13">
        <f t="shared" ref="J66:J67" si="53">IF(H$12=0,0,H66/H$12)</f>
        <v>7.1490467937608323E-3</v>
      </c>
      <c r="K66" s="4"/>
      <c r="L66" s="4">
        <f t="shared" ref="L66:L67" si="54">+D66-H66</f>
        <v>39.94</v>
      </c>
      <c r="M66" s="4"/>
      <c r="N66" s="13">
        <f t="shared" ref="N66:N67" si="55">IF(H66=0,0,L66/H66)</f>
        <v>0.22005509641873278</v>
      </c>
      <c r="O66" s="11"/>
      <c r="P66" s="4">
        <f>SUM(OSRRefP25x_0)</f>
        <v>2160.12</v>
      </c>
      <c r="Q66" s="4"/>
      <c r="R66" s="13">
        <f t="shared" ref="R66:R67" si="56">IF(P$12=0,0,P66/P$12)</f>
        <v>4.5233094546573887E-3</v>
      </c>
      <c r="S66" s="4"/>
      <c r="T66" s="4">
        <f>SUM(OSRRefT25x_0)</f>
        <v>20517.75</v>
      </c>
      <c r="U66" s="4"/>
      <c r="V66" s="13">
        <f t="shared" ref="V66:V67" si="57">IF(T$12=0,0,T66/T$12)</f>
        <v>5.0675124972831991E-2</v>
      </c>
      <c r="W66" s="4"/>
      <c r="X66" s="4">
        <f t="shared" ref="X66:X67" si="58">+P66-T66</f>
        <v>-18357.63</v>
      </c>
      <c r="Y66" s="4"/>
      <c r="Z66" s="13">
        <f t="shared" ref="Z66:Z67" si="59">IF(T66=0,0,X66/T66)</f>
        <v>-0.89471945023211619</v>
      </c>
    </row>
    <row r="67" spans="1:26" s="23" customFormat="1" hidden="1" outlineLevel="1" x14ac:dyDescent="0.25">
      <c r="A67" s="44"/>
      <c r="B67" s="10" t="str">
        <f>CONCATENATE("          ", "9150", " - ", "MISC. INCOME")</f>
        <v xml:space="preserve">          9150 - MISC. INCOME</v>
      </c>
      <c r="C67" s="10"/>
      <c r="D67" s="2">
        <f>--221.44</f>
        <v>221.44</v>
      </c>
      <c r="E67" s="2"/>
      <c r="F67" s="19">
        <f t="shared" si="52"/>
        <v>6.5759933479836077E-3</v>
      </c>
      <c r="G67" s="2"/>
      <c r="H67" s="2">
        <f>--181.5</f>
        <v>181.5</v>
      </c>
      <c r="I67" s="2"/>
      <c r="J67" s="19">
        <f t="shared" si="53"/>
        <v>7.1490467937608323E-3</v>
      </c>
      <c r="K67" s="2"/>
      <c r="L67" s="2">
        <f t="shared" si="54"/>
        <v>39.94</v>
      </c>
      <c r="M67" s="2"/>
      <c r="N67" s="19">
        <f t="shared" si="55"/>
        <v>0.22005509641873278</v>
      </c>
      <c r="O67" s="10"/>
      <c r="P67" s="2">
        <f>--2160.12</f>
        <v>2160.12</v>
      </c>
      <c r="Q67" s="2"/>
      <c r="R67" s="19">
        <f t="shared" si="56"/>
        <v>4.5233094546573887E-3</v>
      </c>
      <c r="S67" s="2"/>
      <c r="T67" s="2">
        <f>--20517.75</f>
        <v>20517.75</v>
      </c>
      <c r="U67" s="2"/>
      <c r="V67" s="19">
        <f t="shared" si="57"/>
        <v>5.0675124972831991E-2</v>
      </c>
      <c r="W67" s="2"/>
      <c r="X67" s="2">
        <f t="shared" si="58"/>
        <v>-18357.63</v>
      </c>
      <c r="Y67" s="2"/>
      <c r="Z67" s="19">
        <f t="shared" si="59"/>
        <v>-0.89471945023211619</v>
      </c>
    </row>
    <row r="68" spans="1:26" x14ac:dyDescent="0.25">
      <c r="A68" s="9"/>
      <c r="B68" s="11"/>
      <c r="C68" s="11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1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4" customFormat="1" x14ac:dyDescent="0.25">
      <c r="A69" s="11"/>
      <c r="B69" s="29" t="s">
        <v>276</v>
      </c>
      <c r="C69" s="29"/>
      <c r="D69" s="20">
        <f>+D17-D19+D66</f>
        <v>13799.160000000005</v>
      </c>
      <c r="E69" s="14"/>
      <c r="F69" s="22">
        <f>IF(D$12=0,0,D69/D$12)</f>
        <v>0.40978677911742012</v>
      </c>
      <c r="G69" s="14"/>
      <c r="H69" s="20">
        <f>+H17-H19+H66</f>
        <v>9011.4599999999991</v>
      </c>
      <c r="I69" s="14"/>
      <c r="J69" s="22">
        <f>IF(H$12=0,0,H69/H$12)</f>
        <v>0.35494958247991176</v>
      </c>
      <c r="K69" s="16"/>
      <c r="L69" s="20">
        <f>+D69-H69</f>
        <v>4787.7000000000062</v>
      </c>
      <c r="M69" s="16"/>
      <c r="N69" s="22">
        <f>IF(H69=0,0,L69/H69)</f>
        <v>0.53129015719983297</v>
      </c>
      <c r="O69" s="28"/>
      <c r="P69" s="20">
        <f>+P17-P19+P66</f>
        <v>91479.82</v>
      </c>
      <c r="Q69" s="14"/>
      <c r="R69" s="22">
        <f>IF(P$12=0,0,P69/P$12)</f>
        <v>0.19155951276612232</v>
      </c>
      <c r="S69" s="14"/>
      <c r="T69" s="20">
        <f>+T17-T19+T66</f>
        <v>40664.630000000005</v>
      </c>
      <c r="U69" s="14"/>
      <c r="V69" s="22">
        <f>IF(T$12=0,0,T69/T$12)</f>
        <v>0.10043426824208178</v>
      </c>
      <c r="W69" s="16"/>
      <c r="X69" s="20">
        <f>+P69-T69</f>
        <v>50815.19</v>
      </c>
      <c r="Y69" s="16"/>
      <c r="Z69" s="22">
        <f>IF(T69=0,0,X69/T69)</f>
        <v>1.2496164357083783</v>
      </c>
    </row>
    <row r="70" spans="1:26" x14ac:dyDescent="0.25">
      <c r="A70" s="9"/>
      <c r="B70" s="11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4" customFormat="1" x14ac:dyDescent="0.25">
      <c r="A71" s="51"/>
      <c r="B71" s="11" t="s">
        <v>127</v>
      </c>
      <c r="C71" s="11"/>
      <c r="D71" s="4">
        <v>8426.34</v>
      </c>
      <c r="E71" s="4"/>
      <c r="F71" s="13">
        <f>IF(D$12=0,0,D71/D$12)</f>
        <v>0.25023282057373641</v>
      </c>
      <c r="G71" s="4"/>
      <c r="H71" s="4">
        <v>5307.79</v>
      </c>
      <c r="I71" s="4"/>
      <c r="J71" s="13">
        <f>IF(H$12=0,0,H71/H$12)</f>
        <v>0.20906688199149204</v>
      </c>
      <c r="K71" s="4"/>
      <c r="L71" s="4">
        <f>+D71-H71</f>
        <v>3118.55</v>
      </c>
      <c r="M71" s="4"/>
      <c r="N71" s="13">
        <f>IF(H71=0,0,L71/H71)</f>
        <v>0.58754208437033117</v>
      </c>
      <c r="O71" s="11"/>
      <c r="P71" s="4">
        <v>99906.03</v>
      </c>
      <c r="Q71" s="4"/>
      <c r="R71" s="13">
        <f>IF(P$12=0,0,P71/P$12)</f>
        <v>0.20920406740194281</v>
      </c>
      <c r="S71" s="4"/>
      <c r="T71" s="4">
        <v>45972.13</v>
      </c>
      <c r="U71" s="4"/>
      <c r="V71" s="13">
        <f>IF(T$12=0,0,T71/T$12)</f>
        <v>0.11354283159787397</v>
      </c>
      <c r="W71" s="4"/>
      <c r="X71" s="4">
        <f>+P71-T71</f>
        <v>53933.9</v>
      </c>
      <c r="Y71" s="4"/>
      <c r="Z71" s="13">
        <f>IF(T71=0,0,X71/T71)</f>
        <v>1.1731868851845673</v>
      </c>
    </row>
    <row r="72" spans="1:26" x14ac:dyDescent="0.25">
      <c r="A72" s="9"/>
      <c r="B72" s="11"/>
      <c r="C72" s="11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1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4" customFormat="1" ht="15.75" thickBot="1" x14ac:dyDescent="0.3">
      <c r="A73" s="11"/>
      <c r="B73" s="29" t="s">
        <v>125</v>
      </c>
      <c r="C73" s="29"/>
      <c r="D73" s="30">
        <f>+D69-D71</f>
        <v>5372.8200000000052</v>
      </c>
      <c r="E73" s="14"/>
      <c r="F73" s="34">
        <f>IF(D$12=0,0,D73/D$12)</f>
        <v>0.1595539585436837</v>
      </c>
      <c r="G73" s="14"/>
      <c r="H73" s="30">
        <f>+H69-H71</f>
        <v>3703.6699999999992</v>
      </c>
      <c r="I73" s="14"/>
      <c r="J73" s="34">
        <f>IF(H$12=0,0,H73/H$12)</f>
        <v>0.1458827004884197</v>
      </c>
      <c r="K73" s="16"/>
      <c r="L73" s="30">
        <f>D73-H73</f>
        <v>1669.150000000006</v>
      </c>
      <c r="M73" s="16"/>
      <c r="N73" s="34">
        <f>IF(H73=0,0,L73/H73)</f>
        <v>0.45067460113887209</v>
      </c>
      <c r="O73" s="28"/>
      <c r="P73" s="30">
        <f>+P69-P71</f>
        <v>-8426.2099999999919</v>
      </c>
      <c r="Q73" s="14"/>
      <c r="R73" s="34">
        <f>IF(P$12=0,0,P73/P$12)</f>
        <v>-1.7644554635820511E-2</v>
      </c>
      <c r="S73" s="14"/>
      <c r="T73" s="30">
        <f>+T69-T71</f>
        <v>-5307.4999999999927</v>
      </c>
      <c r="U73" s="14"/>
      <c r="V73" s="34">
        <f>IF(T$12=0,0,T73/T$12)</f>
        <v>-1.3108563355792201E-2</v>
      </c>
      <c r="W73" s="16"/>
      <c r="X73" s="30">
        <f>P73-T73</f>
        <v>-3118.7099999999991</v>
      </c>
      <c r="Y73" s="16"/>
      <c r="Z73" s="34">
        <f>IF(T73=0,0,X73/T73)</f>
        <v>0.58760433349034447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4" customFormat="1" ht="15.75" thickBot="1" x14ac:dyDescent="0.3">
      <c r="A76" s="11"/>
      <c r="B76" s="29" t="s">
        <v>293</v>
      </c>
      <c r="C76" s="29"/>
      <c r="D76" s="32">
        <f>SUM(D73:D75)</f>
        <v>5372.8200000000052</v>
      </c>
      <c r="E76" s="14"/>
      <c r="F76" s="35">
        <f>IF(D$12=0,0,D76/D$12)</f>
        <v>0.1595539585436837</v>
      </c>
      <c r="G76" s="14"/>
      <c r="H76" s="32">
        <f>SUM(H73:H75)</f>
        <v>3703.6699999999992</v>
      </c>
      <c r="I76" s="14"/>
      <c r="J76" s="35">
        <f>IF(H$12=0,0,H76/H$12)</f>
        <v>0.1458827004884197</v>
      </c>
      <c r="K76" s="16"/>
      <c r="L76" s="32">
        <f>+D76-H76</f>
        <v>1669.150000000006</v>
      </c>
      <c r="M76" s="16"/>
      <c r="N76" s="35">
        <f>IF(H76=0,0,L76/H76)</f>
        <v>0.45067460113887209</v>
      </c>
      <c r="O76" s="28"/>
      <c r="P76" s="32">
        <f>SUM(P73:P75)</f>
        <v>-8426.2099999999919</v>
      </c>
      <c r="Q76" s="14"/>
      <c r="R76" s="35">
        <f>IF(P$12=0,0,P76/P$12)</f>
        <v>-1.7644554635820511E-2</v>
      </c>
      <c r="S76" s="14"/>
      <c r="T76" s="32">
        <f>SUM(T73:T75)</f>
        <v>-5307.4999999999927</v>
      </c>
      <c r="U76" s="14"/>
      <c r="V76" s="35">
        <f>IF(T$12=0,0,T76/T$12)</f>
        <v>-1.3108563355792201E-2</v>
      </c>
      <c r="W76" s="16"/>
      <c r="X76" s="32">
        <f>+P76-T76</f>
        <v>-3118.7099999999991</v>
      </c>
      <c r="Y76" s="16"/>
      <c r="Z76" s="35">
        <f>IF(T76=0,0,X76/T76)</f>
        <v>0.58760433349034447</v>
      </c>
    </row>
    <row r="77" spans="1:26" ht="15.75" thickTop="1" x14ac:dyDescent="0.25">
      <c r="A77" s="9"/>
      <c r="C77" s="9"/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25">
      <c r="A78" s="9"/>
      <c r="B78" s="59">
        <v>44330.00886898148</v>
      </c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52" t="s">
        <v>56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5"/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4:24" x14ac:dyDescent="0.25"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e">
        <f ca="1">CONCATENATE("Department ",_xll.OneStop.ReportPlayer.OSRFunctions.OSRGet("d_dim0","Code"), " - ", _xll.OneStop.ReportPlayer.OSRFunctions.OSRGet("d_dim0","Description"))</f>
        <v>#NAME?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23</v>
      </c>
    </row>
    <row r="3" spans="1:26" x14ac:dyDescent="0.25">
      <c r="D3" s="60" t="s">
        <v>236</v>
      </c>
      <c r="E3" s="18"/>
      <c r="F3" s="46"/>
      <c r="G3" s="18"/>
      <c r="H3" s="18"/>
      <c r="I3" s="18"/>
      <c r="J3" s="40"/>
      <c r="K3" s="18"/>
      <c r="L3" s="18"/>
      <c r="M3" s="18"/>
      <c r="N3" s="46"/>
      <c r="O3" s="54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40"/>
      <c r="K4" s="18"/>
      <c r="L4" s="18"/>
      <c r="M4" s="18"/>
      <c r="N4" s="46"/>
      <c r="O4" s="54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4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40"/>
      <c r="K5" s="18"/>
      <c r="L5" s="18"/>
      <c r="M5" s="18"/>
      <c r="N5" s="46"/>
      <c r="O5" s="54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4"/>
      <c r="B6" s="50"/>
      <c r="C6" s="50"/>
      <c r="D6" s="24" t="e">
        <f ca="1">CONCATENATE("Department ",_xll.OneStop.ReportPlayer.OSRFunctions.OSRGet("d_dim0","Code"), " - ", _xll.OneStop.ReportPlayer.OSRFunctions.OSRGet("d_dim0","Description"))</f>
        <v>#NAME?</v>
      </c>
      <c r="E6" s="18"/>
      <c r="F6" s="46"/>
      <c r="G6" s="18"/>
      <c r="H6" s="18"/>
      <c r="I6" s="18"/>
      <c r="J6" s="40"/>
      <c r="K6" s="18"/>
      <c r="L6" s="18"/>
      <c r="M6" s="18"/>
      <c r="N6" s="46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1"/>
      <c r="B10" s="58"/>
      <c r="C10" s="11"/>
      <c r="D10" s="43" t="s">
        <v>57</v>
      </c>
      <c r="E10" s="36"/>
      <c r="F10" s="33" t="s">
        <v>40</v>
      </c>
      <c r="G10" s="36"/>
      <c r="H10" s="47" t="s">
        <v>237</v>
      </c>
      <c r="I10" s="36"/>
      <c r="J10" s="33" t="s">
        <v>40</v>
      </c>
      <c r="K10" s="11"/>
      <c r="L10" s="43" t="s">
        <v>126</v>
      </c>
      <c r="M10" s="11"/>
      <c r="N10" s="33" t="s">
        <v>257</v>
      </c>
      <c r="O10" s="11"/>
      <c r="P10" s="61" t="s">
        <v>57</v>
      </c>
      <c r="Q10" s="36"/>
      <c r="R10" s="33" t="s">
        <v>40</v>
      </c>
      <c r="S10" s="36"/>
      <c r="T10" s="47" t="s">
        <v>237</v>
      </c>
      <c r="U10" s="36"/>
      <c r="V10" s="33" t="s">
        <v>40</v>
      </c>
      <c r="W10" s="11"/>
      <c r="X10" s="43" t="s">
        <v>126</v>
      </c>
      <c r="Y10" s="11"/>
      <c r="Z10" s="33" t="s">
        <v>257</v>
      </c>
    </row>
    <row r="11" spans="1:26" ht="15.75" x14ac:dyDescent="0.25">
      <c r="A11" s="9"/>
      <c r="B11" s="57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4" customFormat="1" collapsed="1" x14ac:dyDescent="0.25">
      <c r="A12" s="11"/>
      <c r="B12" s="28" t="s">
        <v>139</v>
      </c>
      <c r="C12" s="11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1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3" customFormat="1" hidden="1" outlineLevel="1" x14ac:dyDescent="0.25">
      <c r="A13" s="44"/>
      <c r="B13" s="10" t="e">
        <f ca="1">CONCATENATE("          ", _xll.OneStop.ReportPlayer.OSRFunctions.OSRGet("d_Account","Code"), " - ", _xll.OneStop.ReportPlayer.OSRFunctions.OSRGet("d_Account","Description"))</f>
        <v>#NAME?</v>
      </c>
      <c r="C13" s="10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0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1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4" customFormat="1" collapsed="1" x14ac:dyDescent="0.25">
      <c r="A15" s="11"/>
      <c r="B15" s="28" t="s">
        <v>256</v>
      </c>
      <c r="C15" s="11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1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3" customFormat="1" hidden="1" outlineLevel="1" x14ac:dyDescent="0.25">
      <c r="A16" s="44"/>
      <c r="B16" s="10" t="e">
        <f ca="1">CONCATENATE("          ", _xll.OneStop.ReportPlayer.OSRFunctions.OSRGet("d_Account","Code"), " - ", _xll.OneStop.ReportPlayer.OSRFunctions.OSRGet("d_Account","Description"))</f>
        <v>#NAME?</v>
      </c>
      <c r="C16" s="10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0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1"/>
      <c r="C17" s="11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1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4" customFormat="1" x14ac:dyDescent="0.25">
      <c r="A18" s="11"/>
      <c r="B18" s="29" t="s">
        <v>107</v>
      </c>
      <c r="C18" s="29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8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1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4" customFormat="1" x14ac:dyDescent="0.25">
      <c r="A20" s="11"/>
      <c r="B20" s="28" t="s">
        <v>294</v>
      </c>
      <c r="C20" s="11"/>
      <c r="D20" s="21" t="e">
        <f ca="1">SUM(_xll.OneStop.ReportPlayer.OSRFunctions.OSRRef(D22))</f>
        <v>#NAME?</v>
      </c>
      <c r="E20" s="21"/>
      <c r="F20" s="31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1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1"/>
      <c r="P20" s="21" t="e">
        <f ca="1">SUM(_xll.OneStop.ReportPlayer.OSRFunctions.OSRRef(P22))</f>
        <v>#NAME?</v>
      </c>
      <c r="Q20" s="21"/>
      <c r="R20" s="31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1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3" customFormat="1" hidden="1" outlineLevel="2" x14ac:dyDescent="0.25">
      <c r="A22" s="27"/>
      <c r="B22" s="10" t="e">
        <f ca="1">CONCATENATE("          ", _xll.OneStop.ReportPlayer.OSRFunctions.OSRGet("d_Account","Code"), " - ", _xll.OneStop.ReportPlayer.OSRFunctions.OSRGet("d_Account","Description"))</f>
        <v>#NAME?</v>
      </c>
      <c r="C22" s="10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0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4" customFormat="1" collapsed="1" x14ac:dyDescent="0.25">
      <c r="A24" s="11"/>
      <c r="B24" s="28" t="s">
        <v>292</v>
      </c>
      <c r="C24" s="11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1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3" customFormat="1" hidden="1" outlineLevel="1" x14ac:dyDescent="0.25">
      <c r="A25" s="44"/>
      <c r="B25" s="10" t="e">
        <f ca="1">CONCATENATE("          ", _xll.OneStop.ReportPlayer.OSRFunctions.OSRGet("d_Account","Code"), " - ", _xll.OneStop.ReportPlayer.OSRFunctions.OSRGet("d_Account","Description"))</f>
        <v>#NAME?</v>
      </c>
      <c r="C25" s="10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0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1"/>
      <c r="C26" s="11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1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4" customFormat="1" x14ac:dyDescent="0.25">
      <c r="A27" s="11"/>
      <c r="B27" s="29" t="s">
        <v>276</v>
      </c>
      <c r="C27" s="29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8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1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4" customFormat="1" x14ac:dyDescent="0.25">
      <c r="A29" s="51"/>
      <c r="B29" s="11" t="s">
        <v>127</v>
      </c>
      <c r="C29" s="11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1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1"/>
      <c r="C30" s="11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1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4" customFormat="1" ht="15.75" thickBot="1" x14ac:dyDescent="0.3">
      <c r="A31" s="11"/>
      <c r="B31" s="29" t="s">
        <v>125</v>
      </c>
      <c r="C31" s="29"/>
      <c r="D31" s="30" t="e">
        <f ca="1">+D27-D29</f>
        <v>#NAME?</v>
      </c>
      <c r="E31" s="14"/>
      <c r="F31" s="34" t="e">
        <f ca="1">IF(D$12=0,0,D31/D$12)</f>
        <v>#NAME?</v>
      </c>
      <c r="G31" s="14"/>
      <c r="H31" s="30" t="e">
        <f ca="1">+H27-H29</f>
        <v>#NAME?</v>
      </c>
      <c r="I31" s="14"/>
      <c r="J31" s="34" t="e">
        <f ca="1">IF(H$12=0,0,H31/H$12)</f>
        <v>#NAME?</v>
      </c>
      <c r="K31" s="16"/>
      <c r="L31" s="30" t="e">
        <f ca="1">D31-H31</f>
        <v>#NAME?</v>
      </c>
      <c r="M31" s="16"/>
      <c r="N31" s="34" t="e">
        <f ca="1">IF(H31=0,0,L31/H31)</f>
        <v>#NAME?</v>
      </c>
      <c r="O31" s="28"/>
      <c r="P31" s="30" t="e">
        <f ca="1">+P27-P29</f>
        <v>#NAME?</v>
      </c>
      <c r="Q31" s="14"/>
      <c r="R31" s="34" t="e">
        <f ca="1">IF(P$12=0,0,P31/P$12)</f>
        <v>#NAME?</v>
      </c>
      <c r="S31" s="14"/>
      <c r="T31" s="30" t="e">
        <f ca="1">+T27-T29</f>
        <v>#NAME?</v>
      </c>
      <c r="U31" s="14"/>
      <c r="V31" s="34" t="e">
        <f ca="1">IF(T$12=0,0,T31/T$12)</f>
        <v>#NAME?</v>
      </c>
      <c r="W31" s="16"/>
      <c r="X31" s="30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4" customFormat="1" x14ac:dyDescent="0.25">
      <c r="A33" s="51"/>
      <c r="B33" s="11" t="s">
        <v>183</v>
      </c>
      <c r="C33" s="11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1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4" customFormat="1" x14ac:dyDescent="0.25">
      <c r="A34" s="51"/>
      <c r="B34" s="11" t="s">
        <v>81</v>
      </c>
      <c r="C34" s="11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1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4" customFormat="1" ht="15.75" thickBot="1" x14ac:dyDescent="0.3">
      <c r="A36" s="11"/>
      <c r="B36" s="29" t="s">
        <v>293</v>
      </c>
      <c r="C36" s="29"/>
      <c r="D36" s="32" t="e">
        <f ca="1">SUM(D31:D35)</f>
        <v>#NAME?</v>
      </c>
      <c r="E36" s="14"/>
      <c r="F36" s="35" t="e">
        <f ca="1">IF(D$12=0,0,D36/D$12)</f>
        <v>#NAME?</v>
      </c>
      <c r="G36" s="14"/>
      <c r="H36" s="32" t="e">
        <f ca="1">SUM(H31:H35)</f>
        <v>#NAME?</v>
      </c>
      <c r="I36" s="14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8"/>
      <c r="P36" s="32" t="e">
        <f ca="1">SUM(P31:P35)</f>
        <v>#NAME?</v>
      </c>
      <c r="Q36" s="14"/>
      <c r="R36" s="35" t="e">
        <f ca="1">IF(P$12=0,0,P36/P$12)</f>
        <v>#NAME?</v>
      </c>
      <c r="S36" s="14"/>
      <c r="T36" s="32" t="e">
        <f ca="1">SUM(T31:T35)</f>
        <v>#NAME?</v>
      </c>
      <c r="U36" s="14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9" ma:contentTypeDescription="Create a new document." ma:contentTypeScope="" ma:versionID="d40e98030b3dc663e0d4553b7dcd1867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c520295a271e8254a7ac83f751e3a076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8E5D232-A78E-4922-A109-E16D8EBC265F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762caf36-b0c2-49b4-ab14-ff4bceb8c0ae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1D92518D-E897-4A35-B02B-3017814728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A6382DA-5F12-4E0F-8F36-C6B253F0DA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100</vt:i4>
      </vt:variant>
      <vt:variant>
        <vt:lpstr>Named Ranges</vt:lpstr>
      </vt:variant>
      <vt:variant>
        <vt:i4>4468</vt:i4>
      </vt:variant>
    </vt:vector>
  </HeadingPairs>
  <TitlesOfParts>
    <vt:vector size="4568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'424'!OSRRefD22_12x_0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'316'!OSRRefD22_13x_0</vt:lpstr>
      <vt:lpstr>'317'!OSRRefD22_13x_0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'Div 6'!OSRRefD22_13x_0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'315'!OSRRefD22_14x_0</vt:lpstr>
      <vt:lpstr>'325'!OSRRefD22_14x_0</vt:lpstr>
      <vt:lpstr>'326'!OSRRefD22_14x_0</vt:lpstr>
      <vt:lpstr>'330'!OSRRefD22_14x_0</vt:lpstr>
      <vt:lpstr>'331'!OSRRefD22_14x_0</vt:lpstr>
      <vt:lpstr>'332'!OSRRefD22_14x_0</vt:lpstr>
      <vt:lpstr>'405'!OSRRefD22_14x_0</vt:lpstr>
      <vt:lpstr>'406'!OSRRefD22_14x_0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'433'!OSRRefD22_16x_0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'331'!OSRRefD22_17x_0</vt:lpstr>
      <vt:lpstr>'405'!OSRRefD22_17x_0</vt:lpstr>
      <vt:lpstr>'411'!OSRRefD22_17x_0</vt:lpstr>
      <vt:lpstr>'415'!OSRRefD22_17x_0</vt:lpstr>
      <vt:lpstr>'444'!OSRRefD22_17x_0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'411'!OSRRefD22_18x_0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'411'!OSRRefD22_19x_0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'310'!OSRRefD22_22x_0</vt:lpstr>
      <vt:lpstr>'310 &amp; 491'!OSRRefD22_22x_0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'491'!OSRRefD22_24x_0</vt:lpstr>
      <vt:lpstr>'Div 3'!OSRRefD22_24x_0</vt:lpstr>
      <vt:lpstr>'Div 4'!OSRRefD22_24x_0</vt:lpstr>
      <vt:lpstr>Summary!OSRRefD22_24x_0</vt:lpstr>
      <vt:lpstr>'Div 3'!OSRRefD22_25x_0</vt:lpstr>
      <vt:lpstr>'Div 4'!OSRRefD22_25x_0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'423'!OSRRefD22_6x_0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'420'!OSRRefD22_7x_0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'424'!OSRRefH22_12x_0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'316'!OSRRefH22_13x_0</vt:lpstr>
      <vt:lpstr>'317'!OSRRefH22_13x_0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'Div 6'!OSRRefH22_13x_0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'315'!OSRRefH22_14x_0</vt:lpstr>
      <vt:lpstr>'325'!OSRRefH22_14x_0</vt:lpstr>
      <vt:lpstr>'326'!OSRRefH22_14x_0</vt:lpstr>
      <vt:lpstr>'330'!OSRRefH22_14x_0</vt:lpstr>
      <vt:lpstr>'331'!OSRRefH22_14x_0</vt:lpstr>
      <vt:lpstr>'332'!OSRRefH22_14x_0</vt:lpstr>
      <vt:lpstr>'405'!OSRRefH22_14x_0</vt:lpstr>
      <vt:lpstr>'406'!OSRRefH22_14x_0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'433'!OSRRefH22_16x_0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'331'!OSRRefH22_17x_0</vt:lpstr>
      <vt:lpstr>'405'!OSRRefH22_17x_0</vt:lpstr>
      <vt:lpstr>'411'!OSRRefH22_17x_0</vt:lpstr>
      <vt:lpstr>'415'!OSRRefH22_17x_0</vt:lpstr>
      <vt:lpstr>'444'!OSRRefH22_17x_0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'411'!OSRRefH22_18x_0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'411'!OSRRefH22_19x_0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'310'!OSRRefH22_22x_0</vt:lpstr>
      <vt:lpstr>'310 &amp; 491'!OSRRefH22_22x_0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'491'!OSRRefH22_24x_0</vt:lpstr>
      <vt:lpstr>'Div 3'!OSRRefH22_24x_0</vt:lpstr>
      <vt:lpstr>'Div 4'!OSRRefH22_24x_0</vt:lpstr>
      <vt:lpstr>Summary!OSRRefH22_24x_0</vt:lpstr>
      <vt:lpstr>'Div 3'!OSRRefH22_25x_0</vt:lpstr>
      <vt:lpstr>'Div 4'!OSRRefH22_25x_0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'423'!OSRRefH22_6x_0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'420'!OSRRefH22_7x_0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'424'!OSRRefP22_12x_0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'316'!OSRRefP22_13x_0</vt:lpstr>
      <vt:lpstr>'317'!OSRRefP22_13x_0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'Div 6'!OSRRefP22_13x_0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'315'!OSRRefP22_14x_0</vt:lpstr>
      <vt:lpstr>'325'!OSRRefP22_14x_0</vt:lpstr>
      <vt:lpstr>'326'!OSRRefP22_14x_0</vt:lpstr>
      <vt:lpstr>'330'!OSRRefP22_14x_0</vt:lpstr>
      <vt:lpstr>'331'!OSRRefP22_14x_0</vt:lpstr>
      <vt:lpstr>'332'!OSRRefP22_14x_0</vt:lpstr>
      <vt:lpstr>'405'!OSRRefP22_14x_0</vt:lpstr>
      <vt:lpstr>'406'!OSRRefP22_14x_0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'433'!OSRRefP22_16x_0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'331'!OSRRefP22_17x_0</vt:lpstr>
      <vt:lpstr>'405'!OSRRefP22_17x_0</vt:lpstr>
      <vt:lpstr>'411'!OSRRefP22_17x_0</vt:lpstr>
      <vt:lpstr>'415'!OSRRefP22_17x_0</vt:lpstr>
      <vt:lpstr>'444'!OSRRefP22_17x_0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'411'!OSRRefP22_18x_0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'411'!OSRRefP22_19x_0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'310'!OSRRefP22_22x_0</vt:lpstr>
      <vt:lpstr>'310 &amp; 491'!OSRRefP22_22x_0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'491'!OSRRefP22_24x_0</vt:lpstr>
      <vt:lpstr>'Div 3'!OSRRefP22_24x_0</vt:lpstr>
      <vt:lpstr>'Div 4'!OSRRefP22_24x_0</vt:lpstr>
      <vt:lpstr>Summary!OSRRefP22_24x_0</vt:lpstr>
      <vt:lpstr>'Div 3'!OSRRefP22_25x_0</vt:lpstr>
      <vt:lpstr>'Div 4'!OSRRefP22_25x_0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'423'!OSRRefP22_6x_0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'420'!OSRRefP22_7x_0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'424'!OSRRefT22_12x_0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'316'!OSRRefT22_13x_0</vt:lpstr>
      <vt:lpstr>'317'!OSRRefT22_13x_0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'Div 6'!OSRRefT22_13x_0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'315'!OSRRefT22_14x_0</vt:lpstr>
      <vt:lpstr>'325'!OSRRefT22_14x_0</vt:lpstr>
      <vt:lpstr>'326'!OSRRefT22_14x_0</vt:lpstr>
      <vt:lpstr>'330'!OSRRefT22_14x_0</vt:lpstr>
      <vt:lpstr>'331'!OSRRefT22_14x_0</vt:lpstr>
      <vt:lpstr>'332'!OSRRefT22_14x_0</vt:lpstr>
      <vt:lpstr>'405'!OSRRefT22_14x_0</vt:lpstr>
      <vt:lpstr>'406'!OSRRefT22_14x_0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'433'!OSRRefT22_16x_0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'331'!OSRRefT22_17x_0</vt:lpstr>
      <vt:lpstr>'405'!OSRRefT22_17x_0</vt:lpstr>
      <vt:lpstr>'411'!OSRRefT22_17x_0</vt:lpstr>
      <vt:lpstr>'415'!OSRRefT22_17x_0</vt:lpstr>
      <vt:lpstr>'444'!OSRRefT22_17x_0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'411'!OSRRefT22_18x_0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'411'!OSRRefT22_19x_0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'310'!OSRRefT22_22x_0</vt:lpstr>
      <vt:lpstr>'310 &amp; 491'!OSRRefT22_22x_0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'491'!OSRRefT22_24x_0</vt:lpstr>
      <vt:lpstr>'Div 3'!OSRRefT22_24x_0</vt:lpstr>
      <vt:lpstr>'Div 4'!OSRRefT22_24x_0</vt:lpstr>
      <vt:lpstr>Summary!OSRRefT22_24x_0</vt:lpstr>
      <vt:lpstr>'Div 3'!OSRRefT22_25x_0</vt:lpstr>
      <vt:lpstr>'Div 4'!OSRRefT22_25x_0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'423'!OSRRefT22_6x_0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'420'!OSRRefT22_7x_0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2021-05-14T00:17:27Z</dcterms:created>
  <dcterms:modified xsi:type="dcterms:W3CDTF">2021-05-14T01:04:57Z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